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showInkAnnotation="0" codeName="ThisWorkbook" autoCompressPictures="0"/>
  <mc:AlternateContent xmlns:mc="http://schemas.openxmlformats.org/markup-compatibility/2006">
    <mc:Choice Requires="x15">
      <x15ac:absPath xmlns:x15ac="http://schemas.microsoft.com/office/spreadsheetml/2010/11/ac" url="/Users/alexander/Git/etdataset/analyses/"/>
    </mc:Choice>
  </mc:AlternateContent>
  <xr:revisionPtr revIDLastSave="0" documentId="13_ncr:1_{98F2CB75-81BE-524A-A671-209AE834EA30}" xr6:coauthVersionLast="34" xr6:coauthVersionMax="34" xr10:uidLastSave="{00000000-0000-0000-0000-000000000000}"/>
  <bookViews>
    <workbookView xWindow="0" yWindow="460" windowWidth="51200" windowHeight="28260" tabRatio="929" activeTab="6" xr2:uid="{00000000-000D-0000-FFFF-FFFF00000000}"/>
  </bookViews>
  <sheets>
    <sheet name="Cover Sheet" sheetId="34" r:id="rId1"/>
    <sheet name="Changelog" sheetId="1" r:id="rId2"/>
    <sheet name="Contents" sheetId="18" r:id="rId3"/>
    <sheet name="Introduction" sheetId="10" r:id="rId4"/>
    <sheet name="Dataflow" sheetId="36" r:id="rId5"/>
    <sheet name="Assumptions" sheetId="3" r:id="rId6"/>
    <sheet name="Dashboard" sheetId="28" r:id="rId7"/>
    <sheet name="Corrected energy balance step 2" sheetId="12" r:id="rId8"/>
    <sheet name="technical_specs" sheetId="13" r:id="rId9"/>
    <sheet name="Application shares" sheetId="49" r:id="rId10"/>
    <sheet name="Technology shares" sheetId="43" r:id="rId11"/>
    <sheet name="Final demand per energy carrier" sheetId="30" r:id="rId12"/>
    <sheet name="Technology split final demand" sheetId="32" r:id="rId13"/>
    <sheet name="Final demand extracted from EB" sheetId="47" r:id="rId14"/>
    <sheet name="Fuel aggregation" sheetId="37" r:id="rId15"/>
    <sheet name="Tech split of useful demand" sheetId="48" r:id="rId16"/>
    <sheet name="csv_ps_final_demand_lighting" sheetId="22" r:id="rId17"/>
    <sheet name="csv_ps_space_heating_electricit" sheetId="50" r:id="rId18"/>
    <sheet name="csv_ps_cooling_electricity" sheetId="51" r:id="rId19"/>
    <sheet name="csv_ps_space_heating_gas" sheetId="52" r:id="rId20"/>
    <sheet name="csv_ps_final_demand_coal" sheetId="54" r:id="rId21"/>
    <sheet name="csv_ps_final_demand_gas" sheetId="57" r:id="rId22"/>
    <sheet name="csv_ps_final_demand_oil" sheetId="56" r:id="rId23"/>
    <sheet name="csv_ps_final_demand_electricity" sheetId="55" r:id="rId24"/>
    <sheet name="csv_ps_final_demand_wood_p" sheetId="58" r:id="rId25"/>
    <sheet name="csv_heating_useful_insulation" sheetId="60" r:id="rId26"/>
    <sheet name="csv_cooling_useful_insulation" sheetId="63" r:id="rId27"/>
    <sheet name="csv_light_saving_detection" sheetId="66" r:id="rId28"/>
    <sheet name="csv_light_saving_control" sheetId="67" r:id="rId29"/>
    <sheet name="csv_ps_sector_electricity" sheetId="68" r:id="rId30"/>
  </sheets>
  <definedNames>
    <definedName name="base_year">Dashboard!$E$12</definedName>
    <definedName name="country">Dashboard!$E$11</definedName>
    <definedName name="Eff_cooling_airco">technical_specs!$L$25</definedName>
    <definedName name="Eff_cooling_pump">technical_specs!$L$23</definedName>
    <definedName name="Eff_cooling_pump_storage">technical_specs!$L$24</definedName>
    <definedName name="Eff_lighting_lamp_fluorescent">technical_specs!$L$29</definedName>
    <definedName name="Eff_lighting_lamp_incandescent">technical_specs!$L$28</definedName>
    <definedName name="Eff_lighting_led">technical_specs!$L$32</definedName>
    <definedName name="Eff_lighting_tube_fluorescent_efficient">technical_specs!$L$31</definedName>
    <definedName name="Eff_lighting_tube_fluorescent_standartd">technical_specs!$L$30</definedName>
    <definedName name="Eff_space_heating_coal">technical_specs!$L$15</definedName>
    <definedName name="Eff_space_heating_district">technical_specs!$L$20</definedName>
    <definedName name="Eff_space_heating_electric">technical_specs!$L$14</definedName>
    <definedName name="Eff_space_heating_gas">technical_specs!$L$11</definedName>
    <definedName name="Eff_space_heating_oil">technical_specs!$L$16</definedName>
    <definedName name="Eff_space_heating_pump_gas">technical_specs!$L$13</definedName>
    <definedName name="Eff_space_heating_pump_storage">technical_specs!$L$12</definedName>
    <definedName name="Eff_space_heating_solar_thermal">technical_specs!$L$18</definedName>
    <definedName name="Eff_space_heating_woodpellets">technical_specs!$L$19</definedName>
    <definedName name="Final_demand_lighting">Dashboard!$E$25</definedName>
    <definedName name="Final_demand_residences">'Fuel aggregation'!$L$11</definedName>
    <definedName name="Final_demand_space_cooling">Dashboard!$E$24</definedName>
    <definedName name="Final_demand_space_heating">Dashboard!$E$23</definedName>
  </definedName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J11" i="37" l="1"/>
  <c r="I11" i="37"/>
  <c r="F11" i="37" l="1"/>
  <c r="E11" i="37"/>
  <c r="D28" i="49" l="1"/>
  <c r="J41" i="30"/>
  <c r="P29" i="28"/>
  <c r="E29" i="28"/>
  <c r="L29" i="28"/>
  <c r="M29" i="28" s="1"/>
  <c r="J11" i="30"/>
  <c r="D28" i="32"/>
  <c r="D29" i="32"/>
  <c r="F29" i="32"/>
  <c r="D30" i="32"/>
  <c r="D24" i="32"/>
  <c r="F24" i="32" s="1"/>
  <c r="D23" i="32"/>
  <c r="F23" i="32" s="1"/>
  <c r="G23" i="32" s="1"/>
  <c r="D26" i="30" s="1"/>
  <c r="F26" i="30" s="1"/>
  <c r="D14" i="49" s="1"/>
  <c r="D12" i="32"/>
  <c r="F12" i="32" s="1"/>
  <c r="D11" i="32"/>
  <c r="D16" i="32"/>
  <c r="D15" i="32"/>
  <c r="F15" i="32" s="1"/>
  <c r="D11" i="37"/>
  <c r="F11" i="30" s="1"/>
  <c r="J16" i="13"/>
  <c r="L16" i="13" s="1"/>
  <c r="E16" i="32" s="1"/>
  <c r="F16" i="32" s="1"/>
  <c r="J11" i="13"/>
  <c r="L11" i="13"/>
  <c r="G11" i="37"/>
  <c r="D13" i="47" s="1"/>
  <c r="D14" i="47" s="1"/>
  <c r="G18" i="32" s="1"/>
  <c r="D9" i="47"/>
  <c r="E38" i="28" s="1"/>
  <c r="D17" i="47"/>
  <c r="E39" i="28" s="1"/>
  <c r="G11" i="30"/>
  <c r="J15" i="13"/>
  <c r="L15" i="13"/>
  <c r="E15" i="32" s="1"/>
  <c r="C11" i="37"/>
  <c r="E11" i="30" s="1"/>
  <c r="K12" i="13"/>
  <c r="L12" i="13"/>
  <c r="E12" i="32" s="1"/>
  <c r="H11" i="37"/>
  <c r="J14" i="13"/>
  <c r="L14" i="13" s="1"/>
  <c r="D14" i="32"/>
  <c r="K23" i="13"/>
  <c r="L23" i="13" s="1"/>
  <c r="E23" i="32" s="1"/>
  <c r="K24" i="13"/>
  <c r="L24" i="13"/>
  <c r="E24" i="32" s="1"/>
  <c r="K25" i="13"/>
  <c r="L25" i="13" s="1"/>
  <c r="E25" i="32" s="1"/>
  <c r="D25" i="32"/>
  <c r="F25" i="32" s="1"/>
  <c r="J30" i="13"/>
  <c r="L30" i="13" s="1"/>
  <c r="E30" i="32" s="1"/>
  <c r="F30" i="32" s="1"/>
  <c r="J31" i="13"/>
  <c r="L31" i="13"/>
  <c r="E31" i="32"/>
  <c r="F31" i="32" s="1"/>
  <c r="D31" i="32"/>
  <c r="J32" i="13"/>
  <c r="L32" i="13"/>
  <c r="E32" i="32"/>
  <c r="F32" i="32" s="1"/>
  <c r="D32" i="32"/>
  <c r="K13" i="13"/>
  <c r="L13" i="13" s="1"/>
  <c r="D13" i="32"/>
  <c r="L19" i="28"/>
  <c r="M19" i="28" s="1"/>
  <c r="H11" i="30"/>
  <c r="I11" i="30"/>
  <c r="K11" i="30"/>
  <c r="L11" i="37"/>
  <c r="E21" i="28"/>
  <c r="E35" i="28"/>
  <c r="E37" i="28"/>
  <c r="L57" i="28"/>
  <c r="P57" i="28"/>
  <c r="L51" i="28"/>
  <c r="P51" i="28" s="1"/>
  <c r="L34" i="28"/>
  <c r="P34" i="28"/>
  <c r="M34" i="28"/>
  <c r="M51" i="28"/>
  <c r="M57" i="28"/>
  <c r="J20" i="13"/>
  <c r="L20" i="13" s="1"/>
  <c r="J19" i="13"/>
  <c r="J18" i="13"/>
  <c r="B4" i="67"/>
  <c r="B3" i="67"/>
  <c r="B4" i="66"/>
  <c r="B3" i="66"/>
  <c r="B4" i="58"/>
  <c r="B3" i="58"/>
  <c r="L29" i="13"/>
  <c r="E29" i="32" s="1"/>
  <c r="L28" i="13"/>
  <c r="E28" i="32" s="1"/>
  <c r="L18" i="13"/>
  <c r="L19" i="13"/>
  <c r="K11" i="37"/>
  <c r="K24" i="37" s="1"/>
  <c r="J20" i="37"/>
  <c r="J19" i="37"/>
  <c r="C8" i="34"/>
  <c r="C5" i="34"/>
  <c r="C7" i="34"/>
  <c r="C6" i="34"/>
  <c r="D10" i="47" l="1"/>
  <c r="G19" i="32" s="1"/>
  <c r="E41" i="28"/>
  <c r="E13" i="32"/>
  <c r="F13" i="32" s="1"/>
  <c r="G13" i="32" s="1"/>
  <c r="G25" i="32"/>
  <c r="D16" i="48"/>
  <c r="E16" i="48" s="1"/>
  <c r="F16" i="48" s="1"/>
  <c r="D21" i="30"/>
  <c r="I21" i="30" s="1"/>
  <c r="I38" i="30" s="1"/>
  <c r="E14" i="32"/>
  <c r="F14" i="32" s="1"/>
  <c r="F28" i="32"/>
  <c r="G30" i="32" s="1"/>
  <c r="G24" i="32"/>
  <c r="D22" i="30"/>
  <c r="H22" i="30" s="1"/>
  <c r="H38" i="30" s="1"/>
  <c r="D17" i="48"/>
  <c r="E17" i="48" s="1"/>
  <c r="F17" i="48" s="1"/>
  <c r="E11" i="32"/>
  <c r="F11" i="32" s="1"/>
  <c r="G11" i="32" s="1"/>
  <c r="D18" i="47"/>
  <c r="G20" i="32" s="1"/>
  <c r="E22" i="43" l="1"/>
  <c r="D33" i="30"/>
  <c r="J33" i="30" s="1"/>
  <c r="E9" i="43"/>
  <c r="D15" i="30"/>
  <c r="F15" i="30" s="1"/>
  <c r="D9" i="48"/>
  <c r="E9" i="48" s="1"/>
  <c r="F9" i="48" s="1"/>
  <c r="G9" i="48" s="1"/>
  <c r="G15" i="32"/>
  <c r="E17" i="43"/>
  <c r="D28" i="30"/>
  <c r="J28" i="30" s="1"/>
  <c r="G17" i="48"/>
  <c r="G14" i="32"/>
  <c r="G12" i="32"/>
  <c r="G32" i="32"/>
  <c r="G28" i="32"/>
  <c r="G31" i="32"/>
  <c r="D17" i="30"/>
  <c r="F17" i="30" s="1"/>
  <c r="D11" i="48"/>
  <c r="E11" i="48" s="1"/>
  <c r="F11" i="48" s="1"/>
  <c r="E10" i="43"/>
  <c r="E16" i="43"/>
  <c r="D27" i="30"/>
  <c r="J27" i="30" s="1"/>
  <c r="D23" i="49" s="1"/>
  <c r="G29" i="32"/>
  <c r="G16" i="32"/>
  <c r="D23" i="30"/>
  <c r="K23" i="30" s="1"/>
  <c r="K38" i="30" s="1"/>
  <c r="D18" i="48"/>
  <c r="E18" i="48" s="1"/>
  <c r="F18" i="48" s="1"/>
  <c r="G18" i="48" l="1"/>
  <c r="G16" i="48"/>
  <c r="E13" i="43"/>
  <c r="D18" i="30"/>
  <c r="J18" i="30" s="1"/>
  <c r="D12" i="48"/>
  <c r="E12" i="48" s="1"/>
  <c r="F12" i="48" s="1"/>
  <c r="G12" i="48" s="1"/>
  <c r="E20" i="43"/>
  <c r="D31" i="30"/>
  <c r="J31" i="30" s="1"/>
  <c r="D24" i="49" s="1"/>
  <c r="D10" i="48"/>
  <c r="E10" i="48" s="1"/>
  <c r="F10" i="48" s="1"/>
  <c r="G10" i="48" s="1"/>
  <c r="D16" i="30"/>
  <c r="J16" i="30" s="1"/>
  <c r="E12" i="43"/>
  <c r="F10" i="43"/>
  <c r="B4" i="52" s="1"/>
  <c r="F9" i="43"/>
  <c r="B3" i="52" s="1"/>
  <c r="F17" i="43"/>
  <c r="B3" i="51" s="1"/>
  <c r="F16" i="43"/>
  <c r="B4" i="51" s="1"/>
  <c r="D34" i="30"/>
  <c r="J34" i="30" s="1"/>
  <c r="E23" i="43"/>
  <c r="D19" i="30"/>
  <c r="E19" i="30" s="1"/>
  <c r="D13" i="48"/>
  <c r="E13" i="48" s="1"/>
  <c r="F13" i="48" s="1"/>
  <c r="G13" i="48" s="1"/>
  <c r="D20" i="30"/>
  <c r="G20" i="30" s="1"/>
  <c r="D14" i="48"/>
  <c r="E14" i="48" s="1"/>
  <c r="F14" i="48" s="1"/>
  <c r="G14" i="48" s="1"/>
  <c r="D32" i="30"/>
  <c r="J32" i="30" s="1"/>
  <c r="E21" i="43"/>
  <c r="G11" i="48"/>
  <c r="D35" i="30"/>
  <c r="J35" i="30" s="1"/>
  <c r="E24" i="43"/>
  <c r="F38" i="30"/>
  <c r="F45" i="30" s="1"/>
  <c r="D13" i="49"/>
  <c r="L16" i="28" l="1"/>
  <c r="D15" i="49"/>
  <c r="D9" i="49"/>
  <c r="E38" i="30"/>
  <c r="E45" i="30" s="1"/>
  <c r="F13" i="43"/>
  <c r="B3" i="50" s="1"/>
  <c r="F12" i="43"/>
  <c r="B4" i="50" s="1"/>
  <c r="F21" i="43"/>
  <c r="B4" i="22" s="1"/>
  <c r="F24" i="43"/>
  <c r="B7" i="22" s="1"/>
  <c r="F20" i="43"/>
  <c r="B3" i="22" s="1"/>
  <c r="F23" i="43"/>
  <c r="B6" i="22" s="1"/>
  <c r="F22" i="43"/>
  <c r="B5" i="22" s="1"/>
  <c r="J38" i="30"/>
  <c r="J44" i="30" s="1"/>
  <c r="D22" i="49"/>
  <c r="E15" i="49"/>
  <c r="B5" i="57" s="1"/>
  <c r="E13" i="49"/>
  <c r="B3" i="57" s="1"/>
  <c r="E14" i="49"/>
  <c r="B4" i="57" s="1"/>
  <c r="G38" i="30"/>
  <c r="G45" i="30" s="1"/>
  <c r="D18" i="49"/>
  <c r="E32" i="28" l="1"/>
  <c r="L32" i="28" s="1"/>
  <c r="L15" i="28"/>
  <c r="D10" i="49"/>
  <c r="E10" i="49"/>
  <c r="B4" i="54" s="1"/>
  <c r="E9" i="49"/>
  <c r="B3" i="54" s="1"/>
  <c r="E31" i="28"/>
  <c r="D25" i="49"/>
  <c r="E18" i="49"/>
  <c r="B3" i="56" s="1"/>
  <c r="E19" i="49"/>
  <c r="B4" i="56" s="1"/>
  <c r="L17" i="28"/>
  <c r="D19" i="49"/>
  <c r="E25" i="49"/>
  <c r="B6" i="55" s="1"/>
  <c r="D27" i="49"/>
  <c r="E23" i="49"/>
  <c r="B4" i="55" s="1"/>
  <c r="E24" i="49"/>
  <c r="B5" i="55" s="1"/>
  <c r="E22" i="49"/>
  <c r="B3" i="55" s="1"/>
  <c r="M16" i="28"/>
  <c r="P16" i="28"/>
  <c r="M17" i="28" l="1"/>
  <c r="P17" i="28"/>
  <c r="L31" i="28"/>
  <c r="L11" i="28"/>
  <c r="P11" i="28" s="1"/>
  <c r="P15" i="28"/>
  <c r="M15" i="28"/>
  <c r="E27" i="49"/>
  <c r="B3" i="68" s="1"/>
  <c r="E28" i="49"/>
  <c r="B4" i="68" s="1"/>
  <c r="M32" i="28"/>
  <c r="P32" i="28"/>
  <c r="P31" i="28" l="1"/>
  <c r="L10" i="28" s="1"/>
  <c r="M31"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Quintel Intelligence</author>
  </authors>
  <commentList>
    <comment ref="C59" authorId="0" shapeId="0" xr:uid="{00000000-0006-0000-0600-000001000000}">
      <text>
        <r>
          <rPr>
            <b/>
            <sz val="9"/>
            <color indexed="81"/>
            <rFont val="Calibri"/>
            <family val="2"/>
          </rPr>
          <t>Quintel Intelligence:</t>
        </r>
        <r>
          <rPr>
            <sz val="9"/>
            <color indexed="81"/>
            <rFont val="Calibri"/>
            <family val="2"/>
          </rPr>
          <t xml:space="preserve">
These technologies are currently not supported by the ETM
</t>
        </r>
      </text>
    </comment>
    <comment ref="C60" authorId="0" shapeId="0" xr:uid="{00000000-0006-0000-0600-000002000000}">
      <text>
        <r>
          <rPr>
            <b/>
            <sz val="9"/>
            <color indexed="81"/>
            <rFont val="Calibri"/>
            <family val="2"/>
          </rPr>
          <t>Quintel Intelligence:</t>
        </r>
        <r>
          <rPr>
            <sz val="9"/>
            <color indexed="81"/>
            <rFont val="Calibri"/>
            <family val="2"/>
          </rPr>
          <t xml:space="preserve">
This technology is currently not supported by the ETM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C83" authorId="0" shapeId="0" xr:uid="{00000000-0006-0000-0700-000001000000}">
      <text>
        <r>
          <rPr>
            <sz val="9"/>
            <color indexed="81"/>
            <rFont val="Arial"/>
            <family val="2"/>
          </rPr>
          <t xml:space="preserve">x  Not Applicable
</t>
        </r>
      </text>
    </comment>
    <comment ref="D83" authorId="0" shapeId="0" xr:uid="{00000000-0006-0000-0700-000002000000}">
      <text>
        <r>
          <rPr>
            <sz val="9"/>
            <color indexed="81"/>
            <rFont val="Arial"/>
            <family val="2"/>
          </rPr>
          <t xml:space="preserve">x  Not Applicable
</t>
        </r>
      </text>
    </comment>
    <comment ref="U83" authorId="0" shapeId="0" xr:uid="{00000000-0006-0000-0700-000003000000}">
      <text>
        <r>
          <rPr>
            <sz val="9"/>
            <color indexed="81"/>
            <rFont val="Arial"/>
            <family val="2"/>
          </rPr>
          <t xml:space="preserve">x  Not Applicable
</t>
        </r>
      </text>
    </comment>
  </commentList>
</comments>
</file>

<file path=xl/sharedStrings.xml><?xml version="1.0" encoding="utf-8"?>
<sst xmlns="http://schemas.openxmlformats.org/spreadsheetml/2006/main" count="954" uniqueCount="625">
  <si>
    <t>Changelog</t>
  </si>
  <si>
    <t>Document</t>
  </si>
  <si>
    <t>Version #</t>
  </si>
  <si>
    <t>Date</t>
  </si>
  <si>
    <t>Author</t>
  </si>
  <si>
    <t>Quintel Intelligence</t>
  </si>
  <si>
    <t>Changes</t>
  </si>
  <si>
    <t>Version</t>
  </si>
  <si>
    <t>Created this document</t>
  </si>
  <si>
    <t>Legend</t>
  </si>
  <si>
    <t>Cells</t>
  </si>
  <si>
    <t>Intermediate (calculation)</t>
  </si>
  <si>
    <t>Result</t>
  </si>
  <si>
    <t>Manual input</t>
  </si>
  <si>
    <t>Reference to manual input or data input</t>
  </si>
  <si>
    <t>Tabs</t>
  </si>
  <si>
    <t>Results</t>
  </si>
  <si>
    <t>Additional calculations</t>
  </si>
  <si>
    <t>Research data</t>
  </si>
  <si>
    <t>Comments</t>
  </si>
  <si>
    <t>Commercial and Public Services analysis</t>
  </si>
  <si>
    <t>Organization</t>
  </si>
  <si>
    <t>Contents</t>
  </si>
  <si>
    <t>Tab</t>
  </si>
  <si>
    <t>Description</t>
  </si>
  <si>
    <t>An index with description of all the tabs in this analysis</t>
  </si>
  <si>
    <t>Introduction</t>
  </si>
  <si>
    <t>Assumptions</t>
  </si>
  <si>
    <t>A description of the modeling and country-specific assumptions for this analysis</t>
  </si>
  <si>
    <t>Dashboard</t>
  </si>
  <si>
    <t>On the dashboard, the country-specific assumptions can be changed manually. It also shows the most important checks</t>
  </si>
  <si>
    <t>Industry</t>
  </si>
  <si>
    <t>Other sources</t>
  </si>
  <si>
    <t>The Energytransition model</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</si>
  <si>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</si>
  <si>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</si>
  <si>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</si>
  <si>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</si>
  <si>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</si>
  <si>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</si>
  <si>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</si>
  <si>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</si>
  <si>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</si>
  <si>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</si>
  <si>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</si>
  <si>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</si>
  <si>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</si>
  <si>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</si>
  <si>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</si>
  <si>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</si>
  <si>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</si>
  <si>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</si>
  <si>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</si>
  <si>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</si>
  <si>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</si>
  <si>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</si>
  <si>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</si>
  <si>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</si>
  <si>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</si>
  <si>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</si>
  <si>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</si>
  <si>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</si>
  <si>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</si>
  <si>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</si>
  <si>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</si>
  <si>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</si>
  <si>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</si>
  <si>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</si>
  <si>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</si>
  <si>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</si>
  <si>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</si>
  <si>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</si>
  <si>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</si>
  <si>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</si>
  <si>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</si>
  <si>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</si>
  <si>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</si>
  <si>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</si>
  <si>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</si>
  <si>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</si>
  <si>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</si>
  <si>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</si>
  <si>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</si>
  <si>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</si>
  <si>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</si>
  <si>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</si>
  <si>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</si>
  <si>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</si>
  <si>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</si>
  <si>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A short introduction to the Energytransition model (ETM) and the Commercial and Public services analysis</t>
  </si>
  <si>
    <t>Lighting</t>
  </si>
  <si>
    <t>Space Heating</t>
  </si>
  <si>
    <t>Insulation</t>
  </si>
  <si>
    <t>Other</t>
  </si>
  <si>
    <t>Notes</t>
  </si>
  <si>
    <t>Checks</t>
  </si>
  <si>
    <t>Sector</t>
  </si>
  <si>
    <t>Value</t>
  </si>
  <si>
    <t>Unit</t>
  </si>
  <si>
    <t>Check</t>
  </si>
  <si>
    <t>Status</t>
  </si>
  <si>
    <t>Final demand</t>
  </si>
  <si>
    <t>Final energy demand used for Space Heating</t>
  </si>
  <si>
    <t>Final energy demand used for Lighting</t>
  </si>
  <si>
    <t>Space Cooling</t>
  </si>
  <si>
    <t>Final energy demand used for Space Cooling</t>
  </si>
  <si>
    <t>Percentage of heat delivered by gas-fired heaters</t>
  </si>
  <si>
    <t>Percentage of heat delivered by electric heaters</t>
  </si>
  <si>
    <t>Percentage of heat delivered by gas-fired heat pumps</t>
  </si>
  <si>
    <t>Percentage of heat delivered by electric heat pumps with thermal storage</t>
  </si>
  <si>
    <t>Percentage of heat delivered by coal-fired heaters</t>
  </si>
  <si>
    <t>Percentage of heat delivered by oil-fired heaters</t>
  </si>
  <si>
    <t>Percentage of cold delivered by gas-fired heat pumps</t>
  </si>
  <si>
    <t>Percentage of cold delivered by electric heat pumps with thermal storage</t>
  </si>
  <si>
    <t>Percentage of cold delivered by airconditioning</t>
  </si>
  <si>
    <t>Average thermal resistivity of roof</t>
  </si>
  <si>
    <t>Average thermal resistivity of floor</t>
  </si>
  <si>
    <t>Average thermal resistivity of outside walls</t>
  </si>
  <si>
    <t>Average thermal conductivity of windows</t>
  </si>
  <si>
    <t>All</t>
  </si>
  <si>
    <t>Space cooling</t>
  </si>
  <si>
    <t>Space heating</t>
  </si>
  <si>
    <t>Gas-fired heater</t>
  </si>
  <si>
    <t>Gas-fired heat pump</t>
  </si>
  <si>
    <t>Electric heat pump with thermal storage</t>
  </si>
  <si>
    <t>Electric heater</t>
  </si>
  <si>
    <t>Solar thermal panels</t>
  </si>
  <si>
    <t>Coal-fired heater</t>
  </si>
  <si>
    <t>Oil-fired heater</t>
  </si>
  <si>
    <t>Biomass-fired heater</t>
  </si>
  <si>
    <t>District heating</t>
  </si>
  <si>
    <t>Technology used</t>
  </si>
  <si>
    <t>Airconditioning</t>
  </si>
  <si>
    <t>Incandescent lamps</t>
  </si>
  <si>
    <t>Fluorescent lamps</t>
  </si>
  <si>
    <t>LED lamps</t>
  </si>
  <si>
    <t>Total</t>
  </si>
  <si>
    <t>Total IEA value</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</si>
  <si>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</si>
  <si>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</si>
  <si>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</si>
  <si>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</si>
  <si>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</si>
  <si>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</si>
  <si>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</si>
  <si>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</si>
  <si>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</si>
  <si>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</si>
  <si>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</si>
  <si>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</si>
  <si>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</si>
  <si>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</si>
  <si>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</si>
  <si>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</si>
  <si>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</si>
  <si>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</si>
  <si>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</si>
  <si>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</si>
  <si>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</si>
  <si>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</si>
  <si>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</si>
  <si>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</si>
  <si>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</si>
  <si>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</si>
  <si>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</si>
  <si>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</si>
  <si>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</si>
  <si>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</si>
  <si>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</si>
  <si>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</si>
  <si>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</si>
  <si>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</si>
  <si>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</si>
  <si>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</si>
  <si>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</si>
  <si>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</si>
  <si>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</si>
  <si>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</si>
  <si>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</si>
  <si>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</si>
  <si>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</si>
  <si>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</si>
  <si>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</si>
  <si>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</si>
  <si>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</si>
  <si>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</si>
  <si>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</si>
  <si>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</si>
  <si>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</si>
  <si>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</si>
  <si>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</si>
  <si>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</si>
  <si>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</si>
  <si>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</si>
  <si>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</si>
  <si>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</si>
  <si>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</si>
  <si>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</si>
  <si>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</si>
  <si>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</si>
  <si>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</si>
  <si>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</si>
  <si>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</si>
  <si>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</si>
  <si>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</si>
  <si>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</si>
  <si>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</si>
  <si>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</si>
  <si>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</si>
  <si>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</si>
  <si>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</si>
  <si>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</si>
  <si>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</si>
  <si>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</si>
  <si>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</si>
  <si>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</si>
  <si>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</si>
  <si>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</si>
  <si>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</si>
  <si>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</si>
  <si>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</si>
  <si>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</si>
  <si>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</si>
  <si>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</si>
  <si>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</si>
  <si>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</si>
  <si>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</si>
  <si>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</si>
  <si>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Technology</t>
  </si>
  <si>
    <t>Final demand per energy carrier</t>
  </si>
  <si>
    <t>Coëfficient of Performance (COP)</t>
  </si>
  <si>
    <t>Efficiency (%)</t>
  </si>
  <si>
    <t>Percentage of light delivered by incandescent lamps</t>
  </si>
  <si>
    <t>Percentage of light delivered by fluorescent lamps</t>
  </si>
  <si>
    <t>Percentage of light delivered by fluorescent tubes</t>
  </si>
  <si>
    <t>Percentage of light delivered by LED lamps</t>
  </si>
  <si>
    <t>The technological specifications of these technologies are the same for all countries.</t>
  </si>
  <si>
    <t>Technological specifications</t>
  </si>
  <si>
    <t>Country specific assumptions</t>
  </si>
  <si>
    <t>Percentages add up to 100%</t>
  </si>
  <si>
    <t>Technological efficiency</t>
  </si>
  <si>
    <t>Percentage of final demand converted by this technology</t>
  </si>
  <si>
    <t>Percentage of heat delivered per technology</t>
  </si>
  <si>
    <t>Relative size of final demand converted by this technology</t>
  </si>
  <si>
    <t>Deleted all source analysis</t>
  </si>
  <si>
    <t>Improved lay-out</t>
  </si>
  <si>
    <t>Analysis inputs</t>
  </si>
  <si>
    <t>Analysis calculations</t>
  </si>
  <si>
    <t>Analysis ouputs</t>
  </si>
  <si>
    <t>A visualization of the dataflow in this analysis</t>
  </si>
  <si>
    <t>Dataflow Commercial and Public Services</t>
  </si>
  <si>
    <t>Cover Sheet</t>
  </si>
  <si>
    <t>Dataflow</t>
  </si>
  <si>
    <t>Information about this document and a legend to tab and cell formatting</t>
  </si>
  <si>
    <t>A documentation of the changes to this analysis</t>
  </si>
  <si>
    <t>Steps to perform this analysis</t>
  </si>
  <si>
    <t xml:space="preserve">In short, the energytransition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
</t>
  </si>
  <si>
    <t>Added dataflow V3.2</t>
  </si>
  <si>
    <t>Proposed source</t>
  </si>
  <si>
    <t>Final energy demand used in the Commercial and Public Services sector  for Space Heating</t>
  </si>
  <si>
    <t>Final energy demand used in the Commercial and Public Services sector  for Space Cooling</t>
  </si>
  <si>
    <t>Final energy demand used in the Commercial and Public Services sector  for Lighting</t>
  </si>
  <si>
    <t>Use 'Source analysis Commercial and Pulic services sector' which can be found at ….</t>
  </si>
  <si>
    <t>National energy agency or an expert estimation</t>
  </si>
  <si>
    <t>Electric appliances</t>
  </si>
  <si>
    <t>Fuels</t>
  </si>
  <si>
    <t>IEA carriers</t>
  </si>
  <si>
    <t>Coal</t>
  </si>
  <si>
    <t>Natural gas</t>
  </si>
  <si>
    <t>Oil</t>
  </si>
  <si>
    <t>Wood pellets</t>
  </si>
  <si>
    <t xml:space="preserve">Final demand for electricity </t>
  </si>
  <si>
    <t xml:space="preserve">Final demand for Solar thermal </t>
  </si>
  <si>
    <t xml:space="preserve">Final demand for coal </t>
  </si>
  <si>
    <t xml:space="preserve">Final demand for oil </t>
  </si>
  <si>
    <t xml:space="preserve">Final demand for woodpellets </t>
  </si>
  <si>
    <t xml:space="preserve">Final demand for heat </t>
  </si>
  <si>
    <t>Final demand per energy carrier (TJ)</t>
  </si>
  <si>
    <t>Added all carriers</t>
  </si>
  <si>
    <t>Solar Thermal</t>
  </si>
  <si>
    <t>Solar PV</t>
  </si>
  <si>
    <t>Fuel aggregation</t>
  </si>
  <si>
    <t>Here the carriers in the IEA energy balance for the commercial and public services sector are combined into the fuels used in the ETM.</t>
  </si>
  <si>
    <t>Added auto-producers table to calculate PV solar</t>
  </si>
  <si>
    <t>Parameters</t>
  </si>
  <si>
    <t>Values</t>
  </si>
  <si>
    <t>Effective efficiency</t>
  </si>
  <si>
    <t>Changed dataflow to V5</t>
  </si>
  <si>
    <t>Final demand for Other</t>
  </si>
  <si>
    <t>All assumptions are filled</t>
  </si>
  <si>
    <t>Introductory</t>
  </si>
  <si>
    <t>Sources</t>
  </si>
  <si>
    <t>Main calculations</t>
  </si>
  <si>
    <t>GWh to TJ conversion</t>
  </si>
  <si>
    <t>Various improvements</t>
  </si>
  <si>
    <t>The technological specifications of energy conversion technologies used in the ETM are listed here</t>
  </si>
  <si>
    <t>Percentage of final demand for space heating delivered by biomass</t>
  </si>
  <si>
    <t>Percentage of final demand for space heating delivered by district heating</t>
  </si>
  <si>
    <t>Percentage of final demand for space heating delivered by solar thermal</t>
  </si>
  <si>
    <t>Percentage of final demand converted per technology (%)</t>
  </si>
  <si>
    <t>Percentage of heat delivered per technology (%)</t>
  </si>
  <si>
    <t>Including backwards calculation SWH</t>
  </si>
  <si>
    <t>Removed sources of district heating, included backward calculations for district heating and biomass</t>
  </si>
  <si>
    <t>Electrity</t>
  </si>
  <si>
    <t>Biomass</t>
  </si>
  <si>
    <t>Other appliances</t>
  </si>
  <si>
    <t>Updated dataflow and included CSV files</t>
  </si>
  <si>
    <t>These percentages are determined directly from the energy balance and the final demand specified on the dashboard</t>
  </si>
  <si>
    <t>Fuel Aggregation</t>
  </si>
  <si>
    <t>Final demands extracted from the energy balance</t>
  </si>
  <si>
    <t>Final demand for (district) heat</t>
  </si>
  <si>
    <t>Final demand for biomass</t>
  </si>
  <si>
    <t>Final demand for solar thermal</t>
  </si>
  <si>
    <t>Technology splits of final demands</t>
  </si>
  <si>
    <t>Technology split of useful demand fo space heating</t>
  </si>
  <si>
    <t>Final demand extracted from EB</t>
  </si>
  <si>
    <t>Tech split of useful demand</t>
  </si>
  <si>
    <t>The assumptions made on the dashboard are calculated towards final demand here using the efficiencies defined in the tab 'Technological specifications'.</t>
  </si>
  <si>
    <t>In this tab the final demands that were directly calculated from the energy balance are calculated towards useful demand to be able to display them on the dahboard.</t>
  </si>
  <si>
    <t>Here the corrected energy balance created in the CHP analysis should be pasted for your country and year</t>
  </si>
  <si>
    <t xml:space="preserve">The factors heat, biomass and solar from the energy balance are directly allocated to space heating by this model to respectively: district heating, biomass heater and solar thermal panels. </t>
  </si>
  <si>
    <t>Deleted all non-used carriers and checks and made minor alterations</t>
  </si>
  <si>
    <t>Filled notes and added explanation</t>
  </si>
  <si>
    <t>There are three main energy use groups in the built environment: space heating, space cooling and lighting. All other forms of energy use are piled up in this analysis as "other applications". The size and content of this sector is determined by subtracting the use for space heating, space cooling and lighting from the corrected IEA energy balance. The remaining electricity is allocated to electrical appliances and all other carriers are allocated to other appliances.</t>
  </si>
  <si>
    <t>The only technologies available for space heating, space cooling and lighting are the ones listed in the dashboard. These technologies are the ones used in the ETM.</t>
  </si>
  <si>
    <t>On this sheet you can fill the country specific assumptions for your country. Please mind the checks, if one or more become red it means that with the information you provided we cannot run the Energy Transition Model. Concerning your assumptions please provide sources.</t>
  </si>
  <si>
    <t>Carriers</t>
  </si>
  <si>
    <t>In this sheet the percentage of heat delivered per technology is determined for district heating, biomass fired heaters and solar thermal panels. For the other technologies the value is the same as defined by you on the dashboard.</t>
  </si>
  <si>
    <t>In this sheet the shares per technology per carrier needed for the Energy Transition Model are defined.</t>
  </si>
  <si>
    <r>
      <t>Please paste (</t>
    </r>
    <r>
      <rPr>
        <b/>
        <sz val="12"/>
        <rFont val="Calibri"/>
        <family val="2"/>
        <scheme val="minor"/>
      </rPr>
      <t>as values</t>
    </r>
    <r>
      <rPr>
        <sz val="12"/>
        <rFont val="Calibri"/>
        <family val="2"/>
        <scheme val="minor"/>
      </rPr>
      <t>) the energy balance resulting from the Power Plant-analysis (in TeraJoules) for your country in the table below. This data will be used in the analysis.</t>
    </r>
  </si>
  <si>
    <t>CSV-files</t>
  </si>
  <si>
    <t>share</t>
  </si>
  <si>
    <t>Percentage of light delivered by standard fluorescent tubes</t>
  </si>
  <si>
    <t>Standard fluorescent tubes</t>
  </si>
  <si>
    <t>Efficient fluorescent tubes</t>
  </si>
  <si>
    <t>changed names of csv files, added wood_caps and added efficient fluo tubes (+renaming of fluo tubes into standard fluo tubes</t>
  </si>
  <si>
    <t>Country</t>
  </si>
  <si>
    <t>Year data</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</si>
  <si>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</si>
  <si>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Application</t>
  </si>
  <si>
    <t>Subtotal of defined appliances</t>
  </si>
  <si>
    <t>In this sheet the carriers from the energy balance are summed into the carriers that the ETM uses in the commercial and public services sector. The result for other carriers should be zero, because the ETM does not allow for the use of these carriers in the commercial and public services sector. To see what you should do, please see the dashboard. If you want to trace the problem, please check the energy balance for red cells.</t>
  </si>
  <si>
    <r>
      <t xml:space="preserve">In this sheet the percentages of heat delivered are converted into percentages of final demand converted per technology by using the technological efficiencies specified in the sheet 'Technological specifications'. </t>
    </r>
    <r>
      <rPr>
        <b/>
        <sz val="12"/>
        <color theme="1"/>
        <rFont val="Calibri"/>
        <family val="2"/>
        <scheme val="minor"/>
      </rPr>
      <t>An exception to this workflow</t>
    </r>
    <r>
      <rPr>
        <sz val="12"/>
        <color theme="1"/>
        <rFont val="Calibri"/>
        <family val="2"/>
        <scheme val="minor"/>
      </rPr>
      <t xml:space="preserve"> are the percentages of final demand for </t>
    </r>
    <r>
      <rPr>
        <b/>
        <sz val="12"/>
        <color theme="1"/>
        <rFont val="Calibri"/>
        <family val="2"/>
        <scheme val="minor"/>
      </rPr>
      <t>district heating, biomass heating</t>
    </r>
    <r>
      <rPr>
        <sz val="12"/>
        <color theme="1"/>
        <rFont val="Calibri"/>
        <family val="2"/>
        <scheme val="minor"/>
      </rPr>
      <t xml:space="preserve"> and</t>
    </r>
    <r>
      <rPr>
        <b/>
        <sz val="12"/>
        <color theme="1"/>
        <rFont val="Calibri"/>
        <family val="2"/>
        <scheme val="minor"/>
      </rPr>
      <t xml:space="preserve"> solar thermal panels</t>
    </r>
    <r>
      <rPr>
        <sz val="12"/>
        <color theme="1"/>
        <rFont val="Calibri"/>
        <family val="2"/>
        <scheme val="minor"/>
      </rPr>
      <t xml:space="preserve">, which have been </t>
    </r>
    <r>
      <rPr>
        <b/>
        <sz val="12"/>
        <color theme="1"/>
        <rFont val="Calibri"/>
        <family val="2"/>
        <scheme val="minor"/>
      </rPr>
      <t>directly determined in the sheet 'Final demand extracted</t>
    </r>
    <r>
      <rPr>
        <sz val="12"/>
        <color theme="1"/>
        <rFont val="Calibri"/>
        <family val="2"/>
        <scheme val="minor"/>
      </rPr>
      <t xml:space="preserve"> </t>
    </r>
    <r>
      <rPr>
        <b/>
        <sz val="12"/>
        <color theme="1"/>
        <rFont val="Calibri"/>
        <family val="2"/>
        <scheme val="minor"/>
      </rPr>
      <t>from EB'</t>
    </r>
    <r>
      <rPr>
        <sz val="12"/>
        <color theme="1"/>
        <rFont val="Calibri"/>
        <family val="2"/>
        <scheme val="minor"/>
      </rPr>
      <t>.</t>
    </r>
  </si>
  <si>
    <t>The shares of several technologies with the same application and energy carrier are determined here</t>
  </si>
  <si>
    <t>Shares per carrier per application</t>
  </si>
  <si>
    <t>The split over the several application is defined here for several carriers.</t>
  </si>
  <si>
    <t>The final demands per energy carrier for all energy applications are calculated here</t>
  </si>
  <si>
    <t>Shares per technology per carrier</t>
  </si>
  <si>
    <t>Percentage of final demand converted by this technology (%)</t>
  </si>
  <si>
    <t>In this sheet the percentage of final demand for space heating fulfilled by district heating, biomass and solar thermal is determined based on the final demand specified on the dashboard and the values in the energy balance.</t>
  </si>
  <si>
    <t>Changed row and column sequence</t>
  </si>
  <si>
    <t>Changed EB to latest version</t>
  </si>
  <si>
    <t>Blast furnaces_transformation</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</si>
  <si>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</si>
  <si>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</si>
  <si>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</si>
  <si>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</si>
  <si>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</si>
  <si>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</si>
  <si>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</si>
  <si>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Blast furnaces_own_use</t>
  </si>
  <si>
    <t>Gas works_own_use</t>
  </si>
  <si>
    <t>Coke ovens_own_use</t>
  </si>
  <si>
    <t>Patent fuel plants_own_use</t>
  </si>
  <si>
    <t>BKB plants_own_use</t>
  </si>
  <si>
    <t>Oil refineries_own_use</t>
  </si>
  <si>
    <t>Coal liquefaction plants_own_use</t>
  </si>
  <si>
    <t>Gas-to-liquids (GTL) plants_own_use</t>
  </si>
  <si>
    <t>Fixed summing errors and net-gross pv prod error (SD)</t>
  </si>
  <si>
    <t>key</t>
  </si>
  <si>
    <t>buildings_lighting_incandescent_lamp_electricity</t>
  </si>
  <si>
    <t>buildings_lighting_efficient_fluorescent_electricity</t>
  </si>
  <si>
    <t>buildings_lighting_led_electricity</t>
  </si>
  <si>
    <t>buildings_lighting_fluorescent_lamp_electricity</t>
  </si>
  <si>
    <t>buildings_lighting_standard_fluorescent_electricity</t>
  </si>
  <si>
    <t>buildings_final_demand_for_lighting_electricity</t>
  </si>
  <si>
    <t>buildings_final_demand_for_lighting_electricity_parent_share</t>
  </si>
  <si>
    <t>buildings_final_demand_for_space_heating_electricity</t>
  </si>
  <si>
    <t>buildings_space_heater_electricity</t>
  </si>
  <si>
    <t>buildings_space_heater_collective_heatpump_water_water_ts_electricity</t>
  </si>
  <si>
    <t>buildings_final_demand_for_space_heating_electricity_parent_share</t>
  </si>
  <si>
    <t>buildings_cooling_airconditioning_electricity</t>
  </si>
  <si>
    <t>buildings_cooling_collective_heatpump_water_water_ts_electricity</t>
  </si>
  <si>
    <t>buildings_final_demand_for_cooling_electricity</t>
  </si>
  <si>
    <t>buildings_final_demand_for_cooling_electricity_parent_share</t>
  </si>
  <si>
    <t>buildings_space_heater_network_gas</t>
  </si>
  <si>
    <t>buildings_space_heater_heatpump_air_water_network_gas</t>
  </si>
  <si>
    <t>buildings_final_demand_coal_parent_share</t>
  </si>
  <si>
    <t>buildings_final_demand_for_space_heating_coal</t>
  </si>
  <si>
    <t>buildings_final_demand_for_appliances_coal</t>
  </si>
  <si>
    <t>buildings_final_demand_network_gas_parent_share</t>
  </si>
  <si>
    <t>buildings_final_demand_crude_oil_parent_share</t>
  </si>
  <si>
    <t>buildings_final_demand_for_space_heating_crude_oil</t>
  </si>
  <si>
    <t>buildings_final_demand_for_appliances_crude_oil</t>
  </si>
  <si>
    <t>buildings_final_demand_electricity_parent_share</t>
  </si>
  <si>
    <t>buildings_final_demand_for_appliances_electricity</t>
  </si>
  <si>
    <t>buildings_final_demand_wood_pellets_parent_share</t>
  </si>
  <si>
    <t>buildings_final_demand_for_space_heating_wood_pellets</t>
  </si>
  <si>
    <t>buildings_final_demand_for_appliances_wood_pellets</t>
  </si>
  <si>
    <t>buildings_useful_demand_for_space_heating_child_share</t>
  </si>
  <si>
    <t>buildings_heating_savings_from_insulation_useable_heat</t>
  </si>
  <si>
    <t>buildings_useful_demand_for_space_heating_after_insulation</t>
  </si>
  <si>
    <t>buildings_cooling_savings_insulation_cooling</t>
  </si>
  <si>
    <t>buildings_useful_demand_cooling_child_share</t>
  </si>
  <si>
    <t>buildings_useful_demand_after_insulation_cooling</t>
  </si>
  <si>
    <t>buildings_useful_demand_light_child_share</t>
  </si>
  <si>
    <t>buildings_useful_demand_after_motion_detection_light</t>
  </si>
  <si>
    <t>buildings_lighting_savings_from_motion_detection_light</t>
  </si>
  <si>
    <t>buildings_useful_demand_after_motion_detection_light_child_share</t>
  </si>
  <si>
    <t>buildings_useful_demand_after_motion_detection_daylight_control_light</t>
  </si>
  <si>
    <t>buildings_lighting_savings_from_daylight_control_light</t>
  </si>
  <si>
    <t>Added shares that define converters related to "savings" (RD)</t>
  </si>
  <si>
    <t>In residential sector the only source of auto-produced electricity is solar PV. By making this assumption we can determine the amount of electricity produced by solar PV for the commercial and public services sector. But this happens in the PP&amp;HP analysis</t>
  </si>
  <si>
    <t>Removed all Solar PV calculations and assumptions</t>
  </si>
  <si>
    <t>Added csv_ to sheet name of all CSV files. Added redundant child edges in edges.csv</t>
  </si>
  <si>
    <t>corrected CSV file tabs to start with "csv_..."</t>
  </si>
  <si>
    <t>converter key</t>
  </si>
  <si>
    <t>The base year for this analysis</t>
  </si>
  <si>
    <t>Automatically import/export analysis data</t>
  </si>
  <si>
    <t>Here the percentage of final demand for several carriers is determined based on the energy balance and the final demand per application specfied on the dashboard</t>
  </si>
  <si>
    <t>In this sheet an overview is presented of the allocation of energy carriers over the different technologies and applications. At the bottom of this sheet the size of the electrical appliances and the other appliances are determined.</t>
  </si>
  <si>
    <t>Final energy demand Commercial and Public Services (from energy balance)</t>
  </si>
  <si>
    <t>Final demand converted per technology (TJ)</t>
  </si>
  <si>
    <t>Useful demand created per technology (TJ)</t>
  </si>
  <si>
    <t>TJ</t>
  </si>
  <si>
    <t>Final_demand_space_heating</t>
  </si>
  <si>
    <t>Final_demand_space_cooling</t>
  </si>
  <si>
    <t>Final_demand_lighting</t>
  </si>
  <si>
    <t>Key</t>
  </si>
  <si>
    <t>Critical check</t>
  </si>
  <si>
    <t>country</t>
  </si>
  <si>
    <t>base_year</t>
  </si>
  <si>
    <t>A CSV-file with a converter output share (parent_share)</t>
  </si>
  <si>
    <t>csv_ps_final_demand_lighting</t>
  </si>
  <si>
    <t>csv_ps_space_heating_electricit</t>
  </si>
  <si>
    <t>csv_ps_cooling_electricity</t>
  </si>
  <si>
    <t>csv_ps_space_heating_gas</t>
  </si>
  <si>
    <t>csv_ps_final_demand_coal</t>
  </si>
  <si>
    <t>csv_ps_final_demand_gas</t>
  </si>
  <si>
    <t>csv_ps_final_demand_oil</t>
  </si>
  <si>
    <t>csv_ps_final_demand_electricity</t>
  </si>
  <si>
    <t>csv_ps_final_demand_wood_p</t>
  </si>
  <si>
    <t>csv_heating_useful_insulation</t>
  </si>
  <si>
    <t>csv_cooling_useful_insulation</t>
  </si>
  <si>
    <t>csv_light_saving_detection</t>
  </si>
  <si>
    <t>csv_light_saving_control</t>
  </si>
  <si>
    <t>1. Import the corrected energy balance using the import button on the Dashboard sheet.</t>
  </si>
  <si>
    <t>2. Look over all the assumptions and checks on the Assumptions page and the Dashboard. Consult the documentation for additional information.</t>
  </si>
  <si>
    <t>3. Fill in the (country-specific) assumptions on the Dashboard using reliable sources and/or use the source analysis mentioned in the comments. Please document your sources.</t>
  </si>
  <si>
    <t>4. Keep in mind the checks on the Dashboard. If a check fails, try to understand what goes wrong and adjust your assumptions as long as you feel it is still realistic</t>
  </si>
  <si>
    <t>5. If you encounter other problems please contact Quintel Intelligence</t>
  </si>
  <si>
    <t>6. Export the csv files using the export button on the Dashboard sheet.</t>
  </si>
  <si>
    <t>Updated to new style rules</t>
  </si>
  <si>
    <t>Corrected energy balance step 2</t>
  </si>
  <si>
    <t>Name in this excel file</t>
  </si>
  <si>
    <t>Eff_space_heating_solar_thermal</t>
  </si>
  <si>
    <t>Eff_space_heating_district</t>
  </si>
  <si>
    <t>Eff_space_heating_woodpellets</t>
  </si>
  <si>
    <t>Eff_space_heating_electric</t>
  </si>
  <si>
    <t>Eff_space_heating_gas</t>
  </si>
  <si>
    <t>Eff_space_heating_oil</t>
  </si>
  <si>
    <t>Eff_space_heating_coal</t>
  </si>
  <si>
    <t>Eff_space_heating_pump_storage</t>
  </si>
  <si>
    <t>Eff_cooling_airco</t>
  </si>
  <si>
    <t>Eff_cooling_pump</t>
  </si>
  <si>
    <t>Eff_cooling_pump_storage</t>
  </si>
  <si>
    <t>Eff_lighting_led</t>
  </si>
  <si>
    <t>Eff_lighting_lamp_incandescent</t>
  </si>
  <si>
    <t>Eff_lighting_lamp_fluorescent</t>
  </si>
  <si>
    <t>Eff_lighting_tube_fluorescent_standartd</t>
  </si>
  <si>
    <t>Eff_lighting_tube_fluorescent_efficient</t>
  </si>
  <si>
    <t>Total demand of aggregated carriers</t>
  </si>
  <si>
    <t>Total demand in energy balancen (IEA)</t>
  </si>
  <si>
    <t xml:space="preserve">Check: </t>
  </si>
  <si>
    <t xml:space="preserve">If the </t>
  </si>
  <si>
    <t>are the same,,</t>
  </si>
  <si>
    <t xml:space="preserve">the energy carriers have been aggregated correctly. </t>
  </si>
  <si>
    <t xml:space="preserve">Difference: </t>
  </si>
  <si>
    <t>Eff_space_heating_pump_gas</t>
  </si>
  <si>
    <t>Final demand per carrier per application (TJ)</t>
  </si>
  <si>
    <t>Final demand for coal (TJ)</t>
  </si>
  <si>
    <t>Final demand for oil (TJ)</t>
  </si>
  <si>
    <t>Final demand for woodpellets (TJ)</t>
  </si>
  <si>
    <t>Final demand for Solar thermal (TJ)</t>
  </si>
  <si>
    <t>Final demand for electricity (TJ)</t>
  </si>
  <si>
    <t>Final demand for heat (TJ)</t>
  </si>
  <si>
    <t xml:space="preserve">Fixing names. Fixing order of space heating technologies. Fixing layout/formatting. Replaced old "PJ" units. </t>
  </si>
  <si>
    <t xml:space="preserve">Application </t>
  </si>
  <si>
    <t>Carrier</t>
  </si>
  <si>
    <t>Network Gas</t>
  </si>
  <si>
    <t>Electriity</t>
  </si>
  <si>
    <t>Electrcity</t>
  </si>
  <si>
    <t>Share per technology and carrier</t>
  </si>
  <si>
    <t>Application shares</t>
  </si>
  <si>
    <t>Technology shares</t>
  </si>
  <si>
    <t>Percentages of energy demand</t>
  </si>
  <si>
    <t>Technology split final demand</t>
  </si>
  <si>
    <t>A CSV-file with a converter output share (parent_share) - currently hard coded</t>
  </si>
  <si>
    <t>A CSV-file with a converter input share (child_share) - hard coded</t>
  </si>
  <si>
    <t>Percentage of biomass (wood_pellets) used in space heating</t>
  </si>
  <si>
    <t>Percentage of biomass (wood_pellets) used in applicances</t>
  </si>
  <si>
    <t>Temporarily hard-coded assumptions</t>
  </si>
  <si>
    <t>The ETM graph contains a number of converters that are used to model future energy saving effects of improved insulation. The inluence of these converters is set to 'zero' in the 'present' scenario:</t>
  </si>
  <si>
    <t>Current savings in useful demand of lighting accomplished by motion detection</t>
  </si>
  <si>
    <t>Current savings in useful demand of lighting accomplished by daylight control</t>
  </si>
  <si>
    <t>Removing converters
buildings_useful_demand_for_space_heating_after_insulation_recirculation_recovery
buildings_useful_demand_for_space_heating_after_insulation_recirculation
buildings_heating_savings_from_recirculation_useable_heat
buildings_heating_savings_from_recovery_useable_heat
buildings_useful_demand_after_insulation_recirculation_recovery_cooling
buildings_useful_demand_after_insulation_recirculation_cooling
buildings_cooling_savings_from_recovery_cooling
buildings_cooling_savings_from_recirculation_cooling</t>
  </si>
  <si>
    <t>results from ETM modelling logic</t>
  </si>
  <si>
    <t>Renamed Analysis to "Services"</t>
  </si>
  <si>
    <t>added buttonns on Dashboard</t>
  </si>
  <si>
    <t>Fixing links in formulas (space heating)</t>
  </si>
  <si>
    <t>services_final_demand_space_heating</t>
  </si>
  <si>
    <t>services_final_demand_space_cooling</t>
  </si>
  <si>
    <t>services_final_demand_lighting</t>
  </si>
  <si>
    <t>services_space_heating_share_gas_fired_heaters</t>
  </si>
  <si>
    <t>services_space_heating_share_gas_fired_heat_pumps</t>
  </si>
  <si>
    <t>services_space_heating_share_electric_heaters</t>
  </si>
  <si>
    <t>services_space_heating_share_coal_fired_heater</t>
  </si>
  <si>
    <t>services_space_cooling_share_gas_fired_heat_pump</t>
  </si>
  <si>
    <t>services_space_cooling_share_electric_heat_pump</t>
  </si>
  <si>
    <t>services_space_cooling_share_airco</t>
  </si>
  <si>
    <t>services_lighting_incandescent_lamp</t>
  </si>
  <si>
    <t>services_lighting_fluorescent_lamp</t>
  </si>
  <si>
    <t>services_lighting_fluorescent_tube</t>
  </si>
  <si>
    <t>services_lighting_efficient_fluorescent_tube</t>
  </si>
  <si>
    <t>services_lighting_LED_tube</t>
  </si>
  <si>
    <t>services_biomass_used_in space_heating</t>
  </si>
  <si>
    <t>services_biomass_used_in appliances</t>
  </si>
  <si>
    <t>services_savings_lighting_motion_detection</t>
  </si>
  <si>
    <t>services_savings_lighting_daylight_control</t>
  </si>
  <si>
    <t>services_space_heating_share_electric_heat_pump_with_storage</t>
  </si>
  <si>
    <t>ETM carriers in Services Sector</t>
  </si>
  <si>
    <t>Fixing the order of keys on the dashboard / renaming one key</t>
  </si>
  <si>
    <t>services_space_heating_share_oil_fired_heater</t>
  </si>
  <si>
    <t>Final energy demand used for space heating</t>
  </si>
  <si>
    <t>Final energy use by solar thermal panels</t>
  </si>
  <si>
    <t>Final energy use by biomass-fired heaters</t>
  </si>
  <si>
    <t>Final energy use by district heating</t>
  </si>
  <si>
    <t>Name</t>
  </si>
  <si>
    <t>?</t>
  </si>
  <si>
    <t>heat efficiency</t>
  </si>
  <si>
    <t>1 / COP</t>
  </si>
  <si>
    <t>output.useable_heat</t>
  </si>
  <si>
    <t>input.electricity</t>
  </si>
  <si>
    <t>output.light</t>
  </si>
  <si>
    <t>buildings_space_heater_network_gas.converter</t>
  </si>
  <si>
    <t>buildings_space_heater_collective_heatpump_water_water_ts_electricity.converter</t>
  </si>
  <si>
    <t>buildings_space_heater_heatpump_air_water_network_gas.converter</t>
  </si>
  <si>
    <t>buildings_space_heater_electricity.converter</t>
  </si>
  <si>
    <t>buildings_space_heater_coal.converter</t>
  </si>
  <si>
    <t>buildings_space_heater_crude_oil.converter</t>
  </si>
  <si>
    <t>buildings_space_heater_solar_thermal.converter</t>
  </si>
  <si>
    <t>buildings_space_heater_wood_pellets.converter</t>
  </si>
  <si>
    <t>buildings_space_heater_district_heating_steam_hot_water.converter</t>
  </si>
  <si>
    <t>buildings_cooling_heatpump_air_water_network_gas.converter</t>
  </si>
  <si>
    <t>buildings_cooling_collective_heatpump_water_water_ts_electricity.converter</t>
  </si>
  <si>
    <t>buildings_cooling_airconditioning_electricity.converter</t>
  </si>
  <si>
    <t>buildings_lighting_efficient_fluorescent_electricity.converter</t>
  </si>
  <si>
    <t>buildings_lighting_standard_fluorescent_electricity.converter</t>
  </si>
  <si>
    <t>buildings_lighting_led_electricity.converter</t>
  </si>
  <si>
    <t>input.network_gas</t>
  </si>
  <si>
    <t>light efficiency</t>
  </si>
  <si>
    <t>Technological Specifications</t>
  </si>
  <si>
    <t>Extract data from Etsource</t>
  </si>
  <si>
    <t>Converter attributes</t>
  </si>
  <si>
    <t xml:space="preserve">Here, the technological specifications are imported from Etsource (automatically). These values are not country-specific and cannot be changed. </t>
  </si>
  <si>
    <t>enabling automatic import of technical specs</t>
  </si>
  <si>
    <t xml:space="preserve">removing Lody's "wrong" efficiencies, replacing them with efficiencies that are imporrted from etsource. Lody's efficiencies can be found in the source analysis folder. </t>
  </si>
  <si>
    <t>removing sheets with edges and nodes</t>
  </si>
  <si>
    <t>-</t>
  </si>
  <si>
    <t>All critical checks correct</t>
  </si>
  <si>
    <t>Taken from corrected energy balance</t>
  </si>
  <si>
    <t xml:space="preserve">Percentage of useful heat delivered by the remaining technologies </t>
  </si>
  <si>
    <t xml:space="preserve">Remaining final energy demand for space heating, after solar thermal panels, biomass heaters and district heating: </t>
  </si>
  <si>
    <t>Gas-fired heaters</t>
  </si>
  <si>
    <t>Electric heat pumps with thermal storage</t>
  </si>
  <si>
    <t>Gas-fired heat pumps</t>
  </si>
  <si>
    <t>Electric heaters</t>
  </si>
  <si>
    <t>Coal-fired heaters</t>
  </si>
  <si>
    <t>Oil-fired heaters</t>
  </si>
  <si>
    <t>extracted from corrected energy balance</t>
  </si>
  <si>
    <t xml:space="preserve">Percentage of useful cold delivered by </t>
  </si>
  <si>
    <t xml:space="preserve">Percentage of light delivered by </t>
  </si>
  <si>
    <t>LED tubes</t>
  </si>
  <si>
    <t>Final energy demand for electrical appliances is a positive number</t>
  </si>
  <si>
    <t>Final energy demand for other appliances is a positive number</t>
  </si>
  <si>
    <t>Final energy demand used for other Appliances (non-electric)</t>
  </si>
  <si>
    <t>Energy in services sector, not accounted for in ETM:</t>
  </si>
  <si>
    <t>Percentage of final demand</t>
  </si>
  <si>
    <t>Subtotal (TJ)</t>
  </si>
  <si>
    <t>Other appliances (non-electric) - remaining energy flows</t>
  </si>
  <si>
    <t>The following cannot be negative</t>
  </si>
  <si>
    <t>Other Applicances</t>
  </si>
  <si>
    <t>Network gas demand in other appliances</t>
  </si>
  <si>
    <t>Coal demand in other appliances</t>
  </si>
  <si>
    <t>Oil demand in other appliances</t>
  </si>
  <si>
    <t>major layout change to dashboard. Improving checks</t>
  </si>
  <si>
    <t>added 'Biogases' to network gas aggregation. Renaming natural gas to network gas in some instances</t>
  </si>
  <si>
    <t>Network gas</t>
  </si>
  <si>
    <t>Final demand for network gas (TJ)</t>
  </si>
  <si>
    <t xml:space="preserve">Final demand for network gas </t>
  </si>
  <si>
    <t xml:space="preserve">The main goal of this analysis is to create a representative energy use per application for the commercial and public services sector. The applications that are defined in this analysis are: space heating, space cooling, lighting, electric applications and other applications. 
Note that Solar PV production is not covered by this analysis as that results from the Energy Balance and the Autoproduction table (both available from IEA). To see what solar PV production is for your dataset, open the "2_power_and_heat_plant_analysis", import all the required data (including the Energy Balance and Autoproducer table, which both need to be bought from IEA), and proceed to 'Results by machine' or the 'PV solar' sheets. </t>
  </si>
  <si>
    <t>Implemented if-statement in Application shares to avoid #DIV/0 errors</t>
  </si>
  <si>
    <t>Implemented if-statement in Technology share to avoid #DIV/0 errors</t>
  </si>
  <si>
    <t>buildings_final_demand_for_space_heating_network_gas</t>
  </si>
  <si>
    <t>buildings_final_demand_for_cooling_network_gas</t>
  </si>
  <si>
    <t>buildings_final_demand_for_appliances_network_gas</t>
  </si>
  <si>
    <t>buildings_final_demand_for_space_heating_network_gas_parent_share</t>
  </si>
  <si>
    <t>Final electricity demand used for central ICT</t>
  </si>
  <si>
    <t>Final electricity demand used for Electrical Appliances</t>
  </si>
  <si>
    <t>Final_demand_industry_ict</t>
  </si>
  <si>
    <t>industry_final_demand_ict_electricity</t>
  </si>
  <si>
    <t>Indicate "yes" to add the central ICT sector; also input the required data in row 29</t>
  </si>
  <si>
    <t>ict_split</t>
  </si>
  <si>
    <t>Final energy demand for central ICT is a positive number</t>
  </si>
  <si>
    <t>Central ICT</t>
  </si>
  <si>
    <t>Electricity use</t>
  </si>
  <si>
    <t>Services</t>
  </si>
  <si>
    <t>In this sheet the shares per carrier per application needed for the Energy Transition Model are defined. In the last section of the table, the electricity shares per sector are determined for the services sector and industry sector (central ICT).</t>
  </si>
  <si>
    <t>buildings_local_production_electricity_parent_share</t>
  </si>
  <si>
    <t>buildings_final_demand_electricity</t>
  </si>
  <si>
    <t>industry_final_demand_for_other_ict_electricity</t>
  </si>
  <si>
    <t>Rob Terwel</t>
  </si>
  <si>
    <t>Created an optional split of the central ICT sector (directed to the industry sector in the graph)</t>
  </si>
  <si>
    <t>csv_ps_sector_electricity</t>
  </si>
  <si>
    <t>A CSV-file with a converter output share (parent_share) that sends part of the energy flow to the industry sector, and the rest to the services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</si>
</sst>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409]mmmm\ d\,\ yyyy;@"/>
    <numFmt numFmtId="167" formatCode="0.00000"/>
  </numFmts>
  <fonts count="32" x14ac:knownFonts="1">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family val="2"/>
      <scheme val="minor"/>
    </font>
    <font>
      <b/>
      <sz val="11"/>
      <color rgb="FF000000"/>
      <name val="Calibri"/>
      <family val="2"/>
      <scheme val="minor"/>
    </font>
    <font>
      <i/>
      <sz val="12"/>
      <color theme="1"/>
      <name val="Calibri"/>
      <family val="2"/>
      <scheme val="minor"/>
    </font>
    <font>
      <sz val="12"/>
      <name val="Calibri"/>
      <family val="2"/>
      <scheme val="minor"/>
    </font>
    <font>
      <u/>
      <sz val="12"/>
      <color theme="1"/>
      <name val="Calibri"/>
      <family val="2"/>
      <scheme val="minor"/>
    </font>
    <font>
      <sz val="12"/>
      <color rgb="FF000000"/>
      <name val="Calibri"/>
      <family val="2"/>
      <scheme val="minor"/>
    </font>
    <font>
      <u/>
      <sz val="12"/>
      <name val="Calibri"/>
      <family val="2"/>
      <scheme val="minor"/>
    </font>
    <font>
      <u/>
      <sz val="12"/>
      <color theme="10"/>
      <name val="Calibri"/>
      <family val="2"/>
      <scheme val="minor"/>
    </font>
    <font>
      <u/>
      <sz val="12"/>
      <color theme="11"/>
      <name val="Calibri"/>
      <family val="2"/>
      <scheme val="minor"/>
    </font>
    <font>
      <b/>
      <sz val="12"/>
      <name val="Calibri"/>
      <family val="2"/>
      <scheme val="minor"/>
    </font>
    <font>
      <b/>
      <sz val="12"/>
      <color rgb="FF000000"/>
      <name val="Calibri"/>
      <family val="2"/>
      <scheme val="minor"/>
    </font>
    <font>
      <sz val="24"/>
      <color theme="1"/>
      <name val="Calibri"/>
      <family val="2"/>
      <scheme val="minor"/>
    </font>
    <font>
      <b/>
      <sz val="18"/>
      <color theme="1"/>
      <name val="Calibri"/>
      <family val="2"/>
      <scheme val="minor"/>
    </font>
    <font>
      <sz val="9"/>
      <color indexed="81"/>
      <name val="Arial"/>
      <family val="2"/>
    </font>
    <font>
      <sz val="9"/>
      <color indexed="81"/>
      <name val="Calibri"/>
      <family val="2"/>
    </font>
    <font>
      <b/>
      <sz val="9"/>
      <color indexed="81"/>
      <name val="Calibri"/>
      <family val="2"/>
    </font>
    <font>
      <sz val="11"/>
      <color rgb="FF000000"/>
      <name val="Arial"/>
      <family val="2"/>
    </font>
    <font>
      <sz val="12"/>
      <color rgb="FF000000"/>
      <name val="Lucida Grande"/>
      <family val="2"/>
    </font>
    <font>
      <sz val="12"/>
      <color theme="0" tint="-0.499984740745262"/>
      <name val="Calibri"/>
      <family val="2"/>
      <scheme val="minor"/>
    </font>
    <font>
      <sz val="12"/>
      <color theme="0" tint="-0.14999847407452621"/>
      <name val="Calibri"/>
      <family val="2"/>
      <scheme val="minor"/>
    </font>
    <font>
      <b/>
      <sz val="12"/>
      <color theme="0" tint="-0.499984740745262"/>
      <name val="Calibri"/>
      <family val="2"/>
      <scheme val="minor"/>
    </font>
    <font>
      <sz val="11"/>
      <name val="Arial"/>
      <family val="2"/>
    </font>
    <font>
      <b/>
      <i/>
      <sz val="12"/>
      <name val="Calibri"/>
      <family val="2"/>
      <scheme val="minor"/>
    </font>
    <font>
      <i/>
      <sz val="12"/>
      <name val="Calibri"/>
      <family val="2"/>
      <scheme val="minor"/>
    </font>
    <font>
      <u/>
      <sz val="12"/>
      <color rgb="FF000000"/>
      <name val="Calibri"/>
      <family val="2"/>
      <scheme val="minor"/>
    </font>
    <font>
      <sz val="13"/>
      <color rgb="FF333333"/>
      <name val="Helvetica"/>
      <family val="2"/>
    </font>
    <font>
      <b/>
      <sz val="18"/>
      <color theme="5"/>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FF6600"/>
        <bgColor indexed="64"/>
      </patternFill>
    </fill>
    <fill>
      <patternFill patternType="solid">
        <fgColor indexed="65"/>
        <bgColor indexed="64"/>
      </patternFill>
    </fill>
  </fills>
  <borders count="55">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style="thin">
        <color auto="1"/>
      </left>
      <right style="thin">
        <color auto="1"/>
      </right>
      <top/>
      <bottom style="medium">
        <color auto="1"/>
      </bottom>
      <diagonal/>
    </border>
    <border>
      <left/>
      <right style="thin">
        <color auto="1"/>
      </right>
      <top style="medium">
        <color auto="1"/>
      </top>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thin">
        <color auto="1"/>
      </left>
      <right style="medium">
        <color auto="1"/>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medium">
        <color auto="1"/>
      </left>
      <right style="thin">
        <color auto="1"/>
      </right>
      <top style="medium">
        <color auto="1"/>
      </top>
      <bottom/>
      <diagonal/>
    </border>
    <border>
      <left style="thin">
        <color auto="1"/>
      </left>
      <right style="medium">
        <color auto="1"/>
      </right>
      <top style="thin">
        <color auto="1"/>
      </top>
      <bottom/>
      <diagonal/>
    </border>
    <border>
      <left style="medium">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s>
  <cellStyleXfs count="1391">
    <xf numFmtId="0" fontId="0" fillId="0" borderId="0"/>
    <xf numFmtId="9"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412">
    <xf numFmtId="0" fontId="0" fillId="0" borderId="0" xfId="0"/>
    <xf numFmtId="0" fontId="0" fillId="2" borderId="0" xfId="0" applyFill="1"/>
    <xf numFmtId="0" fontId="5" fillId="2" borderId="0" xfId="0" applyFont="1" applyFill="1"/>
    <xf numFmtId="0" fontId="4" fillId="2" borderId="1" xfId="0" applyFont="1" applyFill="1" applyBorder="1"/>
    <xf numFmtId="0" fontId="0" fillId="2" borderId="2" xfId="0" applyFill="1" applyBorder="1"/>
    <xf numFmtId="0" fontId="0" fillId="2" borderId="3" xfId="0" applyFill="1" applyBorder="1"/>
    <xf numFmtId="0" fontId="6" fillId="3" borderId="4" xfId="0" applyFont="1" applyFill="1" applyBorder="1" applyAlignment="1">
      <alignment vertical="center"/>
    </xf>
    <xf numFmtId="0" fontId="0" fillId="2" borderId="5" xfId="0" applyFill="1" applyBorder="1"/>
    <xf numFmtId="0" fontId="0" fillId="2" borderId="0" xfId="0" applyFill="1" applyBorder="1"/>
    <xf numFmtId="0" fontId="6" fillId="3" borderId="6" xfId="0" applyFont="1" applyFill="1" applyBorder="1" applyAlignment="1">
      <alignment vertical="center"/>
    </xf>
    <xf numFmtId="0" fontId="0" fillId="2" borderId="7" xfId="0" applyFill="1" applyBorder="1"/>
    <xf numFmtId="0" fontId="0" fillId="2" borderId="8" xfId="0" applyFill="1" applyBorder="1"/>
    <xf numFmtId="0" fontId="6" fillId="3" borderId="1" xfId="0" applyFont="1" applyFill="1" applyBorder="1" applyAlignment="1">
      <alignment vertical="center"/>
    </xf>
    <xf numFmtId="0" fontId="4" fillId="2" borderId="2" xfId="0" applyFont="1" applyFill="1" applyBorder="1"/>
    <xf numFmtId="0" fontId="4" fillId="2" borderId="3" xfId="0" applyFont="1" applyFill="1" applyBorder="1"/>
    <xf numFmtId="0" fontId="4" fillId="2" borderId="0" xfId="0" applyFont="1" applyFill="1" applyBorder="1"/>
    <xf numFmtId="0" fontId="4" fillId="2" borderId="5" xfId="0" applyFont="1" applyFill="1" applyBorder="1"/>
    <xf numFmtId="0" fontId="0" fillId="0" borderId="0" xfId="0" applyFill="1" applyBorder="1"/>
    <xf numFmtId="0" fontId="0" fillId="0" borderId="5" xfId="0" applyFill="1" applyBorder="1"/>
    <xf numFmtId="0" fontId="0" fillId="2" borderId="4" xfId="0" applyFill="1" applyBorder="1"/>
    <xf numFmtId="0" fontId="0" fillId="2" borderId="6" xfId="0" applyFill="1" applyBorder="1"/>
    <xf numFmtId="0" fontId="4" fillId="2" borderId="4" xfId="0" applyFont="1" applyFill="1" applyBorder="1"/>
    <xf numFmtId="0" fontId="7"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4" fillId="2" borderId="10" xfId="0" applyFont="1" applyFill="1" applyBorder="1"/>
    <xf numFmtId="0" fontId="4"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4" fillId="2" borderId="15" xfId="0" applyFont="1" applyFill="1" applyBorder="1"/>
    <xf numFmtId="0" fontId="4" fillId="0" borderId="7" xfId="0" applyFont="1" applyFill="1" applyBorder="1"/>
    <xf numFmtId="0" fontId="4" fillId="0" borderId="16" xfId="0" applyFont="1" applyFill="1" applyBorder="1"/>
    <xf numFmtId="0" fontId="4" fillId="2" borderId="13" xfId="0" applyFont="1" applyFill="1" applyBorder="1"/>
    <xf numFmtId="0" fontId="4" fillId="2" borderId="14" xfId="0" applyFont="1" applyFill="1" applyBorder="1"/>
    <xf numFmtId="0" fontId="9" fillId="2" borderId="13" xfId="0" applyFont="1" applyFill="1" applyBorder="1"/>
    <xf numFmtId="0" fontId="0" fillId="2" borderId="13" xfId="0" applyFill="1" applyBorder="1" applyAlignment="1">
      <alignment vertical="top"/>
    </xf>
    <xf numFmtId="0" fontId="0" fillId="0" borderId="0" xfId="0" applyFill="1" applyBorder="1" applyAlignment="1">
      <alignment wrapText="1"/>
    </xf>
    <xf numFmtId="0" fontId="0" fillId="0" borderId="14" xfId="0" applyFill="1" applyBorder="1" applyAlignment="1">
      <alignment vertical="top"/>
    </xf>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0" xfId="0" applyFill="1" applyBorder="1" applyAlignment="1">
      <alignment vertical="top"/>
    </xf>
    <xf numFmtId="0" fontId="0" fillId="0" borderId="7" xfId="0" applyFill="1" applyBorder="1"/>
    <xf numFmtId="0" fontId="0" fillId="0" borderId="16" xfId="0" applyFill="1" applyBorder="1"/>
    <xf numFmtId="0" fontId="0" fillId="2" borderId="17" xfId="0" applyFill="1" applyBorder="1"/>
    <xf numFmtId="0" fontId="0" fillId="0" borderId="18" xfId="0" applyFill="1" applyBorder="1"/>
    <xf numFmtId="0" fontId="9" fillId="2" borderId="20" xfId="0" applyFont="1" applyFill="1" applyBorder="1"/>
    <xf numFmtId="0" fontId="11" fillId="2" borderId="13" xfId="0" applyFont="1" applyFill="1" applyBorder="1"/>
    <xf numFmtId="0" fontId="0" fillId="0" borderId="19" xfId="0" applyFill="1" applyBorder="1"/>
    <xf numFmtId="0" fontId="4" fillId="0" borderId="1" xfId="0" applyFont="1" applyBorder="1"/>
    <xf numFmtId="0" fontId="0" fillId="2" borderId="11" xfId="0" applyFill="1" applyBorder="1"/>
    <xf numFmtId="0" fontId="4" fillId="2" borderId="21" xfId="0" applyFont="1" applyFill="1" applyBorder="1"/>
    <xf numFmtId="0" fontId="0" fillId="2" borderId="23" xfId="0" applyFill="1" applyBorder="1"/>
    <xf numFmtId="0" fontId="0" fillId="2" borderId="24" xfId="0" applyFill="1" applyBorder="1"/>
    <xf numFmtId="0" fontId="0" fillId="2" borderId="21" xfId="0" applyFill="1" applyBorder="1"/>
    <xf numFmtId="0" fontId="0" fillId="2" borderId="22" xfId="0" applyFill="1" applyBorder="1"/>
    <xf numFmtId="9" fontId="0" fillId="2" borderId="0" xfId="1" applyFont="1" applyFill="1" applyBorder="1"/>
    <xf numFmtId="0" fontId="10" fillId="8" borderId="0" xfId="0" applyFont="1" applyFill="1" applyBorder="1"/>
    <xf numFmtId="0" fontId="0" fillId="0" borderId="25" xfId="0" applyFill="1" applyBorder="1"/>
    <xf numFmtId="0" fontId="0" fillId="0" borderId="23" xfId="0" applyFill="1" applyBorder="1"/>
    <xf numFmtId="9" fontId="0" fillId="2" borderId="18" xfId="1" applyFont="1" applyFill="1" applyBorder="1"/>
    <xf numFmtId="0" fontId="4" fillId="2" borderId="23" xfId="0" applyFont="1" applyFill="1" applyBorder="1"/>
    <xf numFmtId="0" fontId="4" fillId="2" borderId="24" xfId="0" applyFont="1" applyFill="1" applyBorder="1"/>
    <xf numFmtId="0" fontId="0" fillId="2" borderId="23" xfId="0" applyFont="1" applyFill="1" applyBorder="1"/>
    <xf numFmtId="0" fontId="5" fillId="2" borderId="0" xfId="0" applyFont="1" applyFill="1" applyBorder="1"/>
    <xf numFmtId="0" fontId="4" fillId="2" borderId="15" xfId="0" applyFont="1" applyFill="1" applyBorder="1" applyAlignment="1">
      <alignment vertical="top" wrapText="1"/>
    </xf>
    <xf numFmtId="0" fontId="4" fillId="0" borderId="7" xfId="0" applyFont="1" applyFill="1" applyBorder="1" applyAlignment="1">
      <alignment vertical="top" wrapText="1"/>
    </xf>
    <xf numFmtId="0" fontId="4" fillId="2" borderId="13" xfId="0" applyFont="1" applyFill="1" applyBorder="1" applyAlignment="1">
      <alignment vertical="top" wrapText="1"/>
    </xf>
    <xf numFmtId="0" fontId="4" fillId="2" borderId="5" xfId="0" applyFont="1" applyFill="1" applyBorder="1" applyAlignment="1">
      <alignment vertical="top" wrapText="1"/>
    </xf>
    <xf numFmtId="0" fontId="4" fillId="2" borderId="0" xfId="0" applyFont="1" applyFill="1" applyBorder="1" applyAlignment="1">
      <alignment vertical="top" wrapText="1"/>
    </xf>
    <xf numFmtId="0" fontId="3" fillId="2" borderId="13" xfId="0" applyFont="1" applyFill="1" applyBorder="1"/>
    <xf numFmtId="0" fontId="4" fillId="2" borderId="7" xfId="0" applyFont="1" applyFill="1" applyBorder="1" applyAlignment="1">
      <alignment vertical="top" wrapText="1"/>
    </xf>
    <xf numFmtId="9" fontId="0" fillId="0" borderId="5" xfId="0" applyNumberFormat="1" applyFill="1" applyBorder="1"/>
    <xf numFmtId="0" fontId="4" fillId="2" borderId="3" xfId="0" applyFont="1" applyFill="1" applyBorder="1" applyAlignment="1">
      <alignment vertical="top" wrapText="1"/>
    </xf>
    <xf numFmtId="0" fontId="0" fillId="0" borderId="32" xfId="0" applyFill="1" applyBorder="1"/>
    <xf numFmtId="0" fontId="0" fillId="0" borderId="33" xfId="0" applyFill="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0" xfId="0" applyFill="1" applyBorder="1"/>
    <xf numFmtId="0" fontId="0" fillId="0" borderId="31" xfId="0" applyFill="1" applyBorder="1"/>
    <xf numFmtId="0" fontId="0" fillId="0" borderId="36" xfId="0" applyFill="1" applyBorder="1"/>
    <xf numFmtId="0" fontId="0" fillId="0" borderId="37" xfId="0" applyFill="1" applyBorder="1"/>
    <xf numFmtId="0" fontId="0" fillId="0" borderId="38" xfId="0" applyFill="1" applyBorder="1"/>
    <xf numFmtId="0" fontId="0" fillId="0" borderId="39" xfId="0" applyFill="1" applyBorder="1"/>
    <xf numFmtId="0" fontId="0" fillId="0" borderId="40" xfId="0" applyFill="1" applyBorder="1"/>
    <xf numFmtId="0" fontId="0" fillId="0" borderId="41" xfId="0" applyFill="1" applyBorder="1"/>
    <xf numFmtId="0" fontId="0" fillId="0" borderId="29" xfId="0" applyFill="1" applyBorder="1"/>
    <xf numFmtId="0" fontId="0" fillId="0" borderId="21" xfId="0" applyFill="1" applyBorder="1"/>
    <xf numFmtId="0" fontId="0" fillId="0" borderId="42" xfId="0" applyFill="1" applyBorder="1"/>
    <xf numFmtId="0" fontId="0" fillId="0" borderId="27" xfId="0" applyFill="1" applyBorder="1"/>
    <xf numFmtId="0" fontId="0" fillId="0" borderId="0" xfId="0" applyFont="1" applyFill="1" applyBorder="1"/>
    <xf numFmtId="0" fontId="0" fillId="0" borderId="5" xfId="0" applyFont="1" applyFill="1" applyBorder="1"/>
    <xf numFmtId="0" fontId="0" fillId="2" borderId="0" xfId="0" applyFont="1" applyFill="1"/>
    <xf numFmtId="0" fontId="0" fillId="2" borderId="13" xfId="0" applyFont="1" applyFill="1" applyBorder="1"/>
    <xf numFmtId="0" fontId="0" fillId="0" borderId="0" xfId="0" applyFill="1" applyBorder="1" applyAlignment="1">
      <alignment vertical="top" wrapText="1"/>
    </xf>
    <xf numFmtId="0" fontId="0" fillId="2" borderId="0" xfId="0" applyFill="1" applyBorder="1" applyAlignment="1">
      <alignment wrapText="1"/>
    </xf>
    <xf numFmtId="0" fontId="0" fillId="2" borderId="0" xfId="0" applyFill="1" applyBorder="1" applyAlignment="1">
      <alignment vertical="top" wrapText="1"/>
    </xf>
    <xf numFmtId="0" fontId="4" fillId="0" borderId="14" xfId="0" applyFont="1" applyFill="1" applyBorder="1"/>
    <xf numFmtId="0" fontId="4" fillId="0" borderId="8" xfId="0" applyFont="1" applyFill="1" applyBorder="1"/>
    <xf numFmtId="0" fontId="0" fillId="2" borderId="18" xfId="0" applyFill="1" applyBorder="1"/>
    <xf numFmtId="0" fontId="0" fillId="2" borderId="19" xfId="0" applyFill="1" applyBorder="1"/>
    <xf numFmtId="0" fontId="15" fillId="0" borderId="14" xfId="0" applyFont="1" applyBorder="1"/>
    <xf numFmtId="0" fontId="10" fillId="8" borderId="18" xfId="0" applyFont="1" applyFill="1" applyBorder="1"/>
    <xf numFmtId="0" fontId="10" fillId="8" borderId="19" xfId="0" applyFont="1" applyFill="1" applyBorder="1"/>
    <xf numFmtId="0" fontId="4" fillId="2" borderId="0" xfId="0" applyFont="1" applyFill="1"/>
    <xf numFmtId="0" fontId="4" fillId="0" borderId="7" xfId="0" applyFont="1" applyFill="1" applyBorder="1" applyAlignment="1">
      <alignment wrapText="1"/>
    </xf>
    <xf numFmtId="9" fontId="0" fillId="0" borderId="0" xfId="1" applyFont="1" applyFill="1" applyBorder="1"/>
    <xf numFmtId="2" fontId="0" fillId="0" borderId="0" xfId="1" applyNumberFormat="1" applyFont="1" applyFill="1" applyBorder="1"/>
    <xf numFmtId="0" fontId="4" fillId="2" borderId="45" xfId="0" applyFont="1" applyFill="1" applyBorder="1"/>
    <xf numFmtId="0" fontId="8" fillId="0" borderId="21" xfId="0" applyFont="1" applyBorder="1" applyAlignment="1">
      <alignment vertical="top" wrapText="1"/>
    </xf>
    <xf numFmtId="0" fontId="8" fillId="0" borderId="21" xfId="0" applyFont="1" applyBorder="1" applyAlignment="1">
      <alignment horizontal="left" vertical="top" wrapText="1"/>
    </xf>
    <xf numFmtId="0" fontId="16" fillId="2" borderId="0" xfId="0" applyFont="1" applyFill="1" applyAlignment="1">
      <alignment vertical="center"/>
    </xf>
    <xf numFmtId="0" fontId="16" fillId="2" borderId="0" xfId="0" applyFont="1" applyFill="1" applyAlignment="1">
      <alignment horizontal="center" vertical="center"/>
    </xf>
    <xf numFmtId="0" fontId="0" fillId="2" borderId="0" xfId="0" applyFont="1" applyFill="1" applyAlignment="1">
      <alignment horizontal="left" vertical="center"/>
    </xf>
    <xf numFmtId="0" fontId="5" fillId="2" borderId="0" xfId="0" applyFont="1" applyFill="1" applyAlignment="1">
      <alignment vertical="center"/>
    </xf>
    <xf numFmtId="0" fontId="4" fillId="2" borderId="1" xfId="0" applyFont="1" applyFill="1" applyBorder="1" applyAlignment="1">
      <alignment vertical="center"/>
    </xf>
    <xf numFmtId="0" fontId="16" fillId="2" borderId="2" xfId="0" applyFont="1" applyFill="1" applyBorder="1" applyAlignment="1">
      <alignment vertical="center"/>
    </xf>
    <xf numFmtId="0" fontId="16" fillId="2" borderId="3" xfId="0" applyFont="1" applyFill="1" applyBorder="1" applyAlignment="1">
      <alignment vertical="center"/>
    </xf>
    <xf numFmtId="0" fontId="0" fillId="2" borderId="6" xfId="0" applyFont="1" applyFill="1" applyBorder="1" applyAlignment="1">
      <alignment horizontal="left" vertical="top"/>
    </xf>
    <xf numFmtId="0" fontId="16" fillId="2" borderId="7" xfId="0" applyFont="1" applyFill="1" applyBorder="1" applyAlignment="1">
      <alignment vertical="center"/>
    </xf>
    <xf numFmtId="0" fontId="16" fillId="2" borderId="8" xfId="0" applyFont="1" applyFill="1" applyBorder="1" applyAlignment="1">
      <alignment vertical="center"/>
    </xf>
    <xf numFmtId="0" fontId="0" fillId="7" borderId="0" xfId="0" applyFill="1" applyBorder="1"/>
    <xf numFmtId="0" fontId="0" fillId="4" borderId="25" xfId="0" applyFill="1" applyBorder="1"/>
    <xf numFmtId="0" fontId="0" fillId="6" borderId="25" xfId="0" applyFill="1" applyBorder="1"/>
    <xf numFmtId="0" fontId="0" fillId="0" borderId="25" xfId="0" applyFont="1" applyFill="1" applyBorder="1"/>
    <xf numFmtId="0" fontId="8" fillId="0" borderId="0" xfId="0" applyFont="1" applyBorder="1" applyAlignment="1">
      <alignment horizontal="left" vertical="top" wrapText="1"/>
    </xf>
    <xf numFmtId="0" fontId="14" fillId="2" borderId="45" xfId="0" applyFont="1" applyFill="1" applyBorder="1"/>
    <xf numFmtId="0" fontId="14" fillId="2" borderId="23" xfId="0" applyFont="1" applyFill="1" applyBorder="1"/>
    <xf numFmtId="0" fontId="8" fillId="2" borderId="23" xfId="0" applyFont="1" applyFill="1" applyBorder="1"/>
    <xf numFmtId="0" fontId="17" fillId="2" borderId="0" xfId="0" applyFont="1" applyFill="1" applyAlignment="1">
      <alignment horizontal="left" vertical="center"/>
    </xf>
    <xf numFmtId="0" fontId="0" fillId="2" borderId="14" xfId="0" applyFill="1" applyBorder="1" applyAlignment="1">
      <alignment vertical="top"/>
    </xf>
    <xf numFmtId="0" fontId="9" fillId="2" borderId="20" xfId="0" applyFont="1" applyFill="1" applyBorder="1" applyAlignment="1">
      <alignment vertical="top"/>
    </xf>
    <xf numFmtId="0" fontId="0" fillId="2" borderId="44" xfId="0" applyFill="1" applyBorder="1" applyAlignment="1">
      <alignment vertical="top"/>
    </xf>
    <xf numFmtId="0" fontId="0" fillId="2" borderId="44" xfId="0" applyFill="1" applyBorder="1"/>
    <xf numFmtId="0" fontId="10" fillId="0" borderId="0" xfId="0" applyFont="1" applyFill="1" applyBorder="1"/>
    <xf numFmtId="0" fontId="0" fillId="2" borderId="0" xfId="0" applyFill="1" applyBorder="1" applyAlignment="1">
      <alignment vertical="top"/>
    </xf>
    <xf numFmtId="0" fontId="0" fillId="2" borderId="7" xfId="0" applyFill="1" applyBorder="1" applyAlignment="1">
      <alignment vertical="top"/>
    </xf>
    <xf numFmtId="0" fontId="0" fillId="2" borderId="18" xfId="0" applyFill="1" applyBorder="1" applyAlignment="1">
      <alignment vertical="top"/>
    </xf>
    <xf numFmtId="0" fontId="0" fillId="2" borderId="19" xfId="0" applyFill="1" applyBorder="1" applyAlignment="1">
      <alignment vertical="top"/>
    </xf>
    <xf numFmtId="0" fontId="4" fillId="2" borderId="16" xfId="0" applyFont="1" applyFill="1" applyBorder="1"/>
    <xf numFmtId="0" fontId="8" fillId="0" borderId="14" xfId="0" applyFont="1" applyFill="1" applyBorder="1"/>
    <xf numFmtId="0" fontId="9" fillId="2" borderId="15" xfId="0" applyFont="1" applyFill="1" applyBorder="1"/>
    <xf numFmtId="0" fontId="8" fillId="2" borderId="0" xfId="0" applyFont="1" applyFill="1"/>
    <xf numFmtId="0" fontId="4" fillId="0" borderId="16" xfId="0" applyFont="1" applyFill="1" applyBorder="1" applyAlignment="1">
      <alignment vertical="top" wrapText="1"/>
    </xf>
    <xf numFmtId="0" fontId="4" fillId="2" borderId="14" xfId="0" applyFont="1" applyFill="1" applyBorder="1" applyAlignment="1">
      <alignment vertical="top" wrapText="1"/>
    </xf>
    <xf numFmtId="164" fontId="4" fillId="2" borderId="18" xfId="0" applyNumberFormat="1" applyFont="1" applyFill="1" applyBorder="1" applyAlignment="1">
      <alignment vertical="top" wrapText="1"/>
    </xf>
    <xf numFmtId="0" fontId="0" fillId="0" borderId="44" xfId="0" applyFill="1" applyBorder="1"/>
    <xf numFmtId="0" fontId="0" fillId="2" borderId="46" xfId="0" applyFill="1" applyBorder="1"/>
    <xf numFmtId="0" fontId="3" fillId="2" borderId="15" xfId="0" applyFont="1" applyFill="1" applyBorder="1"/>
    <xf numFmtId="1" fontId="4" fillId="2" borderId="22" xfId="1" applyNumberFormat="1" applyFont="1" applyFill="1" applyBorder="1"/>
    <xf numFmtId="2" fontId="0" fillId="2" borderId="0" xfId="0" applyNumberFormat="1" applyFill="1"/>
    <xf numFmtId="0" fontId="0" fillId="2" borderId="47" xfId="0" applyFill="1" applyBorder="1"/>
    <xf numFmtId="164" fontId="4" fillId="2" borderId="23" xfId="0" applyNumberFormat="1" applyFont="1" applyFill="1" applyBorder="1"/>
    <xf numFmtId="165" fontId="0" fillId="2" borderId="23" xfId="0" applyNumberFormat="1" applyFill="1" applyBorder="1"/>
    <xf numFmtId="165" fontId="0" fillId="2" borderId="23" xfId="1" applyNumberFormat="1" applyFont="1" applyFill="1" applyBorder="1"/>
    <xf numFmtId="165" fontId="0" fillId="2" borderId="21" xfId="0" applyNumberFormat="1" applyFill="1" applyBorder="1"/>
    <xf numFmtId="0" fontId="4" fillId="2" borderId="43" xfId="0" applyFont="1" applyFill="1" applyBorder="1"/>
    <xf numFmtId="0" fontId="0" fillId="2" borderId="27" xfId="0" applyFill="1" applyBorder="1"/>
    <xf numFmtId="0" fontId="0" fillId="11" borderId="0" xfId="0" applyFill="1" applyBorder="1"/>
    <xf numFmtId="0" fontId="0" fillId="12" borderId="0" xfId="0" applyFill="1" applyBorder="1"/>
    <xf numFmtId="0" fontId="0" fillId="9" borderId="0" xfId="0" applyFill="1" applyBorder="1"/>
    <xf numFmtId="0" fontId="0" fillId="6" borderId="0" xfId="0" applyFill="1" applyBorder="1"/>
    <xf numFmtId="0" fontId="0" fillId="13" borderId="0" xfId="0" applyFill="1" applyBorder="1"/>
    <xf numFmtId="2" fontId="0" fillId="2" borderId="18" xfId="1" applyNumberFormat="1" applyFont="1" applyFill="1" applyBorder="1"/>
    <xf numFmtId="0" fontId="4" fillId="0" borderId="11" xfId="0" applyFont="1" applyFill="1" applyBorder="1" applyAlignment="1">
      <alignment wrapText="1"/>
    </xf>
    <xf numFmtId="0" fontId="4" fillId="0" borderId="12" xfId="0" applyFont="1" applyFill="1" applyBorder="1" applyAlignment="1">
      <alignment wrapText="1"/>
    </xf>
    <xf numFmtId="0" fontId="15" fillId="8" borderId="3" xfId="0" applyFont="1" applyFill="1" applyBorder="1"/>
    <xf numFmtId="0" fontId="10" fillId="8" borderId="47" xfId="0" applyFont="1" applyFill="1" applyBorder="1"/>
    <xf numFmtId="165" fontId="0" fillId="2" borderId="9" xfId="1" applyNumberFormat="1" applyFont="1" applyFill="1" applyBorder="1"/>
    <xf numFmtId="165" fontId="0" fillId="2" borderId="0" xfId="1" applyNumberFormat="1" applyFont="1" applyFill="1" applyBorder="1"/>
    <xf numFmtId="0" fontId="0" fillId="9" borderId="25" xfId="0" applyFill="1" applyBorder="1"/>
    <xf numFmtId="0" fontId="0" fillId="13" borderId="25" xfId="0" applyFill="1" applyBorder="1"/>
    <xf numFmtId="9" fontId="0" fillId="2" borderId="2" xfId="1" applyFont="1" applyFill="1" applyBorder="1"/>
    <xf numFmtId="0" fontId="8" fillId="13" borderId="25" xfId="0" applyFont="1" applyFill="1" applyBorder="1"/>
    <xf numFmtId="0" fontId="0" fillId="11" borderId="25" xfId="0" applyFill="1" applyBorder="1"/>
    <xf numFmtId="0" fontId="8" fillId="7" borderId="25" xfId="0" applyFont="1" applyFill="1" applyBorder="1"/>
    <xf numFmtId="0" fontId="4" fillId="2" borderId="49" xfId="0" applyFont="1" applyFill="1" applyBorder="1"/>
    <xf numFmtId="0" fontId="0" fillId="2" borderId="37" xfId="0" applyFill="1" applyBorder="1"/>
    <xf numFmtId="0" fontId="4" fillId="2" borderId="29" xfId="0" applyFont="1" applyFill="1" applyBorder="1" applyAlignment="1">
      <alignment vertical="top" wrapText="1"/>
    </xf>
    <xf numFmtId="0" fontId="3" fillId="2" borderId="37" xfId="0" applyFont="1" applyFill="1" applyBorder="1"/>
    <xf numFmtId="0" fontId="8" fillId="2" borderId="37" xfId="0" applyFont="1" applyFill="1" applyBorder="1" applyAlignment="1">
      <alignment wrapText="1"/>
    </xf>
    <xf numFmtId="0" fontId="3" fillId="2" borderId="42" xfId="0" applyFont="1" applyFill="1" applyBorder="1"/>
    <xf numFmtId="165" fontId="0" fillId="0" borderId="0" xfId="0" applyNumberFormat="1" applyFill="1" applyBorder="1"/>
    <xf numFmtId="165" fontId="0" fillId="2" borderId="0" xfId="0" applyNumberFormat="1" applyFill="1" applyBorder="1"/>
    <xf numFmtId="165" fontId="0" fillId="0" borderId="0" xfId="1" applyNumberFormat="1" applyFont="1" applyFill="1" applyBorder="1"/>
    <xf numFmtId="0" fontId="3" fillId="2" borderId="17" xfId="0" applyFont="1" applyFill="1" applyBorder="1"/>
    <xf numFmtId="1" fontId="4" fillId="2" borderId="46" xfId="1" applyNumberFormat="1" applyFont="1" applyFill="1" applyBorder="1"/>
    <xf numFmtId="0" fontId="4" fillId="0" borderId="16" xfId="0" applyFont="1" applyFill="1" applyBorder="1" applyAlignment="1">
      <alignment wrapText="1"/>
    </xf>
    <xf numFmtId="165" fontId="0" fillId="2" borderId="26" xfId="1" applyNumberFormat="1" applyFont="1" applyFill="1" applyBorder="1"/>
    <xf numFmtId="9" fontId="0" fillId="0" borderId="0" xfId="0" applyNumberFormat="1" applyFont="1" applyFill="1" applyBorder="1"/>
    <xf numFmtId="0" fontId="0" fillId="2" borderId="50" xfId="0" applyFill="1" applyBorder="1"/>
    <xf numFmtId="0" fontId="4" fillId="2" borderId="51" xfId="0" applyFont="1" applyFill="1" applyBorder="1" applyAlignment="1">
      <alignment vertical="top" wrapText="1"/>
    </xf>
    <xf numFmtId="0" fontId="4" fillId="2" borderId="33" xfId="0" applyFont="1" applyFill="1" applyBorder="1" applyAlignment="1">
      <alignment vertical="top" wrapText="1"/>
    </xf>
    <xf numFmtId="0" fontId="4" fillId="2" borderId="52" xfId="0" applyFont="1" applyFill="1" applyBorder="1" applyAlignment="1">
      <alignment vertical="top" wrapText="1"/>
    </xf>
    <xf numFmtId="0" fontId="0" fillId="2" borderId="0" xfId="0" applyFill="1" applyAlignment="1">
      <alignment wrapText="1"/>
    </xf>
    <xf numFmtId="1" fontId="0" fillId="2" borderId="0" xfId="0" applyNumberFormat="1" applyFill="1" applyBorder="1" applyAlignment="1">
      <alignment horizontal="left"/>
    </xf>
    <xf numFmtId="0" fontId="8" fillId="2" borderId="0" xfId="0" applyFont="1" applyFill="1" applyBorder="1" applyAlignment="1">
      <alignment vertical="top" wrapText="1"/>
    </xf>
    <xf numFmtId="0" fontId="8" fillId="2" borderId="21" xfId="0" applyFont="1" applyFill="1" applyBorder="1" applyAlignment="1">
      <alignment vertical="top" wrapText="1"/>
    </xf>
    <xf numFmtId="0" fontId="4" fillId="2" borderId="10" xfId="0" applyFont="1" applyFill="1" applyBorder="1" applyAlignment="1">
      <alignment vertical="top"/>
    </xf>
    <xf numFmtId="0" fontId="0" fillId="2" borderId="0" xfId="0" applyFill="1" applyBorder="1" applyAlignment="1">
      <alignment horizontal="left" vertical="top" wrapText="1"/>
    </xf>
    <xf numFmtId="0" fontId="8" fillId="2" borderId="3" xfId="0" applyFont="1" applyFill="1" applyBorder="1"/>
    <xf numFmtId="11" fontId="0" fillId="0" borderId="39" xfId="0" applyNumberFormat="1" applyFill="1" applyBorder="1"/>
    <xf numFmtId="0" fontId="21" fillId="0" borderId="0" xfId="0" applyFont="1"/>
    <xf numFmtId="166" fontId="0" fillId="2" borderId="0" xfId="0" applyNumberFormat="1" applyFill="1" applyBorder="1" applyAlignment="1">
      <alignment horizontal="left"/>
    </xf>
    <xf numFmtId="0" fontId="4" fillId="2" borderId="1" xfId="0" applyFont="1" applyFill="1" applyBorder="1" applyAlignment="1">
      <alignment vertical="top"/>
    </xf>
    <xf numFmtId="0" fontId="23" fillId="2" borderId="6" xfId="0" applyFont="1" applyFill="1" applyBorder="1" applyAlignment="1">
      <alignment vertical="top"/>
    </xf>
    <xf numFmtId="0" fontId="23" fillId="2" borderId="4" xfId="0" applyFont="1" applyFill="1" applyBorder="1" applyAlignment="1">
      <alignment vertical="top"/>
    </xf>
    <xf numFmtId="0" fontId="23" fillId="2" borderId="4" xfId="0" applyFont="1" applyFill="1" applyBorder="1" applyAlignment="1"/>
    <xf numFmtId="0" fontId="0" fillId="2" borderId="7" xfId="0" applyFill="1" applyBorder="1" applyAlignment="1">
      <alignment horizontal="left"/>
    </xf>
    <xf numFmtId="0" fontId="24" fillId="2" borderId="7" xfId="0" applyFont="1" applyFill="1" applyBorder="1"/>
    <xf numFmtId="3" fontId="8" fillId="0" borderId="0" xfId="1" applyNumberFormat="1" applyFont="1" applyFill="1" applyBorder="1"/>
    <xf numFmtId="3" fontId="0" fillId="2" borderId="18" xfId="1" applyNumberFormat="1" applyFont="1" applyFill="1" applyBorder="1"/>
    <xf numFmtId="3" fontId="0" fillId="2" borderId="26" xfId="1" applyNumberFormat="1" applyFont="1" applyFill="1" applyBorder="1"/>
    <xf numFmtId="3" fontId="0" fillId="2" borderId="9" xfId="1" applyNumberFormat="1" applyFont="1" applyFill="1" applyBorder="1"/>
    <xf numFmtId="3" fontId="0" fillId="2" borderId="0" xfId="1" applyNumberFormat="1" applyFont="1" applyFill="1" applyBorder="1"/>
    <xf numFmtId="3" fontId="0" fillId="0" borderId="0" xfId="0" applyNumberFormat="1" applyFont="1" applyFill="1" applyBorder="1" applyAlignment="1">
      <alignment vertical="top" wrapText="1"/>
    </xf>
    <xf numFmtId="3" fontId="0" fillId="0" borderId="14" xfId="0" applyNumberFormat="1" applyFont="1" applyFill="1" applyBorder="1" applyAlignment="1">
      <alignment vertical="top" wrapText="1"/>
    </xf>
    <xf numFmtId="3" fontId="4" fillId="0" borderId="0" xfId="0" applyNumberFormat="1" applyFont="1" applyFill="1" applyBorder="1" applyAlignment="1">
      <alignment vertical="top" wrapText="1"/>
    </xf>
    <xf numFmtId="3" fontId="0" fillId="0" borderId="24" xfId="1" applyNumberFormat="1" applyFont="1" applyFill="1" applyBorder="1"/>
    <xf numFmtId="3" fontId="0" fillId="0" borderId="0" xfId="1" applyNumberFormat="1" applyFont="1" applyFill="1" applyBorder="1"/>
    <xf numFmtId="3" fontId="0" fillId="2" borderId="2" xfId="1" applyNumberFormat="1" applyFont="1" applyFill="1" applyBorder="1"/>
    <xf numFmtId="0" fontId="0" fillId="2" borderId="0" xfId="0" applyFill="1" applyBorder="1" applyAlignment="1">
      <alignment horizontal="left"/>
    </xf>
    <xf numFmtId="0" fontId="0" fillId="2" borderId="0" xfId="0" applyFill="1" applyBorder="1" applyAlignment="1">
      <alignment horizontal="center"/>
    </xf>
    <xf numFmtId="0" fontId="0" fillId="2" borderId="0" xfId="0" applyFill="1" applyAlignment="1">
      <alignment horizontal="left"/>
    </xf>
    <xf numFmtId="0" fontId="0" fillId="2" borderId="11" xfId="0" applyFill="1" applyBorder="1" applyAlignment="1">
      <alignment horizontal="left"/>
    </xf>
    <xf numFmtId="0" fontId="4" fillId="2" borderId="0" xfId="0" applyFont="1" applyFill="1" applyBorder="1" applyAlignment="1">
      <alignment horizontal="left"/>
    </xf>
    <xf numFmtId="0" fontId="0" fillId="2" borderId="18" xfId="0" applyFill="1" applyBorder="1" applyAlignment="1">
      <alignment horizontal="left"/>
    </xf>
    <xf numFmtId="0" fontId="7" fillId="2" borderId="0" xfId="0" applyFont="1" applyFill="1" applyBorder="1" applyAlignment="1">
      <alignment horizontal="left"/>
    </xf>
    <xf numFmtId="0" fontId="23" fillId="2" borderId="1" xfId="0" applyFont="1" applyFill="1" applyBorder="1"/>
    <xf numFmtId="0" fontId="23" fillId="2" borderId="3" xfId="0" applyFont="1" applyFill="1" applyBorder="1"/>
    <xf numFmtId="0" fontId="23" fillId="2" borderId="4" xfId="0" applyFont="1" applyFill="1" applyBorder="1"/>
    <xf numFmtId="0" fontId="23" fillId="2" borderId="5" xfId="0" applyFont="1" applyFill="1" applyBorder="1"/>
    <xf numFmtId="0" fontId="25" fillId="2" borderId="6" xfId="0" applyFont="1" applyFill="1" applyBorder="1"/>
    <xf numFmtId="0" fontId="25" fillId="2" borderId="8" xfId="0" applyFont="1" applyFill="1" applyBorder="1"/>
    <xf numFmtId="1" fontId="23" fillId="2" borderId="5" xfId="0" applyNumberFormat="1" applyFont="1" applyFill="1" applyBorder="1"/>
    <xf numFmtId="0" fontId="23" fillId="2" borderId="4" xfId="0" applyFont="1" applyFill="1" applyBorder="1" applyAlignment="1">
      <alignment wrapText="1"/>
    </xf>
    <xf numFmtId="0" fontId="0" fillId="2" borderId="28" xfId="0" applyFill="1" applyBorder="1"/>
    <xf numFmtId="9" fontId="0" fillId="2" borderId="39" xfId="1" applyFont="1" applyFill="1" applyBorder="1"/>
    <xf numFmtId="0" fontId="26" fillId="0" borderId="0" xfId="0" applyFont="1"/>
    <xf numFmtId="0" fontId="8" fillId="0" borderId="0" xfId="0" applyFont="1" applyBorder="1"/>
    <xf numFmtId="9" fontId="4" fillId="2" borderId="19" xfId="1" applyFont="1" applyFill="1" applyBorder="1"/>
    <xf numFmtId="9" fontId="10" fillId="8" borderId="18" xfId="0" applyNumberFormat="1" applyFont="1" applyFill="1" applyBorder="1"/>
    <xf numFmtId="165" fontId="4" fillId="0" borderId="24" xfId="1" applyNumberFormat="1" applyFont="1" applyFill="1" applyBorder="1"/>
    <xf numFmtId="165" fontId="4" fillId="0" borderId="0" xfId="1" applyNumberFormat="1" applyFont="1" applyFill="1" applyBorder="1"/>
    <xf numFmtId="165" fontId="4" fillId="2" borderId="0" xfId="0" applyNumberFormat="1" applyFont="1" applyFill="1" applyBorder="1"/>
    <xf numFmtId="165" fontId="4" fillId="0" borderId="0" xfId="0" applyNumberFormat="1" applyFont="1" applyFill="1" applyBorder="1"/>
    <xf numFmtId="165" fontId="15" fillId="0" borderId="14" xfId="1" applyNumberFormat="1" applyFont="1" applyFill="1" applyBorder="1"/>
    <xf numFmtId="165" fontId="4" fillId="2" borderId="14" xfId="1" applyNumberFormat="1" applyFont="1" applyFill="1" applyBorder="1"/>
    <xf numFmtId="165" fontId="0" fillId="2" borderId="2" xfId="1" applyNumberFormat="1" applyFont="1" applyFill="1" applyBorder="1"/>
    <xf numFmtId="165" fontId="4" fillId="2" borderId="44" xfId="1" applyNumberFormat="1" applyFont="1" applyFill="1" applyBorder="1"/>
    <xf numFmtId="165" fontId="15" fillId="2" borderId="14" xfId="1" applyNumberFormat="1" applyFont="1" applyFill="1" applyBorder="1"/>
    <xf numFmtId="165" fontId="15" fillId="2" borderId="19" xfId="1" applyNumberFormat="1" applyFont="1" applyFill="1" applyBorder="1"/>
    <xf numFmtId="165" fontId="4" fillId="0" borderId="14" xfId="1" applyNumberFormat="1" applyFont="1" applyFill="1" applyBorder="1"/>
    <xf numFmtId="0" fontId="0" fillId="0" borderId="25" xfId="0" applyFill="1" applyBorder="1" applyAlignment="1">
      <alignment wrapText="1"/>
    </xf>
    <xf numFmtId="3" fontId="0" fillId="0" borderId="0" xfId="0" applyNumberFormat="1" applyFont="1" applyFill="1" applyBorder="1"/>
    <xf numFmtId="0" fontId="7" fillId="2" borderId="0" xfId="0" applyFont="1" applyFill="1" applyBorder="1" applyAlignment="1">
      <alignment horizontal="left" indent="1"/>
    </xf>
    <xf numFmtId="0" fontId="27" fillId="2" borderId="1" xfId="0" applyFont="1" applyFill="1" applyBorder="1"/>
    <xf numFmtId="0" fontId="8" fillId="2" borderId="4" xfId="0" applyFont="1" applyFill="1" applyBorder="1"/>
    <xf numFmtId="0" fontId="8" fillId="2" borderId="5" xfId="0" applyFont="1" applyFill="1" applyBorder="1"/>
    <xf numFmtId="0" fontId="8" fillId="2" borderId="6" xfId="0" applyFont="1" applyFill="1" applyBorder="1"/>
    <xf numFmtId="3" fontId="8" fillId="2" borderId="8" xfId="0" applyNumberFormat="1" applyFont="1" applyFill="1" applyBorder="1"/>
    <xf numFmtId="0" fontId="0" fillId="2" borderId="49" xfId="0" applyFill="1" applyBorder="1"/>
    <xf numFmtId="0" fontId="4" fillId="0" borderId="29" xfId="0" applyFont="1" applyFill="1" applyBorder="1" applyAlignment="1">
      <alignment vertical="top" wrapText="1"/>
    </xf>
    <xf numFmtId="0" fontId="4" fillId="2" borderId="37" xfId="0" applyFont="1" applyFill="1" applyBorder="1" applyAlignment="1">
      <alignment vertical="top" wrapText="1"/>
    </xf>
    <xf numFmtId="3" fontId="28" fillId="0" borderId="37" xfId="0" applyNumberFormat="1" applyFont="1" applyFill="1" applyBorder="1" applyAlignment="1">
      <alignment vertical="top"/>
    </xf>
    <xf numFmtId="3" fontId="8" fillId="0" borderId="14" xfId="0" applyNumberFormat="1" applyFont="1" applyFill="1" applyBorder="1" applyAlignment="1">
      <alignment vertical="top"/>
    </xf>
    <xf numFmtId="0" fontId="8" fillId="2" borderId="0" xfId="0" applyFont="1" applyFill="1" applyBorder="1"/>
    <xf numFmtId="1" fontId="8" fillId="2" borderId="0" xfId="0" applyNumberFormat="1" applyFont="1" applyFill="1" applyBorder="1"/>
    <xf numFmtId="0" fontId="28" fillId="2" borderId="19" xfId="0" applyFont="1" applyFill="1" applyBorder="1" applyAlignment="1">
      <alignment horizontal="right"/>
    </xf>
    <xf numFmtId="0" fontId="27" fillId="2" borderId="42" xfId="0" applyFont="1" applyFill="1" applyBorder="1" applyAlignment="1">
      <alignment horizontal="right"/>
    </xf>
    <xf numFmtId="0" fontId="10" fillId="8" borderId="0" xfId="0" applyFont="1" applyFill="1"/>
    <xf numFmtId="0" fontId="4" fillId="2" borderId="11" xfId="0" applyFont="1" applyFill="1" applyBorder="1" applyAlignment="1">
      <alignment vertical="top"/>
    </xf>
    <xf numFmtId="0" fontId="15" fillId="8" borderId="0" xfId="0" applyFont="1" applyFill="1" applyBorder="1"/>
    <xf numFmtId="0" fontId="10" fillId="8" borderId="2" xfId="0" applyFont="1" applyFill="1" applyBorder="1"/>
    <xf numFmtId="0" fontId="0" fillId="2" borderId="0" xfId="0" applyFont="1" applyFill="1" applyBorder="1"/>
    <xf numFmtId="0" fontId="10" fillId="3" borderId="0" xfId="0" applyFont="1" applyFill="1" applyBorder="1"/>
    <xf numFmtId="0" fontId="29" fillId="8" borderId="20" xfId="0" applyFont="1" applyFill="1" applyBorder="1"/>
    <xf numFmtId="0" fontId="29" fillId="8" borderId="13" xfId="0" applyFont="1" applyFill="1" applyBorder="1"/>
    <xf numFmtId="0" fontId="29" fillId="3" borderId="13" xfId="0" applyFont="1" applyFill="1" applyBorder="1"/>
    <xf numFmtId="0" fontId="29" fillId="8" borderId="17" xfId="0" applyFont="1" applyFill="1" applyBorder="1"/>
    <xf numFmtId="0" fontId="4" fillId="2" borderId="28" xfId="0" applyFont="1" applyFill="1" applyBorder="1" applyAlignment="1">
      <alignment vertical="top"/>
    </xf>
    <xf numFmtId="167" fontId="0" fillId="0" borderId="0" xfId="0" applyNumberFormat="1"/>
    <xf numFmtId="165" fontId="15" fillId="8" borderId="0" xfId="0" applyNumberFormat="1" applyFont="1" applyFill="1" applyBorder="1"/>
    <xf numFmtId="0" fontId="10" fillId="8" borderId="14" xfId="0" applyFont="1" applyFill="1" applyBorder="1"/>
    <xf numFmtId="2" fontId="10" fillId="0" borderId="0" xfId="0" applyNumberFormat="1" applyFont="1" applyBorder="1"/>
    <xf numFmtId="165" fontId="15" fillId="0" borderId="0" xfId="1" applyNumberFormat="1" applyFont="1" applyBorder="1"/>
    <xf numFmtId="0" fontId="10" fillId="8" borderId="7" xfId="0" applyFont="1" applyFill="1" applyBorder="1"/>
    <xf numFmtId="165" fontId="10" fillId="8" borderId="7" xfId="0" applyNumberFormat="1" applyFont="1" applyFill="1" applyBorder="1"/>
    <xf numFmtId="165" fontId="15" fillId="8" borderId="7" xfId="0" applyNumberFormat="1" applyFont="1" applyFill="1" applyBorder="1"/>
    <xf numFmtId="0" fontId="10" fillId="8" borderId="16" xfId="0" applyFont="1" applyFill="1" applyBorder="1"/>
    <xf numFmtId="165" fontId="0" fillId="2" borderId="7" xfId="0" applyNumberFormat="1" applyFill="1" applyBorder="1"/>
    <xf numFmtId="165" fontId="4" fillId="2" borderId="7" xfId="0" applyNumberFormat="1" applyFont="1" applyFill="1" applyBorder="1"/>
    <xf numFmtId="0" fontId="0" fillId="2" borderId="16" xfId="0" applyFill="1" applyBorder="1"/>
    <xf numFmtId="0" fontId="29" fillId="8" borderId="15" xfId="0" applyFont="1" applyFill="1" applyBorder="1"/>
    <xf numFmtId="165" fontId="10" fillId="0" borderId="0" xfId="0" applyNumberFormat="1" applyFont="1" applyBorder="1"/>
    <xf numFmtId="0" fontId="4" fillId="2" borderId="0" xfId="0" applyFont="1" applyFill="1" applyBorder="1" applyAlignment="1">
      <alignment wrapText="1"/>
    </xf>
    <xf numFmtId="165" fontId="0" fillId="0" borderId="2" xfId="0" applyNumberFormat="1" applyFill="1" applyBorder="1"/>
    <xf numFmtId="0" fontId="0" fillId="5" borderId="25" xfId="0" applyFill="1" applyBorder="1"/>
    <xf numFmtId="0" fontId="9" fillId="2" borderId="17" xfId="0" applyFont="1" applyFill="1" applyBorder="1"/>
    <xf numFmtId="0" fontId="9" fillId="2" borderId="10" xfId="0" applyFont="1" applyFill="1" applyBorder="1"/>
    <xf numFmtId="0" fontId="0" fillId="2" borderId="1" xfId="0" applyFill="1" applyBorder="1"/>
    <xf numFmtId="166" fontId="10" fillId="0" borderId="4" xfId="0" applyNumberFormat="1" applyFont="1" applyFill="1" applyBorder="1" applyAlignment="1">
      <alignment horizontal="left" vertical="top"/>
    </xf>
    <xf numFmtId="166" fontId="0" fillId="0" borderId="4" xfId="0" applyNumberFormat="1" applyFill="1" applyBorder="1" applyAlignment="1">
      <alignment horizontal="left" vertical="top"/>
    </xf>
    <xf numFmtId="166" fontId="0" fillId="0" borderId="6" xfId="0" applyNumberFormat="1" applyFill="1" applyBorder="1" applyAlignment="1">
      <alignment horizontal="left" vertical="top"/>
    </xf>
    <xf numFmtId="0" fontId="0" fillId="2" borderId="0" xfId="0" applyFill="1" applyAlignment="1">
      <alignment vertical="top"/>
    </xf>
    <xf numFmtId="2" fontId="0" fillId="0" borderId="5" xfId="0" applyNumberFormat="1" applyFill="1" applyBorder="1" applyAlignment="1">
      <alignment vertical="top"/>
    </xf>
    <xf numFmtId="0" fontId="0" fillId="0" borderId="5" xfId="0" applyFill="1" applyBorder="1" applyAlignment="1">
      <alignment vertical="top"/>
    </xf>
    <xf numFmtId="0" fontId="0" fillId="0" borderId="8" xfId="0" applyFill="1" applyBorder="1" applyAlignment="1">
      <alignment vertical="top"/>
    </xf>
    <xf numFmtId="0" fontId="10" fillId="0" borderId="0" xfId="0" applyFont="1" applyBorder="1"/>
    <xf numFmtId="0" fontId="30" fillId="0" borderId="0" xfId="0" applyFont="1"/>
    <xf numFmtId="2" fontId="0" fillId="2" borderId="0" xfId="1" applyNumberFormat="1" applyFont="1" applyFill="1" applyBorder="1"/>
    <xf numFmtId="0" fontId="0" fillId="2" borderId="24" xfId="0" applyFill="1" applyBorder="1" applyAlignment="1">
      <alignment wrapText="1"/>
    </xf>
    <xf numFmtId="165" fontId="8" fillId="2" borderId="23" xfId="0" applyNumberFormat="1" applyFont="1" applyFill="1" applyBorder="1"/>
    <xf numFmtId="0" fontId="4" fillId="0" borderId="21" xfId="0" applyFont="1" applyFill="1" applyBorder="1"/>
    <xf numFmtId="0" fontId="4" fillId="2" borderId="7" xfId="0" applyFont="1" applyFill="1" applyBorder="1"/>
    <xf numFmtId="0" fontId="4" fillId="2" borderId="7" xfId="0" applyFont="1" applyFill="1" applyBorder="1" applyAlignment="1">
      <alignment horizontal="left"/>
    </xf>
    <xf numFmtId="0" fontId="4" fillId="2" borderId="8" xfId="0" applyFont="1" applyFill="1" applyBorder="1"/>
    <xf numFmtId="0" fontId="0" fillId="2" borderId="21" xfId="0" applyFont="1" applyFill="1" applyBorder="1"/>
    <xf numFmtId="0" fontId="8" fillId="2" borderId="33" xfId="0" quotePrefix="1" applyFont="1" applyFill="1" applyBorder="1"/>
    <xf numFmtId="0" fontId="8" fillId="2" borderId="33" xfId="0" applyFont="1" applyFill="1" applyBorder="1"/>
    <xf numFmtId="0" fontId="8" fillId="2" borderId="7" xfId="0" applyFont="1" applyFill="1" applyBorder="1" applyAlignment="1">
      <alignment horizontal="left"/>
    </xf>
    <xf numFmtId="0" fontId="4" fillId="2" borderId="51" xfId="0" applyFont="1" applyFill="1" applyBorder="1"/>
    <xf numFmtId="0" fontId="0" fillId="2" borderId="33" xfId="0" applyFill="1" applyBorder="1"/>
    <xf numFmtId="0" fontId="14" fillId="2" borderId="53" xfId="0" quotePrefix="1" applyFont="1" applyFill="1" applyBorder="1"/>
    <xf numFmtId="0" fontId="8" fillId="2" borderId="54" xfId="0" applyFont="1" applyFill="1" applyBorder="1"/>
    <xf numFmtId="0" fontId="0" fillId="2" borderId="43" xfId="0" applyFill="1" applyBorder="1" applyAlignment="1"/>
    <xf numFmtId="0" fontId="0" fillId="2" borderId="11" xfId="0" applyFill="1" applyBorder="1" applyAlignment="1"/>
    <xf numFmtId="0" fontId="4" fillId="2" borderId="13" xfId="0" applyFont="1" applyFill="1" applyBorder="1" applyAlignment="1">
      <alignment wrapText="1"/>
    </xf>
    <xf numFmtId="0" fontId="8" fillId="2" borderId="3" xfId="0" applyFont="1" applyFill="1" applyBorder="1" applyAlignment="1">
      <alignment horizontal="left"/>
    </xf>
    <xf numFmtId="0" fontId="8" fillId="8" borderId="6" xfId="0" applyFont="1" applyFill="1" applyBorder="1" applyAlignment="1">
      <alignment horizontal="left"/>
    </xf>
    <xf numFmtId="0" fontId="0" fillId="2" borderId="12" xfId="0" applyFill="1" applyBorder="1" applyAlignment="1"/>
    <xf numFmtId="0" fontId="14" fillId="2" borderId="4" xfId="0" applyFont="1" applyFill="1" applyBorder="1" applyAlignment="1">
      <alignment vertical="center" wrapText="1"/>
    </xf>
    <xf numFmtId="0" fontId="14" fillId="2" borderId="0" xfId="0" applyFont="1" applyFill="1" applyBorder="1" applyAlignment="1">
      <alignment vertical="center" wrapText="1"/>
    </xf>
    <xf numFmtId="2" fontId="14" fillId="2" borderId="14" xfId="0" applyNumberFormat="1" applyFont="1" applyFill="1" applyBorder="1" applyAlignment="1">
      <alignment vertical="center" wrapText="1"/>
    </xf>
    <xf numFmtId="0" fontId="4" fillId="2" borderId="1" xfId="0" applyFont="1" applyFill="1" applyBorder="1" applyAlignment="1"/>
    <xf numFmtId="0" fontId="0" fillId="2" borderId="2" xfId="0" applyFill="1" applyBorder="1" applyAlignment="1"/>
    <xf numFmtId="0" fontId="0" fillId="2" borderId="3" xfId="0" applyFill="1" applyBorder="1" applyAlignment="1"/>
    <xf numFmtId="2" fontId="0" fillId="2" borderId="0" xfId="0" applyNumberFormat="1" applyFill="1" applyBorder="1"/>
    <xf numFmtId="0" fontId="0" fillId="2" borderId="4" xfId="0" applyFill="1" applyBorder="1" applyAlignment="1"/>
    <xf numFmtId="0" fontId="0" fillId="2" borderId="0" xfId="0" applyFill="1" applyBorder="1" applyAlignment="1"/>
    <xf numFmtId="0" fontId="0" fillId="2" borderId="4" xfId="0" applyFill="1" applyBorder="1" applyAlignment="1">
      <alignment horizontal="left"/>
    </xf>
    <xf numFmtId="0" fontId="4" fillId="2" borderId="4" xfId="0" applyFont="1" applyFill="1" applyBorder="1" applyAlignment="1">
      <alignment vertical="top" wrapText="1"/>
    </xf>
    <xf numFmtId="0" fontId="0" fillId="0" borderId="4" xfId="0" applyFill="1" applyBorder="1"/>
    <xf numFmtId="0" fontId="0" fillId="2" borderId="48" xfId="0" applyFill="1" applyBorder="1"/>
    <xf numFmtId="0" fontId="8" fillId="8" borderId="1" xfId="0" applyFont="1" applyFill="1" applyBorder="1" applyAlignment="1">
      <alignment horizontal="left"/>
    </xf>
    <xf numFmtId="0" fontId="28" fillId="2" borderId="4" xfId="0" applyFont="1" applyFill="1" applyBorder="1" applyAlignment="1">
      <alignment vertical="top" wrapText="1"/>
    </xf>
    <xf numFmtId="2" fontId="8" fillId="2" borderId="14" xfId="0" applyNumberFormat="1" applyFont="1" applyFill="1" applyBorder="1"/>
    <xf numFmtId="2" fontId="8" fillId="2" borderId="0" xfId="0" applyNumberFormat="1" applyFont="1" applyFill="1"/>
    <xf numFmtId="0" fontId="8" fillId="2" borderId="48" xfId="0" applyFont="1" applyFill="1" applyBorder="1"/>
    <xf numFmtId="0" fontId="8" fillId="2" borderId="18" xfId="0" applyFont="1" applyFill="1" applyBorder="1"/>
    <xf numFmtId="2" fontId="8" fillId="2" borderId="19" xfId="1" applyNumberFormat="1" applyFont="1" applyFill="1" applyBorder="1"/>
    <xf numFmtId="0" fontId="31" fillId="2" borderId="0" xfId="0" applyFont="1" applyFill="1"/>
    <xf numFmtId="164" fontId="0" fillId="0" borderId="0" xfId="0" applyNumberFormat="1" applyFill="1" applyBorder="1"/>
    <xf numFmtId="164" fontId="0" fillId="2" borderId="0" xfId="0" applyNumberFormat="1" applyFill="1"/>
    <xf numFmtId="164" fontId="0" fillId="2" borderId="0" xfId="0" applyNumberFormat="1" applyFill="1" applyBorder="1"/>
    <xf numFmtId="164" fontId="0" fillId="2" borderId="2" xfId="0" applyNumberFormat="1" applyFill="1" applyBorder="1"/>
    <xf numFmtId="164" fontId="0" fillId="2" borderId="7" xfId="0" applyNumberFormat="1" applyFill="1" applyBorder="1"/>
    <xf numFmtId="2" fontId="8" fillId="2" borderId="0" xfId="0" applyNumberFormat="1" applyFont="1" applyFill="1" applyBorder="1"/>
    <xf numFmtId="2" fontId="14" fillId="2" borderId="14" xfId="1" applyNumberFormat="1" applyFont="1" applyFill="1" applyBorder="1"/>
    <xf numFmtId="2" fontId="8" fillId="2" borderId="2" xfId="0" applyNumberFormat="1" applyFont="1" applyFill="1" applyBorder="1"/>
    <xf numFmtId="2" fontId="14" fillId="2" borderId="44" xfId="1" applyNumberFormat="1" applyFont="1" applyFill="1" applyBorder="1"/>
    <xf numFmtId="2" fontId="8" fillId="2" borderId="7" xfId="0" applyNumberFormat="1" applyFont="1" applyFill="1" applyBorder="1"/>
    <xf numFmtId="2" fontId="14" fillId="2" borderId="16" xfId="1" applyNumberFormat="1" applyFont="1" applyFill="1" applyBorder="1"/>
    <xf numFmtId="165" fontId="8" fillId="2" borderId="4" xfId="1" applyNumberFormat="1" applyFont="1" applyFill="1" applyBorder="1"/>
    <xf numFmtId="165" fontId="8" fillId="2" borderId="1" xfId="1" applyNumberFormat="1" applyFont="1" applyFill="1" applyBorder="1"/>
    <xf numFmtId="165" fontId="8" fillId="2" borderId="6" xfId="1" applyNumberFormat="1" applyFont="1" applyFill="1" applyBorder="1"/>
    <xf numFmtId="165" fontId="28" fillId="2" borderId="4" xfId="1" applyNumberFormat="1" applyFont="1" applyFill="1" applyBorder="1"/>
    <xf numFmtId="166" fontId="10" fillId="0" borderId="4" xfId="0" applyNumberFormat="1" applyFont="1" applyBorder="1" applyAlignment="1">
      <alignment horizontal="left" vertical="center"/>
    </xf>
    <xf numFmtId="0" fontId="10" fillId="0" borderId="0" xfId="0" applyFont="1" applyAlignment="1">
      <alignment wrapText="1"/>
    </xf>
    <xf numFmtId="0" fontId="4" fillId="0" borderId="4" xfId="0" applyFont="1" applyFill="1" applyBorder="1"/>
    <xf numFmtId="0" fontId="0" fillId="10" borderId="45" xfId="0" applyFill="1" applyBorder="1" applyAlignment="1">
      <alignment horizontal="center"/>
    </xf>
    <xf numFmtId="3" fontId="0" fillId="2" borderId="45" xfId="0" applyNumberFormat="1" applyFill="1" applyBorder="1"/>
    <xf numFmtId="3" fontId="0" fillId="2" borderId="23" xfId="0" applyNumberFormat="1" applyFill="1" applyBorder="1"/>
    <xf numFmtId="3" fontId="1" fillId="2" borderId="0" xfId="1" applyNumberFormat="1" applyFont="1" applyFill="1" applyBorder="1"/>
    <xf numFmtId="3" fontId="8" fillId="2" borderId="0" xfId="1" applyNumberFormat="1" applyFont="1" applyFill="1" applyBorder="1"/>
    <xf numFmtId="0" fontId="0" fillId="2" borderId="0" xfId="0" applyFont="1" applyFill="1" applyBorder="1" applyAlignment="1">
      <alignment wrapText="1"/>
    </xf>
    <xf numFmtId="0" fontId="0" fillId="2" borderId="0" xfId="0" applyFill="1" applyBorder="1" applyAlignment="1">
      <alignment horizontal="left" indent="2"/>
    </xf>
    <xf numFmtId="9" fontId="0" fillId="10" borderId="23" xfId="1" applyFont="1" applyFill="1" applyBorder="1" applyAlignment="1">
      <alignment horizontal="center"/>
    </xf>
    <xf numFmtId="0" fontId="0" fillId="10" borderId="23" xfId="0" applyFill="1" applyBorder="1" applyAlignment="1">
      <alignment horizontal="center"/>
    </xf>
    <xf numFmtId="0" fontId="0" fillId="2" borderId="22" xfId="0" applyFill="1" applyBorder="1" applyAlignment="1">
      <alignment wrapText="1"/>
    </xf>
    <xf numFmtId="3" fontId="0" fillId="0" borderId="0" xfId="0" applyNumberFormat="1" applyFont="1" applyFill="1" applyBorder="1" applyAlignment="1">
      <alignment horizontal="right"/>
    </xf>
    <xf numFmtId="3" fontId="0" fillId="0" borderId="14" xfId="0" applyNumberFormat="1" applyFont="1" applyFill="1" applyBorder="1"/>
    <xf numFmtId="3" fontId="0" fillId="2" borderId="0" xfId="0" applyNumberFormat="1" applyFont="1" applyFill="1" applyBorder="1"/>
    <xf numFmtId="3" fontId="0" fillId="2" borderId="14" xfId="0" applyNumberFormat="1" applyFont="1" applyFill="1" applyBorder="1"/>
    <xf numFmtId="3" fontId="0" fillId="2" borderId="2" xfId="0" applyNumberFormat="1" applyFont="1" applyFill="1" applyBorder="1"/>
    <xf numFmtId="3" fontId="0" fillId="2" borderId="44" xfId="0" applyNumberFormat="1" applyFont="1" applyFill="1" applyBorder="1"/>
    <xf numFmtId="3" fontId="0" fillId="2" borderId="7" xfId="0" applyNumberFormat="1" applyFont="1" applyFill="1" applyBorder="1"/>
    <xf numFmtId="3" fontId="0" fillId="2" borderId="16" xfId="0" applyNumberFormat="1" applyFont="1" applyFill="1" applyBorder="1"/>
    <xf numFmtId="3" fontId="0" fillId="0" borderId="14" xfId="0" applyNumberFormat="1" applyFont="1" applyFill="1" applyBorder="1" applyAlignment="1">
      <alignment horizontal="right"/>
    </xf>
    <xf numFmtId="3" fontId="4" fillId="2" borderId="18" xfId="0" applyNumberFormat="1" applyFont="1" applyFill="1" applyBorder="1"/>
    <xf numFmtId="3" fontId="4" fillId="2" borderId="19" xfId="0" applyNumberFormat="1" applyFont="1" applyFill="1" applyBorder="1"/>
    <xf numFmtId="49" fontId="0" fillId="2" borderId="0" xfId="0" applyNumberFormat="1" applyFill="1" applyAlignment="1">
      <alignment wrapText="1"/>
    </xf>
    <xf numFmtId="0" fontId="0" fillId="2" borderId="24" xfId="0" applyFont="1" applyFill="1" applyBorder="1"/>
    <xf numFmtId="0" fontId="0" fillId="2" borderId="20" xfId="0" applyFill="1" applyBorder="1"/>
    <xf numFmtId="3" fontId="0" fillId="2" borderId="0" xfId="0" applyNumberFormat="1" applyFont="1" applyFill="1" applyBorder="1" applyAlignment="1">
      <alignment vertical="top" wrapText="1"/>
    </xf>
    <xf numFmtId="3" fontId="0" fillId="2" borderId="14" xfId="0" applyNumberFormat="1" applyFont="1" applyFill="1" applyBorder="1" applyAlignment="1">
      <alignment vertical="top" wrapText="1"/>
    </xf>
    <xf numFmtId="3" fontId="0" fillId="14" borderId="23" xfId="0" applyNumberFormat="1" applyFill="1" applyBorder="1" applyAlignment="1">
      <alignment horizontal="center"/>
    </xf>
    <xf numFmtId="9" fontId="0" fillId="15" borderId="5" xfId="0" applyNumberFormat="1" applyFill="1" applyBorder="1"/>
    <xf numFmtId="3" fontId="0" fillId="15" borderId="0" xfId="0" applyNumberFormat="1" applyFont="1" applyFill="1" applyBorder="1"/>
    <xf numFmtId="3" fontId="0" fillId="15" borderId="14" xfId="0" applyNumberFormat="1" applyFont="1" applyFill="1" applyBorder="1"/>
    <xf numFmtId="3" fontId="0" fillId="0" borderId="0" xfId="0" applyNumberFormat="1" applyFont="1" applyFill="1" applyBorder="1" applyAlignment="1">
      <alignment horizontal="center"/>
    </xf>
    <xf numFmtId="3" fontId="0" fillId="0" borderId="14" xfId="0" applyNumberFormat="1" applyFont="1" applyFill="1" applyBorder="1" applyAlignment="1">
      <alignment horizontal="center"/>
    </xf>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7" xfId="0" applyFill="1" applyBorder="1" applyAlignment="1">
      <alignment horizontal="left" vertical="top" wrapText="1"/>
    </xf>
    <xf numFmtId="0" fontId="0" fillId="2" borderId="6" xfId="0" applyFill="1"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4" fillId="0" borderId="14" xfId="0" applyFont="1" applyFill="1" applyBorder="1" applyAlignment="1">
      <alignment horizontal="center" wrapText="1"/>
    </xf>
  </cellXfs>
  <cellStyles count="139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Normal" xfId="0" builtinId="0"/>
    <cellStyle name="Percent" xfId="1" builtinId="5"/>
  </cellStyles>
  <dxfs count="1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auto="1"/>
      </font>
      <fill>
        <patternFill patternType="none">
          <fgColor indexed="64"/>
          <bgColor auto="1"/>
        </patternFill>
      </fill>
    </dxf>
    <dxf>
      <font>
        <color rgb="FF9C0006"/>
      </font>
      <fill>
        <patternFill>
          <bgColor rgb="FFFFC7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12700</xdr:colOff>
      <xdr:row>7</xdr:row>
      <xdr:rowOff>0</xdr:rowOff>
    </xdr:from>
    <xdr:to>
      <xdr:col>75</xdr:col>
      <xdr:colOff>0</xdr:colOff>
      <xdr:row>47</xdr:row>
      <xdr:rowOff>127000</xdr:rowOff>
    </xdr:to>
    <xdr:sp macro="" textlink="">
      <xdr:nvSpPr>
        <xdr:cNvPr id="52" name="L-Shape 51">
          <a:extLst>
            <a:ext uri="{FF2B5EF4-FFF2-40B4-BE49-F238E27FC236}">
              <a16:creationId xmlns:a16="http://schemas.microsoft.com/office/drawing/2014/main" id="{00000000-0008-0000-0400-000034000000}"/>
            </a:ext>
          </a:extLst>
        </xdr:cNvPr>
        <xdr:cNvSpPr/>
      </xdr:nvSpPr>
      <xdr:spPr>
        <a:xfrm>
          <a:off x="2171700" y="1663700"/>
          <a:ext cx="14020800" cy="7747000"/>
        </a:xfrm>
        <a:prstGeom prst="corner">
          <a:avLst>
            <a:gd name="adj1" fmla="val 9569"/>
            <a:gd name="adj2" fmla="val 25924"/>
          </a:avLst>
        </a:prstGeom>
        <a:solidFill>
          <a:srgbClr val="CDB236">
            <a:alpha val="51000"/>
          </a:srgbClr>
        </a:solidFill>
        <a:ln>
          <a:solidFill>
            <a:schemeClr val="accent2"/>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67</xdr:col>
      <xdr:colOff>0</xdr:colOff>
      <xdr:row>7</xdr:row>
      <xdr:rowOff>0</xdr:rowOff>
    </xdr:from>
    <xdr:to>
      <xdr:col>75</xdr:col>
      <xdr:colOff>0</xdr:colOff>
      <xdr:row>42</xdr:row>
      <xdr:rowOff>114300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14465300" y="1816100"/>
          <a:ext cx="1727200" cy="67818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21</xdr:col>
      <xdr:colOff>0</xdr:colOff>
      <xdr:row>7</xdr:row>
      <xdr:rowOff>0</xdr:rowOff>
    </xdr:from>
    <xdr:to>
      <xdr:col>65</xdr:col>
      <xdr:colOff>12700</xdr:colOff>
      <xdr:row>42</xdr:row>
      <xdr:rowOff>177800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4533900" y="1816100"/>
          <a:ext cx="9512300" cy="68453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10</xdr:col>
      <xdr:colOff>152400</xdr:colOff>
      <xdr:row>21</xdr:row>
      <xdr:rowOff>0</xdr:rowOff>
    </xdr:from>
    <xdr:to>
      <xdr:col>18</xdr:col>
      <xdr:colOff>152400</xdr:colOff>
      <xdr:row>42</xdr:row>
      <xdr:rowOff>114300</xdr:rowOff>
    </xdr:to>
    <xdr:sp macro="" textlink="">
      <xdr:nvSpPr>
        <xdr:cNvPr id="4" name="Rectangle 3">
          <a:extLst>
            <a:ext uri="{FF2B5EF4-FFF2-40B4-BE49-F238E27FC236}">
              <a16:creationId xmlns:a16="http://schemas.microsoft.com/office/drawing/2014/main" id="{00000000-0008-0000-0400-000004000000}"/>
            </a:ext>
          </a:extLst>
        </xdr:cNvPr>
        <xdr:cNvSpPr/>
      </xdr:nvSpPr>
      <xdr:spPr>
        <a:xfrm>
          <a:off x="2311400" y="4330700"/>
          <a:ext cx="1727200" cy="41148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0</xdr:colOff>
      <xdr:row>24</xdr:row>
      <xdr:rowOff>88900</xdr:rowOff>
    </xdr:from>
    <xdr:to>
      <xdr:col>9</xdr:col>
      <xdr:colOff>0</xdr:colOff>
      <xdr:row>47</xdr:row>
      <xdr:rowOff>114300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215900" y="4991100"/>
          <a:ext cx="1727200" cy="44069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7</xdr:row>
      <xdr:rowOff>12700</xdr:rowOff>
    </xdr:from>
    <xdr:to>
      <xdr:col>9</xdr:col>
      <xdr:colOff>0</xdr:colOff>
      <xdr:row>23</xdr:row>
      <xdr:rowOff>0</xdr:rowOff>
    </xdr:to>
    <xdr:sp macro="" textlink="">
      <xdr:nvSpPr>
        <xdr:cNvPr id="6" name="Rectangle 5">
          <a:extLst>
            <a:ext uri="{FF2B5EF4-FFF2-40B4-BE49-F238E27FC236}">
              <a16:creationId xmlns:a16="http://schemas.microsoft.com/office/drawing/2014/main" id="{00000000-0008-0000-0400-000006000000}"/>
            </a:ext>
          </a:extLst>
        </xdr:cNvPr>
        <xdr:cNvSpPr/>
      </xdr:nvSpPr>
      <xdr:spPr>
        <a:xfrm>
          <a:off x="228600" y="1676400"/>
          <a:ext cx="1714500" cy="30353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0</xdr:colOff>
      <xdr:row>14</xdr:row>
      <xdr:rowOff>50800</xdr:rowOff>
    </xdr:from>
    <xdr:to>
      <xdr:col>8</xdr:col>
      <xdr:colOff>0</xdr:colOff>
      <xdr:row>17</xdr:row>
      <xdr:rowOff>50800</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431800" y="32004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2</a:t>
          </a:r>
        </a:p>
      </xdr:txBody>
    </xdr:sp>
    <xdr:clientData/>
  </xdr:twoCellAnchor>
  <xdr:twoCellAnchor>
    <xdr:from>
      <xdr:col>77</xdr:col>
      <xdr:colOff>12700</xdr:colOff>
      <xdr:row>7</xdr:row>
      <xdr:rowOff>0</xdr:rowOff>
    </xdr:from>
    <xdr:to>
      <xdr:col>85</xdr:col>
      <xdr:colOff>12700</xdr:colOff>
      <xdr:row>47</xdr:row>
      <xdr:rowOff>139700</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16637000" y="1663700"/>
          <a:ext cx="1727200" cy="77597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p>
      </xdr:txBody>
    </xdr:sp>
    <xdr:clientData/>
  </xdr:twoCellAnchor>
  <xdr:twoCellAnchor>
    <xdr:from>
      <xdr:col>20</xdr:col>
      <xdr:colOff>0</xdr:colOff>
      <xdr:row>7</xdr:row>
      <xdr:rowOff>0</xdr:rowOff>
    </xdr:from>
    <xdr:to>
      <xdr:col>20</xdr:col>
      <xdr:colOff>12700</xdr:colOff>
      <xdr:row>42</xdr:row>
      <xdr:rowOff>177800</xdr:rowOff>
    </xdr:to>
    <xdr:cxnSp macro="">
      <xdr:nvCxnSpPr>
        <xdr:cNvPr id="9" name="Straight Connector 8">
          <a:extLst>
            <a:ext uri="{FF2B5EF4-FFF2-40B4-BE49-F238E27FC236}">
              <a16:creationId xmlns:a16="http://schemas.microsoft.com/office/drawing/2014/main" id="{00000000-0008-0000-0400-000009000000}"/>
            </a:ext>
          </a:extLst>
        </xdr:cNvPr>
        <xdr:cNvCxnSpPr/>
      </xdr:nvCxnSpPr>
      <xdr:spPr>
        <a:xfrm>
          <a:off x="4318000" y="1816100"/>
          <a:ext cx="12700" cy="68453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101600</xdr:colOff>
      <xdr:row>27</xdr:row>
      <xdr:rowOff>76200</xdr:rowOff>
    </xdr:from>
    <xdr:to>
      <xdr:col>17</xdr:col>
      <xdr:colOff>101600</xdr:colOff>
      <xdr:row>32</xdr:row>
      <xdr:rowOff>50800</xdr:rowOff>
    </xdr:to>
    <xdr:sp macro="" textlink="">
      <xdr:nvSpPr>
        <xdr:cNvPr id="10" name="Rectangle 9">
          <a:extLst>
            <a:ext uri="{FF2B5EF4-FFF2-40B4-BE49-F238E27FC236}">
              <a16:creationId xmlns:a16="http://schemas.microsoft.com/office/drawing/2014/main" id="{00000000-0008-0000-0400-00000A000000}"/>
            </a:ext>
          </a:extLst>
        </xdr:cNvPr>
        <xdr:cNvSpPr/>
      </xdr:nvSpPr>
      <xdr:spPr>
        <a:xfrm>
          <a:off x="2476500" y="5549900"/>
          <a:ext cx="1295400" cy="927100"/>
        </a:xfrm>
        <a:prstGeom prst="rect">
          <a:avLst/>
        </a:prstGeom>
        <a:ln/>
      </xdr:spPr>
      <xdr:style>
        <a:lnRef idx="2">
          <a:schemeClr val="dk1"/>
        </a:lnRef>
        <a:fillRef idx="1">
          <a:schemeClr val="lt1"/>
        </a:fillRef>
        <a:effectRef idx="0">
          <a:schemeClr val="dk1"/>
        </a:effectRef>
        <a:fontRef idx="minor">
          <a:schemeClr val="dk1"/>
        </a:fontRef>
      </xdr:style>
      <xdr:txBody>
        <a:bodyPr wrap="square" anchor="t"/>
        <a:lstStyle/>
        <a:p>
          <a:pPr algn="ctr"/>
          <a:r>
            <a:rPr lang="en-US"/>
            <a:t>Final demand for Space</a:t>
          </a:r>
          <a:r>
            <a:rPr lang="en-US" baseline="0"/>
            <a:t> H</a:t>
          </a:r>
          <a:r>
            <a:rPr lang="en-US"/>
            <a:t>eating, Space</a:t>
          </a:r>
          <a:r>
            <a:rPr lang="en-US" baseline="0"/>
            <a:t> Cooling, Lighting and Hot Water</a:t>
          </a:r>
          <a:endParaRPr lang="en-US"/>
        </a:p>
      </xdr:txBody>
    </xdr:sp>
    <xdr:clientData/>
  </xdr:twoCellAnchor>
  <xdr:twoCellAnchor>
    <xdr:from>
      <xdr:col>66</xdr:col>
      <xdr:colOff>0</xdr:colOff>
      <xdr:row>7</xdr:row>
      <xdr:rowOff>0</xdr:rowOff>
    </xdr:from>
    <xdr:to>
      <xdr:col>66</xdr:col>
      <xdr:colOff>0</xdr:colOff>
      <xdr:row>43</xdr:row>
      <xdr:rowOff>0</xdr:rowOff>
    </xdr:to>
    <xdr:cxnSp macro="">
      <xdr:nvCxnSpPr>
        <xdr:cNvPr id="11" name="Straight Connector 10">
          <a:extLst>
            <a:ext uri="{FF2B5EF4-FFF2-40B4-BE49-F238E27FC236}">
              <a16:creationId xmlns:a16="http://schemas.microsoft.com/office/drawing/2014/main" id="{00000000-0008-0000-0400-00000B000000}"/>
            </a:ext>
          </a:extLst>
        </xdr:cNvPr>
        <xdr:cNvCxnSpPr/>
      </xdr:nvCxnSpPr>
      <xdr:spPr>
        <a:xfrm>
          <a:off x="14249400" y="1816100"/>
          <a:ext cx="0" cy="6858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12700</xdr:colOff>
      <xdr:row>29</xdr:row>
      <xdr:rowOff>158750</xdr:rowOff>
    </xdr:from>
    <xdr:to>
      <xdr:col>11</xdr:col>
      <xdr:colOff>101600</xdr:colOff>
      <xdr:row>33</xdr:row>
      <xdr:rowOff>120650</xdr:rowOff>
    </xdr:to>
    <xdr:cxnSp macro="">
      <xdr:nvCxnSpPr>
        <xdr:cNvPr id="13" name="Straight Arrow Connector 278">
          <a:extLst>
            <a:ext uri="{FF2B5EF4-FFF2-40B4-BE49-F238E27FC236}">
              <a16:creationId xmlns:a16="http://schemas.microsoft.com/office/drawing/2014/main" id="{00000000-0008-0000-0400-00000D000000}"/>
            </a:ext>
          </a:extLst>
        </xdr:cNvPr>
        <xdr:cNvCxnSpPr>
          <a:stCxn id="49" idx="3"/>
          <a:endCxn id="10" idx="1"/>
        </xdr:cNvCxnSpPr>
      </xdr:nvCxnSpPr>
      <xdr:spPr>
        <a:xfrm flipV="1">
          <a:off x="1739900" y="6013450"/>
          <a:ext cx="736600" cy="7239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68</xdr:col>
      <xdr:colOff>25400</xdr:colOff>
      <xdr:row>34</xdr:row>
      <xdr:rowOff>152400</xdr:rowOff>
    </xdr:from>
    <xdr:to>
      <xdr:col>74</xdr:col>
      <xdr:colOff>25400</xdr:colOff>
      <xdr:row>38</xdr:row>
      <xdr:rowOff>152400</xdr:rowOff>
    </xdr:to>
    <xdr:sp macro="" textlink="">
      <xdr:nvSpPr>
        <xdr:cNvPr id="14" name="Rectangle 13">
          <a:extLst>
            <a:ext uri="{FF2B5EF4-FFF2-40B4-BE49-F238E27FC236}">
              <a16:creationId xmlns:a16="http://schemas.microsoft.com/office/drawing/2014/main" id="{00000000-0008-0000-0400-00000E000000}"/>
            </a:ext>
          </a:extLst>
        </xdr:cNvPr>
        <xdr:cNvSpPr/>
      </xdr:nvSpPr>
      <xdr:spPr>
        <a:xfrm>
          <a:off x="14706600" y="69596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shares</a:t>
          </a:r>
          <a:endParaRPr lang="en-US" baseline="0"/>
        </a:p>
      </xdr:txBody>
    </xdr:sp>
    <xdr:clientData/>
  </xdr:twoCellAnchor>
  <xdr:twoCellAnchor>
    <xdr:from>
      <xdr:col>74</xdr:col>
      <xdr:colOff>25400</xdr:colOff>
      <xdr:row>36</xdr:row>
      <xdr:rowOff>152400</xdr:rowOff>
    </xdr:from>
    <xdr:to>
      <xdr:col>78</xdr:col>
      <xdr:colOff>0</xdr:colOff>
      <xdr:row>36</xdr:row>
      <xdr:rowOff>152400</xdr:rowOff>
    </xdr:to>
    <xdr:cxnSp macro="">
      <xdr:nvCxnSpPr>
        <xdr:cNvPr id="15" name="Elbow Connector 195">
          <a:extLst>
            <a:ext uri="{FF2B5EF4-FFF2-40B4-BE49-F238E27FC236}">
              <a16:creationId xmlns:a16="http://schemas.microsoft.com/office/drawing/2014/main" id="{00000000-0008-0000-0400-00000F000000}"/>
            </a:ext>
          </a:extLst>
        </xdr:cNvPr>
        <xdr:cNvCxnSpPr>
          <a:stCxn id="14" idx="3"/>
          <a:endCxn id="26" idx="1"/>
        </xdr:cNvCxnSpPr>
      </xdr:nvCxnSpPr>
      <xdr:spPr>
        <a:xfrm>
          <a:off x="16002000" y="7340600"/>
          <a:ext cx="8382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71</xdr:col>
      <xdr:colOff>0</xdr:colOff>
      <xdr:row>42</xdr:row>
      <xdr:rowOff>114300</xdr:rowOff>
    </xdr:from>
    <xdr:to>
      <xdr:col>71</xdr:col>
      <xdr:colOff>12700</xdr:colOff>
      <xdr:row>44</xdr:row>
      <xdr:rowOff>63500</xdr:rowOff>
    </xdr:to>
    <xdr:cxnSp macro="">
      <xdr:nvCxnSpPr>
        <xdr:cNvPr id="17" name="Elbow Connector 195">
          <a:extLst>
            <a:ext uri="{FF2B5EF4-FFF2-40B4-BE49-F238E27FC236}">
              <a16:creationId xmlns:a16="http://schemas.microsoft.com/office/drawing/2014/main" id="{00000000-0008-0000-0400-000011000000}"/>
            </a:ext>
          </a:extLst>
        </xdr:cNvPr>
        <xdr:cNvCxnSpPr>
          <a:stCxn id="2" idx="2"/>
        </xdr:cNvCxnSpPr>
      </xdr:nvCxnSpPr>
      <xdr:spPr>
        <a:xfrm>
          <a:off x="15328900" y="8445500"/>
          <a:ext cx="12700" cy="330200"/>
        </a:xfrm>
        <a:prstGeom prst="straightConnector1">
          <a:avLst/>
        </a:prstGeom>
        <a:ln w="19050" cmpd="sng">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86</xdr:col>
      <xdr:colOff>0</xdr:colOff>
      <xdr:row>7</xdr:row>
      <xdr:rowOff>0</xdr:rowOff>
    </xdr:from>
    <xdr:to>
      <xdr:col>86</xdr:col>
      <xdr:colOff>0</xdr:colOff>
      <xdr:row>42</xdr:row>
      <xdr:rowOff>101600</xdr:rowOff>
    </xdr:to>
    <xdr:cxnSp macro="">
      <xdr:nvCxnSpPr>
        <xdr:cNvPr id="18" name="Straight Connector 17">
          <a:extLst>
            <a:ext uri="{FF2B5EF4-FFF2-40B4-BE49-F238E27FC236}">
              <a16:creationId xmlns:a16="http://schemas.microsoft.com/office/drawing/2014/main" id="{00000000-0008-0000-0400-000012000000}"/>
            </a:ext>
          </a:extLst>
        </xdr:cNvPr>
        <xdr:cNvCxnSpPr/>
      </xdr:nvCxnSpPr>
      <xdr:spPr>
        <a:xfrm>
          <a:off x="18567400" y="1816100"/>
          <a:ext cx="0" cy="67691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152400</xdr:colOff>
      <xdr:row>35</xdr:row>
      <xdr:rowOff>63500</xdr:rowOff>
    </xdr:from>
    <xdr:to>
      <xdr:col>17</xdr:col>
      <xdr:colOff>152400</xdr:colOff>
      <xdr:row>38</xdr:row>
      <xdr:rowOff>63500</xdr:rowOff>
    </xdr:to>
    <xdr:sp macro="" textlink="">
      <xdr:nvSpPr>
        <xdr:cNvPr id="19" name="Rectangle 18">
          <a:extLst>
            <a:ext uri="{FF2B5EF4-FFF2-40B4-BE49-F238E27FC236}">
              <a16:creationId xmlns:a16="http://schemas.microsoft.com/office/drawing/2014/main" id="{00000000-0008-0000-0400-000013000000}"/>
            </a:ext>
          </a:extLst>
        </xdr:cNvPr>
        <xdr:cNvSpPr/>
      </xdr:nvSpPr>
      <xdr:spPr>
        <a:xfrm>
          <a:off x="2527300" y="7061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of useful</a:t>
          </a:r>
          <a:r>
            <a:rPr lang="en-US" baseline="0"/>
            <a:t> demand</a:t>
          </a:r>
          <a:endParaRPr lang="en-US"/>
        </a:p>
      </xdr:txBody>
    </xdr:sp>
    <xdr:clientData/>
  </xdr:twoCellAnchor>
  <xdr:twoCellAnchor>
    <xdr:from>
      <xdr:col>8</xdr:col>
      <xdr:colOff>12700</xdr:colOff>
      <xdr:row>33</xdr:row>
      <xdr:rowOff>120650</xdr:rowOff>
    </xdr:from>
    <xdr:to>
      <xdr:col>11</xdr:col>
      <xdr:colOff>152400</xdr:colOff>
      <xdr:row>36</xdr:row>
      <xdr:rowOff>158750</xdr:rowOff>
    </xdr:to>
    <xdr:cxnSp macro="">
      <xdr:nvCxnSpPr>
        <xdr:cNvPr id="20" name="Straight Arrow Connector 278">
          <a:extLst>
            <a:ext uri="{FF2B5EF4-FFF2-40B4-BE49-F238E27FC236}">
              <a16:creationId xmlns:a16="http://schemas.microsoft.com/office/drawing/2014/main" id="{00000000-0008-0000-0400-000014000000}"/>
            </a:ext>
          </a:extLst>
        </xdr:cNvPr>
        <xdr:cNvCxnSpPr>
          <a:stCxn id="49" idx="3"/>
          <a:endCxn id="19" idx="1"/>
        </xdr:cNvCxnSpPr>
      </xdr:nvCxnSpPr>
      <xdr:spPr>
        <a:xfrm>
          <a:off x="1739900" y="6737350"/>
          <a:ext cx="787400" cy="6096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xdr:col>
      <xdr:colOff>152400</xdr:colOff>
      <xdr:row>36</xdr:row>
      <xdr:rowOff>146050</xdr:rowOff>
    </xdr:from>
    <xdr:to>
      <xdr:col>42</xdr:col>
      <xdr:colOff>101600</xdr:colOff>
      <xdr:row>36</xdr:row>
      <xdr:rowOff>158750</xdr:rowOff>
    </xdr:to>
    <xdr:cxnSp macro="">
      <xdr:nvCxnSpPr>
        <xdr:cNvPr id="21" name="Elbow Connector 195">
          <a:extLst>
            <a:ext uri="{FF2B5EF4-FFF2-40B4-BE49-F238E27FC236}">
              <a16:creationId xmlns:a16="http://schemas.microsoft.com/office/drawing/2014/main" id="{00000000-0008-0000-0400-000015000000}"/>
            </a:ext>
          </a:extLst>
        </xdr:cNvPr>
        <xdr:cNvCxnSpPr>
          <a:stCxn id="19" idx="3"/>
          <a:endCxn id="48" idx="1"/>
        </xdr:cNvCxnSpPr>
      </xdr:nvCxnSpPr>
      <xdr:spPr>
        <a:xfrm flipV="1">
          <a:off x="3822700" y="7334250"/>
          <a:ext cx="5346700" cy="12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68</xdr:col>
      <xdr:colOff>63500</xdr:colOff>
      <xdr:row>28</xdr:row>
      <xdr:rowOff>50800</xdr:rowOff>
    </xdr:from>
    <xdr:to>
      <xdr:col>74</xdr:col>
      <xdr:colOff>63500</xdr:colOff>
      <xdr:row>31</xdr:row>
      <xdr:rowOff>50800</xdr:rowOff>
    </xdr:to>
    <xdr:sp macro="" textlink="">
      <xdr:nvSpPr>
        <xdr:cNvPr id="22" name="Rectangle 21">
          <a:extLst>
            <a:ext uri="{FF2B5EF4-FFF2-40B4-BE49-F238E27FC236}">
              <a16:creationId xmlns:a16="http://schemas.microsoft.com/office/drawing/2014/main" id="{00000000-0008-0000-0400-000016000000}"/>
            </a:ext>
          </a:extLst>
        </xdr:cNvPr>
        <xdr:cNvSpPr/>
      </xdr:nvSpPr>
      <xdr:spPr>
        <a:xfrm>
          <a:off x="14744700" y="571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Application shares</a:t>
          </a:r>
        </a:p>
      </xdr:txBody>
    </xdr:sp>
    <xdr:clientData/>
  </xdr:twoCellAnchor>
  <xdr:twoCellAnchor>
    <xdr:from>
      <xdr:col>8</xdr:col>
      <xdr:colOff>0</xdr:colOff>
      <xdr:row>15</xdr:row>
      <xdr:rowOff>146050</xdr:rowOff>
    </xdr:from>
    <xdr:to>
      <xdr:col>29</xdr:col>
      <xdr:colOff>76200</xdr:colOff>
      <xdr:row>15</xdr:row>
      <xdr:rowOff>158750</xdr:rowOff>
    </xdr:to>
    <xdr:cxnSp macro="">
      <xdr:nvCxnSpPr>
        <xdr:cNvPr id="24" name="Elbow Connector 23">
          <a:extLst>
            <a:ext uri="{FF2B5EF4-FFF2-40B4-BE49-F238E27FC236}">
              <a16:creationId xmlns:a16="http://schemas.microsoft.com/office/drawing/2014/main" id="{00000000-0008-0000-0400-000018000000}"/>
            </a:ext>
          </a:extLst>
        </xdr:cNvPr>
        <xdr:cNvCxnSpPr>
          <a:stCxn id="7" idx="3"/>
          <a:endCxn id="62" idx="1"/>
        </xdr:cNvCxnSpPr>
      </xdr:nvCxnSpPr>
      <xdr:spPr>
        <a:xfrm>
          <a:off x="1727200" y="3333750"/>
          <a:ext cx="46101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78</xdr:col>
      <xdr:colOff>0</xdr:colOff>
      <xdr:row>34</xdr:row>
      <xdr:rowOff>152400</xdr:rowOff>
    </xdr:from>
    <xdr:to>
      <xdr:col>84</xdr:col>
      <xdr:colOff>0</xdr:colOff>
      <xdr:row>38</xdr:row>
      <xdr:rowOff>152400</xdr:rowOff>
    </xdr:to>
    <xdr:sp macro="" textlink="">
      <xdr:nvSpPr>
        <xdr:cNvPr id="26" name="Rectangle 25">
          <a:extLst>
            <a:ext uri="{FF2B5EF4-FFF2-40B4-BE49-F238E27FC236}">
              <a16:creationId xmlns:a16="http://schemas.microsoft.com/office/drawing/2014/main" id="{00000000-0008-0000-0400-00001A000000}"/>
            </a:ext>
          </a:extLst>
        </xdr:cNvPr>
        <xdr:cNvSpPr/>
      </xdr:nvSpPr>
      <xdr:spPr>
        <a:xfrm>
          <a:off x="16840200" y="69596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74</xdr:col>
      <xdr:colOff>63500</xdr:colOff>
      <xdr:row>29</xdr:row>
      <xdr:rowOff>146050</xdr:rowOff>
    </xdr:from>
    <xdr:to>
      <xdr:col>78</xdr:col>
      <xdr:colOff>63500</xdr:colOff>
      <xdr:row>29</xdr:row>
      <xdr:rowOff>146050</xdr:rowOff>
    </xdr:to>
    <xdr:cxnSp macro="">
      <xdr:nvCxnSpPr>
        <xdr:cNvPr id="27" name="Elbow Connector 195">
          <a:extLst>
            <a:ext uri="{FF2B5EF4-FFF2-40B4-BE49-F238E27FC236}">
              <a16:creationId xmlns:a16="http://schemas.microsoft.com/office/drawing/2014/main" id="{00000000-0008-0000-0400-00001B000000}"/>
            </a:ext>
          </a:extLst>
        </xdr:cNvPr>
        <xdr:cNvCxnSpPr>
          <a:stCxn id="22" idx="3"/>
          <a:endCxn id="28" idx="1"/>
        </xdr:cNvCxnSpPr>
      </xdr:nvCxnSpPr>
      <xdr:spPr>
        <a:xfrm>
          <a:off x="16040100" y="60007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63500</xdr:colOff>
      <xdr:row>28</xdr:row>
      <xdr:rowOff>50800</xdr:rowOff>
    </xdr:from>
    <xdr:to>
      <xdr:col>84</xdr:col>
      <xdr:colOff>63500</xdr:colOff>
      <xdr:row>31</xdr:row>
      <xdr:rowOff>50800</xdr:rowOff>
    </xdr:to>
    <xdr:sp macro="" textlink="">
      <xdr:nvSpPr>
        <xdr:cNvPr id="28" name="Rectangle 27">
          <a:extLst>
            <a:ext uri="{FF2B5EF4-FFF2-40B4-BE49-F238E27FC236}">
              <a16:creationId xmlns:a16="http://schemas.microsoft.com/office/drawing/2014/main" id="{00000000-0008-0000-0400-00001C000000}"/>
            </a:ext>
          </a:extLst>
        </xdr:cNvPr>
        <xdr:cNvSpPr/>
      </xdr:nvSpPr>
      <xdr:spPr>
        <a:xfrm>
          <a:off x="16903700" y="571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2</xdr:col>
      <xdr:colOff>0</xdr:colOff>
      <xdr:row>10</xdr:row>
      <xdr:rowOff>50800</xdr:rowOff>
    </xdr:from>
    <xdr:to>
      <xdr:col>8</xdr:col>
      <xdr:colOff>0</xdr:colOff>
      <xdr:row>13</xdr:row>
      <xdr:rowOff>50800</xdr:rowOff>
    </xdr:to>
    <xdr:sp macro="" textlink="">
      <xdr:nvSpPr>
        <xdr:cNvPr id="33" name="Rectangle 32">
          <a:extLst>
            <a:ext uri="{FF2B5EF4-FFF2-40B4-BE49-F238E27FC236}">
              <a16:creationId xmlns:a16="http://schemas.microsoft.com/office/drawing/2014/main" id="{00000000-0008-0000-0400-000021000000}"/>
            </a:ext>
          </a:extLst>
        </xdr:cNvPr>
        <xdr:cNvSpPr/>
      </xdr:nvSpPr>
      <xdr:spPr>
        <a:xfrm>
          <a:off x="431800" y="24384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8</xdr:col>
      <xdr:colOff>0</xdr:colOff>
      <xdr:row>11</xdr:row>
      <xdr:rowOff>146050</xdr:rowOff>
    </xdr:from>
    <xdr:to>
      <xdr:col>45</xdr:col>
      <xdr:colOff>101600</xdr:colOff>
      <xdr:row>35</xdr:row>
      <xdr:rowOff>50800</xdr:rowOff>
    </xdr:to>
    <xdr:cxnSp macro="">
      <xdr:nvCxnSpPr>
        <xdr:cNvPr id="34" name="Elbow Connector 33">
          <a:extLst>
            <a:ext uri="{FF2B5EF4-FFF2-40B4-BE49-F238E27FC236}">
              <a16:creationId xmlns:a16="http://schemas.microsoft.com/office/drawing/2014/main" id="{00000000-0008-0000-0400-000022000000}"/>
            </a:ext>
          </a:extLst>
        </xdr:cNvPr>
        <xdr:cNvCxnSpPr>
          <a:stCxn id="33" idx="3"/>
          <a:endCxn id="48" idx="0"/>
        </xdr:cNvCxnSpPr>
      </xdr:nvCxnSpPr>
      <xdr:spPr>
        <a:xfrm>
          <a:off x="1727200" y="2571750"/>
          <a:ext cx="8089900" cy="4476750"/>
        </a:xfrm>
        <a:prstGeom prst="bentConnector2">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55</xdr:col>
      <xdr:colOff>114300</xdr:colOff>
      <xdr:row>26</xdr:row>
      <xdr:rowOff>165100</xdr:rowOff>
    </xdr:from>
    <xdr:to>
      <xdr:col>61</xdr:col>
      <xdr:colOff>114300</xdr:colOff>
      <xdr:row>32</xdr:row>
      <xdr:rowOff>114300</xdr:rowOff>
    </xdr:to>
    <xdr:sp macro="" textlink="">
      <xdr:nvSpPr>
        <xdr:cNvPr id="35" name="Rectangle 34">
          <a:extLst>
            <a:ext uri="{FF2B5EF4-FFF2-40B4-BE49-F238E27FC236}">
              <a16:creationId xmlns:a16="http://schemas.microsoft.com/office/drawing/2014/main" id="{00000000-0008-0000-0400-000023000000}"/>
            </a:ext>
          </a:extLst>
        </xdr:cNvPr>
        <xdr:cNvSpPr/>
      </xdr:nvSpPr>
      <xdr:spPr>
        <a:xfrm>
          <a:off x="11988800" y="5448300"/>
          <a:ext cx="1295400" cy="1092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 per energy carrier</a:t>
          </a:r>
        </a:p>
      </xdr:txBody>
    </xdr:sp>
    <xdr:clientData/>
  </xdr:twoCellAnchor>
  <xdr:twoCellAnchor>
    <xdr:from>
      <xdr:col>48</xdr:col>
      <xdr:colOff>101600</xdr:colOff>
      <xdr:row>36</xdr:row>
      <xdr:rowOff>146050</xdr:rowOff>
    </xdr:from>
    <xdr:to>
      <xdr:col>68</xdr:col>
      <xdr:colOff>25400</xdr:colOff>
      <xdr:row>36</xdr:row>
      <xdr:rowOff>152400</xdr:rowOff>
    </xdr:to>
    <xdr:cxnSp macro="">
      <xdr:nvCxnSpPr>
        <xdr:cNvPr id="43" name="Elbow Connector 195">
          <a:extLst>
            <a:ext uri="{FF2B5EF4-FFF2-40B4-BE49-F238E27FC236}">
              <a16:creationId xmlns:a16="http://schemas.microsoft.com/office/drawing/2014/main" id="{00000000-0008-0000-0400-00002B000000}"/>
            </a:ext>
          </a:extLst>
        </xdr:cNvPr>
        <xdr:cNvCxnSpPr>
          <a:stCxn id="48" idx="3"/>
          <a:endCxn id="14" idx="1"/>
        </xdr:cNvCxnSpPr>
      </xdr:nvCxnSpPr>
      <xdr:spPr>
        <a:xfrm>
          <a:off x="10464800" y="7334250"/>
          <a:ext cx="4241800" cy="635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29</xdr:col>
      <xdr:colOff>76200</xdr:colOff>
      <xdr:row>14</xdr:row>
      <xdr:rowOff>63500</xdr:rowOff>
    </xdr:from>
    <xdr:to>
      <xdr:col>35</xdr:col>
      <xdr:colOff>76200</xdr:colOff>
      <xdr:row>17</xdr:row>
      <xdr:rowOff>63500</xdr:rowOff>
    </xdr:to>
    <xdr:sp macro="" textlink="">
      <xdr:nvSpPr>
        <xdr:cNvPr id="62" name="Rectangle 61">
          <a:extLst>
            <a:ext uri="{FF2B5EF4-FFF2-40B4-BE49-F238E27FC236}">
              <a16:creationId xmlns:a16="http://schemas.microsoft.com/office/drawing/2014/main" id="{00000000-0008-0000-0400-00003E000000}"/>
            </a:ext>
          </a:extLst>
        </xdr:cNvPr>
        <xdr:cNvSpPr/>
      </xdr:nvSpPr>
      <xdr:spPr>
        <a:xfrm>
          <a:off x="6337300" y="3060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35</xdr:col>
      <xdr:colOff>76200</xdr:colOff>
      <xdr:row>15</xdr:row>
      <xdr:rowOff>158750</xdr:rowOff>
    </xdr:from>
    <xdr:to>
      <xdr:col>58</xdr:col>
      <xdr:colOff>114300</xdr:colOff>
      <xdr:row>26</xdr:row>
      <xdr:rowOff>165100</xdr:rowOff>
    </xdr:to>
    <xdr:cxnSp macro="">
      <xdr:nvCxnSpPr>
        <xdr:cNvPr id="64" name="Elbow Connector 23">
          <a:extLst>
            <a:ext uri="{FF2B5EF4-FFF2-40B4-BE49-F238E27FC236}">
              <a16:creationId xmlns:a16="http://schemas.microsoft.com/office/drawing/2014/main" id="{00000000-0008-0000-0400-000040000000}"/>
            </a:ext>
          </a:extLst>
        </xdr:cNvPr>
        <xdr:cNvCxnSpPr>
          <a:stCxn id="62" idx="3"/>
          <a:endCxn id="35" idx="0"/>
        </xdr:cNvCxnSpPr>
      </xdr:nvCxnSpPr>
      <xdr:spPr>
        <a:xfrm>
          <a:off x="7632700" y="3346450"/>
          <a:ext cx="5003800" cy="2101850"/>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42</xdr:col>
      <xdr:colOff>101600</xdr:colOff>
      <xdr:row>35</xdr:row>
      <xdr:rowOff>50800</xdr:rowOff>
    </xdr:from>
    <xdr:to>
      <xdr:col>48</xdr:col>
      <xdr:colOff>101600</xdr:colOff>
      <xdr:row>38</xdr:row>
      <xdr:rowOff>50800</xdr:rowOff>
    </xdr:to>
    <xdr:sp macro="" textlink="">
      <xdr:nvSpPr>
        <xdr:cNvPr id="48" name="Rectangle 47">
          <a:extLst>
            <a:ext uri="{FF2B5EF4-FFF2-40B4-BE49-F238E27FC236}">
              <a16:creationId xmlns:a16="http://schemas.microsoft.com/office/drawing/2014/main" id="{00000000-0008-0000-0400-000030000000}"/>
            </a:ext>
          </a:extLst>
        </xdr:cNvPr>
        <xdr:cNvSpPr/>
      </xdr:nvSpPr>
      <xdr:spPr>
        <a:xfrm>
          <a:off x="9169400" y="7048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final demand</a:t>
          </a:r>
        </a:p>
      </xdr:txBody>
    </xdr:sp>
    <xdr:clientData/>
  </xdr:twoCellAnchor>
  <xdr:twoCellAnchor>
    <xdr:from>
      <xdr:col>61</xdr:col>
      <xdr:colOff>114300</xdr:colOff>
      <xdr:row>29</xdr:row>
      <xdr:rowOff>139700</xdr:rowOff>
    </xdr:from>
    <xdr:to>
      <xdr:col>68</xdr:col>
      <xdr:colOff>63500</xdr:colOff>
      <xdr:row>29</xdr:row>
      <xdr:rowOff>146050</xdr:rowOff>
    </xdr:to>
    <xdr:cxnSp macro="">
      <xdr:nvCxnSpPr>
        <xdr:cNvPr id="51" name="Elbow Connector 195">
          <a:extLst>
            <a:ext uri="{FF2B5EF4-FFF2-40B4-BE49-F238E27FC236}">
              <a16:creationId xmlns:a16="http://schemas.microsoft.com/office/drawing/2014/main" id="{00000000-0008-0000-0400-000033000000}"/>
            </a:ext>
          </a:extLst>
        </xdr:cNvPr>
        <xdr:cNvCxnSpPr>
          <a:stCxn id="35" idx="3"/>
          <a:endCxn id="22" idx="1"/>
        </xdr:cNvCxnSpPr>
      </xdr:nvCxnSpPr>
      <xdr:spPr>
        <a:xfrm>
          <a:off x="13284200" y="5994400"/>
          <a:ext cx="1460500" cy="6350"/>
        </a:xfrm>
        <a:prstGeom prst="straightConnector1">
          <a:avLst/>
        </a:prstGeom>
        <a:ln w="19050" cmpd="sng">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17</xdr:col>
      <xdr:colOff>101600</xdr:colOff>
      <xdr:row>29</xdr:row>
      <xdr:rowOff>139700</xdr:rowOff>
    </xdr:from>
    <xdr:to>
      <xdr:col>55</xdr:col>
      <xdr:colOff>114300</xdr:colOff>
      <xdr:row>29</xdr:row>
      <xdr:rowOff>158750</xdr:rowOff>
    </xdr:to>
    <xdr:cxnSp macro="">
      <xdr:nvCxnSpPr>
        <xdr:cNvPr id="100" name="Elbow Connector 71">
          <a:extLst>
            <a:ext uri="{FF2B5EF4-FFF2-40B4-BE49-F238E27FC236}">
              <a16:creationId xmlns:a16="http://schemas.microsoft.com/office/drawing/2014/main" id="{00000000-0008-0000-0400-000064000000}"/>
            </a:ext>
          </a:extLst>
        </xdr:cNvPr>
        <xdr:cNvCxnSpPr>
          <a:stCxn id="10" idx="3"/>
          <a:endCxn id="35" idx="1"/>
        </xdr:cNvCxnSpPr>
      </xdr:nvCxnSpPr>
      <xdr:spPr>
        <a:xfrm flipV="1">
          <a:off x="3771900" y="5994400"/>
          <a:ext cx="8216900" cy="190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12700</xdr:colOff>
      <xdr:row>32</xdr:row>
      <xdr:rowOff>25400</xdr:rowOff>
    </xdr:from>
    <xdr:to>
      <xdr:col>8</xdr:col>
      <xdr:colOff>12700</xdr:colOff>
      <xdr:row>35</xdr:row>
      <xdr:rowOff>25400</xdr:rowOff>
    </xdr:to>
    <xdr:sp macro="" textlink="">
      <xdr:nvSpPr>
        <xdr:cNvPr id="49" name="Rectangle 48">
          <a:extLst>
            <a:ext uri="{FF2B5EF4-FFF2-40B4-BE49-F238E27FC236}">
              <a16:creationId xmlns:a16="http://schemas.microsoft.com/office/drawing/2014/main" id="{00000000-0008-0000-0400-000031000000}"/>
            </a:ext>
          </a:extLst>
        </xdr:cNvPr>
        <xdr:cNvSpPr/>
      </xdr:nvSpPr>
      <xdr:spPr>
        <a:xfrm>
          <a:off x="444500" y="6451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Resdicene</a:t>
          </a:r>
          <a:r>
            <a:rPr lang="en-US" baseline="0"/>
            <a:t> Source analysis</a:t>
          </a:r>
          <a:endParaRPr lang="en-US"/>
        </a:p>
      </xdr:txBody>
    </xdr:sp>
    <xdr:clientData/>
  </xdr:twoCellAnchor>
  <xdr:twoCellAnchor>
    <xdr:from>
      <xdr:col>48</xdr:col>
      <xdr:colOff>101600</xdr:colOff>
      <xdr:row>32</xdr:row>
      <xdr:rowOff>114300</xdr:rowOff>
    </xdr:from>
    <xdr:to>
      <xdr:col>58</xdr:col>
      <xdr:colOff>114300</xdr:colOff>
      <xdr:row>36</xdr:row>
      <xdr:rowOff>146050</xdr:rowOff>
    </xdr:to>
    <xdr:cxnSp macro="">
      <xdr:nvCxnSpPr>
        <xdr:cNvPr id="57" name="Straight Arrow Connector 278">
          <a:extLst>
            <a:ext uri="{FF2B5EF4-FFF2-40B4-BE49-F238E27FC236}">
              <a16:creationId xmlns:a16="http://schemas.microsoft.com/office/drawing/2014/main" id="{00000000-0008-0000-0400-000039000000}"/>
            </a:ext>
          </a:extLst>
        </xdr:cNvPr>
        <xdr:cNvCxnSpPr>
          <a:stCxn id="48" idx="3"/>
          <a:endCxn id="35" idx="2"/>
        </xdr:cNvCxnSpPr>
      </xdr:nvCxnSpPr>
      <xdr:spPr>
        <a:xfrm flipV="1">
          <a:off x="10464800" y="6540500"/>
          <a:ext cx="2171700" cy="793750"/>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29</xdr:col>
      <xdr:colOff>63500</xdr:colOff>
      <xdr:row>21</xdr:row>
      <xdr:rowOff>177800</xdr:rowOff>
    </xdr:from>
    <xdr:to>
      <xdr:col>35</xdr:col>
      <xdr:colOff>63500</xdr:colOff>
      <xdr:row>25</xdr:row>
      <xdr:rowOff>50800</xdr:rowOff>
    </xdr:to>
    <xdr:sp macro="" textlink="">
      <xdr:nvSpPr>
        <xdr:cNvPr id="90" name="Rectangle 89">
          <a:extLst>
            <a:ext uri="{FF2B5EF4-FFF2-40B4-BE49-F238E27FC236}">
              <a16:creationId xmlns:a16="http://schemas.microsoft.com/office/drawing/2014/main" id="{00000000-0008-0000-0400-00005A000000}"/>
            </a:ext>
          </a:extLst>
        </xdr:cNvPr>
        <xdr:cNvSpPr/>
      </xdr:nvSpPr>
      <xdr:spPr>
        <a:xfrm>
          <a:off x="6324600" y="4508500"/>
          <a:ext cx="1295400" cy="635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 extracted from EB</a:t>
          </a:r>
        </a:p>
      </xdr:txBody>
    </xdr:sp>
    <xdr:clientData/>
  </xdr:twoCellAnchor>
  <xdr:twoCellAnchor>
    <xdr:from>
      <xdr:col>32</xdr:col>
      <xdr:colOff>63500</xdr:colOff>
      <xdr:row>17</xdr:row>
      <xdr:rowOff>63500</xdr:rowOff>
    </xdr:from>
    <xdr:to>
      <xdr:col>32</xdr:col>
      <xdr:colOff>76200</xdr:colOff>
      <xdr:row>21</xdr:row>
      <xdr:rowOff>177800</xdr:rowOff>
    </xdr:to>
    <xdr:cxnSp macro="">
      <xdr:nvCxnSpPr>
        <xdr:cNvPr id="91" name="Elbow Connector 23">
          <a:extLst>
            <a:ext uri="{FF2B5EF4-FFF2-40B4-BE49-F238E27FC236}">
              <a16:creationId xmlns:a16="http://schemas.microsoft.com/office/drawing/2014/main" id="{00000000-0008-0000-0400-00005B000000}"/>
            </a:ext>
          </a:extLst>
        </xdr:cNvPr>
        <xdr:cNvCxnSpPr>
          <a:stCxn id="62" idx="2"/>
          <a:endCxn id="90" idx="0"/>
        </xdr:cNvCxnSpPr>
      </xdr:nvCxnSpPr>
      <xdr:spPr>
        <a:xfrm flipH="1">
          <a:off x="6972300" y="3632200"/>
          <a:ext cx="12700" cy="87630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32</xdr:col>
      <xdr:colOff>63500</xdr:colOff>
      <xdr:row>25</xdr:row>
      <xdr:rowOff>50800</xdr:rowOff>
    </xdr:from>
    <xdr:to>
      <xdr:col>42</xdr:col>
      <xdr:colOff>101600</xdr:colOff>
      <xdr:row>36</xdr:row>
      <xdr:rowOff>146050</xdr:rowOff>
    </xdr:to>
    <xdr:cxnSp macro="">
      <xdr:nvCxnSpPr>
        <xdr:cNvPr id="95" name="Elbow Connector 23">
          <a:extLst>
            <a:ext uri="{FF2B5EF4-FFF2-40B4-BE49-F238E27FC236}">
              <a16:creationId xmlns:a16="http://schemas.microsoft.com/office/drawing/2014/main" id="{00000000-0008-0000-0400-00005F000000}"/>
            </a:ext>
          </a:extLst>
        </xdr:cNvPr>
        <xdr:cNvCxnSpPr>
          <a:stCxn id="90" idx="2"/>
          <a:endCxn id="48" idx="1"/>
        </xdr:cNvCxnSpPr>
      </xdr:nvCxnSpPr>
      <xdr:spPr>
        <a:xfrm rot="16200000" flipH="1">
          <a:off x="6975475" y="5140325"/>
          <a:ext cx="2190750" cy="2197100"/>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2</xdr:row>
          <xdr:rowOff>38100</xdr:rowOff>
        </xdr:from>
        <xdr:to>
          <xdr:col>12</xdr:col>
          <xdr:colOff>1206500</xdr:colOff>
          <xdr:row>3</xdr:row>
          <xdr:rowOff>0</xdr:rowOff>
        </xdr:to>
        <xdr:sp macro="" textlink="">
          <xdr:nvSpPr>
            <xdr:cNvPr id="11281" name="import_data" hidden="1">
              <a:extLst>
                <a:ext uri="{63B3BB69-23CF-44E3-9099-C40C66FF867C}">
                  <a14:compatExt spid="_x0000_s11281"/>
                </a:ext>
                <a:ext uri="{FF2B5EF4-FFF2-40B4-BE49-F238E27FC236}">
                  <a16:creationId xmlns:a16="http://schemas.microsoft.com/office/drawing/2014/main" id="{00000000-0008-0000-0600-0000112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pitchFamily="2" charset="0"/>
                  <a:cs typeface="Lucida Grande" pitchFamily="2" charset="0"/>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114300</xdr:colOff>
          <xdr:row>4</xdr:row>
          <xdr:rowOff>228600</xdr:rowOff>
        </xdr:from>
        <xdr:to>
          <xdr:col>12</xdr:col>
          <xdr:colOff>1244600</xdr:colOff>
          <xdr:row>4</xdr:row>
          <xdr:rowOff>444500</xdr:rowOff>
        </xdr:to>
        <xdr:sp macro="" textlink="">
          <xdr:nvSpPr>
            <xdr:cNvPr id="11282" name="export_data" hidden="1">
              <a:extLst>
                <a:ext uri="{63B3BB69-23CF-44E3-9099-C40C66FF867C}">
                  <a14:compatExt spid="_x0000_s11282"/>
                </a:ext>
                <a:ext uri="{FF2B5EF4-FFF2-40B4-BE49-F238E27FC236}">
                  <a16:creationId xmlns:a16="http://schemas.microsoft.com/office/drawing/2014/main" id="{00000000-0008-0000-0600-0000122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pitchFamily="2" charset="0"/>
                  <a:cs typeface="Lucida Grande" pitchFamily="2" charset="0"/>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2247900</xdr:colOff>
          <xdr:row>3</xdr:row>
          <xdr:rowOff>88900</xdr:rowOff>
        </xdr:from>
        <xdr:to>
          <xdr:col>12</xdr:col>
          <xdr:colOff>1219200</xdr:colOff>
          <xdr:row>4</xdr:row>
          <xdr:rowOff>114300</xdr:rowOff>
        </xdr:to>
        <xdr:sp macro="" textlink="">
          <xdr:nvSpPr>
            <xdr:cNvPr id="11283" name="select_dashboard" hidden="1">
              <a:extLst>
                <a:ext uri="{63B3BB69-23CF-44E3-9099-C40C66FF867C}">
                  <a14:compatExt spid="_x0000_s11283"/>
                </a:ext>
                <a:ext uri="{FF2B5EF4-FFF2-40B4-BE49-F238E27FC236}">
                  <a16:creationId xmlns:a16="http://schemas.microsoft.com/office/drawing/2014/main" id="{00000000-0008-0000-0600-0000132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pitchFamily="2" charset="0"/>
                  <a:cs typeface="Lucida Grande" pitchFamily="2" charset="0"/>
                </a:rPr>
                <a:t>optional: load different Dashbord values</a:t>
              </a:r>
            </a:p>
          </xdr:txBody>
        </xdr:sp>
        <xdr:clientData fPrintsWithSheet="0"/>
      </xdr:twoCellAnchor>
    </mc:Choice>
    <mc:Fallback/>
  </mc:AlternateContent>
  <xdr:oneCellAnchor>
    <xdr:from>
      <xdr:col>1</xdr:col>
      <xdr:colOff>1257300</xdr:colOff>
      <xdr:row>25</xdr:row>
      <xdr:rowOff>127000</xdr:rowOff>
    </xdr:from>
    <xdr:ext cx="7250979" cy="276999"/>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2082800" y="5461000"/>
          <a:ext cx="7250979" cy="276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The ETM supports a detailed modelling of the central ICT </a:t>
          </a:r>
          <a:r>
            <a:rPr lang="en-US" sz="1200" b="1" baseline="0"/>
            <a:t>sector, for which you need to provide additional data.</a:t>
          </a:r>
          <a:endParaRPr lang="en-US" sz="1200" b="1"/>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omments" Target="../comments1.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B2:D39"/>
  <sheetViews>
    <sheetView workbookViewId="0">
      <selection activeCell="C10" sqref="C10"/>
    </sheetView>
  </sheetViews>
  <sheetFormatPr baseColWidth="10" defaultRowHeight="16" x14ac:dyDescent="0.2"/>
  <cols>
    <col min="1" max="1" width="10.83203125" style="1"/>
    <col min="2" max="2" width="14" style="1" customWidth="1"/>
    <col min="3" max="3" width="44" style="1" customWidth="1"/>
    <col min="4" max="4" width="9.33203125" style="1" customWidth="1"/>
    <col min="5" max="16384" width="10.83203125" style="1"/>
  </cols>
  <sheetData>
    <row r="2" spans="2:4" ht="21" x14ac:dyDescent="0.25">
      <c r="B2" s="2" t="s">
        <v>251</v>
      </c>
    </row>
    <row r="4" spans="2:4" x14ac:dyDescent="0.2">
      <c r="B4" s="3" t="s">
        <v>1</v>
      </c>
      <c r="C4" s="4" t="s">
        <v>20</v>
      </c>
      <c r="D4" s="5"/>
    </row>
    <row r="5" spans="2:4" x14ac:dyDescent="0.2">
      <c r="B5" s="6" t="s">
        <v>2</v>
      </c>
      <c r="C5" s="26">
        <f>MAX(Changelog!D:D)</f>
        <v>1.37</v>
      </c>
      <c r="D5" s="7"/>
    </row>
    <row r="6" spans="2:4" x14ac:dyDescent="0.2">
      <c r="B6" s="6" t="s">
        <v>336</v>
      </c>
      <c r="C6" s="26">
        <f>Dashboard!E11</f>
        <v>0</v>
      </c>
      <c r="D6" s="7"/>
    </row>
    <row r="7" spans="2:4" x14ac:dyDescent="0.2">
      <c r="B7" s="6" t="s">
        <v>337</v>
      </c>
      <c r="C7" s="198">
        <f>Dashboard!E12</f>
        <v>0</v>
      </c>
      <c r="D7" s="7"/>
    </row>
    <row r="8" spans="2:4" x14ac:dyDescent="0.2">
      <c r="B8" s="6" t="s">
        <v>3</v>
      </c>
      <c r="C8" s="206">
        <f>MAX(Changelog!B:B)</f>
        <v>42600</v>
      </c>
      <c r="D8" s="7"/>
    </row>
    <row r="9" spans="2:4" x14ac:dyDescent="0.2">
      <c r="B9" s="6" t="s">
        <v>4</v>
      </c>
      <c r="C9" s="8" t="s">
        <v>621</v>
      </c>
      <c r="D9" s="7"/>
    </row>
    <row r="10" spans="2:4" x14ac:dyDescent="0.2">
      <c r="B10" s="9" t="s">
        <v>21</v>
      </c>
      <c r="C10" s="10" t="s">
        <v>5</v>
      </c>
      <c r="D10" s="11"/>
    </row>
    <row r="12" spans="2:4" x14ac:dyDescent="0.2">
      <c r="B12" s="3" t="s">
        <v>9</v>
      </c>
      <c r="C12" s="4"/>
      <c r="D12" s="5"/>
    </row>
    <row r="13" spans="2:4" x14ac:dyDescent="0.2">
      <c r="B13" s="21"/>
      <c r="C13" s="8"/>
      <c r="D13" s="7"/>
    </row>
    <row r="14" spans="2:4" x14ac:dyDescent="0.2">
      <c r="B14" s="21" t="s">
        <v>10</v>
      </c>
      <c r="C14" s="22" t="s">
        <v>11</v>
      </c>
      <c r="D14" s="7"/>
    </row>
    <row r="15" spans="2:4" ht="17" thickBot="1" x14ac:dyDescent="0.25">
      <c r="B15" s="21"/>
      <c r="C15" s="15" t="s">
        <v>12</v>
      </c>
      <c r="D15" s="7"/>
    </row>
    <row r="16" spans="2:4" ht="17" thickBot="1" x14ac:dyDescent="0.25">
      <c r="B16" s="21"/>
      <c r="C16" s="23" t="s">
        <v>13</v>
      </c>
      <c r="D16" s="7"/>
    </row>
    <row r="17" spans="2:4" x14ac:dyDescent="0.2">
      <c r="B17" s="21"/>
      <c r="C17" s="8" t="s">
        <v>14</v>
      </c>
      <c r="D17" s="7"/>
    </row>
    <row r="18" spans="2:4" x14ac:dyDescent="0.2">
      <c r="B18" s="21"/>
      <c r="C18" s="8"/>
      <c r="D18" s="7"/>
    </row>
    <row r="19" spans="2:4" x14ac:dyDescent="0.2">
      <c r="B19" s="21" t="s">
        <v>15</v>
      </c>
      <c r="C19" s="24" t="s">
        <v>290</v>
      </c>
      <c r="D19" s="7"/>
    </row>
    <row r="20" spans="2:4" x14ac:dyDescent="0.2">
      <c r="B20" s="21"/>
      <c r="C20" s="161" t="s">
        <v>18</v>
      </c>
      <c r="D20" s="7"/>
    </row>
    <row r="21" spans="2:4" x14ac:dyDescent="0.2">
      <c r="B21" s="21"/>
      <c r="C21" s="162" t="s">
        <v>291</v>
      </c>
      <c r="D21" s="7"/>
    </row>
    <row r="22" spans="2:4" x14ac:dyDescent="0.2">
      <c r="B22" s="21"/>
      <c r="C22" s="163" t="s">
        <v>29</v>
      </c>
      <c r="D22" s="7"/>
    </row>
    <row r="23" spans="2:4" x14ac:dyDescent="0.2">
      <c r="B23" s="19"/>
      <c r="C23" s="25" t="s">
        <v>16</v>
      </c>
      <c r="D23" s="7"/>
    </row>
    <row r="24" spans="2:4" x14ac:dyDescent="0.2">
      <c r="B24" s="19"/>
      <c r="C24" s="164" t="s">
        <v>292</v>
      </c>
      <c r="D24" s="7"/>
    </row>
    <row r="25" spans="2:4" x14ac:dyDescent="0.2">
      <c r="B25" s="19"/>
      <c r="C25" s="165" t="s">
        <v>17</v>
      </c>
      <c r="D25" s="7"/>
    </row>
    <row r="26" spans="2:4" x14ac:dyDescent="0.2">
      <c r="B26" s="19"/>
      <c r="C26" s="124" t="s">
        <v>330</v>
      </c>
      <c r="D26" s="7"/>
    </row>
    <row r="27" spans="2:4" x14ac:dyDescent="0.2">
      <c r="B27" s="20"/>
      <c r="C27" s="212"/>
      <c r="D27" s="11"/>
    </row>
    <row r="29" spans="2:4" x14ac:dyDescent="0.2">
      <c r="B29" s="3" t="s">
        <v>19</v>
      </c>
      <c r="C29" s="4"/>
      <c r="D29" s="5"/>
    </row>
    <row r="30" spans="2:4" x14ac:dyDescent="0.2">
      <c r="B30" s="19"/>
      <c r="C30" s="8"/>
      <c r="D30" s="7"/>
    </row>
    <row r="31" spans="2:4" x14ac:dyDescent="0.2">
      <c r="B31" s="19"/>
      <c r="C31" s="8"/>
      <c r="D31" s="7"/>
    </row>
    <row r="32" spans="2:4" x14ac:dyDescent="0.2">
      <c r="B32" s="19"/>
      <c r="C32" s="8"/>
      <c r="D32" s="7"/>
    </row>
    <row r="33" spans="2:4" x14ac:dyDescent="0.2">
      <c r="B33" s="19"/>
      <c r="C33" s="8"/>
      <c r="D33" s="7"/>
    </row>
    <row r="34" spans="2:4" x14ac:dyDescent="0.2">
      <c r="B34" s="19"/>
      <c r="C34" s="8"/>
      <c r="D34" s="7"/>
    </row>
    <row r="35" spans="2:4" x14ac:dyDescent="0.2">
      <c r="B35" s="19"/>
      <c r="C35" s="8"/>
      <c r="D35" s="7"/>
    </row>
    <row r="36" spans="2:4" x14ac:dyDescent="0.2">
      <c r="B36" s="19"/>
      <c r="C36" s="8"/>
      <c r="D36" s="7"/>
    </row>
    <row r="37" spans="2:4" x14ac:dyDescent="0.2">
      <c r="B37" s="19"/>
      <c r="C37" s="8"/>
      <c r="D37" s="7"/>
    </row>
    <row r="38" spans="2:4" x14ac:dyDescent="0.2">
      <c r="B38" s="19"/>
      <c r="C38" s="8"/>
      <c r="D38" s="7"/>
    </row>
    <row r="39" spans="2:4" x14ac:dyDescent="0.2">
      <c r="B39" s="20"/>
      <c r="C39" s="10"/>
      <c r="D39"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5" tint="0.39997558519241921"/>
  </sheetPr>
  <dimension ref="B2:E29"/>
  <sheetViews>
    <sheetView topLeftCell="A2" workbookViewId="0">
      <selection activeCell="C29" sqref="C29"/>
    </sheetView>
  </sheetViews>
  <sheetFormatPr baseColWidth="10" defaultRowHeight="16" x14ac:dyDescent="0.2"/>
  <cols>
    <col min="1" max="1" width="10.83203125" style="1"/>
    <col min="2" max="3" width="20.83203125" style="1" customWidth="1"/>
    <col min="4" max="4" width="23.1640625" style="1" customWidth="1"/>
    <col min="5" max="5" width="21" style="1" customWidth="1"/>
    <col min="6" max="16384" width="10.83203125" style="1"/>
  </cols>
  <sheetData>
    <row r="2" spans="2:5" ht="21" x14ac:dyDescent="0.25">
      <c r="B2" s="2" t="s">
        <v>344</v>
      </c>
    </row>
    <row r="4" spans="2:5" x14ac:dyDescent="0.2">
      <c r="B4" s="3" t="s">
        <v>94</v>
      </c>
      <c r="C4" s="4"/>
      <c r="D4" s="4"/>
      <c r="E4" s="5"/>
    </row>
    <row r="5" spans="2:5" ht="45" customHeight="1" x14ac:dyDescent="0.2">
      <c r="B5" s="405" t="s">
        <v>617</v>
      </c>
      <c r="C5" s="407"/>
      <c r="D5" s="407"/>
      <c r="E5" s="406"/>
    </row>
    <row r="6" spans="2:5" ht="17" thickBot="1" x14ac:dyDescent="0.25"/>
    <row r="7" spans="2:5" ht="32" x14ac:dyDescent="0.2">
      <c r="B7" s="201" t="s">
        <v>488</v>
      </c>
      <c r="C7" s="283" t="s">
        <v>339</v>
      </c>
      <c r="D7" s="167" t="s">
        <v>479</v>
      </c>
      <c r="E7" s="168" t="s">
        <v>344</v>
      </c>
    </row>
    <row r="8" spans="2:5" x14ac:dyDescent="0.2">
      <c r="B8" s="279" t="s">
        <v>267</v>
      </c>
      <c r="C8" s="169"/>
      <c r="D8" s="4"/>
      <c r="E8" s="136"/>
    </row>
    <row r="9" spans="2:5" x14ac:dyDescent="0.2">
      <c r="B9" s="280"/>
      <c r="C9" s="18" t="s">
        <v>121</v>
      </c>
      <c r="D9" s="222" t="e">
        <f>SUM('Final demand per energy carrier'!E15:E23)</f>
        <v>#DIV/0!</v>
      </c>
      <c r="E9" s="249" t="e">
        <f>IF(SUM($D$9:$D$10)=0,0,D9/SUM($D$9:$D$10))</f>
        <v>#DIV/0!</v>
      </c>
    </row>
    <row r="10" spans="2:5" x14ac:dyDescent="0.2">
      <c r="B10" s="280"/>
      <c r="C10" s="18" t="s">
        <v>305</v>
      </c>
      <c r="D10" s="222" t="e">
        <f>'Final demand per energy carrier'!E45</f>
        <v>#DIV/0!</v>
      </c>
      <c r="E10" s="249" t="e">
        <f>IF(SUM($D$9:$D$10)=0,1,D10/SUM($D$9:$D$10))</f>
        <v>#DIV/0!</v>
      </c>
    </row>
    <row r="11" spans="2:5" x14ac:dyDescent="0.2">
      <c r="B11" s="37"/>
      <c r="C11" s="7"/>
      <c r="D11" s="217"/>
      <c r="E11" s="250"/>
    </row>
    <row r="12" spans="2:5" x14ac:dyDescent="0.2">
      <c r="B12" s="279" t="s">
        <v>597</v>
      </c>
      <c r="C12" s="169"/>
      <c r="D12" s="223"/>
      <c r="E12" s="252"/>
    </row>
    <row r="13" spans="2:5" x14ac:dyDescent="0.2">
      <c r="B13" s="280"/>
      <c r="C13" s="18" t="s">
        <v>121</v>
      </c>
      <c r="D13" s="222" t="e">
        <f>SUM('Final demand per energy carrier'!F15:F23)</f>
        <v>#DIV/0!</v>
      </c>
      <c r="E13" s="249" t="e">
        <f>IF(SUM($D$13:$D$15)=0,0,D13/SUM($D$13:$D$15))</f>
        <v>#DIV/0!</v>
      </c>
    </row>
    <row r="14" spans="2:5" x14ac:dyDescent="0.2">
      <c r="B14" s="280"/>
      <c r="C14" s="18" t="s">
        <v>120</v>
      </c>
      <c r="D14" s="222" t="e">
        <f>SUM('Final demand per energy carrier'!F26:F28)</f>
        <v>#DIV/0!</v>
      </c>
      <c r="E14" s="249" t="e">
        <f>IF(SUM($D$13:$D$15)=0,0,D14/SUM($D$13:$D$15))</f>
        <v>#DIV/0!</v>
      </c>
    </row>
    <row r="15" spans="2:5" x14ac:dyDescent="0.2">
      <c r="B15" s="280"/>
      <c r="C15" s="18" t="s">
        <v>305</v>
      </c>
      <c r="D15" s="222" t="e">
        <f>'Final demand per energy carrier'!F45</f>
        <v>#DIV/0!</v>
      </c>
      <c r="E15" s="249" t="e">
        <f>IF(SUM($D$13:$D$15)=0,1,D15/SUM($D$13:$D$15))</f>
        <v>#DIV/0!</v>
      </c>
    </row>
    <row r="16" spans="2:5" x14ac:dyDescent="0.2">
      <c r="B16" s="281"/>
      <c r="C16" s="7"/>
      <c r="D16" s="217"/>
      <c r="E16" s="253"/>
    </row>
    <row r="17" spans="2:5" x14ac:dyDescent="0.2">
      <c r="B17" s="279" t="s">
        <v>269</v>
      </c>
      <c r="C17" s="169"/>
      <c r="D17" s="223"/>
      <c r="E17" s="252"/>
    </row>
    <row r="18" spans="2:5" x14ac:dyDescent="0.2">
      <c r="B18" s="280"/>
      <c r="C18" s="18" t="s">
        <v>121</v>
      </c>
      <c r="D18" s="222" t="e">
        <f>SUM('Final demand per energy carrier'!G15:G23)</f>
        <v>#DIV/0!</v>
      </c>
      <c r="E18" s="249" t="e">
        <f>IF(SUM($D$18:$D$19)=0,0,D18/SUM($D$18:$D$19))</f>
        <v>#DIV/0!</v>
      </c>
    </row>
    <row r="19" spans="2:5" x14ac:dyDescent="0.2">
      <c r="B19" s="280"/>
      <c r="C19" s="18" t="s">
        <v>305</v>
      </c>
      <c r="D19" s="222" t="e">
        <f>'Final demand per energy carrier'!G45</f>
        <v>#DIV/0!</v>
      </c>
      <c r="E19" s="249" t="e">
        <f>IF(SUM($D$18:$D$19)=0,1,D19/SUM($D$18:$D$19))</f>
        <v>#DIV/0!</v>
      </c>
    </row>
    <row r="20" spans="2:5" x14ac:dyDescent="0.2">
      <c r="B20" s="280"/>
      <c r="C20" s="7"/>
      <c r="D20" s="217"/>
      <c r="E20" s="253"/>
    </row>
    <row r="21" spans="2:5" x14ac:dyDescent="0.2">
      <c r="B21" s="279" t="s">
        <v>303</v>
      </c>
      <c r="C21" s="169"/>
      <c r="D21" s="223"/>
      <c r="E21" s="252"/>
    </row>
    <row r="22" spans="2:5" x14ac:dyDescent="0.2">
      <c r="B22" s="280"/>
      <c r="C22" s="18" t="s">
        <v>121</v>
      </c>
      <c r="D22" s="222" t="e">
        <f>SUM('Final demand per energy carrier'!J15:J23)</f>
        <v>#DIV/0!</v>
      </c>
      <c r="E22" s="249" t="e">
        <f>IF(SUM($D$22:$D$25)=0,0,D22/SUM($D$22:$D$25))</f>
        <v>#DIV/0!</v>
      </c>
    </row>
    <row r="23" spans="2:5" x14ac:dyDescent="0.2">
      <c r="B23" s="280"/>
      <c r="C23" s="18" t="s">
        <v>120</v>
      </c>
      <c r="D23" s="222" t="e">
        <f>SUM('Final demand per energy carrier'!J26:J28)</f>
        <v>#DIV/0!</v>
      </c>
      <c r="E23" s="249" t="e">
        <f t="shared" ref="E23:E24" si="0">IF(SUM($D$22:$D$25)=0,0,D23/SUM($D$22:$D$25))</f>
        <v>#DIV/0!</v>
      </c>
    </row>
    <row r="24" spans="2:5" x14ac:dyDescent="0.2">
      <c r="B24" s="280"/>
      <c r="C24" s="18" t="s">
        <v>90</v>
      </c>
      <c r="D24" s="222" t="e">
        <f>SUM('Final demand per energy carrier'!J31:J35)</f>
        <v>#DIV/0!</v>
      </c>
      <c r="E24" s="249" t="e">
        <f t="shared" si="0"/>
        <v>#DIV/0!</v>
      </c>
    </row>
    <row r="25" spans="2:5" x14ac:dyDescent="0.2">
      <c r="B25" s="280"/>
      <c r="C25" s="18" t="s">
        <v>264</v>
      </c>
      <c r="D25" s="222" t="e">
        <f>'Final demand per energy carrier'!J44</f>
        <v>#DIV/0!</v>
      </c>
      <c r="E25" s="249" t="e">
        <f>IF(SUM($D$22:$D$25)=0,1,D25/SUM($D$22:$D$25))</f>
        <v>#DIV/0!</v>
      </c>
    </row>
    <row r="26" spans="2:5" x14ac:dyDescent="0.2">
      <c r="B26" s="279" t="s">
        <v>303</v>
      </c>
      <c r="C26" s="169"/>
      <c r="D26" s="223"/>
      <c r="E26" s="252"/>
    </row>
    <row r="27" spans="2:5" x14ac:dyDescent="0.2">
      <c r="B27" s="280"/>
      <c r="C27" s="18" t="s">
        <v>616</v>
      </c>
      <c r="D27" s="222" t="e">
        <f>SUM(D22:D25)</f>
        <v>#DIV/0!</v>
      </c>
      <c r="E27" s="249" t="e">
        <f>IF(SUM($D$27:$D$28)=0,1,D27/SUM($D$27:$D$28))</f>
        <v>#DIV/0!</v>
      </c>
    </row>
    <row r="28" spans="2:5" x14ac:dyDescent="0.2">
      <c r="B28" s="280"/>
      <c r="C28" s="18" t="s">
        <v>614</v>
      </c>
      <c r="D28" s="222">
        <f>SUM('Final demand per energy carrier'!J41)</f>
        <v>0</v>
      </c>
      <c r="E28" s="249" t="e">
        <f>IF(SUM($D$27:$D$28)=0,0,D28/SUM($D$27:$D$28))</f>
        <v>#DIV/0!</v>
      </c>
    </row>
    <row r="29" spans="2:5" ht="17" thickBot="1" x14ac:dyDescent="0.25">
      <c r="B29" s="282"/>
      <c r="C29" s="154"/>
      <c r="D29" s="166"/>
      <c r="E29" s="254"/>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5" tint="0.39997558519241921"/>
  </sheetPr>
  <dimension ref="B2:F25"/>
  <sheetViews>
    <sheetView workbookViewId="0">
      <selection activeCell="E21" sqref="E21"/>
    </sheetView>
  </sheetViews>
  <sheetFormatPr baseColWidth="10" defaultRowHeight="16" x14ac:dyDescent="0.2"/>
  <cols>
    <col min="1" max="1" width="10.83203125" style="1"/>
    <col min="2" max="2" width="30.83203125" style="1" bestFit="1" customWidth="1"/>
    <col min="3" max="3" width="30.83203125" style="1" customWidth="1"/>
    <col min="4" max="4" width="34" style="1" bestFit="1" customWidth="1"/>
    <col min="5" max="5" width="28.5" style="1" customWidth="1"/>
    <col min="6" max="6" width="22.6640625" style="1" customWidth="1"/>
    <col min="7" max="16384" width="10.83203125" style="1"/>
  </cols>
  <sheetData>
    <row r="2" spans="2:6" ht="21" x14ac:dyDescent="0.25">
      <c r="B2" s="2" t="s">
        <v>347</v>
      </c>
      <c r="C2" s="2"/>
    </row>
    <row r="4" spans="2:6" x14ac:dyDescent="0.2">
      <c r="B4" s="3" t="s">
        <v>94</v>
      </c>
      <c r="C4" s="13"/>
      <c r="D4" s="4"/>
      <c r="E4" s="4"/>
      <c r="F4" s="5"/>
    </row>
    <row r="5" spans="2:6" x14ac:dyDescent="0.2">
      <c r="B5" s="405" t="s">
        <v>328</v>
      </c>
      <c r="C5" s="407"/>
      <c r="D5" s="407"/>
      <c r="E5" s="407"/>
      <c r="F5" s="406"/>
    </row>
    <row r="6" spans="2:6" ht="17" thickBot="1" x14ac:dyDescent="0.25"/>
    <row r="7" spans="2:6" ht="48" x14ac:dyDescent="0.2">
      <c r="B7" s="201" t="s">
        <v>487</v>
      </c>
      <c r="C7" s="274" t="s">
        <v>488</v>
      </c>
      <c r="D7" s="283" t="s">
        <v>228</v>
      </c>
      <c r="E7" s="167" t="s">
        <v>348</v>
      </c>
      <c r="F7" s="168" t="s">
        <v>492</v>
      </c>
    </row>
    <row r="8" spans="2:6" x14ac:dyDescent="0.2">
      <c r="B8" s="279" t="s">
        <v>91</v>
      </c>
      <c r="C8" s="276"/>
      <c r="D8" s="169"/>
      <c r="E8" s="4"/>
      <c r="F8" s="136"/>
    </row>
    <row r="9" spans="2:6" x14ac:dyDescent="0.2">
      <c r="B9" s="280"/>
      <c r="C9" s="60" t="s">
        <v>489</v>
      </c>
      <c r="D9" s="18" t="s">
        <v>122</v>
      </c>
      <c r="E9" s="187" t="e">
        <f>'Technology split final demand'!G11</f>
        <v>#DIV/0!</v>
      </c>
      <c r="F9" s="249" t="e">
        <f>IF(SUM($E$9:$E$10)=0,1,E9/SUM($E$9:$E$10))</f>
        <v>#DIV/0!</v>
      </c>
    </row>
    <row r="10" spans="2:6" x14ac:dyDescent="0.2">
      <c r="B10" s="280"/>
      <c r="C10" s="60"/>
      <c r="D10" s="18" t="s">
        <v>123</v>
      </c>
      <c r="E10" s="187" t="e">
        <f>'Technology split final demand'!G13</f>
        <v>#DIV/0!</v>
      </c>
      <c r="F10" s="249" t="e">
        <f>IF(SUM($E$9:$E$10)=0,0,E10/SUM($E$9:$E$10))</f>
        <v>#DIV/0!</v>
      </c>
    </row>
    <row r="11" spans="2:6" x14ac:dyDescent="0.2">
      <c r="B11" s="37"/>
      <c r="C11" s="277"/>
      <c r="D11" s="7"/>
      <c r="E11" s="172"/>
      <c r="F11" s="250"/>
    </row>
    <row r="12" spans="2:6" x14ac:dyDescent="0.2">
      <c r="B12" s="280"/>
      <c r="C12" s="60" t="s">
        <v>490</v>
      </c>
      <c r="D12" s="18" t="s">
        <v>124</v>
      </c>
      <c r="E12" s="187" t="e">
        <f>'Technology split final demand'!G12</f>
        <v>#DIV/0!</v>
      </c>
      <c r="F12" s="249" t="e">
        <f>IF(SUM($E$12:$E$13)=0,1,E12/SUM($E$12:$E$13))</f>
        <v>#DIV/0!</v>
      </c>
    </row>
    <row r="13" spans="2:6" x14ac:dyDescent="0.2">
      <c r="B13" s="280"/>
      <c r="C13" s="60"/>
      <c r="D13" s="18" t="s">
        <v>125</v>
      </c>
      <c r="E13" s="187" t="e">
        <f>'Technology split final demand'!G14</f>
        <v>#DIV/0!</v>
      </c>
      <c r="F13" s="249" t="e">
        <f>IF(SUM($E$12:$E$13)=0,0,E13/SUM($E$12:$E$13))</f>
        <v>#DIV/0!</v>
      </c>
    </row>
    <row r="14" spans="2:6" x14ac:dyDescent="0.2">
      <c r="B14" s="281"/>
      <c r="C14" s="278"/>
      <c r="D14" s="7"/>
      <c r="E14" s="172"/>
      <c r="F14" s="253"/>
    </row>
    <row r="15" spans="2:6" x14ac:dyDescent="0.2">
      <c r="B15" s="279" t="s">
        <v>104</v>
      </c>
      <c r="C15" s="276"/>
      <c r="D15" s="169"/>
      <c r="E15" s="251"/>
      <c r="F15" s="252"/>
    </row>
    <row r="16" spans="2:6" x14ac:dyDescent="0.2">
      <c r="B16" s="280"/>
      <c r="C16" s="60" t="s">
        <v>491</v>
      </c>
      <c r="D16" s="18" t="s">
        <v>124</v>
      </c>
      <c r="E16" s="187" t="e">
        <f>'Technology split final demand'!G24</f>
        <v>#DIV/0!</v>
      </c>
      <c r="F16" s="249" t="e">
        <f>IF(SUM($E$16:$E$17)=0,0,E16/SUM($E$16:$E$17))</f>
        <v>#DIV/0!</v>
      </c>
    </row>
    <row r="17" spans="2:6" x14ac:dyDescent="0.2">
      <c r="B17" s="280"/>
      <c r="C17" s="60"/>
      <c r="D17" s="18" t="s">
        <v>132</v>
      </c>
      <c r="E17" s="187" t="e">
        <f>'Technology split final demand'!G25</f>
        <v>#DIV/0!</v>
      </c>
      <c r="F17" s="249" t="e">
        <f>IF(SUM($E$16:$E$17)=0,1,E17/SUM($E$16:$E$17))</f>
        <v>#DIV/0!</v>
      </c>
    </row>
    <row r="18" spans="2:6" x14ac:dyDescent="0.2">
      <c r="B18" s="280"/>
      <c r="C18" s="60"/>
      <c r="D18" s="7"/>
      <c r="E18" s="172"/>
      <c r="F18" s="253"/>
    </row>
    <row r="19" spans="2:6" x14ac:dyDescent="0.2">
      <c r="B19" s="279" t="s">
        <v>90</v>
      </c>
      <c r="C19" s="276"/>
      <c r="D19" s="169"/>
      <c r="E19" s="251"/>
      <c r="F19" s="252"/>
    </row>
    <row r="20" spans="2:6" x14ac:dyDescent="0.2">
      <c r="B20" s="280"/>
      <c r="C20" s="60" t="s">
        <v>491</v>
      </c>
      <c r="D20" s="18" t="s">
        <v>133</v>
      </c>
      <c r="E20" s="187" t="e">
        <f>'Technology split final demand'!G28</f>
        <v>#DIV/0!</v>
      </c>
      <c r="F20" s="249" t="e">
        <f>IF(SUM($E$20:$E$24)=0,1,E20/SUM($E$20:$E$24))</f>
        <v>#DIV/0!</v>
      </c>
    </row>
    <row r="21" spans="2:6" x14ac:dyDescent="0.2">
      <c r="B21" s="280"/>
      <c r="C21" s="60"/>
      <c r="D21" s="18" t="s">
        <v>134</v>
      </c>
      <c r="E21" s="187" t="e">
        <f>'Technology split final demand'!G29</f>
        <v>#DIV/0!</v>
      </c>
      <c r="F21" s="249" t="e">
        <f>IF(SUM($E$20:$E$24)=0,0,E21/SUM($E$20:$E$24))</f>
        <v>#DIV/0!</v>
      </c>
    </row>
    <row r="22" spans="2:6" x14ac:dyDescent="0.2">
      <c r="B22" s="280"/>
      <c r="C22" s="60"/>
      <c r="D22" s="18" t="s">
        <v>333</v>
      </c>
      <c r="E22" s="187" t="e">
        <f>'Technology split final demand'!G30</f>
        <v>#DIV/0!</v>
      </c>
      <c r="F22" s="249" t="e">
        <f>IF(SUM($E$20:$E$24)=0,0,E22/SUM($E$20:$E$24))</f>
        <v>#DIV/0!</v>
      </c>
    </row>
    <row r="23" spans="2:6" x14ac:dyDescent="0.2">
      <c r="B23" s="280"/>
      <c r="C23" s="60"/>
      <c r="D23" s="18" t="s">
        <v>334</v>
      </c>
      <c r="E23" s="187" t="e">
        <f>'Technology split final demand'!G31</f>
        <v>#DIV/0!</v>
      </c>
      <c r="F23" s="249" t="e">
        <f>IF(SUM($E$20:$E$24)=0,0,E23/SUM($E$20:$E$24))</f>
        <v>#DIV/0!</v>
      </c>
    </row>
    <row r="24" spans="2:6" x14ac:dyDescent="0.2">
      <c r="B24" s="280"/>
      <c r="C24" s="60"/>
      <c r="D24" s="18" t="s">
        <v>135</v>
      </c>
      <c r="E24" s="187" t="e">
        <f>'Technology split final demand'!G32</f>
        <v>#DIV/0!</v>
      </c>
      <c r="F24" s="249" t="e">
        <f>IF(SUM($E$20:$E$24)=0,0,E24/SUM($E$20:$E$24))</f>
        <v>#DIV/0!</v>
      </c>
    </row>
    <row r="25" spans="2:6" ht="17" thickBot="1" x14ac:dyDescent="0.25">
      <c r="B25" s="282"/>
      <c r="C25" s="105"/>
      <c r="D25" s="170"/>
      <c r="E25" s="63"/>
      <c r="F25" s="243"/>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theme="8" tint="0.39997558519241921"/>
  </sheetPr>
  <dimension ref="A2:L46"/>
  <sheetViews>
    <sheetView topLeftCell="F6" workbookViewId="0">
      <selection activeCell="J41" sqref="J41"/>
    </sheetView>
  </sheetViews>
  <sheetFormatPr baseColWidth="10" defaultRowHeight="16" x14ac:dyDescent="0.2"/>
  <cols>
    <col min="1" max="1" width="10.83203125" style="1" customWidth="1"/>
    <col min="2" max="2" width="25.83203125" style="1" customWidth="1"/>
    <col min="3" max="3" width="39.1640625" style="1" customWidth="1"/>
    <col min="4" max="4" width="14.1640625" style="1" customWidth="1"/>
    <col min="5" max="11" width="21.6640625" style="1" customWidth="1"/>
    <col min="12" max="16384" width="10.83203125" style="1"/>
  </cols>
  <sheetData>
    <row r="2" spans="1:11" ht="21" x14ac:dyDescent="0.25">
      <c r="B2" s="67" t="s">
        <v>229</v>
      </c>
      <c r="C2" s="8"/>
      <c r="D2" s="8"/>
      <c r="E2" s="8"/>
      <c r="F2" s="8"/>
      <c r="G2" s="8"/>
      <c r="H2" s="8"/>
      <c r="I2" s="8"/>
      <c r="J2" s="8"/>
      <c r="K2" s="8"/>
    </row>
    <row r="3" spans="1:11" x14ac:dyDescent="0.2">
      <c r="E3" s="8"/>
      <c r="F3" s="8"/>
      <c r="G3" s="8"/>
      <c r="H3" s="8"/>
      <c r="I3" s="8"/>
      <c r="J3" s="8"/>
      <c r="K3" s="8"/>
    </row>
    <row r="4" spans="1:11" x14ac:dyDescent="0.2">
      <c r="B4" s="3" t="s">
        <v>94</v>
      </c>
      <c r="C4" s="4"/>
      <c r="D4" s="4"/>
      <c r="E4" s="4"/>
      <c r="F4" s="5"/>
      <c r="G4" s="8"/>
      <c r="H4" s="8"/>
      <c r="I4" s="8"/>
      <c r="J4" s="8"/>
      <c r="K4" s="8"/>
    </row>
    <row r="5" spans="1:11" ht="30" customHeight="1" x14ac:dyDescent="0.2">
      <c r="B5" s="405" t="s">
        <v>420</v>
      </c>
      <c r="C5" s="407"/>
      <c r="D5" s="407"/>
      <c r="E5" s="407"/>
      <c r="F5" s="406"/>
      <c r="G5" s="8"/>
      <c r="H5" s="8"/>
      <c r="I5" s="202"/>
      <c r="J5" s="202"/>
      <c r="K5" s="8"/>
    </row>
    <row r="6" spans="1:11" ht="17" thickBot="1" x14ac:dyDescent="0.25">
      <c r="B6" s="8"/>
      <c r="C6" s="8"/>
      <c r="D6" s="8"/>
      <c r="E6" s="8"/>
      <c r="F6" s="8"/>
      <c r="G6" s="8"/>
      <c r="H6" s="8"/>
      <c r="I6" s="8"/>
      <c r="J6" s="8"/>
      <c r="K6" s="8"/>
    </row>
    <row r="7" spans="1:11" x14ac:dyDescent="0.2">
      <c r="B7" s="27" t="s">
        <v>229</v>
      </c>
      <c r="C7" s="53"/>
      <c r="D7" s="53"/>
      <c r="E7" s="53"/>
      <c r="F7" s="53"/>
      <c r="G7" s="53"/>
      <c r="H7" s="53"/>
      <c r="I7" s="53"/>
      <c r="J7" s="53"/>
      <c r="K7" s="29"/>
    </row>
    <row r="8" spans="1:11" x14ac:dyDescent="0.2">
      <c r="B8" s="30"/>
      <c r="C8" s="8"/>
      <c r="D8" s="8"/>
      <c r="E8" s="8"/>
      <c r="F8" s="8"/>
      <c r="G8" s="8"/>
      <c r="H8" s="8"/>
      <c r="I8" s="8"/>
      <c r="J8" s="8"/>
      <c r="K8" s="31"/>
    </row>
    <row r="9" spans="1:11" ht="32" x14ac:dyDescent="0.2">
      <c r="B9" s="68" t="s">
        <v>339</v>
      </c>
      <c r="C9" s="74" t="s">
        <v>131</v>
      </c>
      <c r="D9" s="108" t="s">
        <v>587</v>
      </c>
      <c r="E9" s="69" t="s">
        <v>480</v>
      </c>
      <c r="F9" s="69" t="s">
        <v>598</v>
      </c>
      <c r="G9" s="69" t="s">
        <v>481</v>
      </c>
      <c r="H9" s="69" t="s">
        <v>482</v>
      </c>
      <c r="I9" s="69" t="s">
        <v>483</v>
      </c>
      <c r="J9" s="69" t="s">
        <v>484</v>
      </c>
      <c r="K9" s="146" t="s">
        <v>485</v>
      </c>
    </row>
    <row r="10" spans="1:11" x14ac:dyDescent="0.2">
      <c r="B10" s="73"/>
      <c r="C10" s="72"/>
      <c r="D10" s="76"/>
      <c r="E10" s="72"/>
      <c r="F10" s="72"/>
      <c r="G10" s="72"/>
      <c r="H10" s="72"/>
      <c r="I10" s="72"/>
      <c r="J10" s="72"/>
      <c r="K10" s="147"/>
    </row>
    <row r="11" spans="1:11" s="95" customFormat="1" x14ac:dyDescent="0.2">
      <c r="B11" s="50" t="s">
        <v>137</v>
      </c>
      <c r="C11" s="93" t="s">
        <v>119</v>
      </c>
      <c r="D11" s="94"/>
      <c r="E11" s="218">
        <f>'Fuel aggregation'!C11</f>
        <v>0</v>
      </c>
      <c r="F11" s="218">
        <f>'Fuel aggregation'!D11</f>
        <v>0</v>
      </c>
      <c r="G11" s="218">
        <f>'Fuel aggregation'!E11</f>
        <v>0</v>
      </c>
      <c r="H11" s="218">
        <f>'Fuel aggregation'!F11</f>
        <v>0</v>
      </c>
      <c r="I11" s="218">
        <f>'Fuel aggregation'!G11</f>
        <v>0</v>
      </c>
      <c r="J11" s="218">
        <f>'Fuel aggregation'!H11</f>
        <v>0</v>
      </c>
      <c r="K11" s="219">
        <f>'Fuel aggregation'!I11</f>
        <v>0</v>
      </c>
    </row>
    <row r="12" spans="1:11" x14ac:dyDescent="0.2">
      <c r="B12" s="73"/>
      <c r="C12" s="17"/>
      <c r="D12" s="18"/>
      <c r="E12" s="218"/>
      <c r="F12" s="218"/>
      <c r="G12" s="218"/>
      <c r="H12" s="218"/>
      <c r="I12" s="218"/>
      <c r="J12" s="218"/>
      <c r="K12" s="219"/>
    </row>
    <row r="13" spans="1:11" x14ac:dyDescent="0.2">
      <c r="B13" s="73"/>
      <c r="C13" s="72"/>
      <c r="D13" s="71"/>
      <c r="E13" s="397"/>
      <c r="F13" s="397"/>
      <c r="G13" s="397"/>
      <c r="H13" s="397"/>
      <c r="I13" s="397"/>
      <c r="J13" s="397"/>
      <c r="K13" s="398"/>
    </row>
    <row r="14" spans="1:11" x14ac:dyDescent="0.2">
      <c r="B14" s="49" t="s">
        <v>121</v>
      </c>
      <c r="C14" s="4"/>
      <c r="D14" s="5"/>
      <c r="E14" s="387"/>
      <c r="F14" s="387"/>
      <c r="G14" s="387"/>
      <c r="H14" s="387"/>
      <c r="I14" s="387"/>
      <c r="J14" s="387"/>
      <c r="K14" s="388"/>
    </row>
    <row r="15" spans="1:11" x14ac:dyDescent="0.2">
      <c r="A15" s="8"/>
      <c r="B15" s="73"/>
      <c r="C15" s="17" t="s">
        <v>122</v>
      </c>
      <c r="D15" s="75" t="e">
        <f>'Technology split final demand'!G11</f>
        <v>#DIV/0!</v>
      </c>
      <c r="E15" s="383"/>
      <c r="F15" s="257" t="e">
        <f>D15*Final_demand_space_heating</f>
        <v>#DIV/0!</v>
      </c>
      <c r="G15" s="257"/>
      <c r="H15" s="257"/>
      <c r="I15" s="257"/>
      <c r="J15" s="257"/>
      <c r="K15" s="384"/>
    </row>
    <row r="16" spans="1:11" x14ac:dyDescent="0.2">
      <c r="A16" s="8"/>
      <c r="B16" s="73"/>
      <c r="C16" s="17" t="s">
        <v>124</v>
      </c>
      <c r="D16" s="75" t="e">
        <f>'Technology split final demand'!G12</f>
        <v>#DIV/0!</v>
      </c>
      <c r="E16" s="383"/>
      <c r="F16" s="257"/>
      <c r="G16" s="257"/>
      <c r="H16" s="257"/>
      <c r="I16" s="257"/>
      <c r="J16" s="257" t="e">
        <f>D16*Final_demand_space_heating</f>
        <v>#DIV/0!</v>
      </c>
      <c r="K16" s="384"/>
    </row>
    <row r="17" spans="1:11" x14ac:dyDescent="0.2">
      <c r="A17" s="8"/>
      <c r="B17" s="73"/>
      <c r="C17" s="17" t="s">
        <v>123</v>
      </c>
      <c r="D17" s="75" t="e">
        <f>'Technology split final demand'!G13</f>
        <v>#DIV/0!</v>
      </c>
      <c r="E17" s="383"/>
      <c r="F17" s="257" t="e">
        <f>D17*Final_demand_space_heating</f>
        <v>#DIV/0!</v>
      </c>
      <c r="G17" s="257"/>
      <c r="H17" s="257"/>
      <c r="I17" s="257"/>
      <c r="J17" s="257"/>
      <c r="K17" s="384"/>
    </row>
    <row r="18" spans="1:11" x14ac:dyDescent="0.2">
      <c r="A18" s="8"/>
      <c r="B18" s="73"/>
      <c r="C18" s="17" t="s">
        <v>125</v>
      </c>
      <c r="D18" s="75" t="e">
        <f>'Technology split final demand'!G14</f>
        <v>#DIV/0!</v>
      </c>
      <c r="E18" s="383"/>
      <c r="F18" s="257"/>
      <c r="G18" s="257"/>
      <c r="H18" s="257"/>
      <c r="I18" s="257"/>
      <c r="J18" s="257" t="e">
        <f>D18*Final_demand_space_heating</f>
        <v>#DIV/0!</v>
      </c>
      <c r="K18" s="384"/>
    </row>
    <row r="19" spans="1:11" x14ac:dyDescent="0.2">
      <c r="A19" s="8"/>
      <c r="B19" s="73"/>
      <c r="C19" s="17" t="s">
        <v>127</v>
      </c>
      <c r="D19" s="75" t="e">
        <f>'Technology split final demand'!G15</f>
        <v>#DIV/0!</v>
      </c>
      <c r="E19" s="257" t="e">
        <f>D19*Final_demand_space_heating</f>
        <v>#DIV/0!</v>
      </c>
      <c r="F19" s="257"/>
      <c r="G19" s="257"/>
      <c r="H19" s="257"/>
      <c r="I19" s="257"/>
      <c r="J19" s="257"/>
      <c r="K19" s="384"/>
    </row>
    <row r="20" spans="1:11" x14ac:dyDescent="0.2">
      <c r="A20" s="8"/>
      <c r="B20" s="73"/>
      <c r="C20" s="17" t="s">
        <v>128</v>
      </c>
      <c r="D20" s="75" t="e">
        <f>'Technology split final demand'!G16</f>
        <v>#DIV/0!</v>
      </c>
      <c r="E20" s="383"/>
      <c r="F20" s="257"/>
      <c r="G20" s="257" t="e">
        <f>D20*Final_demand_space_heating</f>
        <v>#DIV/0!</v>
      </c>
      <c r="H20" s="257"/>
      <c r="I20" s="257"/>
      <c r="J20" s="257"/>
      <c r="K20" s="384"/>
    </row>
    <row r="21" spans="1:11" x14ac:dyDescent="0.2">
      <c r="B21" s="73"/>
      <c r="C21" s="17" t="s">
        <v>126</v>
      </c>
      <c r="D21" s="75" t="e">
        <f>'Technology split final demand'!G18</f>
        <v>#DIV/0!</v>
      </c>
      <c r="E21" s="257"/>
      <c r="F21" s="257"/>
      <c r="G21" s="257"/>
      <c r="H21" s="257"/>
      <c r="I21" s="257" t="e">
        <f>D21*Final_demand_space_heating</f>
        <v>#DIV/0!</v>
      </c>
      <c r="J21" s="257"/>
      <c r="K21" s="384"/>
    </row>
    <row r="22" spans="1:11" x14ac:dyDescent="0.2">
      <c r="A22" s="8"/>
      <c r="B22" s="73"/>
      <c r="C22" s="17" t="s">
        <v>129</v>
      </c>
      <c r="D22" s="75" t="e">
        <f>'Technology split final demand'!G19</f>
        <v>#DIV/0!</v>
      </c>
      <c r="E22" s="257"/>
      <c r="F22" s="257"/>
      <c r="G22" s="257"/>
      <c r="H22" s="257" t="e">
        <f>D22*Final_demand_space_heating</f>
        <v>#DIV/0!</v>
      </c>
      <c r="I22" s="257"/>
      <c r="J22" s="257"/>
      <c r="K22" s="384"/>
    </row>
    <row r="23" spans="1:11" x14ac:dyDescent="0.2">
      <c r="A23" s="8"/>
      <c r="B23" s="73"/>
      <c r="C23" s="17" t="s">
        <v>130</v>
      </c>
      <c r="D23" s="75" t="e">
        <f>'Technology split final demand'!G20</f>
        <v>#DIV/0!</v>
      </c>
      <c r="E23" s="257"/>
      <c r="F23" s="257"/>
      <c r="G23" s="257"/>
      <c r="H23" s="257"/>
      <c r="I23" s="257"/>
      <c r="J23" s="257"/>
      <c r="K23" s="384" t="e">
        <f>D23*Final_demand_space_heating</f>
        <v>#DIV/0!</v>
      </c>
    </row>
    <row r="24" spans="1:11" x14ac:dyDescent="0.2">
      <c r="A24" s="8"/>
      <c r="B24" s="30"/>
      <c r="C24" s="8"/>
      <c r="D24" s="7"/>
      <c r="E24" s="385"/>
      <c r="F24" s="385"/>
      <c r="G24" s="385"/>
      <c r="H24" s="385"/>
      <c r="I24" s="385"/>
      <c r="J24" s="385"/>
      <c r="K24" s="386"/>
    </row>
    <row r="25" spans="1:11" x14ac:dyDescent="0.2">
      <c r="B25" s="49" t="s">
        <v>120</v>
      </c>
      <c r="C25" s="4"/>
      <c r="D25" s="5"/>
      <c r="E25" s="387"/>
      <c r="F25" s="387"/>
      <c r="G25" s="387"/>
      <c r="H25" s="387"/>
      <c r="I25" s="387"/>
      <c r="J25" s="387"/>
      <c r="K25" s="388"/>
    </row>
    <row r="26" spans="1:11" x14ac:dyDescent="0.2">
      <c r="B26" s="73"/>
      <c r="C26" s="17" t="s">
        <v>123</v>
      </c>
      <c r="D26" s="75" t="e">
        <f>'Technology split final demand'!G23</f>
        <v>#DIV/0!</v>
      </c>
      <c r="E26" s="257"/>
      <c r="F26" s="257" t="e">
        <f>D26*Final_demand_space_cooling</f>
        <v>#DIV/0!</v>
      </c>
      <c r="G26" s="257"/>
      <c r="H26" s="257"/>
      <c r="I26" s="257"/>
      <c r="J26" s="257"/>
      <c r="K26" s="384"/>
    </row>
    <row r="27" spans="1:11" x14ac:dyDescent="0.2">
      <c r="B27" s="73"/>
      <c r="C27" s="17" t="s">
        <v>124</v>
      </c>
      <c r="D27" s="75" t="e">
        <f>'Technology split final demand'!G24</f>
        <v>#DIV/0!</v>
      </c>
      <c r="E27" s="257"/>
      <c r="F27" s="257"/>
      <c r="G27" s="257"/>
      <c r="H27" s="257"/>
      <c r="I27" s="257"/>
      <c r="J27" s="257" t="e">
        <f>D27*Final_demand_space_cooling</f>
        <v>#DIV/0!</v>
      </c>
      <c r="K27" s="384"/>
    </row>
    <row r="28" spans="1:11" x14ac:dyDescent="0.2">
      <c r="B28" s="73"/>
      <c r="C28" s="17" t="s">
        <v>132</v>
      </c>
      <c r="D28" s="75" t="e">
        <f>'Technology split final demand'!G25</f>
        <v>#DIV/0!</v>
      </c>
      <c r="E28" s="257"/>
      <c r="F28" s="257"/>
      <c r="G28" s="257"/>
      <c r="H28" s="257"/>
      <c r="I28" s="257"/>
      <c r="J28" s="257" t="e">
        <f>D28*Final_demand_space_cooling</f>
        <v>#DIV/0!</v>
      </c>
      <c r="K28" s="384"/>
    </row>
    <row r="29" spans="1:11" x14ac:dyDescent="0.2">
      <c r="B29" s="43"/>
      <c r="C29" s="10"/>
      <c r="D29" s="7"/>
      <c r="E29" s="389"/>
      <c r="F29" s="389"/>
      <c r="G29" s="389"/>
      <c r="H29" s="389"/>
      <c r="I29" s="389"/>
      <c r="J29" s="389"/>
      <c r="K29" s="390"/>
    </row>
    <row r="30" spans="1:11" x14ac:dyDescent="0.2">
      <c r="B30" s="37" t="s">
        <v>90</v>
      </c>
      <c r="C30" s="8"/>
      <c r="D30" s="5"/>
      <c r="E30" s="385"/>
      <c r="F30" s="385"/>
      <c r="G30" s="385"/>
      <c r="H30" s="385"/>
      <c r="I30" s="385"/>
      <c r="J30" s="385"/>
      <c r="K30" s="386"/>
    </row>
    <row r="31" spans="1:11" x14ac:dyDescent="0.2">
      <c r="B31" s="73"/>
      <c r="C31" s="17" t="s">
        <v>133</v>
      </c>
      <c r="D31" s="75" t="e">
        <f>'Technology split final demand'!G28</f>
        <v>#DIV/0!</v>
      </c>
      <c r="E31" s="257"/>
      <c r="F31" s="257"/>
      <c r="G31" s="257"/>
      <c r="H31" s="257"/>
      <c r="I31" s="257"/>
      <c r="J31" s="257" t="e">
        <f>D31*Final_demand_lighting</f>
        <v>#DIV/0!</v>
      </c>
      <c r="K31" s="384"/>
    </row>
    <row r="32" spans="1:11" x14ac:dyDescent="0.2">
      <c r="B32" s="73"/>
      <c r="C32" s="17" t="s">
        <v>134</v>
      </c>
      <c r="D32" s="75" t="e">
        <f>'Technology split final demand'!G29</f>
        <v>#DIV/0!</v>
      </c>
      <c r="E32" s="257"/>
      <c r="F32" s="257"/>
      <c r="G32" s="257"/>
      <c r="H32" s="257"/>
      <c r="I32" s="257"/>
      <c r="J32" s="257" t="e">
        <f>D32*Final_demand_lighting</f>
        <v>#DIV/0!</v>
      </c>
      <c r="K32" s="384"/>
    </row>
    <row r="33" spans="2:12" x14ac:dyDescent="0.2">
      <c r="B33" s="73"/>
      <c r="C33" s="17" t="s">
        <v>333</v>
      </c>
      <c r="D33" s="75" t="e">
        <f>'Technology split final demand'!G30</f>
        <v>#DIV/0!</v>
      </c>
      <c r="E33" s="257"/>
      <c r="F33" s="257"/>
      <c r="G33" s="257"/>
      <c r="H33" s="257"/>
      <c r="I33" s="257"/>
      <c r="J33" s="257" t="e">
        <f>D33*Final_demand_lighting</f>
        <v>#DIV/0!</v>
      </c>
      <c r="K33" s="384"/>
    </row>
    <row r="34" spans="2:12" x14ac:dyDescent="0.2">
      <c r="B34" s="73"/>
      <c r="C34" s="17" t="s">
        <v>334</v>
      </c>
      <c r="D34" s="75" t="e">
        <f>'Technology split final demand'!G31</f>
        <v>#DIV/0!</v>
      </c>
      <c r="E34" s="257"/>
      <c r="F34" s="257"/>
      <c r="G34" s="257"/>
      <c r="H34" s="257"/>
      <c r="I34" s="257"/>
      <c r="J34" s="257" t="e">
        <f>D34*Final_demand_lighting</f>
        <v>#DIV/0!</v>
      </c>
      <c r="K34" s="384"/>
    </row>
    <row r="35" spans="2:12" x14ac:dyDescent="0.2">
      <c r="B35" s="73"/>
      <c r="C35" s="17" t="s">
        <v>135</v>
      </c>
      <c r="D35" s="75" t="e">
        <f>'Technology split final demand'!G32</f>
        <v>#DIV/0!</v>
      </c>
      <c r="E35" s="257"/>
      <c r="F35" s="257"/>
      <c r="G35" s="257"/>
      <c r="H35" s="257"/>
      <c r="I35" s="257"/>
      <c r="J35" s="257" t="e">
        <f>D35*Final_demand_lighting</f>
        <v>#DIV/0!</v>
      </c>
      <c r="K35" s="384"/>
    </row>
    <row r="36" spans="2:12" x14ac:dyDescent="0.2">
      <c r="B36" s="43"/>
      <c r="C36" s="10"/>
      <c r="D36" s="11"/>
      <c r="E36" s="389"/>
      <c r="F36" s="389"/>
      <c r="G36" s="389"/>
      <c r="H36" s="389"/>
      <c r="I36" s="389"/>
      <c r="J36" s="389"/>
      <c r="K36" s="390"/>
    </row>
    <row r="37" spans="2:12" x14ac:dyDescent="0.2">
      <c r="B37" s="37" t="s">
        <v>340</v>
      </c>
      <c r="C37" s="8"/>
      <c r="D37" s="7"/>
      <c r="E37" s="385"/>
      <c r="F37" s="385"/>
      <c r="G37" s="385"/>
      <c r="H37" s="385"/>
      <c r="I37" s="385"/>
      <c r="J37" s="385"/>
      <c r="K37" s="386"/>
    </row>
    <row r="38" spans="2:12" x14ac:dyDescent="0.2">
      <c r="B38" s="30"/>
      <c r="C38" t="s">
        <v>588</v>
      </c>
      <c r="D38" s="75"/>
      <c r="E38" s="257" t="e">
        <f t="shared" ref="E38:K38" si="0">SUM(E15:E35)</f>
        <v>#DIV/0!</v>
      </c>
      <c r="F38" s="257" t="e">
        <f t="shared" si="0"/>
        <v>#DIV/0!</v>
      </c>
      <c r="G38" s="257" t="e">
        <f t="shared" si="0"/>
        <v>#DIV/0!</v>
      </c>
      <c r="H38" s="257" t="e">
        <f t="shared" si="0"/>
        <v>#DIV/0!</v>
      </c>
      <c r="I38" s="257" t="e">
        <f t="shared" si="0"/>
        <v>#DIV/0!</v>
      </c>
      <c r="J38" s="257" t="e">
        <f t="shared" si="0"/>
        <v>#DIV/0!</v>
      </c>
      <c r="K38" s="257" t="e">
        <f t="shared" si="0"/>
        <v>#DIV/0!</v>
      </c>
      <c r="L38" s="30"/>
    </row>
    <row r="39" spans="2:12" x14ac:dyDescent="0.2">
      <c r="B39" s="30"/>
      <c r="C39" s="8"/>
      <c r="D39" s="7"/>
      <c r="E39" s="385"/>
      <c r="F39" s="385"/>
      <c r="G39" s="385"/>
      <c r="H39" s="385"/>
      <c r="I39" s="385"/>
      <c r="J39" s="385"/>
      <c r="K39" s="386"/>
    </row>
    <row r="40" spans="2:12" x14ac:dyDescent="0.2">
      <c r="B40" s="396" t="s">
        <v>614</v>
      </c>
      <c r="C40" s="4"/>
      <c r="D40" s="5"/>
      <c r="E40" s="387"/>
      <c r="F40" s="387"/>
      <c r="G40" s="387"/>
      <c r="H40" s="387"/>
      <c r="I40" s="387"/>
      <c r="J40" s="387"/>
      <c r="K40" s="388"/>
    </row>
    <row r="41" spans="2:12" x14ac:dyDescent="0.2">
      <c r="B41" s="30"/>
      <c r="C41" s="8" t="s">
        <v>615</v>
      </c>
      <c r="D41" s="7"/>
      <c r="E41" s="403" t="s">
        <v>568</v>
      </c>
      <c r="F41" s="403" t="s">
        <v>568</v>
      </c>
      <c r="G41" s="403" t="s">
        <v>568</v>
      </c>
      <c r="H41" s="403" t="s">
        <v>568</v>
      </c>
      <c r="I41" s="403" t="s">
        <v>568</v>
      </c>
      <c r="J41" s="257" t="str">
        <f>Dashboard!E29</f>
        <v/>
      </c>
      <c r="K41" s="404" t="s">
        <v>568</v>
      </c>
    </row>
    <row r="42" spans="2:12" x14ac:dyDescent="0.2">
      <c r="B42" s="30"/>
      <c r="C42" s="17"/>
      <c r="D42" s="400"/>
      <c r="E42" s="401"/>
      <c r="F42" s="401"/>
      <c r="G42" s="401"/>
      <c r="H42" s="401"/>
      <c r="I42" s="401"/>
      <c r="J42" s="401"/>
      <c r="K42" s="402"/>
    </row>
    <row r="43" spans="2:12" x14ac:dyDescent="0.2">
      <c r="B43" s="396" t="s">
        <v>591</v>
      </c>
      <c r="C43" s="4"/>
      <c r="D43" s="5"/>
      <c r="E43" s="387"/>
      <c r="F43" s="387"/>
      <c r="G43" s="387"/>
      <c r="H43" s="387"/>
      <c r="I43" s="387"/>
      <c r="J43" s="387"/>
      <c r="K43" s="388"/>
    </row>
    <row r="44" spans="2:12" x14ac:dyDescent="0.2">
      <c r="B44" s="30"/>
      <c r="C44" s="17" t="s">
        <v>264</v>
      </c>
      <c r="D44" s="75"/>
      <c r="E44" s="257"/>
      <c r="F44" s="257"/>
      <c r="G44" s="257"/>
      <c r="H44" s="257"/>
      <c r="I44" s="257"/>
      <c r="J44" s="257" t="e">
        <f>J11-J38-J41</f>
        <v>#DIV/0!</v>
      </c>
      <c r="K44" s="384"/>
    </row>
    <row r="45" spans="2:12" x14ac:dyDescent="0.2">
      <c r="B45" s="30"/>
      <c r="C45" s="17" t="s">
        <v>589</v>
      </c>
      <c r="D45" s="75"/>
      <c r="E45" s="257" t="e">
        <f>E11-E38</f>
        <v>#DIV/0!</v>
      </c>
      <c r="F45" s="257" t="e">
        <f>F11-F38</f>
        <v>#DIV/0!</v>
      </c>
      <c r="G45" s="257" t="e">
        <f>G11-G38</f>
        <v>#DIV/0!</v>
      </c>
      <c r="H45" s="383" t="s">
        <v>568</v>
      </c>
      <c r="I45" s="383" t="s">
        <v>568</v>
      </c>
      <c r="J45" s="383" t="s">
        <v>568</v>
      </c>
      <c r="K45" s="391" t="s">
        <v>568</v>
      </c>
    </row>
    <row r="46" spans="2:12" ht="17" thickBot="1" x14ac:dyDescent="0.25">
      <c r="B46" s="47"/>
      <c r="C46" s="102"/>
      <c r="D46" s="154"/>
      <c r="E46" s="392"/>
      <c r="F46" s="392"/>
      <c r="G46" s="392"/>
      <c r="H46" s="392"/>
      <c r="I46" s="392"/>
      <c r="J46" s="392"/>
      <c r="K46" s="393"/>
    </row>
  </sheetData>
  <mergeCells count="1">
    <mergeCell ref="B5:F5"/>
  </mergeCells>
  <conditionalFormatting sqref="E45:G45">
    <cfRule type="cellIs" dxfId="5"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tabColor theme="8" tint="0.39997558519241921"/>
  </sheetPr>
  <dimension ref="B2:J33"/>
  <sheetViews>
    <sheetView workbookViewId="0">
      <selection activeCell="G13" sqref="G13"/>
    </sheetView>
  </sheetViews>
  <sheetFormatPr baseColWidth="10" defaultRowHeight="16" x14ac:dyDescent="0.2"/>
  <cols>
    <col min="1" max="1" width="10.83203125" style="1"/>
    <col min="2" max="2" width="22.33203125" style="1" customWidth="1"/>
    <col min="3" max="3" width="34" style="1" bestFit="1" customWidth="1"/>
    <col min="4" max="4" width="17.83203125" style="1" customWidth="1"/>
    <col min="5" max="5" width="12.5" style="1" customWidth="1"/>
    <col min="6" max="6" width="22.5" style="1" customWidth="1"/>
    <col min="7" max="7" width="29.1640625" style="1" customWidth="1"/>
    <col min="8" max="8" width="32.6640625" style="1" customWidth="1"/>
    <col min="9" max="9" width="20.83203125" style="1" customWidth="1"/>
    <col min="10" max="10" width="5.1640625" style="1" customWidth="1"/>
    <col min="11" max="11" width="20.1640625" style="1" customWidth="1"/>
    <col min="12" max="12" width="10.83203125" style="1"/>
    <col min="13" max="13" width="29.83203125" style="1" customWidth="1"/>
    <col min="14" max="16384" width="10.83203125" style="1"/>
  </cols>
  <sheetData>
    <row r="2" spans="2:10" ht="21" x14ac:dyDescent="0.25">
      <c r="B2" s="2" t="s">
        <v>313</v>
      </c>
    </row>
    <row r="4" spans="2:10" x14ac:dyDescent="0.2">
      <c r="B4" s="3" t="s">
        <v>94</v>
      </c>
      <c r="C4" s="4"/>
      <c r="D4" s="4"/>
      <c r="E4" s="5"/>
    </row>
    <row r="5" spans="2:10" s="197" customFormat="1" ht="75" customHeight="1" x14ac:dyDescent="0.2">
      <c r="B5" s="405" t="s">
        <v>342</v>
      </c>
      <c r="C5" s="407"/>
      <c r="D5" s="407"/>
      <c r="E5" s="406"/>
    </row>
    <row r="6" spans="2:10" ht="17" thickBot="1" x14ac:dyDescent="0.25"/>
    <row r="7" spans="2:10" x14ac:dyDescent="0.2">
      <c r="B7" s="27" t="s">
        <v>495</v>
      </c>
      <c r="C7" s="53"/>
      <c r="D7" s="28"/>
      <c r="E7" s="28"/>
      <c r="F7" s="53"/>
      <c r="G7" s="53"/>
      <c r="H7" s="29"/>
    </row>
    <row r="8" spans="2:10" x14ac:dyDescent="0.2">
      <c r="B8" s="30"/>
      <c r="C8" s="8"/>
      <c r="D8" s="15"/>
      <c r="E8" s="15"/>
      <c r="F8" s="8"/>
      <c r="G8" s="8"/>
      <c r="H8" s="31"/>
    </row>
    <row r="9" spans="2:10" ht="48" x14ac:dyDescent="0.2">
      <c r="B9" s="68" t="s">
        <v>339</v>
      </c>
      <c r="C9" s="74" t="s">
        <v>228</v>
      </c>
      <c r="D9" s="108" t="s">
        <v>242</v>
      </c>
      <c r="E9" s="108" t="s">
        <v>240</v>
      </c>
      <c r="F9" s="108" t="s">
        <v>243</v>
      </c>
      <c r="G9" s="108" t="s">
        <v>241</v>
      </c>
      <c r="H9" s="34" t="s">
        <v>19</v>
      </c>
    </row>
    <row r="10" spans="2:10" x14ac:dyDescent="0.2">
      <c r="B10" s="37" t="s">
        <v>121</v>
      </c>
      <c r="C10" s="15"/>
      <c r="D10" s="298"/>
      <c r="E10" s="298"/>
      <c r="F10" s="298"/>
      <c r="G10" s="298"/>
      <c r="H10" s="36"/>
    </row>
    <row r="11" spans="2:10" x14ac:dyDescent="0.2">
      <c r="B11" s="37"/>
      <c r="C11" s="17" t="s">
        <v>122</v>
      </c>
      <c r="D11" s="185">
        <f>Dashboard!E44</f>
        <v>0</v>
      </c>
      <c r="E11" s="109">
        <f>Eff_space_heating_gas</f>
        <v>0</v>
      </c>
      <c r="F11" s="185" t="e">
        <f t="shared" ref="F11:F16" si="0">D11/E11</f>
        <v>#DIV/0!</v>
      </c>
      <c r="G11" s="246" t="e">
        <f>F11/SUM($F$11:$F$16)*(1-SUM($G$18:$G$20))</f>
        <v>#DIV/0!</v>
      </c>
      <c r="H11" s="100"/>
      <c r="J11" s="273"/>
    </row>
    <row r="12" spans="2:10" x14ac:dyDescent="0.2">
      <c r="B12" s="37"/>
      <c r="C12" s="17" t="s">
        <v>124</v>
      </c>
      <c r="D12" s="185">
        <f>Dashboard!E45</f>
        <v>0</v>
      </c>
      <c r="E12" s="109" t="e">
        <f>Eff_space_heating_pump_storage</f>
        <v>#DIV/0!</v>
      </c>
      <c r="F12" s="185" t="e">
        <f t="shared" si="0"/>
        <v>#DIV/0!</v>
      </c>
      <c r="G12" s="246" t="e">
        <f t="shared" ref="G12:G16" si="1">F12/SUM($F$11:$F$16)*(1-SUM($G$18:$G$20))</f>
        <v>#DIV/0!</v>
      </c>
      <c r="H12" s="100"/>
      <c r="I12" s="8"/>
      <c r="J12" s="273"/>
    </row>
    <row r="13" spans="2:10" x14ac:dyDescent="0.2">
      <c r="B13" s="37"/>
      <c r="C13" s="17" t="s">
        <v>123</v>
      </c>
      <c r="D13" s="185">
        <f>Dashboard!E46</f>
        <v>0</v>
      </c>
      <c r="E13" s="109" t="e">
        <f>Eff_space_heating_pump_gas</f>
        <v>#DIV/0!</v>
      </c>
      <c r="F13" s="185" t="e">
        <f t="shared" si="0"/>
        <v>#DIV/0!</v>
      </c>
      <c r="G13" s="246" t="e">
        <f t="shared" si="1"/>
        <v>#DIV/0!</v>
      </c>
      <c r="H13" s="42"/>
      <c r="I13" s="8"/>
      <c r="J13" s="273"/>
    </row>
    <row r="14" spans="2:10" x14ac:dyDescent="0.2">
      <c r="B14" s="37"/>
      <c r="C14" s="17" t="s">
        <v>125</v>
      </c>
      <c r="D14" s="185">
        <f>Dashboard!E47</f>
        <v>0</v>
      </c>
      <c r="E14" s="109">
        <f>Eff_space_heating_electric</f>
        <v>0</v>
      </c>
      <c r="F14" s="185" t="e">
        <f t="shared" si="0"/>
        <v>#DIV/0!</v>
      </c>
      <c r="G14" s="246" t="e">
        <f t="shared" si="1"/>
        <v>#DIV/0!</v>
      </c>
      <c r="H14" s="42"/>
      <c r="I14" s="8"/>
      <c r="J14" s="273"/>
    </row>
    <row r="15" spans="2:10" x14ac:dyDescent="0.2">
      <c r="B15" s="37"/>
      <c r="C15" s="17" t="s">
        <v>127</v>
      </c>
      <c r="D15" s="185">
        <f>Dashboard!E48</f>
        <v>0</v>
      </c>
      <c r="E15" s="109">
        <f>Eff_space_heating_coal</f>
        <v>0</v>
      </c>
      <c r="F15" s="185" t="e">
        <f t="shared" si="0"/>
        <v>#DIV/0!</v>
      </c>
      <c r="G15" s="246" t="e">
        <f t="shared" si="1"/>
        <v>#DIV/0!</v>
      </c>
      <c r="H15" s="42"/>
      <c r="I15" s="8"/>
      <c r="J15" s="273"/>
    </row>
    <row r="16" spans="2:10" x14ac:dyDescent="0.2">
      <c r="B16" s="37"/>
      <c r="C16" s="17" t="s">
        <v>128</v>
      </c>
      <c r="D16" s="185">
        <f>Dashboard!E49</f>
        <v>0</v>
      </c>
      <c r="E16" s="109">
        <f>Eff_space_heating_oil</f>
        <v>0</v>
      </c>
      <c r="F16" s="185" t="e">
        <f t="shared" si="0"/>
        <v>#DIV/0!</v>
      </c>
      <c r="G16" s="246" t="e">
        <f t="shared" si="1"/>
        <v>#DIV/0!</v>
      </c>
      <c r="H16" s="42"/>
      <c r="I16" s="8"/>
      <c r="J16" s="273"/>
    </row>
    <row r="17" spans="2:10" x14ac:dyDescent="0.2">
      <c r="B17" s="37"/>
      <c r="C17" s="8"/>
      <c r="D17" s="186"/>
      <c r="E17" s="8"/>
      <c r="F17" s="8"/>
      <c r="G17" s="247"/>
      <c r="H17" s="31"/>
      <c r="I17" s="8"/>
      <c r="J17" s="273"/>
    </row>
    <row r="18" spans="2:10" x14ac:dyDescent="0.2">
      <c r="B18" s="37"/>
      <c r="C18" s="17" t="s">
        <v>126</v>
      </c>
      <c r="D18" s="185"/>
      <c r="E18" s="109"/>
      <c r="F18" s="110"/>
      <c r="G18" s="248" t="e">
        <f>'Final demand extracted from EB'!D14</f>
        <v>#DIV/0!</v>
      </c>
      <c r="H18" s="411" t="s">
        <v>307</v>
      </c>
      <c r="J18" s="273"/>
    </row>
    <row r="19" spans="2:10" x14ac:dyDescent="0.2">
      <c r="B19" s="37"/>
      <c r="C19" s="17" t="s">
        <v>129</v>
      </c>
      <c r="D19" s="185"/>
      <c r="E19" s="109"/>
      <c r="F19" s="110"/>
      <c r="G19" s="248" t="e">
        <f>'Final demand extracted from EB'!D10</f>
        <v>#DIV/0!</v>
      </c>
      <c r="H19" s="411"/>
      <c r="J19" s="273"/>
    </row>
    <row r="20" spans="2:10" ht="15" customHeight="1" x14ac:dyDescent="0.2">
      <c r="B20" s="37"/>
      <c r="C20" s="17" t="s">
        <v>130</v>
      </c>
      <c r="D20" s="185"/>
      <c r="E20" s="109"/>
      <c r="F20" s="110"/>
      <c r="G20" s="248" t="e">
        <f>'Final demand extracted from EB'!D18</f>
        <v>#DIV/0!</v>
      </c>
      <c r="H20" s="411"/>
      <c r="J20" s="273"/>
    </row>
    <row r="21" spans="2:10" x14ac:dyDescent="0.2">
      <c r="B21" s="144"/>
      <c r="C21" s="10"/>
      <c r="D21" s="293"/>
      <c r="E21" s="10"/>
      <c r="F21" s="10"/>
      <c r="G21" s="294"/>
      <c r="H21" s="295"/>
    </row>
    <row r="22" spans="2:10" x14ac:dyDescent="0.2">
      <c r="B22" s="280" t="s">
        <v>104</v>
      </c>
      <c r="C22" s="275"/>
      <c r="D22" s="285"/>
      <c r="E22" s="275"/>
      <c r="F22" s="60"/>
      <c r="G22" s="285"/>
      <c r="H22" s="286"/>
    </row>
    <row r="23" spans="2:10" x14ac:dyDescent="0.2">
      <c r="B23" s="280"/>
      <c r="C23" s="17" t="s">
        <v>123</v>
      </c>
      <c r="D23" s="297">
        <f>Dashboard!E53</f>
        <v>0</v>
      </c>
      <c r="E23" s="192" t="e">
        <f>Eff_cooling_pump</f>
        <v>#DIV/0!</v>
      </c>
      <c r="F23" s="287" t="e">
        <f>D23/E23</f>
        <v>#DIV/0!</v>
      </c>
      <c r="G23" s="288" t="e">
        <f>F23/SUM($F$23:$F$25)</f>
        <v>#DIV/0!</v>
      </c>
      <c r="H23" s="104"/>
    </row>
    <row r="24" spans="2:10" x14ac:dyDescent="0.2">
      <c r="B24" s="280"/>
      <c r="C24" s="17" t="s">
        <v>124</v>
      </c>
      <c r="D24" s="297">
        <f>Dashboard!E54</f>
        <v>0</v>
      </c>
      <c r="E24" s="192" t="e">
        <f>Eff_cooling_pump_storage</f>
        <v>#DIV/0!</v>
      </c>
      <c r="F24" s="287" t="e">
        <f>D24/E24</f>
        <v>#DIV/0!</v>
      </c>
      <c r="G24" s="288" t="e">
        <f>F24/SUM($F$23:$F$25)</f>
        <v>#DIV/0!</v>
      </c>
      <c r="H24" s="104"/>
    </row>
    <row r="25" spans="2:10" x14ac:dyDescent="0.2">
      <c r="B25" s="280"/>
      <c r="C25" s="17" t="s">
        <v>132</v>
      </c>
      <c r="D25" s="297">
        <f>Dashboard!E55</f>
        <v>0</v>
      </c>
      <c r="E25" s="192" t="e">
        <f>Eff_cooling_airco</f>
        <v>#DIV/0!</v>
      </c>
      <c r="F25" s="287" t="e">
        <f>D25/E25</f>
        <v>#DIV/0!</v>
      </c>
      <c r="G25" s="288" t="e">
        <f>F25/SUM($F$23:$F$25)</f>
        <v>#DIV/0!</v>
      </c>
      <c r="H25" s="104"/>
    </row>
    <row r="26" spans="2:10" x14ac:dyDescent="0.2">
      <c r="B26" s="296"/>
      <c r="C26" s="289"/>
      <c r="D26" s="290"/>
      <c r="E26" s="289"/>
      <c r="F26" s="289"/>
      <c r="G26" s="291"/>
      <c r="H26" s="292"/>
    </row>
    <row r="27" spans="2:10" x14ac:dyDescent="0.2">
      <c r="B27" s="280" t="s">
        <v>90</v>
      </c>
      <c r="C27" s="275"/>
      <c r="D27" s="285"/>
      <c r="E27" s="275"/>
      <c r="F27" s="60"/>
      <c r="G27" s="285"/>
      <c r="H27" s="286"/>
    </row>
    <row r="28" spans="2:10" x14ac:dyDescent="0.2">
      <c r="B28" s="280"/>
      <c r="C28" s="17" t="s">
        <v>133</v>
      </c>
      <c r="D28" s="297">
        <f>Dashboard!E59</f>
        <v>0</v>
      </c>
      <c r="E28" s="192">
        <f>Eff_lighting_lamp_incandescent</f>
        <v>0.05</v>
      </c>
      <c r="F28" s="287">
        <f>D28/E28</f>
        <v>0</v>
      </c>
      <c r="G28" s="288" t="e">
        <f>F28/SUM($F$28:$F$32)</f>
        <v>#DIV/0!</v>
      </c>
      <c r="H28" s="104"/>
    </row>
    <row r="29" spans="2:10" x14ac:dyDescent="0.2">
      <c r="B29" s="280"/>
      <c r="C29" s="17" t="s">
        <v>134</v>
      </c>
      <c r="D29" s="297">
        <f>Dashboard!E60</f>
        <v>0</v>
      </c>
      <c r="E29" s="192">
        <f>Eff_lighting_lamp_fluorescent</f>
        <v>0.12</v>
      </c>
      <c r="F29" s="287">
        <f>D29/E29</f>
        <v>0</v>
      </c>
      <c r="G29" s="288" t="e">
        <f>F29/SUM($F$28:$F$32)</f>
        <v>#DIV/0!</v>
      </c>
      <c r="H29" s="104"/>
    </row>
    <row r="30" spans="2:10" x14ac:dyDescent="0.2">
      <c r="B30" s="280"/>
      <c r="C30" s="17" t="s">
        <v>333</v>
      </c>
      <c r="D30" s="297">
        <f>Dashboard!E61</f>
        <v>0</v>
      </c>
      <c r="E30" s="192">
        <f>Eff_lighting_tube_fluorescent_standartd</f>
        <v>0</v>
      </c>
      <c r="F30" s="287" t="e">
        <f>D30/E30</f>
        <v>#DIV/0!</v>
      </c>
      <c r="G30" s="288" t="e">
        <f>F30/SUM($F$28:$F$32)</f>
        <v>#DIV/0!</v>
      </c>
      <c r="H30" s="104"/>
    </row>
    <row r="31" spans="2:10" x14ac:dyDescent="0.2">
      <c r="B31" s="280"/>
      <c r="C31" s="17" t="s">
        <v>334</v>
      </c>
      <c r="D31" s="297">
        <f>Dashboard!E62</f>
        <v>0</v>
      </c>
      <c r="E31" s="192">
        <f>Eff_lighting_tube_fluorescent_efficient</f>
        <v>0</v>
      </c>
      <c r="F31" s="287" t="e">
        <f>D31/E31</f>
        <v>#DIV/0!</v>
      </c>
      <c r="G31" s="288" t="e">
        <f>F31/SUM($F$28:$F$32)</f>
        <v>#DIV/0!</v>
      </c>
      <c r="H31" s="104"/>
    </row>
    <row r="32" spans="2:10" x14ac:dyDescent="0.2">
      <c r="B32" s="280"/>
      <c r="C32" s="17" t="s">
        <v>135</v>
      </c>
      <c r="D32" s="297">
        <f>Dashboard!E63</f>
        <v>0</v>
      </c>
      <c r="E32" s="192">
        <f>Eff_lighting_led</f>
        <v>0</v>
      </c>
      <c r="F32" s="287" t="e">
        <f>D32/E32</f>
        <v>#DIV/0!</v>
      </c>
      <c r="G32" s="288" t="e">
        <f>F32/SUM($F$28:$F$32)</f>
        <v>#DIV/0!</v>
      </c>
      <c r="H32" s="104"/>
    </row>
    <row r="33" spans="2:8" ht="17" thickBot="1" x14ac:dyDescent="0.25">
      <c r="B33" s="282"/>
      <c r="C33" s="105"/>
      <c r="D33" s="105"/>
      <c r="E33" s="105"/>
      <c r="F33" s="105"/>
      <c r="G33" s="244"/>
      <c r="H33" s="106"/>
    </row>
  </sheetData>
  <mergeCells count="2">
    <mergeCell ref="B5:E5"/>
    <mergeCell ref="H18:H20"/>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8" tint="0.79998168889431442"/>
  </sheetPr>
  <dimension ref="B2:D19"/>
  <sheetViews>
    <sheetView workbookViewId="0">
      <selection activeCell="D13" sqref="D13"/>
    </sheetView>
  </sheetViews>
  <sheetFormatPr baseColWidth="10" defaultRowHeight="16" x14ac:dyDescent="0.2"/>
  <cols>
    <col min="1" max="1" width="10.83203125" style="1"/>
    <col min="2" max="2" width="21.6640625" style="1" customWidth="1"/>
    <col min="3" max="3" width="61.33203125" style="1" bestFit="1" customWidth="1"/>
    <col min="4" max="4" width="10.83203125" style="1" customWidth="1"/>
    <col min="5" max="16384" width="10.83203125" style="1"/>
  </cols>
  <sheetData>
    <row r="2" spans="2:4" ht="21" x14ac:dyDescent="0.25">
      <c r="B2" s="67" t="s">
        <v>309</v>
      </c>
    </row>
    <row r="4" spans="2:4" x14ac:dyDescent="0.2">
      <c r="B4" s="3" t="s">
        <v>94</v>
      </c>
      <c r="C4" s="5"/>
    </row>
    <row r="5" spans="2:4" ht="45" customHeight="1" x14ac:dyDescent="0.2">
      <c r="B5" s="405" t="s">
        <v>349</v>
      </c>
      <c r="C5" s="406"/>
    </row>
    <row r="6" spans="2:4" ht="17" thickBot="1" x14ac:dyDescent="0.25"/>
    <row r="7" spans="2:4" ht="30" customHeight="1" x14ac:dyDescent="0.2">
      <c r="B7" s="194" t="s">
        <v>326</v>
      </c>
      <c r="C7" s="195" t="s">
        <v>284</v>
      </c>
      <c r="D7" s="196" t="s">
        <v>285</v>
      </c>
    </row>
    <row r="8" spans="2:4" x14ac:dyDescent="0.2">
      <c r="B8" s="49" t="s">
        <v>304</v>
      </c>
      <c r="C8" s="4"/>
      <c r="D8" s="193"/>
    </row>
    <row r="9" spans="2:4" x14ac:dyDescent="0.2">
      <c r="B9" s="73"/>
      <c r="C9" s="17" t="s">
        <v>311</v>
      </c>
      <c r="D9" s="221">
        <f>'Fuel aggregation'!F11</f>
        <v>0</v>
      </c>
    </row>
    <row r="10" spans="2:4" x14ac:dyDescent="0.2">
      <c r="B10" s="73"/>
      <c r="C10" s="17" t="s">
        <v>296</v>
      </c>
      <c r="D10" s="245" t="e">
        <f>D9/Final_demand_space_heating</f>
        <v>#DIV/0!</v>
      </c>
    </row>
    <row r="11" spans="2:4" x14ac:dyDescent="0.2">
      <c r="B11" s="151"/>
      <c r="C11" s="10"/>
      <c r="D11" s="152"/>
    </row>
    <row r="12" spans="2:4" x14ac:dyDescent="0.2">
      <c r="B12" s="49" t="s">
        <v>147</v>
      </c>
      <c r="C12" s="4"/>
      <c r="D12" s="193"/>
    </row>
    <row r="13" spans="2:4" x14ac:dyDescent="0.2">
      <c r="B13" s="73"/>
      <c r="C13" s="17" t="s">
        <v>312</v>
      </c>
      <c r="D13" s="221">
        <f>'Fuel aggregation'!G11</f>
        <v>0</v>
      </c>
    </row>
    <row r="14" spans="2:4" x14ac:dyDescent="0.2">
      <c r="B14" s="73"/>
      <c r="C14" s="17" t="s">
        <v>298</v>
      </c>
      <c r="D14" s="245" t="e">
        <f>D13/Final_demand_space_heating</f>
        <v>#DIV/0!</v>
      </c>
    </row>
    <row r="15" spans="2:4" x14ac:dyDescent="0.2">
      <c r="B15" s="151"/>
      <c r="C15" s="10"/>
      <c r="D15" s="152"/>
    </row>
    <row r="16" spans="2:4" x14ac:dyDescent="0.2">
      <c r="B16" s="49" t="s">
        <v>130</v>
      </c>
      <c r="C16" s="5"/>
      <c r="D16" s="193"/>
    </row>
    <row r="17" spans="2:4" x14ac:dyDescent="0.2">
      <c r="B17" s="73"/>
      <c r="C17" s="18" t="s">
        <v>310</v>
      </c>
      <c r="D17" s="221">
        <f>'Fuel aggregation'!I11</f>
        <v>0</v>
      </c>
    </row>
    <row r="18" spans="2:4" x14ac:dyDescent="0.2">
      <c r="B18" s="73"/>
      <c r="C18" s="18" t="s">
        <v>297</v>
      </c>
      <c r="D18" s="245" t="e">
        <f>D17/Final_demand_space_heating</f>
        <v>#DIV/0!</v>
      </c>
    </row>
    <row r="19" spans="2:4" ht="17" thickBot="1" x14ac:dyDescent="0.25">
      <c r="B19" s="188"/>
      <c r="C19" s="154"/>
      <c r="D19" s="189"/>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8" tint="0.79998168889431442"/>
  </sheetPr>
  <dimension ref="B2:M24"/>
  <sheetViews>
    <sheetView workbookViewId="0"/>
  </sheetViews>
  <sheetFormatPr baseColWidth="10" defaultRowHeight="16" x14ac:dyDescent="0.2"/>
  <cols>
    <col min="1" max="1" width="10.83203125" style="145"/>
    <col min="2" max="2" width="27.83203125" style="145" bestFit="1" customWidth="1"/>
    <col min="3" max="10" width="21.6640625" style="145" customWidth="1"/>
    <col min="11" max="11" width="23.6640625" style="145" bestFit="1" customWidth="1"/>
    <col min="12" max="12" width="20.33203125" style="145" customWidth="1"/>
    <col min="13" max="16384" width="10.83203125" style="145"/>
  </cols>
  <sheetData>
    <row r="2" spans="2:13" ht="21" x14ac:dyDescent="0.25">
      <c r="B2" s="67" t="s">
        <v>308</v>
      </c>
      <c r="C2" s="8"/>
      <c r="D2" s="8"/>
      <c r="E2" s="8"/>
      <c r="G2" s="8"/>
      <c r="H2" s="8"/>
    </row>
    <row r="3" spans="2:13" x14ac:dyDescent="0.2">
      <c r="B3" s="1"/>
      <c r="C3" s="8"/>
      <c r="D3" s="8"/>
      <c r="E3" s="8"/>
      <c r="G3" s="8"/>
      <c r="H3" s="8"/>
    </row>
    <row r="4" spans="2:13" x14ac:dyDescent="0.2">
      <c r="B4" s="3" t="s">
        <v>94</v>
      </c>
      <c r="C4" s="4"/>
      <c r="D4" s="4"/>
      <c r="E4" s="4"/>
      <c r="F4" s="203"/>
      <c r="G4" s="8"/>
      <c r="H4" s="8"/>
    </row>
    <row r="5" spans="2:13" ht="60" customHeight="1" x14ac:dyDescent="0.2">
      <c r="B5" s="405" t="s">
        <v>341</v>
      </c>
      <c r="C5" s="407"/>
      <c r="D5" s="407"/>
      <c r="E5" s="407"/>
      <c r="F5" s="406"/>
      <c r="G5" s="99"/>
      <c r="H5" s="99"/>
    </row>
    <row r="6" spans="2:13" ht="17" thickBot="1" x14ac:dyDescent="0.25"/>
    <row r="7" spans="2:13" x14ac:dyDescent="0.2">
      <c r="B7" s="179" t="s">
        <v>229</v>
      </c>
      <c r="C7" s="53"/>
      <c r="D7" s="28"/>
      <c r="E7" s="53"/>
      <c r="F7" s="53"/>
      <c r="G7" s="53"/>
      <c r="H7" s="53"/>
      <c r="I7" s="53"/>
      <c r="J7" s="53"/>
      <c r="K7" s="264"/>
      <c r="L7" s="29"/>
    </row>
    <row r="8" spans="2:13" x14ac:dyDescent="0.2">
      <c r="B8" s="180"/>
      <c r="C8" s="8"/>
      <c r="D8" s="8"/>
      <c r="E8" s="8"/>
      <c r="F8" s="8"/>
      <c r="G8" s="8"/>
      <c r="H8" s="8"/>
      <c r="I8" s="8"/>
      <c r="J8" s="8"/>
      <c r="K8" s="180"/>
      <c r="L8" s="31"/>
    </row>
    <row r="9" spans="2:13" ht="32" x14ac:dyDescent="0.2">
      <c r="B9" s="181"/>
      <c r="C9" s="69" t="s">
        <v>273</v>
      </c>
      <c r="D9" s="69" t="s">
        <v>599</v>
      </c>
      <c r="E9" s="69" t="s">
        <v>274</v>
      </c>
      <c r="F9" s="69" t="s">
        <v>275</v>
      </c>
      <c r="G9" s="69" t="s">
        <v>272</v>
      </c>
      <c r="H9" s="69" t="s">
        <v>271</v>
      </c>
      <c r="I9" s="69" t="s">
        <v>276</v>
      </c>
      <c r="J9" s="69" t="s">
        <v>288</v>
      </c>
      <c r="K9" s="265" t="s">
        <v>471</v>
      </c>
      <c r="L9" s="146" t="s">
        <v>472</v>
      </c>
    </row>
    <row r="10" spans="2:13" x14ac:dyDescent="0.2">
      <c r="B10" s="182"/>
      <c r="C10" s="72"/>
      <c r="D10" s="72"/>
      <c r="E10" s="72"/>
      <c r="F10" s="72"/>
      <c r="G10" s="72"/>
      <c r="H10" s="72"/>
      <c r="I10" s="72"/>
      <c r="J10" s="72"/>
      <c r="K10" s="266"/>
      <c r="L10" s="147"/>
    </row>
    <row r="11" spans="2:13" ht="32" x14ac:dyDescent="0.2">
      <c r="B11" s="183" t="s">
        <v>277</v>
      </c>
      <c r="C11" s="220">
        <f>SUM('Corrected energy balance step 2'!C83:N83)+'Corrected energy balance step 2'!S83</f>
        <v>0</v>
      </c>
      <c r="D11" s="220">
        <f>'Corrected energy balance step 2'!T83+'Corrected energy balance step 2'!AV83</f>
        <v>0</v>
      </c>
      <c r="E11" s="220">
        <f>SUM('Corrected energy balance step 2'!U83:AQ83,'Corrected energy balance step 2'!AW83:AY83)</f>
        <v>0</v>
      </c>
      <c r="F11" s="220">
        <f>'Corrected energy balance step 2'!AU83+'Corrected energy balance step 2'!AZ83+'Corrected energy balance step 2'!BA83</f>
        <v>0</v>
      </c>
      <c r="G11" s="220">
        <f>'Corrected energy balance step 2'!BH83</f>
        <v>0</v>
      </c>
      <c r="H11" s="220">
        <f>'Corrected energy balance step 2'!BL83</f>
        <v>0</v>
      </c>
      <c r="I11" s="220">
        <f>'Corrected energy balance step 2'!BM83+'Corrected energy balance step 2'!BF83</f>
        <v>0</v>
      </c>
      <c r="J11" s="220">
        <f>SUM('Corrected energy balance step 2'!O83:R83,'Corrected energy balance step 2'!AR83:AT83,'Corrected energy balance step 2'!BB83:BE83,'Corrected energy balance step 2'!BG83,'Corrected energy balance step 2'!BI83:BK83)</f>
        <v>0</v>
      </c>
      <c r="K11" s="267">
        <f>SUM(C10:J11)</f>
        <v>0</v>
      </c>
      <c r="L11" s="268">
        <f>'Corrected energy balance step 2'!$BN$83</f>
        <v>0</v>
      </c>
    </row>
    <row r="12" spans="2:13" ht="17" thickBot="1" x14ac:dyDescent="0.25">
      <c r="B12" s="184"/>
      <c r="C12" s="148"/>
      <c r="D12" s="148"/>
      <c r="E12" s="148"/>
      <c r="F12" s="148"/>
      <c r="G12" s="148"/>
      <c r="H12" s="148"/>
      <c r="I12" s="148"/>
      <c r="J12" s="148"/>
      <c r="K12" s="272"/>
      <c r="L12" s="271"/>
    </row>
    <row r="13" spans="2:13" x14ac:dyDescent="0.2">
      <c r="J13" s="269"/>
      <c r="K13" s="270"/>
      <c r="L13" s="270"/>
      <c r="M13" s="269"/>
    </row>
    <row r="14" spans="2:13" x14ac:dyDescent="0.2">
      <c r="J14" s="269"/>
      <c r="K14" s="269"/>
      <c r="L14" s="269"/>
      <c r="M14" s="269"/>
    </row>
    <row r="17" spans="10:11" x14ac:dyDescent="0.2">
      <c r="J17" s="259" t="s">
        <v>473</v>
      </c>
      <c r="K17" s="203"/>
    </row>
    <row r="18" spans="10:11" x14ac:dyDescent="0.2">
      <c r="J18" s="260" t="s">
        <v>474</v>
      </c>
      <c r="K18" s="261"/>
    </row>
    <row r="19" spans="10:11" x14ac:dyDescent="0.2">
      <c r="J19" s="260" t="str">
        <f>"- total demand of aggregated carriers"</f>
        <v>- total demand of aggregated carriers</v>
      </c>
      <c r="K19" s="261"/>
    </row>
    <row r="20" spans="10:11" x14ac:dyDescent="0.2">
      <c r="J20" s="260" t="str">
        <f>"- total demand in energy balance (IEA)"</f>
        <v>- total demand in energy balance (IEA)</v>
      </c>
      <c r="K20" s="261"/>
    </row>
    <row r="21" spans="10:11" x14ac:dyDescent="0.2">
      <c r="J21" s="260" t="s">
        <v>475</v>
      </c>
      <c r="K21" s="261"/>
    </row>
    <row r="22" spans="10:11" x14ac:dyDescent="0.2">
      <c r="J22" s="260" t="s">
        <v>476</v>
      </c>
      <c r="K22" s="261"/>
    </row>
    <row r="23" spans="10:11" x14ac:dyDescent="0.2">
      <c r="J23" s="260"/>
      <c r="K23" s="261"/>
    </row>
    <row r="24" spans="10:11" x14ac:dyDescent="0.2">
      <c r="J24" s="262" t="s">
        <v>477</v>
      </c>
      <c r="K24" s="263">
        <f>K11-Final_demand_residences</f>
        <v>0</v>
      </c>
    </row>
  </sheetData>
  <mergeCells count="1">
    <mergeCell ref="B5:F5"/>
  </mergeCells>
  <conditionalFormatting sqref="C12:D12 G12:I12">
    <cfRule type="cellIs" dxfId="4" priority="7" operator="greaterThan">
      <formula>0</formula>
    </cfRule>
  </conditionalFormatting>
  <conditionalFormatting sqref="K24">
    <cfRule type="cellIs" dxfId="3" priority="3" operator="notBetween">
      <formula>-1</formula>
      <formula>1</formula>
    </cfRule>
    <cfRule type="cellIs" dxfId="2" priority="4" operator="between">
      <formula>-1</formula>
      <formula>1</formula>
    </cfRule>
  </conditionalFormatting>
  <conditionalFormatting sqref="K13:L13">
    <cfRule type="uniqueValues" dxfId="1" priority="1"/>
    <cfRule type="duplicateValues" dxfId="0" priority="2"/>
  </conditionalFormatting>
  <pageMargins left="0.75" right="0.75" top="1" bottom="1" header="0.5" footer="0.5"/>
  <pageSetup paperSize="9" orientation="portrait" horizontalDpi="4294967292" verticalDpi="4294967292"/>
  <ignoredErrors>
    <ignoredError sqref="K11" emptyCellReference="1"/>
  </ignoredError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8" tint="0.79998168889431442"/>
  </sheetPr>
  <dimension ref="A2:I35"/>
  <sheetViews>
    <sheetView workbookViewId="0">
      <selection activeCell="G31" sqref="G31"/>
    </sheetView>
  </sheetViews>
  <sheetFormatPr baseColWidth="10" defaultRowHeight="16" x14ac:dyDescent="0.2"/>
  <cols>
    <col min="1" max="1" width="10.83203125" style="1"/>
    <col min="2" max="2" width="22.33203125" style="1" customWidth="1"/>
    <col min="3" max="3" width="34" style="1" bestFit="1" customWidth="1"/>
    <col min="4" max="4" width="17.83203125" style="1" customWidth="1"/>
    <col min="5" max="5" width="16" style="1" customWidth="1"/>
    <col min="6" max="6" width="22.5" style="1" customWidth="1"/>
    <col min="7" max="7" width="29.1640625" style="1" customWidth="1"/>
    <col min="8" max="8" width="20.83203125" style="1" customWidth="1"/>
    <col min="9" max="9" width="5.1640625" style="1" customWidth="1"/>
    <col min="10" max="10" width="20.1640625" style="1" customWidth="1"/>
    <col min="11" max="11" width="32.5" style="1" customWidth="1"/>
    <col min="12" max="12" width="29.83203125" style="1" customWidth="1"/>
    <col min="13" max="16384" width="10.83203125" style="1"/>
  </cols>
  <sheetData>
    <row r="2" spans="2:9" ht="21" x14ac:dyDescent="0.25">
      <c r="B2" s="2" t="s">
        <v>314</v>
      </c>
    </row>
    <row r="4" spans="2:9" x14ac:dyDescent="0.2">
      <c r="B4" s="3" t="s">
        <v>94</v>
      </c>
      <c r="C4" s="4"/>
      <c r="D4" s="4"/>
      <c r="E4" s="5"/>
    </row>
    <row r="5" spans="2:9" ht="45" customHeight="1" x14ac:dyDescent="0.2">
      <c r="B5" s="405" t="s">
        <v>327</v>
      </c>
      <c r="C5" s="407"/>
      <c r="D5" s="407"/>
      <c r="E5" s="406"/>
    </row>
    <row r="6" spans="2:9" ht="17" thickBot="1" x14ac:dyDescent="0.25"/>
    <row r="7" spans="2:9" x14ac:dyDescent="0.2">
      <c r="B7" s="27" t="s">
        <v>91</v>
      </c>
      <c r="C7" s="28"/>
      <c r="D7" s="28"/>
      <c r="E7" s="28"/>
      <c r="F7" s="53"/>
      <c r="G7" s="29"/>
    </row>
    <row r="8" spans="2:9" ht="48" x14ac:dyDescent="0.2">
      <c r="B8" s="35"/>
      <c r="C8" s="101"/>
      <c r="D8" s="108" t="s">
        <v>299</v>
      </c>
      <c r="E8" s="108" t="s">
        <v>422</v>
      </c>
      <c r="F8" s="108" t="s">
        <v>423</v>
      </c>
      <c r="G8" s="190" t="s">
        <v>300</v>
      </c>
    </row>
    <row r="9" spans="2:9" x14ac:dyDescent="0.2">
      <c r="B9" s="35"/>
      <c r="C9" s="17" t="s">
        <v>122</v>
      </c>
      <c r="D9" s="299" t="e">
        <f>'Technology split final demand'!G11</f>
        <v>#DIV/0!</v>
      </c>
      <c r="E9" s="222" t="e">
        <f t="shared" ref="E9:E14" si="0">D9*Final_demand_space_heating</f>
        <v>#DIV/0!</v>
      </c>
      <c r="F9" s="222" t="e">
        <f>Eff_space_heating_gas*E9</f>
        <v>#DIV/0!</v>
      </c>
      <c r="G9" s="255" t="e">
        <f>F9/SUM($F$9:$F$18)</f>
        <v>#DIV/0!</v>
      </c>
      <c r="H9" s="273"/>
      <c r="I9" s="258"/>
    </row>
    <row r="10" spans="2:9" x14ac:dyDescent="0.2">
      <c r="B10" s="35"/>
      <c r="C10" s="17" t="s">
        <v>124</v>
      </c>
      <c r="D10" s="185" t="e">
        <f>'Technology split final demand'!G12</f>
        <v>#DIV/0!</v>
      </c>
      <c r="E10" s="222" t="e">
        <f t="shared" si="0"/>
        <v>#DIV/0!</v>
      </c>
      <c r="F10" s="222" t="e">
        <f>Eff_space_heating_pump_storage*E10</f>
        <v>#DIV/0!</v>
      </c>
      <c r="G10" s="255" t="e">
        <f t="shared" ref="G10:G18" si="1">F10/SUM($F$9:$F$18)</f>
        <v>#DIV/0!</v>
      </c>
      <c r="I10" s="258"/>
    </row>
    <row r="11" spans="2:9" x14ac:dyDescent="0.2">
      <c r="B11" s="35"/>
      <c r="C11" s="17" t="s">
        <v>123</v>
      </c>
      <c r="D11" s="185" t="e">
        <f>'Technology split final demand'!G13</f>
        <v>#DIV/0!</v>
      </c>
      <c r="E11" s="222" t="e">
        <f t="shared" si="0"/>
        <v>#DIV/0!</v>
      </c>
      <c r="F11" s="222" t="e">
        <f>Eff_space_heating_pump_gas*E11</f>
        <v>#DIV/0!</v>
      </c>
      <c r="G11" s="255" t="e">
        <f t="shared" si="1"/>
        <v>#DIV/0!</v>
      </c>
      <c r="I11" s="258"/>
    </row>
    <row r="12" spans="2:9" x14ac:dyDescent="0.2">
      <c r="B12" s="35"/>
      <c r="C12" s="17" t="s">
        <v>125</v>
      </c>
      <c r="D12" s="185" t="e">
        <f>'Technology split final demand'!G14</f>
        <v>#DIV/0!</v>
      </c>
      <c r="E12" s="222" t="e">
        <f t="shared" si="0"/>
        <v>#DIV/0!</v>
      </c>
      <c r="F12" s="222" t="e">
        <f>Eff_space_heating_electric*E12</f>
        <v>#DIV/0!</v>
      </c>
      <c r="G12" s="255" t="e">
        <f t="shared" si="1"/>
        <v>#DIV/0!</v>
      </c>
      <c r="I12" s="258"/>
    </row>
    <row r="13" spans="2:9" x14ac:dyDescent="0.2">
      <c r="B13" s="35"/>
      <c r="C13" s="17" t="s">
        <v>127</v>
      </c>
      <c r="D13" s="185" t="e">
        <f>'Technology split final demand'!G15</f>
        <v>#DIV/0!</v>
      </c>
      <c r="E13" s="222" t="e">
        <f t="shared" si="0"/>
        <v>#DIV/0!</v>
      </c>
      <c r="F13" s="222" t="e">
        <f>Eff_space_heating_coal*E13</f>
        <v>#DIV/0!</v>
      </c>
      <c r="G13" s="255" t="e">
        <f t="shared" si="1"/>
        <v>#DIV/0!</v>
      </c>
      <c r="I13" s="258"/>
    </row>
    <row r="14" spans="2:9" x14ac:dyDescent="0.2">
      <c r="B14" s="35"/>
      <c r="C14" s="17" t="s">
        <v>128</v>
      </c>
      <c r="D14" s="185" t="e">
        <f>'Technology split final demand'!G16</f>
        <v>#DIV/0!</v>
      </c>
      <c r="E14" s="222" t="e">
        <f t="shared" si="0"/>
        <v>#DIV/0!</v>
      </c>
      <c r="F14" s="222" t="e">
        <f>Eff_space_heating_oil*E14</f>
        <v>#DIV/0!</v>
      </c>
      <c r="G14" s="255" t="e">
        <f t="shared" si="1"/>
        <v>#DIV/0!</v>
      </c>
      <c r="I14" s="258"/>
    </row>
    <row r="15" spans="2:9" x14ac:dyDescent="0.2">
      <c r="B15" s="30"/>
      <c r="D15" s="8"/>
      <c r="H15" s="30"/>
      <c r="I15" s="258"/>
    </row>
    <row r="16" spans="2:9" x14ac:dyDescent="0.2">
      <c r="B16" s="35"/>
      <c r="C16" s="17" t="s">
        <v>126</v>
      </c>
      <c r="D16" s="185" t="e">
        <f>'Technology split final demand'!G18</f>
        <v>#DIV/0!</v>
      </c>
      <c r="E16" s="222" t="e">
        <f>D16*Final_demand_space_heating</f>
        <v>#DIV/0!</v>
      </c>
      <c r="F16" s="222" t="e">
        <f>Eff_space_heating_solar_thermal*E16</f>
        <v>#DIV/0!</v>
      </c>
      <c r="G16" s="255" t="e">
        <f t="shared" si="1"/>
        <v>#DIV/0!</v>
      </c>
      <c r="I16" s="258"/>
    </row>
    <row r="17" spans="1:9" x14ac:dyDescent="0.2">
      <c r="B17" s="35"/>
      <c r="C17" s="17" t="s">
        <v>129</v>
      </c>
      <c r="D17" s="185" t="e">
        <f>'Technology split final demand'!G19</f>
        <v>#DIV/0!</v>
      </c>
      <c r="E17" s="222" t="e">
        <f>D17*Final_demand_space_heating</f>
        <v>#DIV/0!</v>
      </c>
      <c r="F17" s="222" t="e">
        <f>Eff_space_heating_woodpellets*E17</f>
        <v>#DIV/0!</v>
      </c>
      <c r="G17" s="255" t="e">
        <f t="shared" si="1"/>
        <v>#DIV/0!</v>
      </c>
      <c r="I17" s="258"/>
    </row>
    <row r="18" spans="1:9" x14ac:dyDescent="0.2">
      <c r="B18" s="35"/>
      <c r="C18" s="17" t="s">
        <v>130</v>
      </c>
      <c r="D18" s="187" t="e">
        <f>'Technology split final demand'!G20</f>
        <v>#DIV/0!</v>
      </c>
      <c r="E18" s="222" t="e">
        <f>D18*Final_demand_space_heating</f>
        <v>#DIV/0!</v>
      </c>
      <c r="F18" s="222" t="e">
        <f>Eff_space_heating_district*E18</f>
        <v>#DIV/0!</v>
      </c>
      <c r="G18" s="255" t="e">
        <f t="shared" si="1"/>
        <v>#DIV/0!</v>
      </c>
    </row>
    <row r="19" spans="1:9" ht="17" thickBot="1" x14ac:dyDescent="0.25">
      <c r="B19" s="47"/>
      <c r="C19" s="102"/>
      <c r="D19" s="102"/>
      <c r="E19" s="102"/>
      <c r="F19" s="102"/>
      <c r="G19" s="103"/>
    </row>
    <row r="26" spans="1:9" x14ac:dyDescent="0.2">
      <c r="A26" s="8"/>
    </row>
    <row r="27" spans="1:9" x14ac:dyDescent="0.2">
      <c r="A27" s="8"/>
    </row>
    <row r="28" spans="1:9" x14ac:dyDescent="0.2">
      <c r="A28" s="8"/>
    </row>
    <row r="29" spans="1:9" x14ac:dyDescent="0.2">
      <c r="A29" s="8"/>
    </row>
    <row r="30" spans="1:9" x14ac:dyDescent="0.2">
      <c r="A30" s="8"/>
    </row>
    <row r="31" spans="1:9" x14ac:dyDescent="0.2">
      <c r="A31" s="8"/>
    </row>
    <row r="33" spans="1:1" x14ac:dyDescent="0.2">
      <c r="A33" s="8"/>
    </row>
    <row r="34" spans="1:1" x14ac:dyDescent="0.2">
      <c r="A34" s="8"/>
    </row>
    <row r="35" spans="1:1" x14ac:dyDescent="0.2">
      <c r="A35" s="8"/>
    </row>
  </sheetData>
  <mergeCells count="1">
    <mergeCell ref="B5:E5"/>
  </mergeCells>
  <pageMargins left="0.75" right="0.75" top="1" bottom="1" header="0.5" footer="0.5"/>
  <pageSetup paperSize="9" orientation="portrait" horizontalDpi="4294967292" verticalDpi="4294967292"/>
  <ignoredErrors>
    <ignoredError sqref="G9:G10 G16:G18 G11:G14" emptyCellReference="1"/>
  </ignoredError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7" tint="0.39997558519241921"/>
  </sheetPr>
  <dimension ref="A1:B7"/>
  <sheetViews>
    <sheetView workbookViewId="0">
      <selection activeCell="A3" sqref="A3"/>
    </sheetView>
  </sheetViews>
  <sheetFormatPr baseColWidth="10" defaultRowHeight="16" x14ac:dyDescent="0.2"/>
  <cols>
    <col min="1" max="1" width="51.1640625" bestFit="1" customWidth="1"/>
    <col min="8" max="8" width="17.33203125" bestFit="1" customWidth="1"/>
  </cols>
  <sheetData>
    <row r="1" spans="1:2" x14ac:dyDescent="0.2">
      <c r="A1" s="205" t="s">
        <v>376</v>
      </c>
    </row>
    <row r="2" spans="1:2" x14ac:dyDescent="0.2">
      <c r="A2" t="s">
        <v>369</v>
      </c>
      <c r="B2" t="s">
        <v>331</v>
      </c>
    </row>
    <row r="3" spans="1:2" x14ac:dyDescent="0.2">
      <c r="A3" s="242" t="s">
        <v>370</v>
      </c>
      <c r="B3" s="284" t="e">
        <f>'Technology shares'!F20</f>
        <v>#DIV/0!</v>
      </c>
    </row>
    <row r="4" spans="1:2" x14ac:dyDescent="0.2">
      <c r="A4" s="242" t="s">
        <v>373</v>
      </c>
      <c r="B4" s="284" t="e">
        <f>'Technology shares'!F21</f>
        <v>#DIV/0!</v>
      </c>
    </row>
    <row r="5" spans="1:2" x14ac:dyDescent="0.2">
      <c r="A5" t="s">
        <v>374</v>
      </c>
      <c r="B5" s="284" t="e">
        <f>'Technology shares'!F22</f>
        <v>#DIV/0!</v>
      </c>
    </row>
    <row r="6" spans="1:2" x14ac:dyDescent="0.2">
      <c r="A6" t="s">
        <v>371</v>
      </c>
      <c r="B6" s="284" t="e">
        <f>'Technology shares'!F23</f>
        <v>#DIV/0!</v>
      </c>
    </row>
    <row r="7" spans="1:2" x14ac:dyDescent="0.2">
      <c r="A7" t="s">
        <v>372</v>
      </c>
      <c r="B7" s="284" t="e">
        <f>'Technology shares'!F24</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7" tint="0.39997558519241921"/>
  </sheetPr>
  <dimension ref="A1:B7"/>
  <sheetViews>
    <sheetView workbookViewId="0">
      <selection activeCell="A2" sqref="A2"/>
    </sheetView>
  </sheetViews>
  <sheetFormatPr baseColWidth="10" defaultRowHeight="16" x14ac:dyDescent="0.2"/>
  <cols>
    <col min="1" max="1" width="64.33203125" customWidth="1"/>
  </cols>
  <sheetData>
    <row r="1" spans="1:2" x14ac:dyDescent="0.2">
      <c r="A1" s="205" t="s">
        <v>380</v>
      </c>
    </row>
    <row r="2" spans="1:2" x14ac:dyDescent="0.2">
      <c r="A2" t="s">
        <v>369</v>
      </c>
      <c r="B2" t="s">
        <v>331</v>
      </c>
    </row>
    <row r="3" spans="1:2" x14ac:dyDescent="0.2">
      <c r="A3" s="205" t="s">
        <v>378</v>
      </c>
      <c r="B3" s="284" t="e">
        <f>'Technology shares'!F13</f>
        <v>#DIV/0!</v>
      </c>
    </row>
    <row r="4" spans="1:2" x14ac:dyDescent="0.2">
      <c r="A4" s="205" t="s">
        <v>379</v>
      </c>
      <c r="B4" s="284" t="e">
        <f>'Technology shares'!F12</f>
        <v>#DIV/0!</v>
      </c>
    </row>
    <row r="5" spans="1:2" x14ac:dyDescent="0.2">
      <c r="B5" s="284"/>
    </row>
    <row r="6" spans="1:2" x14ac:dyDescent="0.2">
      <c r="B6" s="284"/>
    </row>
    <row r="7" spans="1:2" x14ac:dyDescent="0.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7" tint="0.39997558519241921"/>
  </sheetPr>
  <dimension ref="A1:B7"/>
  <sheetViews>
    <sheetView workbookViewId="0">
      <selection activeCell="F7" sqref="F7"/>
    </sheetView>
  </sheetViews>
  <sheetFormatPr baseColWidth="10" defaultRowHeight="16" x14ac:dyDescent="0.2"/>
  <cols>
    <col min="1" max="1" width="55.33203125" bestFit="1" customWidth="1"/>
    <col min="2" max="2" width="14.83203125" bestFit="1" customWidth="1"/>
  </cols>
  <sheetData>
    <row r="1" spans="1:2" x14ac:dyDescent="0.2">
      <c r="A1" s="205" t="s">
        <v>384</v>
      </c>
    </row>
    <row r="2" spans="1:2" x14ac:dyDescent="0.2">
      <c r="A2" t="s">
        <v>369</v>
      </c>
      <c r="B2" t="s">
        <v>331</v>
      </c>
    </row>
    <row r="3" spans="1:2" x14ac:dyDescent="0.2">
      <c r="A3" s="205" t="s">
        <v>381</v>
      </c>
      <c r="B3" s="284" t="e">
        <f>'Technology shares'!F17</f>
        <v>#DIV/0!</v>
      </c>
    </row>
    <row r="4" spans="1:2" x14ac:dyDescent="0.2">
      <c r="A4" s="205" t="s">
        <v>382</v>
      </c>
      <c r="B4" s="284" t="e">
        <f>'Technology shares'!F16</f>
        <v>#DIV/0!</v>
      </c>
    </row>
    <row r="5" spans="1:2" x14ac:dyDescent="0.2">
      <c r="A5" s="241"/>
      <c r="B5" s="284"/>
    </row>
    <row r="6" spans="1:2" x14ac:dyDescent="0.2">
      <c r="B6" s="284"/>
    </row>
    <row r="7" spans="1:2" x14ac:dyDescent="0.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B2:E50"/>
  <sheetViews>
    <sheetView topLeftCell="A26" workbookViewId="0">
      <selection activeCell="D45" sqref="D45"/>
    </sheetView>
  </sheetViews>
  <sheetFormatPr baseColWidth="10" defaultRowHeight="16" x14ac:dyDescent="0.2"/>
  <cols>
    <col min="1" max="1" width="10.83203125" style="1"/>
    <col min="2" max="2" width="17.6640625" style="1" bestFit="1" customWidth="1"/>
    <col min="3" max="3" width="73" style="1" customWidth="1"/>
    <col min="4" max="4" width="9.33203125" style="1" customWidth="1"/>
    <col min="5" max="16384" width="10.83203125" style="1"/>
  </cols>
  <sheetData>
    <row r="2" spans="2:5" ht="21" x14ac:dyDescent="0.25">
      <c r="B2" s="2" t="s">
        <v>0</v>
      </c>
    </row>
    <row r="4" spans="2:5" x14ac:dyDescent="0.2">
      <c r="B4" s="12" t="s">
        <v>3</v>
      </c>
      <c r="C4" s="13" t="s">
        <v>6</v>
      </c>
      <c r="D4" s="14" t="s">
        <v>7</v>
      </c>
    </row>
    <row r="5" spans="2:5" x14ac:dyDescent="0.2">
      <c r="B5" s="6"/>
      <c r="C5" s="15"/>
      <c r="D5" s="16"/>
    </row>
    <row r="6" spans="2:5" x14ac:dyDescent="0.2">
      <c r="B6" s="304">
        <v>41450</v>
      </c>
      <c r="C6" s="17" t="s">
        <v>8</v>
      </c>
      <c r="D6" s="308">
        <v>1</v>
      </c>
      <c r="E6" s="307"/>
    </row>
    <row r="7" spans="2:5" x14ac:dyDescent="0.2">
      <c r="B7" s="305">
        <v>41452</v>
      </c>
      <c r="C7" s="17" t="s">
        <v>244</v>
      </c>
      <c r="D7" s="309">
        <v>1.01</v>
      </c>
      <c r="E7" s="307"/>
    </row>
    <row r="8" spans="2:5" x14ac:dyDescent="0.2">
      <c r="B8" s="305">
        <v>41457</v>
      </c>
      <c r="C8" s="17" t="s">
        <v>245</v>
      </c>
      <c r="D8" s="309">
        <v>1.02</v>
      </c>
      <c r="E8" s="307"/>
    </row>
    <row r="9" spans="2:5" x14ac:dyDescent="0.2">
      <c r="B9" s="305">
        <v>41457</v>
      </c>
      <c r="C9" s="17" t="s">
        <v>257</v>
      </c>
      <c r="D9" s="309">
        <v>1.03</v>
      </c>
      <c r="E9" s="307"/>
    </row>
    <row r="10" spans="2:5" x14ac:dyDescent="0.2">
      <c r="B10" s="305">
        <v>41458</v>
      </c>
      <c r="C10" s="17" t="s">
        <v>278</v>
      </c>
      <c r="D10" s="309">
        <v>1.04</v>
      </c>
      <c r="E10" s="307"/>
    </row>
    <row r="11" spans="2:5" x14ac:dyDescent="0.2">
      <c r="B11" s="305">
        <v>41459</v>
      </c>
      <c r="C11" s="17" t="s">
        <v>283</v>
      </c>
      <c r="D11" s="309">
        <v>1.05</v>
      </c>
      <c r="E11" s="307"/>
    </row>
    <row r="12" spans="2:5" x14ac:dyDescent="0.2">
      <c r="B12" s="305">
        <v>41460</v>
      </c>
      <c r="C12" s="17" t="s">
        <v>287</v>
      </c>
      <c r="D12" s="309">
        <v>1.06</v>
      </c>
      <c r="E12" s="307"/>
    </row>
    <row r="13" spans="2:5" x14ac:dyDescent="0.2">
      <c r="B13" s="305">
        <v>41463</v>
      </c>
      <c r="C13" s="17" t="s">
        <v>294</v>
      </c>
      <c r="D13" s="309">
        <v>1.07</v>
      </c>
      <c r="E13" s="307"/>
    </row>
    <row r="14" spans="2:5" x14ac:dyDescent="0.2">
      <c r="B14" s="305">
        <v>41464</v>
      </c>
      <c r="C14" s="17" t="s">
        <v>301</v>
      </c>
      <c r="D14" s="309">
        <v>1.08</v>
      </c>
      <c r="E14" s="307"/>
    </row>
    <row r="15" spans="2:5" ht="32" x14ac:dyDescent="0.2">
      <c r="B15" s="305">
        <v>41464</v>
      </c>
      <c r="C15" s="39" t="s">
        <v>302</v>
      </c>
      <c r="D15" s="309">
        <v>1.0900000000000001</v>
      </c>
      <c r="E15" s="307"/>
    </row>
    <row r="16" spans="2:5" x14ac:dyDescent="0.2">
      <c r="B16" s="305">
        <v>41465</v>
      </c>
      <c r="C16" s="17" t="s">
        <v>306</v>
      </c>
      <c r="D16" s="308">
        <v>1.1000000000000001</v>
      </c>
      <c r="E16" s="307"/>
    </row>
    <row r="17" spans="2:5" x14ac:dyDescent="0.2">
      <c r="B17" s="305">
        <v>41465</v>
      </c>
      <c r="C17" s="39" t="s">
        <v>321</v>
      </c>
      <c r="D17" s="309">
        <v>1.1100000000000001</v>
      </c>
      <c r="E17" s="307"/>
    </row>
    <row r="18" spans="2:5" x14ac:dyDescent="0.2">
      <c r="B18" s="305">
        <v>41467</v>
      </c>
      <c r="C18" s="17" t="s">
        <v>322</v>
      </c>
      <c r="D18" s="309">
        <v>1.1200000000000001</v>
      </c>
      <c r="E18" s="307"/>
    </row>
    <row r="19" spans="2:5" ht="32" x14ac:dyDescent="0.2">
      <c r="B19" s="305">
        <v>41470</v>
      </c>
      <c r="C19" s="39" t="s">
        <v>335</v>
      </c>
      <c r="D19" s="309">
        <v>1.1299999999999999</v>
      </c>
      <c r="E19" s="307"/>
    </row>
    <row r="20" spans="2:5" x14ac:dyDescent="0.2">
      <c r="B20" s="305">
        <v>41472</v>
      </c>
      <c r="C20" s="17" t="s">
        <v>350</v>
      </c>
      <c r="D20" s="309">
        <v>1.1499999999999999</v>
      </c>
      <c r="E20" s="307"/>
    </row>
    <row r="21" spans="2:5" x14ac:dyDescent="0.2">
      <c r="B21" s="305">
        <v>41481</v>
      </c>
      <c r="C21" s="39" t="s">
        <v>351</v>
      </c>
      <c r="D21" s="309">
        <v>1.1599999999999999</v>
      </c>
      <c r="E21" s="307"/>
    </row>
    <row r="22" spans="2:5" x14ac:dyDescent="0.2">
      <c r="B22" s="305">
        <v>41484</v>
      </c>
      <c r="C22" s="39" t="s">
        <v>368</v>
      </c>
      <c r="D22" s="309">
        <v>1.17</v>
      </c>
      <c r="E22" s="307"/>
    </row>
    <row r="23" spans="2:5" x14ac:dyDescent="0.2">
      <c r="B23" s="305">
        <v>41485</v>
      </c>
      <c r="C23" s="39" t="s">
        <v>411</v>
      </c>
      <c r="D23" s="309">
        <v>1.18</v>
      </c>
      <c r="E23" s="307"/>
    </row>
    <row r="24" spans="2:5" x14ac:dyDescent="0.2">
      <c r="B24" s="305">
        <v>41485</v>
      </c>
      <c r="C24" s="39" t="s">
        <v>413</v>
      </c>
      <c r="D24" s="309">
        <v>1.18</v>
      </c>
      <c r="E24" s="307"/>
    </row>
    <row r="25" spans="2:5" x14ac:dyDescent="0.2">
      <c r="B25" s="305">
        <v>41486</v>
      </c>
      <c r="C25" s="39" t="s">
        <v>414</v>
      </c>
      <c r="D25" s="309">
        <v>1.19</v>
      </c>
      <c r="E25" s="307"/>
    </row>
    <row r="26" spans="2:5" x14ac:dyDescent="0.2">
      <c r="B26" s="305">
        <v>41487</v>
      </c>
      <c r="C26" s="39" t="s">
        <v>415</v>
      </c>
      <c r="D26" s="309">
        <v>1.19</v>
      </c>
      <c r="E26" s="307"/>
    </row>
    <row r="27" spans="2:5" x14ac:dyDescent="0.2">
      <c r="B27" s="305">
        <v>41499</v>
      </c>
      <c r="C27" s="39" t="s">
        <v>452</v>
      </c>
      <c r="D27" s="308">
        <v>1.2</v>
      </c>
      <c r="E27" s="307"/>
    </row>
    <row r="28" spans="2:5" x14ac:dyDescent="0.2">
      <c r="B28" s="305">
        <v>41500</v>
      </c>
      <c r="C28" s="39" t="s">
        <v>452</v>
      </c>
      <c r="D28" s="309">
        <v>1.21</v>
      </c>
      <c r="E28" s="307"/>
    </row>
    <row r="29" spans="2:5" x14ac:dyDescent="0.2">
      <c r="B29" s="305">
        <v>41500</v>
      </c>
      <c r="C29" s="39" t="s">
        <v>452</v>
      </c>
      <c r="D29" s="308">
        <v>1.22</v>
      </c>
      <c r="E29" s="307"/>
    </row>
    <row r="30" spans="2:5" ht="32" x14ac:dyDescent="0.2">
      <c r="B30" s="305">
        <v>41502</v>
      </c>
      <c r="C30" s="39" t="s">
        <v>486</v>
      </c>
      <c r="D30" s="308">
        <v>1.23</v>
      </c>
      <c r="E30" s="307"/>
    </row>
    <row r="31" spans="2:5" ht="160" x14ac:dyDescent="0.2">
      <c r="B31" s="305">
        <v>41505</v>
      </c>
      <c r="C31" s="39" t="s">
        <v>505</v>
      </c>
      <c r="D31" s="308">
        <v>1.24</v>
      </c>
      <c r="E31" s="307"/>
    </row>
    <row r="32" spans="2:5" x14ac:dyDescent="0.2">
      <c r="B32" s="305">
        <v>41506</v>
      </c>
      <c r="C32" s="39" t="s">
        <v>507</v>
      </c>
      <c r="D32" s="308">
        <v>1.25</v>
      </c>
      <c r="E32" s="307"/>
    </row>
    <row r="33" spans="2:5" x14ac:dyDescent="0.2">
      <c r="B33" s="305">
        <v>41507</v>
      </c>
      <c r="C33" s="39" t="s">
        <v>508</v>
      </c>
      <c r="D33" s="308">
        <v>1.26</v>
      </c>
      <c r="E33" s="307"/>
    </row>
    <row r="34" spans="2:5" x14ac:dyDescent="0.2">
      <c r="B34" s="305">
        <v>41509</v>
      </c>
      <c r="C34" s="39" t="s">
        <v>509</v>
      </c>
      <c r="D34" s="308">
        <v>1.27</v>
      </c>
      <c r="E34" s="307"/>
    </row>
    <row r="35" spans="2:5" x14ac:dyDescent="0.2">
      <c r="B35" s="305">
        <v>41509</v>
      </c>
      <c r="C35" s="39" t="s">
        <v>531</v>
      </c>
      <c r="D35" s="308">
        <v>1.28</v>
      </c>
      <c r="E35" s="307"/>
    </row>
    <row r="36" spans="2:5" x14ac:dyDescent="0.2">
      <c r="B36" s="305" t="s">
        <v>538</v>
      </c>
      <c r="C36" s="39" t="s">
        <v>538</v>
      </c>
      <c r="D36" s="308">
        <v>1.29</v>
      </c>
      <c r="E36" s="307"/>
    </row>
    <row r="37" spans="2:5" x14ac:dyDescent="0.2">
      <c r="B37" s="305">
        <v>41534</v>
      </c>
      <c r="C37" s="39" t="s">
        <v>565</v>
      </c>
      <c r="D37" s="308">
        <v>1.3</v>
      </c>
      <c r="E37" s="307"/>
    </row>
    <row r="38" spans="2:5" ht="48" x14ac:dyDescent="0.2">
      <c r="B38" s="305">
        <v>41542</v>
      </c>
      <c r="C38" s="39" t="s">
        <v>566</v>
      </c>
      <c r="D38" s="308">
        <v>1.31</v>
      </c>
      <c r="E38" s="307"/>
    </row>
    <row r="39" spans="2:5" x14ac:dyDescent="0.2">
      <c r="B39" s="370">
        <v>41562</v>
      </c>
      <c r="C39" s="371" t="s">
        <v>567</v>
      </c>
      <c r="D39" s="308">
        <v>1.32</v>
      </c>
      <c r="E39" s="307"/>
    </row>
    <row r="40" spans="2:5" x14ac:dyDescent="0.2">
      <c r="B40" s="370">
        <v>41578</v>
      </c>
      <c r="C40" s="39" t="s">
        <v>595</v>
      </c>
      <c r="D40" s="308">
        <v>1.33</v>
      </c>
      <c r="E40" s="307"/>
    </row>
    <row r="41" spans="2:5" ht="32" x14ac:dyDescent="0.2">
      <c r="B41" s="370">
        <v>41578</v>
      </c>
      <c r="C41" s="39" t="s">
        <v>596</v>
      </c>
      <c r="D41" s="308">
        <v>1.34</v>
      </c>
      <c r="E41" s="307"/>
    </row>
    <row r="42" spans="2:5" x14ac:dyDescent="0.2">
      <c r="B42" s="370">
        <v>41782</v>
      </c>
      <c r="C42" s="39" t="s">
        <v>601</v>
      </c>
      <c r="D42" s="308">
        <v>1.35</v>
      </c>
      <c r="E42" s="307"/>
    </row>
    <row r="43" spans="2:5" x14ac:dyDescent="0.2">
      <c r="B43" s="370">
        <v>41782</v>
      </c>
      <c r="C43" s="39" t="s">
        <v>602</v>
      </c>
      <c r="D43" s="308">
        <v>1.36</v>
      </c>
      <c r="E43" s="307"/>
    </row>
    <row r="44" spans="2:5" ht="32" x14ac:dyDescent="0.2">
      <c r="B44" s="370">
        <v>42600</v>
      </c>
      <c r="C44" s="39" t="s">
        <v>622</v>
      </c>
      <c r="D44" s="308">
        <v>1.37</v>
      </c>
      <c r="E44" s="307"/>
    </row>
    <row r="45" spans="2:5" x14ac:dyDescent="0.2">
      <c r="B45" s="305"/>
      <c r="C45" s="39"/>
      <c r="D45" s="308"/>
      <c r="E45" s="307"/>
    </row>
    <row r="46" spans="2:5" x14ac:dyDescent="0.2">
      <c r="B46" s="306"/>
      <c r="C46" s="45"/>
      <c r="D46" s="310"/>
      <c r="E46" s="307"/>
    </row>
    <row r="47" spans="2:5" x14ac:dyDescent="0.2">
      <c r="B47" s="307"/>
      <c r="D47" s="307"/>
      <c r="E47" s="307"/>
    </row>
    <row r="48" spans="2:5" x14ac:dyDescent="0.2">
      <c r="B48" s="307"/>
      <c r="D48" s="307"/>
      <c r="E48" s="307"/>
    </row>
    <row r="49" spans="2:2" x14ac:dyDescent="0.2">
      <c r="B49" s="307"/>
    </row>
    <row r="50" spans="2:2" x14ac:dyDescent="0.2">
      <c r="B50" s="30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7" tint="0.39997558519241921"/>
  </sheetPr>
  <dimension ref="A1:B7"/>
  <sheetViews>
    <sheetView topLeftCell="A3" workbookViewId="0"/>
  </sheetViews>
  <sheetFormatPr baseColWidth="10" defaultRowHeight="16" x14ac:dyDescent="0.2"/>
  <cols>
    <col min="1" max="1" width="52.6640625" bestFit="1" customWidth="1"/>
  </cols>
  <sheetData>
    <row r="1" spans="1:2" x14ac:dyDescent="0.2">
      <c r="A1" s="205" t="s">
        <v>606</v>
      </c>
    </row>
    <row r="2" spans="1:2" x14ac:dyDescent="0.2">
      <c r="A2" t="s">
        <v>369</v>
      </c>
      <c r="B2" t="s">
        <v>331</v>
      </c>
    </row>
    <row r="3" spans="1:2" x14ac:dyDescent="0.2">
      <c r="A3" s="205" t="s">
        <v>385</v>
      </c>
      <c r="B3" s="284" t="e">
        <f>'Technology shares'!F9</f>
        <v>#DIV/0!</v>
      </c>
    </row>
    <row r="4" spans="1:2" x14ac:dyDescent="0.2">
      <c r="A4" s="205" t="s">
        <v>386</v>
      </c>
      <c r="B4" s="284" t="e">
        <f>'Technology shares'!F10</f>
        <v>#DIV/0!</v>
      </c>
    </row>
    <row r="5" spans="1:2" x14ac:dyDescent="0.2">
      <c r="B5" s="284"/>
    </row>
    <row r="6" spans="1:2" x14ac:dyDescent="0.2">
      <c r="B6" s="284"/>
    </row>
    <row r="7" spans="1:2" x14ac:dyDescent="0.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7" tint="0.39997558519241921"/>
  </sheetPr>
  <dimension ref="A1:B7"/>
  <sheetViews>
    <sheetView workbookViewId="0">
      <selection activeCell="B3" sqref="B3:B7"/>
    </sheetView>
  </sheetViews>
  <sheetFormatPr baseColWidth="10" defaultRowHeight="16" x14ac:dyDescent="0.2"/>
  <cols>
    <col min="1" max="1" width="42.6640625" bestFit="1" customWidth="1"/>
  </cols>
  <sheetData>
    <row r="1" spans="1:2" x14ac:dyDescent="0.2">
      <c r="A1" s="205" t="s">
        <v>387</v>
      </c>
    </row>
    <row r="2" spans="1:2" x14ac:dyDescent="0.2">
      <c r="A2" t="s">
        <v>369</v>
      </c>
      <c r="B2" t="s">
        <v>331</v>
      </c>
    </row>
    <row r="3" spans="1:2" x14ac:dyDescent="0.2">
      <c r="A3" s="205" t="s">
        <v>388</v>
      </c>
      <c r="B3" s="284" t="e">
        <f>'Application shares'!E9</f>
        <v>#DIV/0!</v>
      </c>
    </row>
    <row r="4" spans="1:2" x14ac:dyDescent="0.2">
      <c r="A4" s="205" t="s">
        <v>389</v>
      </c>
      <c r="B4" s="284" t="e">
        <f>'Application shares'!E10</f>
        <v>#DIV/0!</v>
      </c>
    </row>
    <row r="5" spans="1:2" x14ac:dyDescent="0.2">
      <c r="B5" s="284"/>
    </row>
    <row r="6" spans="1:2" x14ac:dyDescent="0.2">
      <c r="B6" s="284"/>
    </row>
    <row r="7" spans="1:2" x14ac:dyDescent="0.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7" tint="0.39997558519241921"/>
  </sheetPr>
  <dimension ref="A1:B7"/>
  <sheetViews>
    <sheetView workbookViewId="0">
      <selection activeCell="B3" sqref="B3"/>
    </sheetView>
  </sheetViews>
  <sheetFormatPr baseColWidth="10" defaultRowHeight="16" x14ac:dyDescent="0.2"/>
  <cols>
    <col min="1" max="1" width="48.6640625" customWidth="1"/>
  </cols>
  <sheetData>
    <row r="1" spans="1:2" x14ac:dyDescent="0.2">
      <c r="A1" s="205" t="s">
        <v>390</v>
      </c>
    </row>
    <row r="2" spans="1:2" x14ac:dyDescent="0.2">
      <c r="A2" t="s">
        <v>369</v>
      </c>
      <c r="B2" t="s">
        <v>331</v>
      </c>
    </row>
    <row r="3" spans="1:2" x14ac:dyDescent="0.2">
      <c r="A3" s="205" t="s">
        <v>603</v>
      </c>
      <c r="B3" s="284" t="e">
        <f>'Application shares'!E13</f>
        <v>#DIV/0!</v>
      </c>
    </row>
    <row r="4" spans="1:2" x14ac:dyDescent="0.2">
      <c r="A4" s="205" t="s">
        <v>604</v>
      </c>
      <c r="B4" s="284" t="e">
        <f>'Application shares'!E14</f>
        <v>#DIV/0!</v>
      </c>
    </row>
    <row r="5" spans="1:2" x14ac:dyDescent="0.2">
      <c r="A5" s="205" t="s">
        <v>605</v>
      </c>
      <c r="B5" s="284" t="e">
        <f>'Application shares'!E15</f>
        <v>#DIV/0!</v>
      </c>
    </row>
    <row r="6" spans="1:2" x14ac:dyDescent="0.2">
      <c r="B6" s="284"/>
    </row>
    <row r="7" spans="1:2" x14ac:dyDescent="0.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7" tint="0.39997558519241921"/>
  </sheetPr>
  <dimension ref="A1:B7"/>
  <sheetViews>
    <sheetView workbookViewId="0">
      <selection activeCell="B3" sqref="B3:B7"/>
    </sheetView>
  </sheetViews>
  <sheetFormatPr baseColWidth="10" defaultRowHeight="16" x14ac:dyDescent="0.2"/>
  <cols>
    <col min="1" max="1" width="45.1640625" bestFit="1" customWidth="1"/>
  </cols>
  <sheetData>
    <row r="1" spans="1:2" x14ac:dyDescent="0.2">
      <c r="A1" s="205" t="s">
        <v>391</v>
      </c>
    </row>
    <row r="2" spans="1:2" x14ac:dyDescent="0.2">
      <c r="A2" t="s">
        <v>369</v>
      </c>
      <c r="B2" t="s">
        <v>331</v>
      </c>
    </row>
    <row r="3" spans="1:2" x14ac:dyDescent="0.2">
      <c r="A3" s="205" t="s">
        <v>392</v>
      </c>
      <c r="B3" s="284" t="e">
        <f>'Application shares'!E18</f>
        <v>#DIV/0!</v>
      </c>
    </row>
    <row r="4" spans="1:2" x14ac:dyDescent="0.2">
      <c r="A4" s="205" t="s">
        <v>393</v>
      </c>
      <c r="B4" s="284" t="e">
        <f>'Application shares'!E19</f>
        <v>#DIV/0!</v>
      </c>
    </row>
    <row r="5" spans="1:2" x14ac:dyDescent="0.2">
      <c r="B5" s="284"/>
    </row>
    <row r="6" spans="1:2" x14ac:dyDescent="0.2">
      <c r="B6" s="284"/>
    </row>
    <row r="7" spans="1:2" x14ac:dyDescent="0.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7" tint="0.39997558519241921"/>
  </sheetPr>
  <dimension ref="A1:B7"/>
  <sheetViews>
    <sheetView workbookViewId="0">
      <selection activeCell="B3" sqref="B3"/>
    </sheetView>
  </sheetViews>
  <sheetFormatPr baseColWidth="10" defaultRowHeight="16" x14ac:dyDescent="0.2"/>
  <cols>
    <col min="1" max="1" width="45.5" bestFit="1" customWidth="1"/>
  </cols>
  <sheetData>
    <row r="1" spans="1:2" x14ac:dyDescent="0.2">
      <c r="A1" s="205" t="s">
        <v>394</v>
      </c>
    </row>
    <row r="2" spans="1:2" x14ac:dyDescent="0.2">
      <c r="A2" t="s">
        <v>369</v>
      </c>
      <c r="B2" t="s">
        <v>331</v>
      </c>
    </row>
    <row r="3" spans="1:2" x14ac:dyDescent="0.2">
      <c r="A3" s="205" t="s">
        <v>377</v>
      </c>
      <c r="B3" s="284" t="e">
        <f>'Application shares'!E22</f>
        <v>#DIV/0!</v>
      </c>
    </row>
    <row r="4" spans="1:2" x14ac:dyDescent="0.2">
      <c r="A4" s="205" t="s">
        <v>383</v>
      </c>
      <c r="B4" s="284" t="e">
        <f>'Application shares'!E23</f>
        <v>#DIV/0!</v>
      </c>
    </row>
    <row r="5" spans="1:2" x14ac:dyDescent="0.2">
      <c r="A5" s="205" t="s">
        <v>375</v>
      </c>
      <c r="B5" s="284" t="e">
        <f>'Application shares'!E24</f>
        <v>#DIV/0!</v>
      </c>
    </row>
    <row r="6" spans="1:2" x14ac:dyDescent="0.2">
      <c r="A6" s="205" t="s">
        <v>395</v>
      </c>
      <c r="B6" s="284" t="e">
        <f>'Application shares'!E25</f>
        <v>#DIV/0!</v>
      </c>
    </row>
    <row r="7" spans="1:2" x14ac:dyDescent="0.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7" tint="0.39997558519241921"/>
  </sheetPr>
  <dimension ref="A1:B7"/>
  <sheetViews>
    <sheetView workbookViewId="0">
      <selection activeCell="B4" sqref="B4"/>
    </sheetView>
  </sheetViews>
  <sheetFormatPr baseColWidth="10" defaultRowHeight="16" x14ac:dyDescent="0.2"/>
  <cols>
    <col min="1" max="1" width="48.5" bestFit="1" customWidth="1"/>
  </cols>
  <sheetData>
    <row r="1" spans="1:2" x14ac:dyDescent="0.2">
      <c r="A1" s="205" t="s">
        <v>396</v>
      </c>
    </row>
    <row r="2" spans="1:2" x14ac:dyDescent="0.2">
      <c r="A2" t="s">
        <v>369</v>
      </c>
      <c r="B2" t="s">
        <v>331</v>
      </c>
    </row>
    <row r="3" spans="1:2" x14ac:dyDescent="0.2">
      <c r="A3" s="205" t="s">
        <v>397</v>
      </c>
      <c r="B3" s="284">
        <f>Dashboard!E66</f>
        <v>1</v>
      </c>
    </row>
    <row r="4" spans="1:2" x14ac:dyDescent="0.2">
      <c r="A4" s="205" t="s">
        <v>398</v>
      </c>
      <c r="B4" s="284">
        <f>Dashboard!E67</f>
        <v>0</v>
      </c>
    </row>
    <row r="5" spans="1:2" x14ac:dyDescent="0.2">
      <c r="B5" s="284"/>
    </row>
    <row r="6" spans="1:2" x14ac:dyDescent="0.2">
      <c r="B6" s="284"/>
    </row>
    <row r="7" spans="1:2" x14ac:dyDescent="0.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7" tint="0.39997558519241921"/>
  </sheetPr>
  <dimension ref="A1:B7"/>
  <sheetViews>
    <sheetView workbookViewId="0">
      <selection activeCell="B4" sqref="A1:B4"/>
    </sheetView>
  </sheetViews>
  <sheetFormatPr baseColWidth="10" defaultRowHeight="16" x14ac:dyDescent="0.2"/>
  <cols>
    <col min="1" max="1" width="52.1640625" bestFit="1" customWidth="1"/>
    <col min="2" max="2" width="14.83203125" bestFit="1" customWidth="1"/>
  </cols>
  <sheetData>
    <row r="1" spans="1:2" x14ac:dyDescent="0.2">
      <c r="A1" t="s">
        <v>399</v>
      </c>
    </row>
    <row r="2" spans="1:2" x14ac:dyDescent="0.2">
      <c r="A2" t="s">
        <v>369</v>
      </c>
      <c r="B2" t="s">
        <v>331</v>
      </c>
    </row>
    <row r="3" spans="1:2" x14ac:dyDescent="0.2">
      <c r="A3" t="s">
        <v>400</v>
      </c>
      <c r="B3" s="284">
        <v>0</v>
      </c>
    </row>
    <row r="4" spans="1:2" x14ac:dyDescent="0.2">
      <c r="A4" t="s">
        <v>401</v>
      </c>
      <c r="B4" s="284">
        <v>1</v>
      </c>
    </row>
    <row r="5" spans="1:2" x14ac:dyDescent="0.2">
      <c r="B5" s="284"/>
    </row>
    <row r="6" spans="1:2" x14ac:dyDescent="0.2">
      <c r="B6" s="284"/>
    </row>
    <row r="7" spans="1:2" x14ac:dyDescent="0.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9">
    <tabColor theme="7" tint="0.39997558519241921"/>
  </sheetPr>
  <dimension ref="A1:B7"/>
  <sheetViews>
    <sheetView workbookViewId="0">
      <selection activeCell="A2" sqref="A2"/>
    </sheetView>
  </sheetViews>
  <sheetFormatPr baseColWidth="10" defaultRowHeight="16" x14ac:dyDescent="0.2"/>
  <cols>
    <col min="1" max="1" width="43" bestFit="1" customWidth="1"/>
    <col min="2" max="2" width="14.83203125" bestFit="1" customWidth="1"/>
  </cols>
  <sheetData>
    <row r="1" spans="1:2" x14ac:dyDescent="0.2">
      <c r="A1" t="s">
        <v>403</v>
      </c>
    </row>
    <row r="2" spans="1:2" x14ac:dyDescent="0.2">
      <c r="A2" t="s">
        <v>369</v>
      </c>
      <c r="B2" t="s">
        <v>331</v>
      </c>
    </row>
    <row r="3" spans="1:2" x14ac:dyDescent="0.2">
      <c r="A3" t="s">
        <v>402</v>
      </c>
      <c r="B3" s="284">
        <v>0</v>
      </c>
    </row>
    <row r="4" spans="1:2" x14ac:dyDescent="0.2">
      <c r="A4" t="s">
        <v>404</v>
      </c>
      <c r="B4" s="284">
        <v>1</v>
      </c>
    </row>
    <row r="5" spans="1:2" x14ac:dyDescent="0.2">
      <c r="B5" s="284"/>
    </row>
    <row r="6" spans="1:2" x14ac:dyDescent="0.2">
      <c r="B6" s="284"/>
    </row>
    <row r="7" spans="1:2" x14ac:dyDescent="0.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2">
    <tabColor theme="7" tint="0.39997558519241921"/>
  </sheetPr>
  <dimension ref="A1:B7"/>
  <sheetViews>
    <sheetView workbookViewId="0">
      <selection activeCell="B3" sqref="B3"/>
    </sheetView>
  </sheetViews>
  <sheetFormatPr baseColWidth="10" defaultRowHeight="16" x14ac:dyDescent="0.2"/>
  <cols>
    <col min="1" max="1" width="47.6640625" bestFit="1" customWidth="1"/>
    <col min="2" max="2" width="14.5" bestFit="1" customWidth="1"/>
  </cols>
  <sheetData>
    <row r="1" spans="1:2" x14ac:dyDescent="0.2">
      <c r="A1" t="s">
        <v>405</v>
      </c>
    </row>
    <row r="2" spans="1:2" x14ac:dyDescent="0.2">
      <c r="A2" t="s">
        <v>369</v>
      </c>
      <c r="B2" t="s">
        <v>331</v>
      </c>
    </row>
    <row r="3" spans="1:2" x14ac:dyDescent="0.2">
      <c r="A3" t="s">
        <v>406</v>
      </c>
      <c r="B3" s="284">
        <f>1-B4</f>
        <v>0.96099999999999997</v>
      </c>
    </row>
    <row r="4" spans="1:2" x14ac:dyDescent="0.2">
      <c r="A4" t="s">
        <v>407</v>
      </c>
      <c r="B4" s="284">
        <f>Dashboard!E69</f>
        <v>3.9E-2</v>
      </c>
    </row>
    <row r="5" spans="1:2" x14ac:dyDescent="0.2">
      <c r="B5" s="284"/>
    </row>
    <row r="6" spans="1:2" x14ac:dyDescent="0.2">
      <c r="B6" s="284"/>
    </row>
    <row r="7" spans="1:2" x14ac:dyDescent="0.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3">
    <tabColor theme="7" tint="0.39997558519241921"/>
  </sheetPr>
  <dimension ref="A1:B7"/>
  <sheetViews>
    <sheetView workbookViewId="0">
      <selection activeCell="B4" sqref="B4"/>
    </sheetView>
  </sheetViews>
  <sheetFormatPr baseColWidth="10" defaultRowHeight="16" x14ac:dyDescent="0.2"/>
  <cols>
    <col min="1" max="1" width="61.6640625" bestFit="1" customWidth="1"/>
    <col min="2" max="2" width="14.5" bestFit="1" customWidth="1"/>
  </cols>
  <sheetData>
    <row r="1" spans="1:2" x14ac:dyDescent="0.2">
      <c r="A1" t="s">
        <v>408</v>
      </c>
    </row>
    <row r="2" spans="1:2" x14ac:dyDescent="0.2">
      <c r="A2" t="s">
        <v>369</v>
      </c>
      <c r="B2" t="s">
        <v>331</v>
      </c>
    </row>
    <row r="3" spans="1:2" x14ac:dyDescent="0.2">
      <c r="A3" t="s">
        <v>409</v>
      </c>
      <c r="B3" s="284">
        <f>1-B4</f>
        <v>0.94699999999999995</v>
      </c>
    </row>
    <row r="4" spans="1:2" x14ac:dyDescent="0.2">
      <c r="A4" t="s">
        <v>410</v>
      </c>
      <c r="B4" s="284">
        <f>Dashboard!E70</f>
        <v>5.2999999999999999E-2</v>
      </c>
    </row>
    <row r="5" spans="1:2" x14ac:dyDescent="0.2">
      <c r="B5" s="284"/>
    </row>
    <row r="6" spans="1:2" x14ac:dyDescent="0.2">
      <c r="B6" s="284"/>
    </row>
    <row r="7" spans="1:2" x14ac:dyDescent="0.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2"/>
  </sheetPr>
  <dimension ref="B2:C37"/>
  <sheetViews>
    <sheetView topLeftCell="A5" workbookViewId="0">
      <selection activeCell="C36" sqref="C36"/>
    </sheetView>
  </sheetViews>
  <sheetFormatPr baseColWidth="10" defaultRowHeight="16" x14ac:dyDescent="0.2"/>
  <cols>
    <col min="1" max="1" width="10.83203125" style="1"/>
    <col min="2" max="2" width="28.33203125" style="1" bestFit="1" customWidth="1"/>
    <col min="3" max="3" width="136.1640625" style="1" bestFit="1" customWidth="1"/>
    <col min="4" max="16384" width="10.83203125" style="1"/>
  </cols>
  <sheetData>
    <row r="2" spans="2:3" ht="21" x14ac:dyDescent="0.25">
      <c r="B2" s="2" t="s">
        <v>22</v>
      </c>
    </row>
    <row r="4" spans="2:3" x14ac:dyDescent="0.2">
      <c r="B4" s="111" t="s">
        <v>23</v>
      </c>
      <c r="C4" s="14" t="s">
        <v>24</v>
      </c>
    </row>
    <row r="5" spans="2:3" x14ac:dyDescent="0.2">
      <c r="B5" s="54"/>
      <c r="C5" s="16"/>
    </row>
    <row r="6" spans="2:3" ht="28" customHeight="1" x14ac:dyDescent="0.2">
      <c r="B6" s="125" t="s">
        <v>251</v>
      </c>
      <c r="C6" s="127" t="s">
        <v>253</v>
      </c>
    </row>
    <row r="7" spans="2:3" ht="28" customHeight="1" x14ac:dyDescent="0.2">
      <c r="B7" s="125" t="s">
        <v>0</v>
      </c>
      <c r="C7" s="18" t="s">
        <v>254</v>
      </c>
    </row>
    <row r="8" spans="2:3" ht="28" customHeight="1" x14ac:dyDescent="0.2">
      <c r="B8" s="125" t="s">
        <v>22</v>
      </c>
      <c r="C8" s="61" t="s">
        <v>25</v>
      </c>
    </row>
    <row r="9" spans="2:3" ht="28" customHeight="1" x14ac:dyDescent="0.2">
      <c r="B9" s="125" t="s">
        <v>26</v>
      </c>
      <c r="C9" s="61" t="s">
        <v>89</v>
      </c>
    </row>
    <row r="10" spans="2:3" ht="28" customHeight="1" x14ac:dyDescent="0.2">
      <c r="B10" s="125" t="s">
        <v>252</v>
      </c>
      <c r="C10" s="61" t="s">
        <v>249</v>
      </c>
    </row>
    <row r="11" spans="2:3" ht="28" customHeight="1" x14ac:dyDescent="0.2">
      <c r="B11" s="125" t="s">
        <v>27</v>
      </c>
      <c r="C11" s="61" t="s">
        <v>28</v>
      </c>
    </row>
    <row r="12" spans="2:3" ht="28" customHeight="1" x14ac:dyDescent="0.2">
      <c r="B12" s="173" t="s">
        <v>29</v>
      </c>
      <c r="C12" s="61" t="s">
        <v>30</v>
      </c>
    </row>
    <row r="13" spans="2:3" ht="28" customHeight="1" x14ac:dyDescent="0.2">
      <c r="B13" s="177" t="s">
        <v>453</v>
      </c>
      <c r="C13" s="61" t="s">
        <v>319</v>
      </c>
    </row>
    <row r="14" spans="2:3" ht="28" customHeight="1" x14ac:dyDescent="0.2">
      <c r="B14" s="177" t="s">
        <v>237</v>
      </c>
      <c r="C14" s="61" t="s">
        <v>295</v>
      </c>
    </row>
    <row r="15" spans="2:3" ht="28" customHeight="1" x14ac:dyDescent="0.2">
      <c r="B15" s="300" t="s">
        <v>493</v>
      </c>
      <c r="C15" s="61" t="s">
        <v>345</v>
      </c>
    </row>
    <row r="16" spans="2:3" ht="28" customHeight="1" x14ac:dyDescent="0.2">
      <c r="B16" s="300" t="s">
        <v>494</v>
      </c>
      <c r="C16" s="61" t="s">
        <v>343</v>
      </c>
    </row>
    <row r="17" spans="2:3" ht="28" customHeight="1" x14ac:dyDescent="0.2">
      <c r="B17" s="126" t="s">
        <v>229</v>
      </c>
      <c r="C17" s="61" t="s">
        <v>346</v>
      </c>
    </row>
    <row r="18" spans="2:3" ht="28" customHeight="1" x14ac:dyDescent="0.2">
      <c r="B18" s="126" t="s">
        <v>496</v>
      </c>
      <c r="C18" s="61" t="s">
        <v>317</v>
      </c>
    </row>
    <row r="19" spans="2:3" ht="28" customHeight="1" x14ac:dyDescent="0.2">
      <c r="B19" s="174" t="s">
        <v>315</v>
      </c>
      <c r="C19" s="61" t="s">
        <v>419</v>
      </c>
    </row>
    <row r="20" spans="2:3" ht="28" customHeight="1" x14ac:dyDescent="0.2">
      <c r="B20" s="174" t="s">
        <v>281</v>
      </c>
      <c r="C20" s="61" t="s">
        <v>282</v>
      </c>
    </row>
    <row r="21" spans="2:3" ht="28" customHeight="1" x14ac:dyDescent="0.2">
      <c r="B21" s="176" t="s">
        <v>316</v>
      </c>
      <c r="C21" s="61" t="s">
        <v>318</v>
      </c>
    </row>
    <row r="22" spans="2:3" ht="28" customHeight="1" x14ac:dyDescent="0.2">
      <c r="B22" s="178" t="s">
        <v>433</v>
      </c>
      <c r="C22" s="256" t="s">
        <v>432</v>
      </c>
    </row>
    <row r="23" spans="2:3" ht="28" customHeight="1" x14ac:dyDescent="0.2">
      <c r="B23" s="178" t="s">
        <v>434</v>
      </c>
      <c r="C23" s="256" t="s">
        <v>432</v>
      </c>
    </row>
    <row r="24" spans="2:3" ht="28" customHeight="1" x14ac:dyDescent="0.2">
      <c r="B24" s="178" t="s">
        <v>435</v>
      </c>
      <c r="C24" s="256" t="s">
        <v>432</v>
      </c>
    </row>
    <row r="25" spans="2:3" ht="28" customHeight="1" x14ac:dyDescent="0.2">
      <c r="B25" s="178" t="s">
        <v>436</v>
      </c>
      <c r="C25" s="256" t="s">
        <v>432</v>
      </c>
    </row>
    <row r="26" spans="2:3" ht="28" customHeight="1" x14ac:dyDescent="0.2">
      <c r="B26" s="178" t="s">
        <v>437</v>
      </c>
      <c r="C26" s="256" t="s">
        <v>432</v>
      </c>
    </row>
    <row r="27" spans="2:3" ht="28" customHeight="1" x14ac:dyDescent="0.2">
      <c r="B27" s="178" t="s">
        <v>438</v>
      </c>
      <c r="C27" s="256" t="s">
        <v>432</v>
      </c>
    </row>
    <row r="28" spans="2:3" ht="28" customHeight="1" x14ac:dyDescent="0.2">
      <c r="B28" s="178" t="s">
        <v>439</v>
      </c>
      <c r="C28" s="256" t="s">
        <v>432</v>
      </c>
    </row>
    <row r="29" spans="2:3" ht="28" customHeight="1" x14ac:dyDescent="0.2">
      <c r="B29" s="178" t="s">
        <v>440</v>
      </c>
      <c r="C29" s="256" t="s">
        <v>432</v>
      </c>
    </row>
    <row r="30" spans="2:3" ht="28" customHeight="1" x14ac:dyDescent="0.2">
      <c r="B30" s="178" t="s">
        <v>441</v>
      </c>
      <c r="C30" s="256" t="s">
        <v>497</v>
      </c>
    </row>
    <row r="31" spans="2:3" ht="28" customHeight="1" x14ac:dyDescent="0.2">
      <c r="B31" s="178" t="s">
        <v>442</v>
      </c>
      <c r="C31" s="256" t="s">
        <v>498</v>
      </c>
    </row>
    <row r="32" spans="2:3" ht="28" customHeight="1" x14ac:dyDescent="0.2">
      <c r="B32" s="178" t="s">
        <v>443</v>
      </c>
      <c r="C32" s="256" t="s">
        <v>498</v>
      </c>
    </row>
    <row r="33" spans="2:3" ht="28" customHeight="1" x14ac:dyDescent="0.2">
      <c r="B33" s="178" t="s">
        <v>444</v>
      </c>
      <c r="C33" s="256" t="s">
        <v>498</v>
      </c>
    </row>
    <row r="34" spans="2:3" ht="28" customHeight="1" x14ac:dyDescent="0.2">
      <c r="B34" s="178" t="s">
        <v>445</v>
      </c>
      <c r="C34" s="256" t="s">
        <v>498</v>
      </c>
    </row>
    <row r="35" spans="2:3" ht="28" customHeight="1" x14ac:dyDescent="0.2">
      <c r="B35" s="178" t="s">
        <v>623</v>
      </c>
      <c r="C35" s="256" t="s">
        <v>624</v>
      </c>
    </row>
    <row r="36" spans="2:3" ht="28" customHeight="1" x14ac:dyDescent="0.2"/>
    <row r="37" spans="2:3" ht="28" customHeight="1" x14ac:dyDescent="0.2"/>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39997558519241921"/>
  </sheetPr>
  <dimension ref="A1:B7"/>
  <sheetViews>
    <sheetView workbookViewId="0">
      <selection activeCell="E43" sqref="E43"/>
    </sheetView>
  </sheetViews>
  <sheetFormatPr baseColWidth="10" defaultRowHeight="16" x14ac:dyDescent="0.2"/>
  <cols>
    <col min="1" max="1" width="45.5" bestFit="1" customWidth="1"/>
  </cols>
  <sheetData>
    <row r="1" spans="1:2" x14ac:dyDescent="0.2">
      <c r="A1" s="205" t="s">
        <v>618</v>
      </c>
    </row>
    <row r="2" spans="1:2" x14ac:dyDescent="0.2">
      <c r="A2" t="s">
        <v>369</v>
      </c>
      <c r="B2" t="s">
        <v>331</v>
      </c>
    </row>
    <row r="3" spans="1:2" x14ac:dyDescent="0.2">
      <c r="A3" s="205" t="s">
        <v>619</v>
      </c>
      <c r="B3" s="284" t="e">
        <f>'Application shares'!E27</f>
        <v>#DIV/0!</v>
      </c>
    </row>
    <row r="4" spans="1:2" x14ac:dyDescent="0.2">
      <c r="A4" s="205" t="s">
        <v>620</v>
      </c>
      <c r="B4" s="284" t="e">
        <f>'Application shares'!E28</f>
        <v>#DIV/0!</v>
      </c>
    </row>
    <row r="5" spans="1:2" x14ac:dyDescent="0.2">
      <c r="A5" s="205"/>
      <c r="B5" s="284"/>
    </row>
    <row r="6" spans="1:2" x14ac:dyDescent="0.2">
      <c r="A6" s="205"/>
      <c r="B6" s="284"/>
    </row>
    <row r="7" spans="1:2" x14ac:dyDescent="0.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2"/>
  </sheetPr>
  <dimension ref="B2:B20"/>
  <sheetViews>
    <sheetView workbookViewId="0"/>
  </sheetViews>
  <sheetFormatPr baseColWidth="10" defaultRowHeight="16" x14ac:dyDescent="0.2"/>
  <cols>
    <col min="1" max="1" width="10.83203125" style="1"/>
    <col min="2" max="2" width="143.83203125" style="1" bestFit="1" customWidth="1"/>
    <col min="3" max="16384" width="10.83203125" style="1"/>
  </cols>
  <sheetData>
    <row r="2" spans="2:2" ht="21" x14ac:dyDescent="0.25">
      <c r="B2" s="2" t="s">
        <v>26</v>
      </c>
    </row>
    <row r="4" spans="2:2" x14ac:dyDescent="0.2">
      <c r="B4" s="111" t="s">
        <v>34</v>
      </c>
    </row>
    <row r="5" spans="2:2" x14ac:dyDescent="0.2">
      <c r="B5" s="64"/>
    </row>
    <row r="6" spans="2:2" ht="80" x14ac:dyDescent="0.2">
      <c r="B6" s="113" t="s">
        <v>600</v>
      </c>
    </row>
    <row r="7" spans="2:2" x14ac:dyDescent="0.2">
      <c r="B7" s="128"/>
    </row>
    <row r="8" spans="2:2" x14ac:dyDescent="0.2">
      <c r="B8" s="129" t="s">
        <v>255</v>
      </c>
    </row>
    <row r="9" spans="2:2" x14ac:dyDescent="0.2">
      <c r="B9" s="130"/>
    </row>
    <row r="10" spans="2:2" x14ac:dyDescent="0.2">
      <c r="B10" s="131" t="s">
        <v>446</v>
      </c>
    </row>
    <row r="11" spans="2:2" x14ac:dyDescent="0.2">
      <c r="B11" s="55" t="s">
        <v>447</v>
      </c>
    </row>
    <row r="12" spans="2:2" x14ac:dyDescent="0.2">
      <c r="B12" s="55" t="s">
        <v>448</v>
      </c>
    </row>
    <row r="13" spans="2:2" x14ac:dyDescent="0.2">
      <c r="B13" s="55" t="s">
        <v>449</v>
      </c>
    </row>
    <row r="14" spans="2:2" x14ac:dyDescent="0.2">
      <c r="B14" s="131" t="s">
        <v>450</v>
      </c>
    </row>
    <row r="15" spans="2:2" x14ac:dyDescent="0.2">
      <c r="B15" s="131" t="s">
        <v>451</v>
      </c>
    </row>
    <row r="16" spans="2:2" x14ac:dyDescent="0.2">
      <c r="B16" s="57"/>
    </row>
    <row r="18" spans="2:2" x14ac:dyDescent="0.2">
      <c r="B18" s="111" t="s">
        <v>33</v>
      </c>
    </row>
    <row r="19" spans="2:2" x14ac:dyDescent="0.2">
      <c r="B19" s="64"/>
    </row>
    <row r="20" spans="2:2" ht="112" x14ac:dyDescent="0.2">
      <c r="B20" s="112" t="s">
        <v>256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2"/>
  </sheetPr>
  <dimension ref="B2:CB8"/>
  <sheetViews>
    <sheetView workbookViewId="0">
      <selection activeCell="AP54" sqref="AP54"/>
    </sheetView>
  </sheetViews>
  <sheetFormatPr baseColWidth="10" defaultColWidth="2.83203125" defaultRowHeight="16" x14ac:dyDescent="0.2"/>
  <cols>
    <col min="1" max="16384" width="2.83203125" style="1"/>
  </cols>
  <sheetData>
    <row r="2" spans="2:80" ht="31" x14ac:dyDescent="0.2">
      <c r="B2" s="117" t="s">
        <v>250</v>
      </c>
      <c r="C2" s="114"/>
      <c r="D2" s="114"/>
      <c r="E2" s="114"/>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4"/>
      <c r="BA2" s="114"/>
      <c r="BB2" s="114"/>
      <c r="BC2" s="114"/>
      <c r="BD2" s="114"/>
      <c r="BE2" s="114"/>
      <c r="BF2" s="114"/>
      <c r="BG2" s="114"/>
      <c r="BH2" s="114"/>
      <c r="BI2" s="114"/>
      <c r="BJ2" s="114"/>
      <c r="BK2" s="114"/>
      <c r="BL2" s="114"/>
      <c r="BM2" s="114"/>
      <c r="BN2" s="114"/>
      <c r="BO2" s="114"/>
      <c r="BP2" s="114"/>
      <c r="BQ2" s="114"/>
      <c r="BR2" s="114"/>
      <c r="BS2" s="114"/>
      <c r="BT2" s="114"/>
      <c r="BU2" s="114"/>
      <c r="BV2" s="114"/>
    </row>
    <row r="3" spans="2:80" ht="18" customHeight="1" x14ac:dyDescent="0.2">
      <c r="B3" s="118" t="s">
        <v>94</v>
      </c>
      <c r="C3" s="119"/>
      <c r="D3" s="119"/>
      <c r="E3" s="119"/>
      <c r="F3" s="119"/>
      <c r="G3" s="119"/>
      <c r="H3" s="119"/>
      <c r="I3" s="119"/>
      <c r="J3" s="119"/>
      <c r="K3" s="119"/>
      <c r="L3" s="119"/>
      <c r="M3" s="119"/>
      <c r="N3" s="119"/>
      <c r="O3" s="119"/>
      <c r="P3" s="120"/>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c r="BG3" s="114"/>
      <c r="BH3" s="114"/>
      <c r="BI3" s="114"/>
      <c r="BJ3" s="114"/>
      <c r="BK3" s="114"/>
      <c r="BL3" s="114"/>
      <c r="BM3" s="114"/>
      <c r="BN3" s="114"/>
      <c r="BO3" s="114"/>
      <c r="BP3" s="114"/>
      <c r="BQ3" s="114"/>
      <c r="BR3" s="114"/>
      <c r="BS3" s="114"/>
      <c r="BT3" s="114"/>
      <c r="BU3" s="114"/>
      <c r="BV3" s="114"/>
    </row>
    <row r="4" spans="2:80" ht="15" customHeight="1" x14ac:dyDescent="0.2">
      <c r="B4" s="121" t="s">
        <v>249</v>
      </c>
      <c r="C4" s="122"/>
      <c r="D4" s="122"/>
      <c r="E4" s="122"/>
      <c r="F4" s="122"/>
      <c r="G4" s="122"/>
      <c r="H4" s="122"/>
      <c r="I4" s="122"/>
      <c r="J4" s="122"/>
      <c r="K4" s="122"/>
      <c r="L4" s="122"/>
      <c r="M4" s="122"/>
      <c r="N4" s="122"/>
      <c r="O4" s="122"/>
      <c r="P4" s="123"/>
      <c r="Q4" s="115"/>
      <c r="R4" s="115"/>
      <c r="S4" s="115"/>
      <c r="T4" s="115"/>
      <c r="U4" s="115"/>
      <c r="V4" s="115"/>
      <c r="W4" s="115"/>
      <c r="X4" s="115"/>
      <c r="Y4" s="115"/>
      <c r="Z4" s="115"/>
      <c r="AA4" s="115"/>
      <c r="AB4" s="115"/>
      <c r="AC4" s="115"/>
      <c r="AD4" s="115"/>
      <c r="AE4" s="115"/>
      <c r="AF4" s="115"/>
      <c r="AG4" s="115"/>
      <c r="AH4" s="115"/>
      <c r="AI4" s="115"/>
      <c r="AJ4" s="115"/>
      <c r="AK4" s="115"/>
      <c r="AL4" s="115"/>
      <c r="AM4" s="115"/>
      <c r="AN4" s="115"/>
      <c r="AO4" s="115"/>
      <c r="AP4" s="115"/>
      <c r="AQ4" s="115"/>
      <c r="AR4" s="115"/>
      <c r="AS4" s="115"/>
      <c r="AT4" s="115"/>
      <c r="AU4" s="115"/>
      <c r="AV4" s="115"/>
      <c r="AW4" s="115"/>
      <c r="AX4" s="115"/>
      <c r="AY4" s="115"/>
      <c r="AZ4" s="115"/>
      <c r="BA4" s="115"/>
      <c r="BB4" s="115"/>
      <c r="BC4" s="115"/>
      <c r="BD4" s="115"/>
      <c r="BE4" s="115"/>
      <c r="BF4" s="115"/>
      <c r="BG4" s="115"/>
      <c r="BH4" s="115"/>
      <c r="BI4" s="115"/>
      <c r="BJ4" s="115"/>
      <c r="BK4" s="115"/>
      <c r="BL4" s="115"/>
      <c r="BM4" s="115"/>
      <c r="BN4" s="115"/>
      <c r="BO4" s="115"/>
      <c r="BP4" s="115"/>
      <c r="BQ4" s="115"/>
      <c r="BR4" s="115"/>
      <c r="BS4" s="115"/>
      <c r="BT4" s="115"/>
      <c r="BU4" s="115"/>
      <c r="BV4" s="115"/>
    </row>
    <row r="5" spans="2:80" ht="15" customHeight="1" x14ac:dyDescent="0.2">
      <c r="Q5" s="116"/>
      <c r="R5" s="116"/>
      <c r="S5" s="116"/>
      <c r="T5" s="116"/>
      <c r="U5" s="116"/>
      <c r="V5" s="116"/>
      <c r="W5" s="116"/>
      <c r="X5" s="116"/>
      <c r="Y5" s="116"/>
      <c r="Z5" s="116"/>
      <c r="AA5" s="116"/>
      <c r="AB5" s="116"/>
      <c r="AC5" s="116"/>
      <c r="AD5" s="116"/>
      <c r="AE5" s="116"/>
      <c r="AF5" s="116"/>
      <c r="AG5" s="116"/>
      <c r="AH5" s="116"/>
      <c r="AI5" s="116"/>
      <c r="AJ5" s="116"/>
      <c r="AK5" s="116"/>
      <c r="AL5" s="116"/>
      <c r="AM5" s="116"/>
      <c r="AN5" s="116"/>
      <c r="AO5" s="116"/>
      <c r="AP5" s="116"/>
      <c r="AQ5" s="116"/>
      <c r="AR5" s="116"/>
      <c r="AS5" s="116"/>
      <c r="AT5" s="116"/>
      <c r="AU5" s="116"/>
      <c r="AV5" s="116"/>
      <c r="AW5" s="116"/>
      <c r="AX5" s="116"/>
      <c r="AY5" s="116"/>
      <c r="AZ5" s="116"/>
      <c r="BA5" s="116"/>
      <c r="BB5" s="116"/>
      <c r="BC5" s="116"/>
      <c r="BD5" s="116"/>
      <c r="BE5" s="116"/>
      <c r="BF5" s="116"/>
      <c r="BG5" s="116"/>
      <c r="BH5" s="116"/>
      <c r="BI5" s="116"/>
      <c r="BJ5" s="116"/>
      <c r="BK5" s="116"/>
      <c r="BL5" s="116"/>
      <c r="BM5" s="116"/>
      <c r="BN5" s="116"/>
      <c r="BO5" s="116"/>
      <c r="BP5" s="116"/>
      <c r="BQ5" s="116"/>
      <c r="BR5" s="116"/>
      <c r="BS5" s="116"/>
      <c r="BT5" s="116"/>
      <c r="BU5" s="116"/>
      <c r="BV5" s="116"/>
    </row>
    <row r="6" spans="2:80" ht="24" x14ac:dyDescent="0.2">
      <c r="B6" s="116"/>
      <c r="C6" s="132" t="s">
        <v>246</v>
      </c>
      <c r="D6" s="116"/>
      <c r="E6" s="116"/>
      <c r="F6" s="116"/>
      <c r="G6" s="116"/>
      <c r="H6" s="116"/>
      <c r="I6" s="116"/>
      <c r="J6" s="116"/>
      <c r="K6" s="116"/>
      <c r="L6" s="116"/>
      <c r="M6" s="116"/>
      <c r="N6" s="116"/>
      <c r="O6" s="116"/>
      <c r="P6" s="116"/>
      <c r="Q6" s="116"/>
      <c r="R6" s="116"/>
      <c r="S6" s="116"/>
      <c r="T6" s="116"/>
      <c r="U6" s="116"/>
      <c r="V6" s="116"/>
      <c r="W6" s="116"/>
      <c r="X6" s="116"/>
      <c r="Y6" s="116"/>
      <c r="Z6" s="116"/>
      <c r="AA6" s="116"/>
      <c r="AB6" s="116"/>
      <c r="AC6" s="116"/>
      <c r="AD6" s="116"/>
      <c r="AE6" s="116"/>
      <c r="AF6" s="116"/>
      <c r="AG6" s="116"/>
      <c r="AH6" s="116"/>
      <c r="AI6" s="116"/>
      <c r="AJ6" s="116"/>
      <c r="AK6" s="116"/>
      <c r="AM6" s="116"/>
      <c r="AN6" s="132" t="s">
        <v>247</v>
      </c>
      <c r="AO6" s="116"/>
      <c r="AP6" s="116"/>
      <c r="AQ6" s="116"/>
      <c r="AR6" s="116"/>
      <c r="AS6" s="116"/>
      <c r="AT6" s="116"/>
      <c r="AU6" s="116"/>
      <c r="AV6" s="116"/>
      <c r="AW6" s="116"/>
      <c r="AX6" s="116"/>
      <c r="AY6" s="116"/>
      <c r="AZ6" s="116"/>
      <c r="BA6" s="116"/>
      <c r="BB6" s="116"/>
      <c r="BC6" s="116"/>
      <c r="BD6" s="116"/>
      <c r="BE6" s="116"/>
      <c r="BF6" s="116"/>
      <c r="BG6" s="116"/>
      <c r="BH6" s="116"/>
      <c r="BI6" s="116"/>
      <c r="BJ6" s="116"/>
      <c r="BK6" s="116"/>
      <c r="BL6" s="116"/>
      <c r="BM6" s="116"/>
      <c r="BN6" s="116"/>
      <c r="BO6" s="116"/>
      <c r="BP6" s="116"/>
      <c r="BR6" s="116"/>
      <c r="BS6" s="116"/>
      <c r="BT6" s="116"/>
      <c r="BU6" s="132" t="s">
        <v>248</v>
      </c>
    </row>
    <row r="8" spans="2:80" x14ac:dyDescent="0.2">
      <c r="CB8" s="107"/>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2"/>
  </sheetPr>
  <dimension ref="B2:D133"/>
  <sheetViews>
    <sheetView topLeftCell="A59" workbookViewId="0">
      <selection activeCell="B75" sqref="B75"/>
    </sheetView>
  </sheetViews>
  <sheetFormatPr baseColWidth="10" defaultRowHeight="16" x14ac:dyDescent="0.2"/>
  <cols>
    <col min="1" max="1" width="10.83203125" style="1"/>
    <col min="2" max="2" width="25.5" style="1" customWidth="1"/>
    <col min="3" max="3" width="77.83203125" style="1" customWidth="1"/>
    <col min="4" max="4" width="78.33203125" style="1" customWidth="1"/>
    <col min="5" max="16384" width="10.83203125" style="1"/>
  </cols>
  <sheetData>
    <row r="2" spans="2:4" ht="21" x14ac:dyDescent="0.25">
      <c r="B2" s="2" t="s">
        <v>27</v>
      </c>
      <c r="C2" s="2"/>
    </row>
    <row r="4" spans="2:4" x14ac:dyDescent="0.2">
      <c r="B4" s="3" t="s">
        <v>94</v>
      </c>
      <c r="C4" s="5"/>
    </row>
    <row r="5" spans="2:4" ht="90" customHeight="1" x14ac:dyDescent="0.2">
      <c r="B5" s="405" t="s">
        <v>338</v>
      </c>
      <c r="C5" s="406"/>
    </row>
    <row r="6" spans="2:4" ht="17" thickBot="1" x14ac:dyDescent="0.25"/>
    <row r="7" spans="2:4" x14ac:dyDescent="0.2">
      <c r="B7" s="27" t="s">
        <v>35</v>
      </c>
      <c r="C7" s="28"/>
      <c r="D7" s="29"/>
    </row>
    <row r="8" spans="2:4" x14ac:dyDescent="0.2">
      <c r="B8" s="30"/>
      <c r="C8" s="8"/>
      <c r="D8" s="31"/>
    </row>
    <row r="9" spans="2:4" x14ac:dyDescent="0.2">
      <c r="B9" s="32" t="s">
        <v>36</v>
      </c>
      <c r="C9" s="33" t="s">
        <v>37</v>
      </c>
      <c r="D9" s="34" t="s">
        <v>38</v>
      </c>
    </row>
    <row r="10" spans="2:4" x14ac:dyDescent="0.2">
      <c r="B10" s="96" t="s">
        <v>39</v>
      </c>
      <c r="C10" s="15"/>
      <c r="D10" s="36"/>
    </row>
    <row r="11" spans="2:4" ht="96" x14ac:dyDescent="0.2">
      <c r="B11" s="30"/>
      <c r="C11" s="39" t="s">
        <v>323</v>
      </c>
      <c r="D11" s="41"/>
    </row>
    <row r="12" spans="2:4" ht="48" x14ac:dyDescent="0.2">
      <c r="B12" s="30"/>
      <c r="C12" s="39" t="s">
        <v>320</v>
      </c>
      <c r="D12" s="41"/>
    </row>
    <row r="13" spans="2:4" ht="32" x14ac:dyDescent="0.2">
      <c r="B13" s="38"/>
      <c r="C13" s="97" t="s">
        <v>324</v>
      </c>
      <c r="D13" s="40"/>
    </row>
    <row r="14" spans="2:4" x14ac:dyDescent="0.2">
      <c r="B14" s="38"/>
      <c r="C14" s="97" t="s">
        <v>236</v>
      </c>
      <c r="D14" s="40"/>
    </row>
    <row r="15" spans="2:4" ht="47" customHeight="1" x14ac:dyDescent="0.2">
      <c r="B15" s="38"/>
      <c r="C15" s="97" t="s">
        <v>412</v>
      </c>
      <c r="D15" s="40"/>
    </row>
    <row r="16" spans="2:4" ht="47" customHeight="1" x14ac:dyDescent="0.2">
      <c r="B16" s="38"/>
      <c r="C16" s="97" t="s">
        <v>502</v>
      </c>
      <c r="D16" s="40"/>
    </row>
    <row r="17" spans="2:4" ht="14" customHeight="1" x14ac:dyDescent="0.2">
      <c r="B17" s="38"/>
      <c r="C17" t="s">
        <v>402</v>
      </c>
      <c r="D17" s="40" t="s">
        <v>506</v>
      </c>
    </row>
    <row r="18" spans="2:4" ht="14" customHeight="1" x14ac:dyDescent="0.2">
      <c r="B18" s="38"/>
      <c r="C18" t="s">
        <v>400</v>
      </c>
      <c r="D18" s="40" t="s">
        <v>506</v>
      </c>
    </row>
    <row r="19" spans="2:4" ht="17" thickBot="1" x14ac:dyDescent="0.25">
      <c r="B19" s="47"/>
      <c r="C19" s="140"/>
      <c r="D19" s="141"/>
    </row>
    <row r="20" spans="2:4" s="8" customFormat="1" ht="17" thickBot="1" x14ac:dyDescent="0.25">
      <c r="C20" s="98"/>
      <c r="D20" s="99"/>
    </row>
    <row r="21" spans="2:4" x14ac:dyDescent="0.2">
      <c r="B21" s="27" t="s">
        <v>238</v>
      </c>
      <c r="C21" s="28"/>
      <c r="D21" s="29"/>
    </row>
    <row r="22" spans="2:4" x14ac:dyDescent="0.2">
      <c r="B22" s="30"/>
      <c r="C22" s="8"/>
      <c r="D22" s="31"/>
    </row>
    <row r="23" spans="2:4" x14ac:dyDescent="0.2">
      <c r="B23" s="32" t="s">
        <v>36</v>
      </c>
      <c r="C23" s="33" t="s">
        <v>37</v>
      </c>
      <c r="D23" s="34" t="s">
        <v>258</v>
      </c>
    </row>
    <row r="24" spans="2:4" x14ac:dyDescent="0.2">
      <c r="B24" s="37" t="s">
        <v>101</v>
      </c>
      <c r="C24" s="15"/>
      <c r="D24" s="36"/>
    </row>
    <row r="25" spans="2:4" x14ac:dyDescent="0.2">
      <c r="B25" s="38"/>
      <c r="C25" s="44" t="s">
        <v>259</v>
      </c>
      <c r="D25" s="40" t="s">
        <v>262</v>
      </c>
    </row>
    <row r="26" spans="2:4" x14ac:dyDescent="0.2">
      <c r="B26" s="38"/>
      <c r="C26" s="44" t="s">
        <v>260</v>
      </c>
      <c r="D26" s="40" t="s">
        <v>262</v>
      </c>
    </row>
    <row r="27" spans="2:4" x14ac:dyDescent="0.2">
      <c r="B27" s="38"/>
      <c r="C27" s="44" t="s">
        <v>261</v>
      </c>
      <c r="D27" s="40" t="s">
        <v>262</v>
      </c>
    </row>
    <row r="28" spans="2:4" x14ac:dyDescent="0.2">
      <c r="B28" s="38"/>
      <c r="C28" s="139"/>
      <c r="D28" s="133"/>
    </row>
    <row r="29" spans="2:4" x14ac:dyDescent="0.2">
      <c r="B29" s="134" t="s">
        <v>91</v>
      </c>
      <c r="C29" s="138"/>
      <c r="D29" s="135"/>
    </row>
    <row r="30" spans="2:4" x14ac:dyDescent="0.2">
      <c r="B30" s="30"/>
      <c r="C30" s="17" t="s">
        <v>110</v>
      </c>
      <c r="D30" s="42" t="s">
        <v>263</v>
      </c>
    </row>
    <row r="31" spans="2:4" x14ac:dyDescent="0.2">
      <c r="B31" s="37"/>
      <c r="C31" s="17" t="s">
        <v>106</v>
      </c>
      <c r="D31" s="42" t="s">
        <v>263</v>
      </c>
    </row>
    <row r="32" spans="2:4" x14ac:dyDescent="0.2">
      <c r="B32" s="30"/>
      <c r="C32" s="17" t="s">
        <v>108</v>
      </c>
      <c r="D32" s="42" t="s">
        <v>263</v>
      </c>
    </row>
    <row r="33" spans="2:4" x14ac:dyDescent="0.2">
      <c r="B33" s="30"/>
      <c r="C33" s="17" t="s">
        <v>111</v>
      </c>
      <c r="D33" s="42" t="s">
        <v>263</v>
      </c>
    </row>
    <row r="34" spans="2:4" x14ac:dyDescent="0.2">
      <c r="B34" s="30"/>
      <c r="C34" s="17" t="s">
        <v>109</v>
      </c>
      <c r="D34" s="42" t="s">
        <v>263</v>
      </c>
    </row>
    <row r="35" spans="2:4" x14ac:dyDescent="0.2">
      <c r="B35" s="30"/>
      <c r="C35" s="17" t="s">
        <v>107</v>
      </c>
      <c r="D35" s="42" t="s">
        <v>263</v>
      </c>
    </row>
    <row r="36" spans="2:4" x14ac:dyDescent="0.2">
      <c r="B36" s="30"/>
      <c r="C36" s="8"/>
      <c r="D36" s="31"/>
    </row>
    <row r="37" spans="2:4" x14ac:dyDescent="0.2">
      <c r="B37" s="49" t="s">
        <v>104</v>
      </c>
      <c r="C37" s="4"/>
      <c r="D37" s="136"/>
    </row>
    <row r="38" spans="2:4" x14ac:dyDescent="0.2">
      <c r="B38" s="30"/>
      <c r="C38" s="137" t="s">
        <v>112</v>
      </c>
      <c r="D38" s="42" t="s">
        <v>263</v>
      </c>
    </row>
    <row r="39" spans="2:4" x14ac:dyDescent="0.2">
      <c r="B39" s="30"/>
      <c r="C39" s="17" t="s">
        <v>113</v>
      </c>
      <c r="D39" s="42" t="s">
        <v>263</v>
      </c>
    </row>
    <row r="40" spans="2:4" x14ac:dyDescent="0.2">
      <c r="B40" s="30"/>
      <c r="C40" s="137" t="s">
        <v>114</v>
      </c>
      <c r="D40" s="42" t="s">
        <v>263</v>
      </c>
    </row>
    <row r="41" spans="2:4" x14ac:dyDescent="0.2">
      <c r="B41" s="30"/>
      <c r="C41" s="8"/>
      <c r="D41" s="31"/>
    </row>
    <row r="42" spans="2:4" x14ac:dyDescent="0.2">
      <c r="B42" s="49" t="s">
        <v>90</v>
      </c>
      <c r="C42" s="4"/>
      <c r="D42" s="136"/>
    </row>
    <row r="43" spans="2:4" x14ac:dyDescent="0.2">
      <c r="B43" s="30"/>
      <c r="C43" s="137" t="s">
        <v>232</v>
      </c>
      <c r="D43" s="42" t="s">
        <v>263</v>
      </c>
    </row>
    <row r="44" spans="2:4" x14ac:dyDescent="0.2">
      <c r="B44" s="30"/>
      <c r="C44" s="17" t="s">
        <v>233</v>
      </c>
      <c r="D44" s="42" t="s">
        <v>263</v>
      </c>
    </row>
    <row r="45" spans="2:4" x14ac:dyDescent="0.2">
      <c r="B45" s="30"/>
      <c r="C45" s="17" t="s">
        <v>332</v>
      </c>
      <c r="D45" s="42" t="s">
        <v>263</v>
      </c>
    </row>
    <row r="46" spans="2:4" x14ac:dyDescent="0.2">
      <c r="B46" s="30"/>
      <c r="C46" s="17" t="s">
        <v>234</v>
      </c>
      <c r="D46" s="42" t="s">
        <v>263</v>
      </c>
    </row>
    <row r="47" spans="2:4" x14ac:dyDescent="0.2">
      <c r="B47" s="30"/>
      <c r="C47" s="17" t="s">
        <v>235</v>
      </c>
      <c r="D47" s="42" t="s">
        <v>263</v>
      </c>
    </row>
    <row r="48" spans="2:4" x14ac:dyDescent="0.2">
      <c r="B48" s="30"/>
      <c r="C48" s="8"/>
      <c r="D48" s="31"/>
    </row>
    <row r="49" spans="2:4" x14ac:dyDescent="0.2">
      <c r="B49" s="49" t="s">
        <v>92</v>
      </c>
      <c r="C49" s="4"/>
      <c r="D49" s="136"/>
    </row>
    <row r="50" spans="2:4" x14ac:dyDescent="0.2">
      <c r="B50" s="37"/>
      <c r="C50" s="137" t="s">
        <v>115</v>
      </c>
      <c r="D50" s="42" t="s">
        <v>263</v>
      </c>
    </row>
    <row r="51" spans="2:4" x14ac:dyDescent="0.2">
      <c r="B51" s="30"/>
      <c r="C51" s="137" t="s">
        <v>116</v>
      </c>
      <c r="D51" s="42" t="s">
        <v>263</v>
      </c>
    </row>
    <row r="52" spans="2:4" x14ac:dyDescent="0.2">
      <c r="B52" s="30"/>
      <c r="C52" s="137" t="s">
        <v>117</v>
      </c>
      <c r="D52" s="42" t="s">
        <v>263</v>
      </c>
    </row>
    <row r="53" spans="2:4" x14ac:dyDescent="0.2">
      <c r="B53" s="30"/>
      <c r="C53" s="137" t="s">
        <v>118</v>
      </c>
      <c r="D53" s="42" t="s">
        <v>263</v>
      </c>
    </row>
    <row r="54" spans="2:4" ht="17" thickBot="1" x14ac:dyDescent="0.25">
      <c r="B54" s="47"/>
      <c r="C54" s="102"/>
      <c r="D54" s="103"/>
    </row>
    <row r="55" spans="2:4" ht="17" thickBot="1" x14ac:dyDescent="0.25"/>
    <row r="56" spans="2:4" x14ac:dyDescent="0.2">
      <c r="B56" s="27" t="s">
        <v>265</v>
      </c>
      <c r="C56" s="29"/>
    </row>
    <row r="57" spans="2:4" x14ac:dyDescent="0.2">
      <c r="B57" s="30"/>
      <c r="C57" s="31"/>
    </row>
    <row r="58" spans="2:4" x14ac:dyDescent="0.2">
      <c r="B58" s="32" t="s">
        <v>530</v>
      </c>
      <c r="C58" s="142" t="s">
        <v>266</v>
      </c>
    </row>
    <row r="59" spans="2:4" x14ac:dyDescent="0.2">
      <c r="B59" s="35"/>
      <c r="C59" s="36"/>
    </row>
    <row r="60" spans="2:4" x14ac:dyDescent="0.2">
      <c r="B60" s="37" t="s">
        <v>267</v>
      </c>
      <c r="C60" s="42" t="s">
        <v>40</v>
      </c>
    </row>
    <row r="61" spans="2:4" x14ac:dyDescent="0.2">
      <c r="B61" s="30"/>
      <c r="C61" s="42" t="s">
        <v>41</v>
      </c>
    </row>
    <row r="62" spans="2:4" x14ac:dyDescent="0.2">
      <c r="B62" s="30"/>
      <c r="C62" s="42" t="s">
        <v>42</v>
      </c>
    </row>
    <row r="63" spans="2:4" x14ac:dyDescent="0.2">
      <c r="B63" s="30"/>
      <c r="C63" s="42" t="s">
        <v>43</v>
      </c>
    </row>
    <row r="64" spans="2:4" x14ac:dyDescent="0.2">
      <c r="B64" s="30"/>
      <c r="C64" s="42" t="s">
        <v>44</v>
      </c>
    </row>
    <row r="65" spans="2:3" x14ac:dyDescent="0.2">
      <c r="B65" s="30"/>
      <c r="C65" s="42" t="s">
        <v>45</v>
      </c>
    </row>
    <row r="66" spans="2:3" x14ac:dyDescent="0.2">
      <c r="B66" s="30"/>
      <c r="C66" s="143" t="s">
        <v>46</v>
      </c>
    </row>
    <row r="67" spans="2:3" x14ac:dyDescent="0.2">
      <c r="B67" s="50"/>
      <c r="C67" s="143" t="s">
        <v>56</v>
      </c>
    </row>
    <row r="68" spans="2:3" x14ac:dyDescent="0.2">
      <c r="B68" s="30"/>
      <c r="C68" s="42" t="s">
        <v>47</v>
      </c>
    </row>
    <row r="69" spans="2:3" x14ac:dyDescent="0.2">
      <c r="B69" s="30"/>
      <c r="C69" s="42" t="s">
        <v>48</v>
      </c>
    </row>
    <row r="70" spans="2:3" x14ac:dyDescent="0.2">
      <c r="B70" s="30"/>
      <c r="C70" s="42" t="s">
        <v>49</v>
      </c>
    </row>
    <row r="71" spans="2:3" x14ac:dyDescent="0.2">
      <c r="B71" s="30"/>
      <c r="C71" s="42" t="s">
        <v>50</v>
      </c>
    </row>
    <row r="72" spans="2:3" x14ac:dyDescent="0.2">
      <c r="B72" s="30"/>
      <c r="C72" s="42" t="s">
        <v>51</v>
      </c>
    </row>
    <row r="73" spans="2:3" x14ac:dyDescent="0.2">
      <c r="B73" s="43"/>
      <c r="C73" s="46"/>
    </row>
    <row r="74" spans="2:3" x14ac:dyDescent="0.2">
      <c r="B74" s="37" t="s">
        <v>597</v>
      </c>
      <c r="C74" s="42" t="s">
        <v>268</v>
      </c>
    </row>
    <row r="75" spans="2:3" x14ac:dyDescent="0.2">
      <c r="B75" s="37"/>
      <c r="C75" s="42" t="s">
        <v>83</v>
      </c>
    </row>
    <row r="76" spans="2:3" x14ac:dyDescent="0.2">
      <c r="B76" s="144"/>
      <c r="C76" s="46"/>
    </row>
    <row r="77" spans="2:3" x14ac:dyDescent="0.2">
      <c r="B77" s="37" t="s">
        <v>269</v>
      </c>
      <c r="C77" s="42" t="s">
        <v>57</v>
      </c>
    </row>
    <row r="78" spans="2:3" x14ac:dyDescent="0.2">
      <c r="B78" s="37"/>
      <c r="C78" s="42" t="s">
        <v>58</v>
      </c>
    </row>
    <row r="79" spans="2:3" x14ac:dyDescent="0.2">
      <c r="B79" s="30"/>
      <c r="C79" s="42" t="s">
        <v>59</v>
      </c>
    </row>
    <row r="80" spans="2:3" x14ac:dyDescent="0.2">
      <c r="B80" s="30"/>
      <c r="C80" s="42" t="s">
        <v>60</v>
      </c>
    </row>
    <row r="81" spans="2:3" x14ac:dyDescent="0.2">
      <c r="B81" s="30"/>
      <c r="C81" s="42" t="s">
        <v>61</v>
      </c>
    </row>
    <row r="82" spans="2:3" x14ac:dyDescent="0.2">
      <c r="B82" s="30"/>
      <c r="C82" s="42" t="s">
        <v>62</v>
      </c>
    </row>
    <row r="83" spans="2:3" x14ac:dyDescent="0.2">
      <c r="B83" s="30"/>
      <c r="C83" s="42" t="s">
        <v>63</v>
      </c>
    </row>
    <row r="84" spans="2:3" x14ac:dyDescent="0.2">
      <c r="B84" s="30"/>
      <c r="C84" s="42" t="s">
        <v>64</v>
      </c>
    </row>
    <row r="85" spans="2:3" x14ac:dyDescent="0.2">
      <c r="B85" s="30"/>
      <c r="C85" s="42" t="s">
        <v>65</v>
      </c>
    </row>
    <row r="86" spans="2:3" x14ac:dyDescent="0.2">
      <c r="B86" s="30"/>
      <c r="C86" s="42" t="s">
        <v>66</v>
      </c>
    </row>
    <row r="87" spans="2:3" x14ac:dyDescent="0.2">
      <c r="B87" s="30"/>
      <c r="C87" s="42" t="s">
        <v>67</v>
      </c>
    </row>
    <row r="88" spans="2:3" x14ac:dyDescent="0.2">
      <c r="B88" s="30"/>
      <c r="C88" s="42" t="s">
        <v>68</v>
      </c>
    </row>
    <row r="89" spans="2:3" x14ac:dyDescent="0.2">
      <c r="B89" s="30"/>
      <c r="C89" s="42" t="s">
        <v>69</v>
      </c>
    </row>
    <row r="90" spans="2:3" x14ac:dyDescent="0.2">
      <c r="B90" s="30"/>
      <c r="C90" s="42" t="s">
        <v>70</v>
      </c>
    </row>
    <row r="91" spans="2:3" x14ac:dyDescent="0.2">
      <c r="B91" s="30"/>
      <c r="C91" s="42" t="s">
        <v>71</v>
      </c>
    </row>
    <row r="92" spans="2:3" x14ac:dyDescent="0.2">
      <c r="B92" s="30"/>
      <c r="C92" s="42" t="s">
        <v>72</v>
      </c>
    </row>
    <row r="93" spans="2:3" x14ac:dyDescent="0.2">
      <c r="B93" s="30"/>
      <c r="C93" s="42" t="s">
        <v>73</v>
      </c>
    </row>
    <row r="94" spans="2:3" x14ac:dyDescent="0.2">
      <c r="B94" s="30"/>
      <c r="C94" s="42" t="s">
        <v>74</v>
      </c>
    </row>
    <row r="95" spans="2:3" x14ac:dyDescent="0.2">
      <c r="B95" s="30"/>
      <c r="C95" s="42" t="s">
        <v>75</v>
      </c>
    </row>
    <row r="96" spans="2:3" x14ac:dyDescent="0.2">
      <c r="B96" s="30"/>
      <c r="C96" s="42" t="s">
        <v>76</v>
      </c>
    </row>
    <row r="97" spans="2:3" x14ac:dyDescent="0.2">
      <c r="B97" s="30"/>
      <c r="C97" s="42" t="s">
        <v>77</v>
      </c>
    </row>
    <row r="98" spans="2:3" x14ac:dyDescent="0.2">
      <c r="B98" s="30"/>
      <c r="C98" s="42" t="s">
        <v>78</v>
      </c>
    </row>
    <row r="99" spans="2:3" x14ac:dyDescent="0.2">
      <c r="B99" s="30"/>
      <c r="C99" s="42" t="s">
        <v>79</v>
      </c>
    </row>
    <row r="100" spans="2:3" x14ac:dyDescent="0.2">
      <c r="B100" s="43"/>
      <c r="C100" s="46"/>
    </row>
    <row r="101" spans="2:3" x14ac:dyDescent="0.2">
      <c r="B101" s="37" t="s">
        <v>270</v>
      </c>
      <c r="C101" s="42" t="s">
        <v>87</v>
      </c>
    </row>
    <row r="102" spans="2:3" x14ac:dyDescent="0.2">
      <c r="B102" s="30"/>
      <c r="C102" s="42" t="s">
        <v>88</v>
      </c>
    </row>
    <row r="103" spans="2:3" x14ac:dyDescent="0.2">
      <c r="B103" s="30"/>
      <c r="C103" s="42"/>
    </row>
    <row r="104" spans="2:3" x14ac:dyDescent="0.2">
      <c r="B104" s="49" t="s">
        <v>279</v>
      </c>
      <c r="C104" s="149" t="s">
        <v>279</v>
      </c>
    </row>
    <row r="105" spans="2:3" x14ac:dyDescent="0.2">
      <c r="B105" s="37"/>
      <c r="C105" s="42"/>
    </row>
    <row r="106" spans="2:3" x14ac:dyDescent="0.2">
      <c r="B106" s="49" t="s">
        <v>151</v>
      </c>
      <c r="C106" s="149" t="s">
        <v>151</v>
      </c>
    </row>
    <row r="107" spans="2:3" x14ac:dyDescent="0.2">
      <c r="B107" s="37"/>
      <c r="C107" s="42"/>
    </row>
    <row r="108" spans="2:3" x14ac:dyDescent="0.2">
      <c r="B108" s="49" t="s">
        <v>150</v>
      </c>
      <c r="C108" s="149" t="s">
        <v>150</v>
      </c>
    </row>
    <row r="109" spans="2:3" x14ac:dyDescent="0.2">
      <c r="B109" s="144"/>
      <c r="C109" s="46"/>
    </row>
    <row r="110" spans="2:3" x14ac:dyDescent="0.2">
      <c r="B110" s="50" t="s">
        <v>93</v>
      </c>
      <c r="C110" s="42" t="s">
        <v>52</v>
      </c>
    </row>
    <row r="111" spans="2:3" x14ac:dyDescent="0.2">
      <c r="B111" s="30"/>
      <c r="C111" s="42" t="s">
        <v>53</v>
      </c>
    </row>
    <row r="112" spans="2:3" x14ac:dyDescent="0.2">
      <c r="B112" s="30"/>
      <c r="C112" s="42" t="s">
        <v>54</v>
      </c>
    </row>
    <row r="113" spans="2:3" x14ac:dyDescent="0.2">
      <c r="B113" s="30"/>
      <c r="C113" s="42" t="s">
        <v>55</v>
      </c>
    </row>
    <row r="114" spans="2:3" x14ac:dyDescent="0.2">
      <c r="B114" s="37"/>
      <c r="C114" s="42" t="s">
        <v>80</v>
      </c>
    </row>
    <row r="115" spans="2:3" x14ac:dyDescent="0.2">
      <c r="B115" s="37"/>
      <c r="C115" s="42" t="s">
        <v>81</v>
      </c>
    </row>
    <row r="116" spans="2:3" x14ac:dyDescent="0.2">
      <c r="B116" s="37"/>
      <c r="C116" s="42" t="s">
        <v>82</v>
      </c>
    </row>
    <row r="117" spans="2:3" x14ac:dyDescent="0.2">
      <c r="B117" s="37"/>
      <c r="C117" s="42" t="s">
        <v>83</v>
      </c>
    </row>
    <row r="118" spans="2:3" x14ac:dyDescent="0.2">
      <c r="B118" s="37"/>
      <c r="C118" s="42" t="s">
        <v>84</v>
      </c>
    </row>
    <row r="119" spans="2:3" x14ac:dyDescent="0.2">
      <c r="B119" s="37"/>
      <c r="C119" s="42" t="s">
        <v>85</v>
      </c>
    </row>
    <row r="120" spans="2:3" x14ac:dyDescent="0.2">
      <c r="B120" s="37"/>
      <c r="C120" s="42" t="s">
        <v>86</v>
      </c>
    </row>
    <row r="121" spans="2:3" x14ac:dyDescent="0.2">
      <c r="B121" s="30"/>
      <c r="C121" s="42" t="s">
        <v>140</v>
      </c>
    </row>
    <row r="122" spans="2:3" x14ac:dyDescent="0.2">
      <c r="B122" s="30"/>
      <c r="C122" s="42" t="s">
        <v>143</v>
      </c>
    </row>
    <row r="123" spans="2:3" x14ac:dyDescent="0.2">
      <c r="B123" s="30"/>
      <c r="C123" s="42" t="s">
        <v>144</v>
      </c>
    </row>
    <row r="124" spans="2:3" x14ac:dyDescent="0.2">
      <c r="B124" s="37"/>
      <c r="C124" s="42" t="s">
        <v>145</v>
      </c>
    </row>
    <row r="125" spans="2:3" x14ac:dyDescent="0.2">
      <c r="B125" s="37"/>
      <c r="C125" s="42" t="s">
        <v>280</v>
      </c>
    </row>
    <row r="126" spans="2:3" x14ac:dyDescent="0.2">
      <c r="B126" s="37"/>
      <c r="C126" s="42" t="s">
        <v>148</v>
      </c>
    </row>
    <row r="127" spans="2:3" x14ac:dyDescent="0.2">
      <c r="B127" s="37"/>
      <c r="C127" s="42" t="s">
        <v>149</v>
      </c>
    </row>
    <row r="128" spans="2:3" x14ac:dyDescent="0.2">
      <c r="B128" s="37"/>
      <c r="C128" s="42" t="s">
        <v>141</v>
      </c>
    </row>
    <row r="129" spans="2:3" x14ac:dyDescent="0.2">
      <c r="B129" s="37"/>
      <c r="C129" s="42" t="s">
        <v>142</v>
      </c>
    </row>
    <row r="130" spans="2:3" x14ac:dyDescent="0.2">
      <c r="B130" s="30"/>
      <c r="C130" s="41" t="s">
        <v>32</v>
      </c>
    </row>
    <row r="131" spans="2:3" ht="17" thickBot="1" x14ac:dyDescent="0.25">
      <c r="B131" s="47"/>
      <c r="C131" s="51"/>
    </row>
    <row r="133" spans="2:3" x14ac:dyDescent="0.2">
      <c r="B133" s="1" t="s">
        <v>293</v>
      </c>
      <c r="C133" s="1">
        <v>3.6</v>
      </c>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B2:S71"/>
  <sheetViews>
    <sheetView tabSelected="1" workbookViewId="0"/>
  </sheetViews>
  <sheetFormatPr baseColWidth="10" defaultRowHeight="16" x14ac:dyDescent="0.2"/>
  <cols>
    <col min="1" max="1" width="10.83203125" style="1"/>
    <col min="2" max="2" width="17.1640625" style="1" customWidth="1"/>
    <col min="3" max="3" width="76.1640625" style="1" customWidth="1"/>
    <col min="4" max="4" width="5.33203125" style="1" customWidth="1"/>
    <col min="5" max="5" width="11.1640625" style="1" customWidth="1"/>
    <col min="6" max="6" width="2.6640625" style="1" customWidth="1"/>
    <col min="7" max="7" width="31.6640625" style="226" customWidth="1"/>
    <col min="8" max="8" width="3.33203125" style="226" customWidth="1"/>
    <col min="9" max="9" width="32.5" style="1" customWidth="1"/>
    <col min="10" max="10" width="4.33203125" style="1" customWidth="1"/>
    <col min="11" max="11" width="61" style="1" bestFit="1" customWidth="1"/>
    <col min="12" max="12" width="9.1640625" style="1" customWidth="1"/>
    <col min="13" max="13" width="110" style="1" customWidth="1"/>
    <col min="14" max="14" width="10.83203125" style="1"/>
    <col min="15" max="15" width="55" style="1" bestFit="1" customWidth="1"/>
    <col min="16" max="16" width="12.1640625" style="1" bestFit="1" customWidth="1"/>
    <col min="17" max="16384" width="10.83203125" style="1"/>
  </cols>
  <sheetData>
    <row r="2" spans="2:16" ht="21" x14ac:dyDescent="0.25">
      <c r="B2" s="2" t="s">
        <v>29</v>
      </c>
      <c r="K2" s="207" t="s">
        <v>418</v>
      </c>
      <c r="L2" s="13"/>
      <c r="M2" s="5"/>
    </row>
    <row r="3" spans="2:16" ht="21" x14ac:dyDescent="0.25">
      <c r="B3" s="2"/>
      <c r="K3" s="209"/>
      <c r="L3" s="8"/>
      <c r="M3" s="7"/>
    </row>
    <row r="4" spans="2:16" x14ac:dyDescent="0.2">
      <c r="B4" s="52" t="s">
        <v>94</v>
      </c>
      <c r="C4" s="4"/>
      <c r="D4" s="4"/>
      <c r="E4" s="5"/>
      <c r="K4" s="210"/>
      <c r="L4" s="8"/>
      <c r="M4" s="7"/>
    </row>
    <row r="5" spans="2:16" ht="45" customHeight="1" x14ac:dyDescent="0.2">
      <c r="B5" s="405" t="s">
        <v>325</v>
      </c>
      <c r="C5" s="407"/>
      <c r="D5" s="407"/>
      <c r="E5" s="406"/>
      <c r="K5" s="208"/>
      <c r="L5" s="10"/>
      <c r="M5" s="11"/>
    </row>
    <row r="6" spans="2:16" ht="17" thickBot="1" x14ac:dyDescent="0.25"/>
    <row r="7" spans="2:16" x14ac:dyDescent="0.2">
      <c r="B7" s="27" t="s">
        <v>27</v>
      </c>
      <c r="C7" s="53"/>
      <c r="D7" s="53"/>
      <c r="E7" s="53"/>
      <c r="F7" s="53"/>
      <c r="G7" s="227"/>
      <c r="H7" s="227"/>
      <c r="I7" s="53"/>
      <c r="J7" s="239"/>
      <c r="K7" s="159" t="s">
        <v>95</v>
      </c>
      <c r="L7" s="53"/>
      <c r="M7" s="29"/>
      <c r="O7" s="231"/>
      <c r="P7" s="232"/>
    </row>
    <row r="8" spans="2:16" x14ac:dyDescent="0.2">
      <c r="B8" s="30"/>
      <c r="C8" s="8"/>
      <c r="D8" s="8"/>
      <c r="E8" s="8"/>
      <c r="F8" s="8"/>
      <c r="G8" s="224"/>
      <c r="H8" s="224"/>
      <c r="I8" s="8"/>
      <c r="J8" s="7"/>
      <c r="K8" s="19"/>
      <c r="L8" s="8"/>
      <c r="M8" s="31"/>
      <c r="O8" s="233"/>
      <c r="P8" s="234"/>
    </row>
    <row r="9" spans="2:16" x14ac:dyDescent="0.2">
      <c r="B9" s="32" t="s">
        <v>96</v>
      </c>
      <c r="C9" s="33" t="s">
        <v>37</v>
      </c>
      <c r="D9" s="33" t="s">
        <v>98</v>
      </c>
      <c r="E9" s="33" t="s">
        <v>97</v>
      </c>
      <c r="F9" s="33"/>
      <c r="G9" s="33" t="s">
        <v>537</v>
      </c>
      <c r="H9" s="33"/>
      <c r="I9" s="33" t="s">
        <v>38</v>
      </c>
      <c r="J9" s="33"/>
      <c r="K9" s="316" t="s">
        <v>99</v>
      </c>
      <c r="L9" s="54" t="s">
        <v>100</v>
      </c>
      <c r="M9" s="142" t="s">
        <v>94</v>
      </c>
      <c r="O9" s="235" t="s">
        <v>428</v>
      </c>
      <c r="P9" s="236" t="s">
        <v>429</v>
      </c>
    </row>
    <row r="10" spans="2:16" x14ac:dyDescent="0.2">
      <c r="B10" s="37" t="s">
        <v>39</v>
      </c>
      <c r="C10" s="15"/>
      <c r="D10" s="15"/>
      <c r="E10" s="15"/>
      <c r="F10" s="15"/>
      <c r="G10" s="228"/>
      <c r="H10" s="228"/>
      <c r="I10" s="15"/>
      <c r="J10" s="16"/>
      <c r="K10" s="372" t="s">
        <v>569</v>
      </c>
      <c r="L10" s="373" t="b">
        <f>IF(COUNTIF(P:P,0)+COUNTIF(P:P,FALSE)=0,TRUE,FALSE)</f>
        <v>0</v>
      </c>
      <c r="M10" s="65"/>
      <c r="O10" s="231"/>
      <c r="P10" s="232"/>
    </row>
    <row r="11" spans="2:16" x14ac:dyDescent="0.2">
      <c r="B11" s="35"/>
      <c r="C11" s="60" t="s">
        <v>336</v>
      </c>
      <c r="D11" s="60"/>
      <c r="E11" s="311"/>
      <c r="F11" s="15"/>
      <c r="G11" s="230" t="s">
        <v>430</v>
      </c>
      <c r="H11" s="228"/>
      <c r="I11" s="15"/>
      <c r="J11" s="16"/>
      <c r="K11" s="64" t="s">
        <v>289</v>
      </c>
      <c r="L11" s="381" t="b">
        <f>IF(COUNTBLANK(E11:E64)-COUNTBLANK(C11:C64)=3,TRUE,FALSE)</f>
        <v>0</v>
      </c>
      <c r="M11" s="65"/>
      <c r="O11" s="233" t="s">
        <v>430</v>
      </c>
      <c r="P11" s="234">
        <f>IF(L11=TRUE,1,0)</f>
        <v>0</v>
      </c>
    </row>
    <row r="12" spans="2:16" x14ac:dyDescent="0.2">
      <c r="B12" s="35"/>
      <c r="C12" s="60" t="s">
        <v>417</v>
      </c>
      <c r="D12" s="60"/>
      <c r="E12" s="311"/>
      <c r="F12" s="15"/>
      <c r="G12" s="230" t="s">
        <v>431</v>
      </c>
      <c r="H12" s="228"/>
      <c r="I12" s="15"/>
      <c r="J12" s="16"/>
      <c r="K12" s="66"/>
      <c r="L12" s="155"/>
      <c r="M12" s="65"/>
      <c r="O12" s="233" t="s">
        <v>431</v>
      </c>
      <c r="P12" s="234"/>
    </row>
    <row r="13" spans="2:16" x14ac:dyDescent="0.2">
      <c r="B13" s="35"/>
      <c r="C13" s="15"/>
      <c r="D13" s="15"/>
      <c r="E13" s="15"/>
      <c r="F13" s="15"/>
      <c r="G13" s="228"/>
      <c r="H13" s="228"/>
      <c r="I13" s="15"/>
      <c r="J13" s="16"/>
      <c r="K13" s="394"/>
      <c r="L13" s="155"/>
      <c r="M13" s="395"/>
      <c r="O13" s="233"/>
      <c r="P13" s="7"/>
    </row>
    <row r="14" spans="2:16" x14ac:dyDescent="0.2">
      <c r="B14" s="35"/>
      <c r="C14" s="15"/>
      <c r="D14" s="15"/>
      <c r="E14" s="15"/>
      <c r="F14" s="15"/>
      <c r="G14" s="228"/>
      <c r="H14" s="228"/>
      <c r="I14" s="15"/>
      <c r="J14" s="16"/>
      <c r="K14" s="64" t="s">
        <v>590</v>
      </c>
      <c r="L14" s="155"/>
      <c r="M14" s="65"/>
      <c r="O14" s="233"/>
      <c r="P14" s="234"/>
    </row>
    <row r="15" spans="2:16" ht="15" customHeight="1" x14ac:dyDescent="0.2">
      <c r="B15" s="35"/>
      <c r="C15" s="15"/>
      <c r="D15" s="15"/>
      <c r="E15" s="15"/>
      <c r="F15" s="15"/>
      <c r="G15" s="228"/>
      <c r="H15" s="228"/>
      <c r="I15" s="15"/>
      <c r="J15" s="16"/>
      <c r="K15" s="55" t="s">
        <v>593</v>
      </c>
      <c r="L15" s="380" t="e">
        <f>IF('Final demand per energy carrier'!E45&lt;0,FALSE,TRUE)</f>
        <v>#DIV/0!</v>
      </c>
      <c r="M15" s="314" t="e">
        <f>IF(L15=TRUE," ","The demand for coal in 'other appliances' is negative. Have a look at the 'Final demand per energy carrier' sheet. Please correct the application and/or technology splits in the dashboard. ")</f>
        <v>#DIV/0!</v>
      </c>
      <c r="O15" s="233"/>
      <c r="P15" s="234" t="e">
        <f>IF(L15=TRUE,1,0)</f>
        <v>#DIV/0!</v>
      </c>
    </row>
    <row r="16" spans="2:16" x14ac:dyDescent="0.2">
      <c r="B16" s="35"/>
      <c r="C16" s="15"/>
      <c r="D16" s="15"/>
      <c r="E16" s="15"/>
      <c r="F16" s="15"/>
      <c r="G16" s="228"/>
      <c r="H16" s="228"/>
      <c r="I16" s="15"/>
      <c r="J16" s="16"/>
      <c r="K16" s="55" t="s">
        <v>592</v>
      </c>
      <c r="L16" s="380" t="e">
        <f>IF('Final demand per energy carrier'!F45&lt;0,FALSE,TRUE)</f>
        <v>#DIV/0!</v>
      </c>
      <c r="M16" s="314" t="e">
        <f>IF(L16=TRUE," ","The demand for network gas in 'other appliances' is negative. Have a look at the 'Final demand per energy carrier' sheet. Please correct the application and/or technology splits in the dashboard. ")</f>
        <v>#DIV/0!</v>
      </c>
      <c r="O16" s="233"/>
      <c r="P16" s="234" t="e">
        <f>IF(L16=TRUE,1,0)</f>
        <v>#DIV/0!</v>
      </c>
    </row>
    <row r="17" spans="2:16" x14ac:dyDescent="0.2">
      <c r="B17" s="35"/>
      <c r="C17" s="15"/>
      <c r="D17" s="15"/>
      <c r="E17" s="15"/>
      <c r="F17" s="15"/>
      <c r="G17" s="228"/>
      <c r="H17" s="228"/>
      <c r="I17" s="15"/>
      <c r="J17" s="16"/>
      <c r="K17" s="55" t="s">
        <v>594</v>
      </c>
      <c r="L17" s="380" t="e">
        <f>IF('Final demand per energy carrier'!G45&lt;0,FALSE,TRUE)</f>
        <v>#DIV/0!</v>
      </c>
      <c r="M17" s="314" t="e">
        <f>IF(L17=TRUE," ","The demand for oil in 'other appliances' is negative. Have a look at the 'Final demand per energy carrier' sheet. Please correct the application and/or technology splits in the dashboard. ")</f>
        <v>#DIV/0!</v>
      </c>
      <c r="O17" s="233"/>
      <c r="P17" s="234" t="e">
        <f>IF(L17=TRUE,1,0)</f>
        <v>#DIV/0!</v>
      </c>
    </row>
    <row r="18" spans="2:16" x14ac:dyDescent="0.2">
      <c r="B18" s="35"/>
      <c r="C18" s="15"/>
      <c r="D18" s="15"/>
      <c r="E18" s="15"/>
      <c r="F18" s="15"/>
      <c r="G18" s="228"/>
      <c r="H18" s="228"/>
      <c r="I18" s="15"/>
      <c r="J18" s="16"/>
      <c r="K18" s="55"/>
      <c r="L18" s="21"/>
      <c r="M18" s="65"/>
      <c r="O18" s="233"/>
      <c r="P18" s="234"/>
    </row>
    <row r="19" spans="2:16" x14ac:dyDescent="0.2">
      <c r="B19" s="32"/>
      <c r="C19" s="317"/>
      <c r="D19" s="317"/>
      <c r="E19" s="317"/>
      <c r="F19" s="317"/>
      <c r="G19" s="318"/>
      <c r="H19" s="318"/>
      <c r="I19" s="317"/>
      <c r="J19" s="319"/>
      <c r="K19" s="320" t="s">
        <v>586</v>
      </c>
      <c r="L19" s="399" t="b">
        <f>IF('Fuel aggregation'!J11=0,TRUE,'Fuel aggregation'!J11)</f>
        <v>1</v>
      </c>
      <c r="M19" s="382" t="str">
        <f>IF(L19=TRUE," ","(TJ) There are energy flows related to the services sector that cannot be processed by the ETM. If the amount of disregarded energy is relatively large, consider contacting Quintel Intelligence. Have a look at the fuel aggregation sheet.")</f>
        <v xml:space="preserve"> </v>
      </c>
      <c r="O19" s="233"/>
      <c r="P19" s="234"/>
    </row>
    <row r="20" spans="2:16" x14ac:dyDescent="0.2">
      <c r="B20" s="37" t="s">
        <v>101</v>
      </c>
      <c r="C20" s="8"/>
      <c r="D20" s="8"/>
      <c r="E20" s="59"/>
      <c r="F20" s="225"/>
      <c r="G20" s="230"/>
      <c r="H20" s="230"/>
      <c r="I20" s="8"/>
      <c r="J20" s="8"/>
      <c r="K20" s="55"/>
      <c r="L20" s="374"/>
      <c r="M20" s="56"/>
      <c r="O20" s="233"/>
      <c r="P20" s="234"/>
    </row>
    <row r="21" spans="2:16" x14ac:dyDescent="0.2">
      <c r="B21" s="37"/>
      <c r="C21" s="8" t="s">
        <v>421</v>
      </c>
      <c r="D21" s="8" t="s">
        <v>424</v>
      </c>
      <c r="E21" s="213">
        <f>Final_demand_residences</f>
        <v>0</v>
      </c>
      <c r="F21" s="225"/>
      <c r="G21" s="230"/>
      <c r="H21" s="230"/>
      <c r="I21" s="8" t="s">
        <v>570</v>
      </c>
      <c r="J21" s="8"/>
      <c r="K21" s="55"/>
      <c r="L21" s="375"/>
      <c r="M21" s="56"/>
      <c r="O21" s="233"/>
      <c r="P21" s="234"/>
    </row>
    <row r="22" spans="2:16" ht="17" thickBot="1" x14ac:dyDescent="0.25">
      <c r="B22" s="37"/>
      <c r="C22" s="8"/>
      <c r="D22" s="8"/>
      <c r="E22" s="214"/>
      <c r="F22" s="225"/>
      <c r="G22" s="230"/>
      <c r="H22" s="230"/>
      <c r="I22" s="8"/>
      <c r="J22" s="8"/>
      <c r="K22" s="55"/>
      <c r="L22" s="375"/>
      <c r="M22" s="56"/>
      <c r="O22" s="233"/>
      <c r="P22" s="234"/>
    </row>
    <row r="23" spans="2:16" ht="17" thickBot="1" x14ac:dyDescent="0.25">
      <c r="B23" s="37"/>
      <c r="C23" s="8" t="s">
        <v>102</v>
      </c>
      <c r="D23" s="8" t="s">
        <v>424</v>
      </c>
      <c r="E23" s="215"/>
      <c r="F23" s="230"/>
      <c r="G23" s="230" t="s">
        <v>425</v>
      </c>
      <c r="H23" s="230"/>
      <c r="I23" s="23"/>
      <c r="J23" s="7"/>
      <c r="K23" s="7"/>
      <c r="L23" s="375"/>
      <c r="M23" s="56"/>
      <c r="O23" s="233" t="s">
        <v>510</v>
      </c>
      <c r="P23" s="234"/>
    </row>
    <row r="24" spans="2:16" ht="17" thickBot="1" x14ac:dyDescent="0.25">
      <c r="B24" s="37"/>
      <c r="C24" s="8" t="s">
        <v>105</v>
      </c>
      <c r="D24" s="8" t="s">
        <v>424</v>
      </c>
      <c r="E24" s="216"/>
      <c r="F24" s="230"/>
      <c r="G24" s="230" t="s">
        <v>426</v>
      </c>
      <c r="H24" s="230"/>
      <c r="I24" s="23"/>
      <c r="J24" s="7"/>
      <c r="K24" s="7"/>
      <c r="L24" s="375"/>
      <c r="M24" s="56"/>
      <c r="O24" s="233" t="s">
        <v>511</v>
      </c>
      <c r="P24" s="234"/>
    </row>
    <row r="25" spans="2:16" ht="17" thickBot="1" x14ac:dyDescent="0.25">
      <c r="B25" s="37"/>
      <c r="C25" s="8" t="s">
        <v>103</v>
      </c>
      <c r="D25" s="8" t="s">
        <v>424</v>
      </c>
      <c r="E25" s="216"/>
      <c r="F25" s="230"/>
      <c r="G25" s="230" t="s">
        <v>427</v>
      </c>
      <c r="H25" s="230"/>
      <c r="I25" s="23"/>
      <c r="J25" s="7"/>
      <c r="K25" s="7"/>
      <c r="L25" s="375"/>
      <c r="M25" s="56"/>
      <c r="O25" s="233" t="s">
        <v>512</v>
      </c>
      <c r="P25" s="234"/>
    </row>
    <row r="26" spans="2:16" x14ac:dyDescent="0.2">
      <c r="B26" s="37"/>
      <c r="C26" s="8"/>
      <c r="D26" s="8"/>
      <c r="E26" s="217"/>
      <c r="F26" s="225"/>
      <c r="G26" s="230"/>
      <c r="H26" s="230"/>
      <c r="I26" s="8"/>
      <c r="J26" s="8"/>
      <c r="K26" s="55"/>
      <c r="L26" s="375"/>
      <c r="M26" s="56"/>
      <c r="O26" s="233"/>
      <c r="P26" s="234"/>
    </row>
    <row r="27" spans="2:16" ht="17" thickBot="1" x14ac:dyDescent="0.25">
      <c r="B27" s="37"/>
      <c r="C27" s="8"/>
      <c r="D27" s="8"/>
      <c r="E27" s="217"/>
      <c r="F27" s="225"/>
      <c r="G27" s="230"/>
      <c r="H27" s="230"/>
      <c r="I27" s="8"/>
      <c r="J27" s="8"/>
      <c r="K27" s="55"/>
      <c r="L27" s="375"/>
      <c r="M27" s="56"/>
      <c r="O27" s="233"/>
      <c r="P27" s="234"/>
    </row>
    <row r="28" spans="2:16" ht="17" thickBot="1" x14ac:dyDescent="0.25">
      <c r="B28" s="37"/>
      <c r="C28" s="8" t="s">
        <v>611</v>
      </c>
      <c r="D28" s="8"/>
      <c r="E28" s="216"/>
      <c r="F28" s="225"/>
      <c r="G28" s="230"/>
      <c r="H28" s="230"/>
      <c r="I28" s="8"/>
      <c r="J28" s="8"/>
      <c r="K28" s="55"/>
      <c r="L28" s="375"/>
      <c r="M28" s="56"/>
      <c r="O28" s="233" t="s">
        <v>612</v>
      </c>
      <c r="P28" s="234"/>
    </row>
    <row r="29" spans="2:16" ht="17" thickBot="1" x14ac:dyDescent="0.25">
      <c r="B29" s="37"/>
      <c r="C29" s="8" t="s">
        <v>607</v>
      </c>
      <c r="D29" s="8" t="s">
        <v>424</v>
      </c>
      <c r="E29" s="216" t="str">
        <f>IF(E28="no",0,"")</f>
        <v/>
      </c>
      <c r="F29" s="225"/>
      <c r="G29" s="230" t="s">
        <v>609</v>
      </c>
      <c r="H29" s="230"/>
      <c r="I29" s="23"/>
      <c r="J29" s="8"/>
      <c r="K29" s="64" t="s">
        <v>613</v>
      </c>
      <c r="L29" s="380" t="b">
        <f>IF(E29&gt;=0,TRUE,E29)</f>
        <v>1</v>
      </c>
      <c r="M29" s="56" t="str">
        <f>IF(L29=TRUE," ","Please adjust your final demands for space heating, space cooling and lighting (and central ICT, if filled in), or alter the technology shares below.")</f>
        <v xml:space="preserve"> </v>
      </c>
      <c r="O29" s="233" t="s">
        <v>610</v>
      </c>
      <c r="P29" s="234">
        <f>IF(L29=TRUE,1,0)</f>
        <v>1</v>
      </c>
    </row>
    <row r="30" spans="2:16" x14ac:dyDescent="0.2">
      <c r="B30" s="37"/>
      <c r="C30" s="8"/>
      <c r="D30" s="8"/>
      <c r="E30" s="217"/>
      <c r="F30" s="225"/>
      <c r="G30" s="230"/>
      <c r="H30" s="230"/>
      <c r="I30" s="8"/>
      <c r="J30" s="8"/>
      <c r="K30" s="55"/>
      <c r="L30" s="375"/>
      <c r="M30" s="56"/>
      <c r="O30" s="233"/>
      <c r="P30" s="234"/>
    </row>
    <row r="31" spans="2:16" x14ac:dyDescent="0.2">
      <c r="B31" s="37"/>
      <c r="C31" s="8" t="s">
        <v>608</v>
      </c>
      <c r="D31" s="8" t="s">
        <v>424</v>
      </c>
      <c r="E31" s="376" t="e">
        <f>'Final demand per energy carrier'!J44</f>
        <v>#DIV/0!</v>
      </c>
      <c r="F31" s="225"/>
      <c r="G31" s="230"/>
      <c r="H31" s="230"/>
      <c r="I31" s="8"/>
      <c r="J31" s="8"/>
      <c r="K31" s="64" t="s">
        <v>583</v>
      </c>
      <c r="L31" s="380" t="e">
        <f>IF(E31&gt;0,TRUE,E31)</f>
        <v>#DIV/0!</v>
      </c>
      <c r="M31" s="56" t="e">
        <f>IF(L31=TRUE," ","Please adjust your final demands for space heating, space cooling and lighting (and central ICT, if filled in), or alter the technology shares below.")</f>
        <v>#DIV/0!</v>
      </c>
      <c r="O31" s="233"/>
      <c r="P31" s="234" t="e">
        <f>IF(L31=TRUE,1,0)</f>
        <v>#DIV/0!</v>
      </c>
    </row>
    <row r="32" spans="2:16" x14ac:dyDescent="0.2">
      <c r="B32" s="37"/>
      <c r="C32" s="8" t="s">
        <v>585</v>
      </c>
      <c r="D32" s="8" t="s">
        <v>424</v>
      </c>
      <c r="E32" s="377" t="e">
        <f>SUM('Final demand per energy carrier'!E45:G45)</f>
        <v>#DIV/0!</v>
      </c>
      <c r="F32" s="225"/>
      <c r="G32" s="230"/>
      <c r="H32" s="230"/>
      <c r="I32" s="8"/>
      <c r="J32" s="8"/>
      <c r="K32" s="64" t="s">
        <v>584</v>
      </c>
      <c r="L32" s="380" t="e">
        <f>IF(E32&gt;0,TRUE,E32)</f>
        <v>#DIV/0!</v>
      </c>
      <c r="M32" s="56" t="e">
        <f>IF(L32=TRUE," ","Please adjust your final demands for space heating, space cooling and/or lighting (and central ICT, if filled in.")</f>
        <v>#DIV/0!</v>
      </c>
      <c r="O32" s="233"/>
      <c r="P32" s="234" t="e">
        <f>IF(L32=TRUE,1,0)</f>
        <v>#DIV/0!</v>
      </c>
    </row>
    <row r="33" spans="2:19" x14ac:dyDescent="0.2">
      <c r="B33" s="144"/>
      <c r="C33" s="10"/>
      <c r="D33" s="10"/>
      <c r="E33" s="59"/>
      <c r="F33" s="10"/>
      <c r="G33" s="211"/>
      <c r="H33" s="211"/>
      <c r="I33" s="10"/>
      <c r="J33" s="10"/>
      <c r="K33" s="57"/>
      <c r="L33" s="57"/>
      <c r="M33" s="58"/>
      <c r="O33" s="233"/>
      <c r="P33" s="234"/>
    </row>
    <row r="34" spans="2:19" ht="16" customHeight="1" x14ac:dyDescent="0.2">
      <c r="B34" s="37" t="s">
        <v>91</v>
      </c>
      <c r="C34" s="8"/>
      <c r="D34" s="8"/>
      <c r="E34" s="175"/>
      <c r="F34" s="8"/>
      <c r="G34" s="224"/>
      <c r="H34" s="224"/>
      <c r="I34" s="8"/>
      <c r="J34" s="8"/>
      <c r="K34" s="64" t="s">
        <v>239</v>
      </c>
      <c r="L34" s="380">
        <f>IF(SUM(E44:E49)=1,TRUE,SUM(E44:E49))</f>
        <v>0</v>
      </c>
      <c r="M34" s="56" t="str">
        <f>IF(L34=TRUE," ","If this check is red please adjust the percentages of heat delivered by the technologies to the left.")</f>
        <v>If this check is red please adjust the percentages of heat delivered by the technologies to the left.</v>
      </c>
      <c r="O34" s="233"/>
      <c r="P34" s="234">
        <f>IF(L34=TRUE,1,0)</f>
        <v>0</v>
      </c>
    </row>
    <row r="35" spans="2:19" ht="16" customHeight="1" x14ac:dyDescent="0.2">
      <c r="B35" s="37"/>
      <c r="C35" s="8" t="s">
        <v>533</v>
      </c>
      <c r="D35" s="8"/>
      <c r="E35" s="376">
        <f>Final_demand_space_heating</f>
        <v>0</v>
      </c>
      <c r="F35" s="8"/>
      <c r="G35" s="224"/>
      <c r="H35" s="224"/>
      <c r="I35" s="8"/>
      <c r="J35" s="8"/>
      <c r="K35" s="55"/>
      <c r="L35" s="315"/>
      <c r="M35" s="314"/>
      <c r="O35" s="233"/>
      <c r="P35" s="234"/>
    </row>
    <row r="36" spans="2:19" ht="16" customHeight="1" x14ac:dyDescent="0.2">
      <c r="B36" s="37"/>
      <c r="C36" s="8"/>
      <c r="D36" s="8"/>
      <c r="E36" s="376"/>
      <c r="F36" s="8"/>
      <c r="G36" s="224"/>
      <c r="H36" s="224"/>
      <c r="I36" s="8"/>
      <c r="J36" s="8"/>
      <c r="K36" s="55"/>
      <c r="L36" s="315"/>
      <c r="M36" s="314"/>
      <c r="O36" s="233"/>
      <c r="P36" s="234"/>
    </row>
    <row r="37" spans="2:19" x14ac:dyDescent="0.2">
      <c r="B37" s="37"/>
      <c r="C37" s="379" t="s">
        <v>534</v>
      </c>
      <c r="D37" s="8"/>
      <c r="E37" s="376">
        <f>'Final demand extracted from EB'!D13</f>
        <v>0</v>
      </c>
      <c r="F37" s="8"/>
      <c r="G37" s="224"/>
      <c r="H37" s="224"/>
      <c r="I37" s="8" t="s">
        <v>579</v>
      </c>
      <c r="J37" s="8"/>
      <c r="K37" s="55"/>
      <c r="L37" s="156"/>
      <c r="M37" s="56"/>
      <c r="O37" s="233"/>
      <c r="P37" s="234"/>
    </row>
    <row r="38" spans="2:19" x14ac:dyDescent="0.2">
      <c r="B38" s="37"/>
      <c r="C38" s="379" t="s">
        <v>535</v>
      </c>
      <c r="D38" s="8"/>
      <c r="E38" s="376">
        <f>'Final demand extracted from EB'!D9</f>
        <v>0</v>
      </c>
      <c r="F38" s="8"/>
      <c r="G38" s="224"/>
      <c r="H38" s="224"/>
      <c r="I38" s="8" t="s">
        <v>579</v>
      </c>
      <c r="J38" s="8"/>
      <c r="K38" s="55"/>
      <c r="L38" s="156"/>
      <c r="M38" s="56"/>
      <c r="O38" s="233"/>
      <c r="P38" s="234"/>
    </row>
    <row r="39" spans="2:19" x14ac:dyDescent="0.2">
      <c r="B39" s="37"/>
      <c r="C39" s="379" t="s">
        <v>536</v>
      </c>
      <c r="D39" s="8"/>
      <c r="E39" s="376">
        <f>'Final demand extracted from EB'!D17</f>
        <v>0</v>
      </c>
      <c r="F39" s="8"/>
      <c r="G39" s="224"/>
      <c r="H39" s="224"/>
      <c r="I39" s="8" t="s">
        <v>579</v>
      </c>
      <c r="J39" s="8"/>
      <c r="K39" s="55"/>
      <c r="L39" s="156"/>
      <c r="M39" s="56"/>
      <c r="O39" s="233"/>
      <c r="P39" s="234"/>
    </row>
    <row r="40" spans="2:19" x14ac:dyDescent="0.2">
      <c r="B40" s="37"/>
      <c r="C40" s="8"/>
      <c r="D40" s="8"/>
      <c r="E40" s="376"/>
      <c r="F40" s="8"/>
      <c r="G40" s="224"/>
      <c r="H40" s="224"/>
      <c r="I40" s="8"/>
      <c r="J40" s="8"/>
      <c r="K40" s="55"/>
      <c r="L40" s="156"/>
      <c r="M40" s="56"/>
      <c r="O40" s="233"/>
      <c r="P40" s="234"/>
    </row>
    <row r="41" spans="2:19" ht="32" x14ac:dyDescent="0.2">
      <c r="B41" s="37"/>
      <c r="C41" s="378" t="s">
        <v>572</v>
      </c>
      <c r="D41" s="8"/>
      <c r="E41" s="376">
        <f>E35-SUM(E37:E39)</f>
        <v>0</v>
      </c>
      <c r="F41" s="8"/>
      <c r="G41" s="224"/>
      <c r="H41" s="224"/>
      <c r="I41" s="8"/>
      <c r="J41" s="8"/>
      <c r="K41" s="55"/>
      <c r="L41" s="156"/>
      <c r="M41" s="56"/>
      <c r="O41" s="233"/>
      <c r="P41" s="234"/>
    </row>
    <row r="42" spans="2:19" x14ac:dyDescent="0.2">
      <c r="B42" s="37"/>
      <c r="C42" s="378"/>
      <c r="D42" s="8"/>
      <c r="E42" s="313"/>
      <c r="F42" s="8"/>
      <c r="G42" s="224"/>
      <c r="H42" s="224"/>
      <c r="I42" s="8"/>
      <c r="J42" s="8"/>
      <c r="K42" s="55"/>
      <c r="L42" s="156"/>
      <c r="M42" s="56"/>
      <c r="O42" s="233"/>
      <c r="P42" s="234"/>
    </row>
    <row r="43" spans="2:19" ht="17" thickBot="1" x14ac:dyDescent="0.25">
      <c r="B43" s="37"/>
      <c r="C43" s="8" t="s">
        <v>571</v>
      </c>
      <c r="D43" s="8"/>
      <c r="E43" s="59"/>
      <c r="F43" s="8"/>
      <c r="G43" s="224"/>
      <c r="H43" s="224"/>
      <c r="I43" s="8"/>
      <c r="J43" s="8"/>
      <c r="K43" s="55"/>
      <c r="L43" s="156"/>
      <c r="M43" s="56"/>
      <c r="O43" s="233"/>
      <c r="P43" s="234"/>
    </row>
    <row r="44" spans="2:19" ht="17" thickBot="1" x14ac:dyDescent="0.25">
      <c r="B44" s="37"/>
      <c r="C44" s="379" t="s">
        <v>573</v>
      </c>
      <c r="D44" s="8"/>
      <c r="E44" s="171"/>
      <c r="F44" s="8"/>
      <c r="G44" s="224"/>
      <c r="H44" s="224"/>
      <c r="I44" s="23"/>
      <c r="J44" s="8"/>
      <c r="K44" s="55"/>
      <c r="L44" s="156"/>
      <c r="M44" s="314"/>
      <c r="O44" s="233" t="s">
        <v>513</v>
      </c>
      <c r="P44" s="234"/>
    </row>
    <row r="45" spans="2:19" ht="18" thickBot="1" x14ac:dyDescent="0.25">
      <c r="B45" s="37"/>
      <c r="C45" s="379" t="s">
        <v>574</v>
      </c>
      <c r="D45" s="8"/>
      <c r="E45" s="171"/>
      <c r="F45" s="8"/>
      <c r="G45" s="224"/>
      <c r="H45" s="224"/>
      <c r="I45" s="23"/>
      <c r="J45" s="8"/>
      <c r="K45" s="55"/>
      <c r="L45" s="156"/>
      <c r="M45" s="314"/>
      <c r="O45" s="233" t="s">
        <v>529</v>
      </c>
      <c r="P45" s="234"/>
      <c r="S45" s="312"/>
    </row>
    <row r="46" spans="2:19" ht="17" thickBot="1" x14ac:dyDescent="0.25">
      <c r="B46" s="37"/>
      <c r="C46" s="379" t="s">
        <v>575</v>
      </c>
      <c r="D46" s="8"/>
      <c r="E46" s="171"/>
      <c r="F46" s="8"/>
      <c r="G46" s="224"/>
      <c r="H46" s="224"/>
      <c r="I46" s="23"/>
      <c r="J46" s="8"/>
      <c r="K46" s="55"/>
      <c r="L46" s="156"/>
      <c r="M46" s="314"/>
      <c r="O46" s="233" t="s">
        <v>514</v>
      </c>
      <c r="P46" s="234"/>
    </row>
    <row r="47" spans="2:19" ht="17" thickBot="1" x14ac:dyDescent="0.25">
      <c r="B47" s="37"/>
      <c r="C47" s="379" t="s">
        <v>576</v>
      </c>
      <c r="D47" s="8"/>
      <c r="E47" s="171"/>
      <c r="F47" s="8"/>
      <c r="G47" s="224"/>
      <c r="H47" s="224"/>
      <c r="I47" s="23"/>
      <c r="J47" s="8"/>
      <c r="K47" s="55"/>
      <c r="L47" s="156"/>
      <c r="M47" s="56"/>
      <c r="O47" s="233" t="s">
        <v>515</v>
      </c>
      <c r="P47" s="234"/>
    </row>
    <row r="48" spans="2:19" ht="17" thickBot="1" x14ac:dyDescent="0.25">
      <c r="B48" s="37"/>
      <c r="C48" s="379" t="s">
        <v>577</v>
      </c>
      <c r="D48" s="8"/>
      <c r="E48" s="171"/>
      <c r="F48" s="8"/>
      <c r="G48" s="224"/>
      <c r="H48" s="224"/>
      <c r="I48" s="23"/>
      <c r="J48" s="8"/>
      <c r="K48" s="55"/>
      <c r="L48" s="157"/>
      <c r="M48" s="56"/>
      <c r="O48" s="233" t="s">
        <v>516</v>
      </c>
      <c r="P48" s="234"/>
    </row>
    <row r="49" spans="2:18" ht="18" thickBot="1" x14ac:dyDescent="0.25">
      <c r="B49" s="37"/>
      <c r="C49" s="379" t="s">
        <v>578</v>
      </c>
      <c r="D49" s="8"/>
      <c r="E49" s="171"/>
      <c r="F49" s="8"/>
      <c r="G49" s="224"/>
      <c r="H49" s="224"/>
      <c r="I49" s="23"/>
      <c r="J49" s="8"/>
      <c r="K49" s="55"/>
      <c r="L49" s="156"/>
      <c r="M49" s="56"/>
      <c r="O49" s="233" t="s">
        <v>532</v>
      </c>
      <c r="P49" s="234"/>
      <c r="R49" s="312"/>
    </row>
    <row r="50" spans="2:18" x14ac:dyDescent="0.2">
      <c r="B50" s="144"/>
      <c r="C50" s="10"/>
      <c r="D50" s="10"/>
      <c r="E50" s="59"/>
      <c r="F50" s="10"/>
      <c r="G50" s="211"/>
      <c r="H50" s="211"/>
      <c r="I50" s="10"/>
      <c r="J50" s="10"/>
      <c r="K50" s="57"/>
      <c r="L50" s="158"/>
      <c r="M50" s="58"/>
      <c r="O50" s="233"/>
      <c r="P50" s="237"/>
    </row>
    <row r="51" spans="2:18" x14ac:dyDescent="0.2">
      <c r="B51" s="37" t="s">
        <v>104</v>
      </c>
      <c r="C51" s="60"/>
      <c r="D51" s="60"/>
      <c r="E51" s="175"/>
      <c r="F51" s="8"/>
      <c r="G51" s="224"/>
      <c r="H51" s="224"/>
      <c r="I51" s="8"/>
      <c r="J51" s="8"/>
      <c r="K51" s="64" t="s">
        <v>239</v>
      </c>
      <c r="L51" s="380">
        <f>IF(SUM(E53:E55)=1,TRUE,SUM(E53:E55))</f>
        <v>0</v>
      </c>
      <c r="M51" s="56" t="str">
        <f>IF(L51=TRUE," ","If this check is red please adjust the percentages of heat delivered by the technologies to the left.")</f>
        <v>If this check is red please adjust the percentages of heat delivered by the technologies to the left.</v>
      </c>
      <c r="O51" s="233"/>
      <c r="P51" s="234">
        <f>IF(L51=TRUE,1,0)</f>
        <v>0</v>
      </c>
    </row>
    <row r="52" spans="2:18" ht="17" thickBot="1" x14ac:dyDescent="0.25">
      <c r="B52" s="37"/>
      <c r="C52" s="60" t="s">
        <v>580</v>
      </c>
      <c r="D52" s="60"/>
      <c r="E52" s="63"/>
      <c r="F52" s="8"/>
      <c r="G52" s="224"/>
      <c r="H52" s="224"/>
      <c r="I52" s="8"/>
      <c r="J52" s="8"/>
      <c r="K52" s="64"/>
      <c r="L52" s="156"/>
      <c r="M52" s="56"/>
      <c r="O52" s="233"/>
      <c r="P52" s="234"/>
    </row>
    <row r="53" spans="2:18" ht="18" thickBot="1" x14ac:dyDescent="0.25">
      <c r="B53" s="37"/>
      <c r="C53" s="379" t="s">
        <v>575</v>
      </c>
      <c r="D53" s="8"/>
      <c r="E53" s="191"/>
      <c r="F53" s="8"/>
      <c r="G53" s="224"/>
      <c r="H53" s="224"/>
      <c r="I53" s="23"/>
      <c r="J53" s="8"/>
      <c r="K53" s="55"/>
      <c r="L53" s="156"/>
      <c r="M53" s="56"/>
      <c r="O53" s="233" t="s">
        <v>517</v>
      </c>
      <c r="P53" s="237"/>
      <c r="R53" s="312"/>
    </row>
    <row r="54" spans="2:18" ht="17" thickBot="1" x14ac:dyDescent="0.25">
      <c r="B54" s="37"/>
      <c r="C54" s="379" t="s">
        <v>574</v>
      </c>
      <c r="D54" s="8"/>
      <c r="E54" s="171"/>
      <c r="F54" s="8"/>
      <c r="G54" s="224"/>
      <c r="H54" s="224"/>
      <c r="I54" s="23"/>
      <c r="J54" s="8"/>
      <c r="K54" s="55"/>
      <c r="L54" s="156"/>
      <c r="M54" s="56"/>
      <c r="O54" s="233" t="s">
        <v>518</v>
      </c>
      <c r="P54" s="237"/>
    </row>
    <row r="55" spans="2:18" ht="17" thickBot="1" x14ac:dyDescent="0.25">
      <c r="B55" s="37"/>
      <c r="C55" s="379" t="s">
        <v>132</v>
      </c>
      <c r="D55" s="60"/>
      <c r="E55" s="191"/>
      <c r="F55" s="8"/>
      <c r="G55" s="224"/>
      <c r="H55" s="224"/>
      <c r="I55" s="23"/>
      <c r="J55" s="8"/>
      <c r="K55" s="55"/>
      <c r="L55" s="156"/>
      <c r="M55" s="56"/>
      <c r="O55" s="233" t="s">
        <v>519</v>
      </c>
      <c r="P55" s="237"/>
    </row>
    <row r="56" spans="2:18" x14ac:dyDescent="0.2">
      <c r="B56" s="144"/>
      <c r="C56" s="10"/>
      <c r="D56" s="10"/>
      <c r="E56" s="59"/>
      <c r="F56" s="10"/>
      <c r="G56" s="211"/>
      <c r="H56" s="211"/>
      <c r="I56" s="10"/>
      <c r="J56" s="10"/>
      <c r="K56" s="57"/>
      <c r="L56" s="158"/>
      <c r="M56" s="58"/>
      <c r="O56" s="233"/>
      <c r="P56" s="237"/>
    </row>
    <row r="57" spans="2:18" x14ac:dyDescent="0.2">
      <c r="B57" s="37" t="s">
        <v>90</v>
      </c>
      <c r="C57" s="8"/>
      <c r="D57" s="8"/>
      <c r="E57" s="175"/>
      <c r="F57" s="8"/>
      <c r="G57" s="224"/>
      <c r="H57" s="224"/>
      <c r="I57" s="8"/>
      <c r="J57" s="8"/>
      <c r="K57" s="64" t="s">
        <v>239</v>
      </c>
      <c r="L57" s="380">
        <f>IF(SUM(E59:E63)=1,TRUE,SUM(E59:E63))</f>
        <v>0</v>
      </c>
      <c r="M57" s="56" t="str">
        <f>IF(L57=TRUE," ","If this check is red please adjust the percentages of heat delivered by the technologies to the left.")</f>
        <v>If this check is red please adjust the percentages of heat delivered by the technologies to the left.</v>
      </c>
      <c r="O57" s="238"/>
      <c r="P57" s="234">
        <f>IF(L57=TRUE,1,0)</f>
        <v>0</v>
      </c>
    </row>
    <row r="58" spans="2:18" x14ac:dyDescent="0.2">
      <c r="B58" s="37"/>
      <c r="C58" s="8" t="s">
        <v>581</v>
      </c>
      <c r="D58" s="8"/>
      <c r="E58" s="59"/>
      <c r="F58" s="8"/>
      <c r="G58" s="224"/>
      <c r="H58" s="224"/>
      <c r="I58" s="8"/>
      <c r="J58" s="8"/>
      <c r="K58" s="64"/>
      <c r="L58" s="55"/>
      <c r="M58" s="56"/>
      <c r="O58" s="238"/>
      <c r="P58" s="234"/>
    </row>
    <row r="59" spans="2:18" x14ac:dyDescent="0.2">
      <c r="B59" s="37"/>
      <c r="C59" s="379" t="s">
        <v>133</v>
      </c>
      <c r="D59" s="8"/>
      <c r="E59" s="172">
        <v>0</v>
      </c>
      <c r="F59" s="8"/>
      <c r="G59" s="224"/>
      <c r="H59" s="224"/>
      <c r="I59" s="8"/>
      <c r="J59" s="8"/>
      <c r="K59" s="55"/>
      <c r="L59" s="55"/>
      <c r="M59" s="56"/>
      <c r="O59" s="233" t="s">
        <v>520</v>
      </c>
      <c r="P59" s="237"/>
    </row>
    <row r="60" spans="2:18" ht="17" thickBot="1" x14ac:dyDescent="0.25">
      <c r="B60" s="37"/>
      <c r="C60" s="379" t="s">
        <v>134</v>
      </c>
      <c r="D60" s="8"/>
      <c r="E60" s="172">
        <v>0</v>
      </c>
      <c r="F60" s="8"/>
      <c r="G60" s="224"/>
      <c r="H60" s="224"/>
      <c r="I60" s="8"/>
      <c r="J60" s="8"/>
      <c r="K60" s="55"/>
      <c r="L60" s="55"/>
      <c r="M60" s="56"/>
      <c r="O60" s="233" t="s">
        <v>521</v>
      </c>
      <c r="P60" s="7"/>
    </row>
    <row r="61" spans="2:18" ht="17" thickBot="1" x14ac:dyDescent="0.25">
      <c r="B61" s="37"/>
      <c r="C61" s="379" t="s">
        <v>333</v>
      </c>
      <c r="D61" s="8"/>
      <c r="E61" s="171"/>
      <c r="F61" s="8"/>
      <c r="G61" s="224"/>
      <c r="H61" s="224"/>
      <c r="I61" s="23"/>
      <c r="J61" s="8"/>
      <c r="K61" s="55"/>
      <c r="L61" s="55"/>
      <c r="M61" s="56"/>
      <c r="O61" s="233" t="s">
        <v>522</v>
      </c>
      <c r="P61" s="7"/>
    </row>
    <row r="62" spans="2:18" ht="17" thickBot="1" x14ac:dyDescent="0.25">
      <c r="B62" s="37"/>
      <c r="C62" s="379" t="s">
        <v>334</v>
      </c>
      <c r="D62" s="8"/>
      <c r="E62" s="171"/>
      <c r="F62" s="8"/>
      <c r="G62" s="224"/>
      <c r="H62" s="224"/>
      <c r="I62" s="23"/>
      <c r="J62" s="8"/>
      <c r="K62" s="55"/>
      <c r="L62" s="55"/>
      <c r="M62" s="56"/>
      <c r="O62" s="233" t="s">
        <v>523</v>
      </c>
      <c r="P62" s="7"/>
    </row>
    <row r="63" spans="2:18" ht="17" thickBot="1" x14ac:dyDescent="0.25">
      <c r="B63" s="37"/>
      <c r="C63" s="379" t="s">
        <v>582</v>
      </c>
      <c r="D63" s="8"/>
      <c r="E63" s="171"/>
      <c r="F63" s="8"/>
      <c r="G63" s="224"/>
      <c r="H63" s="224"/>
      <c r="I63" s="23"/>
      <c r="J63" s="8"/>
      <c r="K63" s="55"/>
      <c r="L63" s="55"/>
      <c r="M63" s="56"/>
      <c r="O63" s="233" t="s">
        <v>524</v>
      </c>
      <c r="P63" s="7"/>
    </row>
    <row r="64" spans="2:18" ht="17" thickBot="1" x14ac:dyDescent="0.25">
      <c r="B64" s="301"/>
      <c r="C64" s="102"/>
      <c r="D64" s="102"/>
      <c r="E64" s="240"/>
      <c r="F64" s="102"/>
      <c r="G64" s="229"/>
      <c r="H64" s="229"/>
      <c r="I64" s="102"/>
      <c r="J64" s="102"/>
      <c r="K64" s="160"/>
      <c r="L64" s="160"/>
      <c r="M64" s="150"/>
      <c r="O64" s="20"/>
      <c r="P64" s="11"/>
    </row>
    <row r="65" spans="2:16" x14ac:dyDescent="0.2">
      <c r="B65" s="302" t="s">
        <v>501</v>
      </c>
      <c r="C65" s="53"/>
      <c r="D65" s="53"/>
      <c r="E65" s="53"/>
      <c r="F65" s="53"/>
      <c r="G65" s="227"/>
      <c r="H65" s="227"/>
      <c r="I65" s="53"/>
      <c r="J65" s="53"/>
      <c r="K65" s="53"/>
      <c r="L65" s="53"/>
      <c r="M65" s="29"/>
      <c r="O65" s="303"/>
      <c r="P65" s="5"/>
    </row>
    <row r="66" spans="2:16" x14ac:dyDescent="0.2">
      <c r="B66" s="30"/>
      <c r="C66" s="8" t="s">
        <v>499</v>
      </c>
      <c r="D66" s="8"/>
      <c r="E66" s="172">
        <v>1</v>
      </c>
      <c r="F66" s="8"/>
      <c r="G66" s="224"/>
      <c r="I66" s="8"/>
      <c r="J66" s="8"/>
      <c r="K66" s="8"/>
      <c r="L66" s="8"/>
      <c r="M66" s="31"/>
      <c r="O66" s="233" t="s">
        <v>525</v>
      </c>
      <c r="P66" s="7"/>
    </row>
    <row r="67" spans="2:16" x14ac:dyDescent="0.2">
      <c r="B67" s="30"/>
      <c r="C67" s="8" t="s">
        <v>500</v>
      </c>
      <c r="D67" s="8"/>
      <c r="E67" s="172">
        <v>0</v>
      </c>
      <c r="F67" s="8"/>
      <c r="G67" s="224"/>
      <c r="I67" s="8"/>
      <c r="J67" s="8"/>
      <c r="K67" s="8"/>
      <c r="L67" s="8"/>
      <c r="M67" s="31"/>
      <c r="O67" s="233" t="s">
        <v>526</v>
      </c>
      <c r="P67" s="7"/>
    </row>
    <row r="68" spans="2:16" x14ac:dyDescent="0.2">
      <c r="B68" s="30"/>
      <c r="C68" s="8"/>
      <c r="D68" s="8"/>
      <c r="E68" s="172"/>
      <c r="F68" s="8"/>
      <c r="G68" s="224"/>
      <c r="I68" s="8"/>
      <c r="J68" s="8"/>
      <c r="K68" s="8"/>
      <c r="L68" s="8"/>
      <c r="M68" s="31"/>
      <c r="O68" s="233"/>
      <c r="P68" s="7"/>
    </row>
    <row r="69" spans="2:16" x14ac:dyDescent="0.2">
      <c r="B69" s="30"/>
      <c r="C69" s="8" t="s">
        <v>503</v>
      </c>
      <c r="D69" s="8"/>
      <c r="E69" s="172">
        <v>3.9E-2</v>
      </c>
      <c r="F69" s="8"/>
      <c r="G69" s="224"/>
      <c r="I69" s="8"/>
      <c r="J69" s="8"/>
      <c r="K69" s="8"/>
      <c r="L69" s="8"/>
      <c r="M69" s="31"/>
      <c r="O69" s="233" t="s">
        <v>527</v>
      </c>
      <c r="P69" s="7"/>
    </row>
    <row r="70" spans="2:16" x14ac:dyDescent="0.2">
      <c r="B70" s="30"/>
      <c r="C70" s="8" t="s">
        <v>504</v>
      </c>
      <c r="D70" s="8"/>
      <c r="E70" s="172">
        <v>5.2999999999999999E-2</v>
      </c>
      <c r="F70" s="8"/>
      <c r="G70" s="224"/>
      <c r="I70" s="8"/>
      <c r="J70" s="8"/>
      <c r="K70" s="8"/>
      <c r="L70" s="8"/>
      <c r="M70" s="31"/>
      <c r="O70" s="233" t="s">
        <v>528</v>
      </c>
      <c r="P70" s="7"/>
    </row>
    <row r="71" spans="2:16" ht="17" thickBot="1" x14ac:dyDescent="0.25">
      <c r="B71" s="47"/>
      <c r="C71" s="102"/>
      <c r="D71" s="102"/>
      <c r="E71" s="102"/>
      <c r="F71" s="102"/>
      <c r="G71" s="229"/>
      <c r="H71" s="229"/>
      <c r="I71" s="102"/>
      <c r="J71" s="102"/>
      <c r="K71" s="102"/>
      <c r="L71" s="102"/>
      <c r="M71" s="103"/>
      <c r="O71" s="20"/>
      <c r="P71" s="11"/>
    </row>
  </sheetData>
  <mergeCells count="1">
    <mergeCell ref="B5:E5"/>
  </mergeCells>
  <conditionalFormatting sqref="L10">
    <cfRule type="cellIs" dxfId="15" priority="15" operator="equal">
      <formula>TRUE</formula>
    </cfRule>
  </conditionalFormatting>
  <conditionalFormatting sqref="L11">
    <cfRule type="cellIs" dxfId="14" priority="6" operator="equal">
      <formula>TRUE</formula>
    </cfRule>
  </conditionalFormatting>
  <conditionalFormatting sqref="L34">
    <cfRule type="cellIs" dxfId="13" priority="11" operator="equal">
      <formula>TRUE</formula>
    </cfRule>
  </conditionalFormatting>
  <conditionalFormatting sqref="L51">
    <cfRule type="cellIs" dxfId="12" priority="10" operator="equal">
      <formula>TRUE</formula>
    </cfRule>
  </conditionalFormatting>
  <conditionalFormatting sqref="L57">
    <cfRule type="cellIs" dxfId="11" priority="9" operator="equal">
      <formula>TRUE</formula>
    </cfRule>
  </conditionalFormatting>
  <conditionalFormatting sqref="L31">
    <cfRule type="cellIs" dxfId="10" priority="8" operator="equal">
      <formula>TRUE</formula>
    </cfRule>
  </conditionalFormatting>
  <conditionalFormatting sqref="L32">
    <cfRule type="cellIs" dxfId="9" priority="7" operator="equal">
      <formula>TRUE</formula>
    </cfRule>
  </conditionalFormatting>
  <conditionalFormatting sqref="L15:L17">
    <cfRule type="cellIs" dxfId="8" priority="3" operator="equal">
      <formula>TRUE</formula>
    </cfRule>
  </conditionalFormatting>
  <conditionalFormatting sqref="L19">
    <cfRule type="cellIs" dxfId="7" priority="2" operator="equal">
      <formula>TRUE</formula>
    </cfRule>
  </conditionalFormatting>
  <conditionalFormatting sqref="L29">
    <cfRule type="cellIs" dxfId="6" priority="1" operator="equal">
      <formula>TRUE</formula>
    </cfRule>
  </conditionalFormatting>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1281" r:id="rId3" name="import_data">
              <controlPr defaultSize="0" print="0" autoFill="0" autoPict="0">
                <anchor moveWithCells="1" sizeWithCells="1">
                  <from>
                    <xdr:col>10</xdr:col>
                    <xdr:colOff>76200</xdr:colOff>
                    <xdr:row>2</xdr:row>
                    <xdr:rowOff>38100</xdr:rowOff>
                  </from>
                  <to>
                    <xdr:col>12</xdr:col>
                    <xdr:colOff>1206500</xdr:colOff>
                    <xdr:row>3</xdr:row>
                    <xdr:rowOff>0</xdr:rowOff>
                  </to>
                </anchor>
              </controlPr>
            </control>
          </mc:Choice>
        </mc:AlternateContent>
        <mc:AlternateContent xmlns:mc="http://schemas.openxmlformats.org/markup-compatibility/2006">
          <mc:Choice Requires="x14">
            <control shapeId="11282" r:id="rId4" name="export_data">
              <controlPr defaultSize="0" print="0" autoFill="0" autoPict="0">
                <anchor moveWithCells="1" sizeWithCells="1">
                  <from>
                    <xdr:col>10</xdr:col>
                    <xdr:colOff>114300</xdr:colOff>
                    <xdr:row>4</xdr:row>
                    <xdr:rowOff>228600</xdr:rowOff>
                  </from>
                  <to>
                    <xdr:col>12</xdr:col>
                    <xdr:colOff>1244600</xdr:colOff>
                    <xdr:row>4</xdr:row>
                    <xdr:rowOff>444500</xdr:rowOff>
                  </to>
                </anchor>
              </controlPr>
            </control>
          </mc:Choice>
        </mc:AlternateContent>
        <mc:AlternateContent xmlns:mc="http://schemas.openxmlformats.org/markup-compatibility/2006">
          <mc:Choice Requires="x14">
            <control shapeId="11283" r:id="rId5" name="select_dashboard">
              <controlPr defaultSize="0" print="0" autoFill="0" autoPict="0">
                <anchor moveWithCells="1" sizeWithCells="1">
                  <from>
                    <xdr:col>10</xdr:col>
                    <xdr:colOff>2247900</xdr:colOff>
                    <xdr:row>3</xdr:row>
                    <xdr:rowOff>88900</xdr:rowOff>
                  </from>
                  <to>
                    <xdr:col>12</xdr:col>
                    <xdr:colOff>1219200</xdr:colOff>
                    <xdr:row>4</xdr:row>
                    <xdr:rowOff>114300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B2:BO101"/>
  <sheetViews>
    <sheetView workbookViewId="0">
      <pane xSplit="2" ySplit="7" topLeftCell="AQ27" activePane="bottomRight" state="frozen"/>
      <selection pane="topRight" activeCell="C1" sqref="C1"/>
      <selection pane="bottomLeft" activeCell="A9" sqref="A9"/>
      <selection pane="bottomRight"/>
    </sheetView>
  </sheetViews>
  <sheetFormatPr baseColWidth="10" defaultRowHeight="16" x14ac:dyDescent="0.2"/>
  <cols>
    <col min="1" max="1" width="10.83203125" style="1"/>
    <col min="2" max="2" width="53.83203125" style="1" bestFit="1" customWidth="1"/>
    <col min="3" max="67" width="13.6640625" style="1" customWidth="1"/>
    <col min="68" max="16384" width="10.83203125" style="1"/>
  </cols>
  <sheetData>
    <row r="2" spans="2:67" ht="21" x14ac:dyDescent="0.25">
      <c r="B2" s="2" t="s">
        <v>453</v>
      </c>
    </row>
    <row r="3" spans="2:67" ht="15" customHeight="1" x14ac:dyDescent="0.25">
      <c r="B3" s="2"/>
    </row>
    <row r="4" spans="2:67" ht="15" customHeight="1" x14ac:dyDescent="0.2">
      <c r="B4" s="129" t="s">
        <v>94</v>
      </c>
      <c r="C4" s="8"/>
      <c r="D4" s="8"/>
      <c r="E4" s="8"/>
      <c r="F4" s="8"/>
      <c r="G4" s="8"/>
      <c r="H4" s="8"/>
    </row>
    <row r="5" spans="2:67" ht="60" customHeight="1" x14ac:dyDescent="0.2">
      <c r="B5" s="200" t="s">
        <v>329</v>
      </c>
      <c r="C5" s="199"/>
      <c r="D5" s="199"/>
      <c r="E5" s="199"/>
      <c r="F5" s="199"/>
      <c r="G5" s="199"/>
      <c r="H5" s="199"/>
    </row>
    <row r="6" spans="2:67" ht="15" customHeight="1" thickBot="1" x14ac:dyDescent="0.25"/>
    <row r="7" spans="2:67" ht="30" customHeight="1" x14ac:dyDescent="0.2">
      <c r="B7" s="77" t="s">
        <v>138</v>
      </c>
      <c r="C7" s="78" t="s">
        <v>40</v>
      </c>
      <c r="D7" s="78" t="s">
        <v>41</v>
      </c>
      <c r="E7" s="78" t="s">
        <v>42</v>
      </c>
      <c r="F7" s="78" t="s">
        <v>43</v>
      </c>
      <c r="G7" s="78" t="s">
        <v>44</v>
      </c>
      <c r="H7" s="78" t="s">
        <v>45</v>
      </c>
      <c r="I7" s="78" t="s">
        <v>56</v>
      </c>
      <c r="J7" s="78" t="s">
        <v>47</v>
      </c>
      <c r="K7" s="78" t="s">
        <v>48</v>
      </c>
      <c r="L7" s="78" t="s">
        <v>49</v>
      </c>
      <c r="M7" s="78" t="s">
        <v>50</v>
      </c>
      <c r="N7" s="78" t="s">
        <v>51</v>
      </c>
      <c r="O7" s="78" t="s">
        <v>52</v>
      </c>
      <c r="P7" s="78" t="s">
        <v>53</v>
      </c>
      <c r="Q7" s="78" t="s">
        <v>54</v>
      </c>
      <c r="R7" s="78" t="s">
        <v>55</v>
      </c>
      <c r="S7" s="78" t="s">
        <v>46</v>
      </c>
      <c r="T7" s="78" t="s">
        <v>139</v>
      </c>
      <c r="U7" s="78" t="s">
        <v>57</v>
      </c>
      <c r="V7" s="78" t="s">
        <v>58</v>
      </c>
      <c r="W7" s="78" t="s">
        <v>59</v>
      </c>
      <c r="X7" s="78" t="s">
        <v>60</v>
      </c>
      <c r="Y7" s="78" t="s">
        <v>61</v>
      </c>
      <c r="Z7" s="78" t="s">
        <v>62</v>
      </c>
      <c r="AA7" s="78" t="s">
        <v>63</v>
      </c>
      <c r="AB7" s="78" t="s">
        <v>64</v>
      </c>
      <c r="AC7" s="78" t="s">
        <v>65</v>
      </c>
      <c r="AD7" s="78" t="s">
        <v>66</v>
      </c>
      <c r="AE7" s="78" t="s">
        <v>67</v>
      </c>
      <c r="AF7" s="78" t="s">
        <v>68</v>
      </c>
      <c r="AG7" s="78" t="s">
        <v>69</v>
      </c>
      <c r="AH7" s="78" t="s">
        <v>70</v>
      </c>
      <c r="AI7" s="78" t="s">
        <v>71</v>
      </c>
      <c r="AJ7" s="78" t="s">
        <v>72</v>
      </c>
      <c r="AK7" s="78" t="s">
        <v>73</v>
      </c>
      <c r="AL7" s="78" t="s">
        <v>74</v>
      </c>
      <c r="AM7" s="78" t="s">
        <v>75</v>
      </c>
      <c r="AN7" s="78" t="s">
        <v>76</v>
      </c>
      <c r="AO7" s="78" t="s">
        <v>77</v>
      </c>
      <c r="AP7" s="78" t="s">
        <v>78</v>
      </c>
      <c r="AQ7" s="78" t="s">
        <v>79</v>
      </c>
      <c r="AR7" s="78" t="s">
        <v>81</v>
      </c>
      <c r="AS7" s="78" t="s">
        <v>80</v>
      </c>
      <c r="AT7" s="78" t="s">
        <v>82</v>
      </c>
      <c r="AU7" s="78" t="s">
        <v>87</v>
      </c>
      <c r="AV7" s="78" t="s">
        <v>83</v>
      </c>
      <c r="AW7" s="78" t="s">
        <v>84</v>
      </c>
      <c r="AX7" s="78" t="s">
        <v>85</v>
      </c>
      <c r="AY7" s="78" t="s">
        <v>86</v>
      </c>
      <c r="AZ7" s="78" t="s">
        <v>88</v>
      </c>
      <c r="BA7" s="78" t="s">
        <v>140</v>
      </c>
      <c r="BB7" s="78" t="s">
        <v>141</v>
      </c>
      <c r="BC7" s="78" t="s">
        <v>142</v>
      </c>
      <c r="BD7" s="78" t="s">
        <v>143</v>
      </c>
      <c r="BE7" s="78" t="s">
        <v>144</v>
      </c>
      <c r="BF7" s="78" t="s">
        <v>145</v>
      </c>
      <c r="BG7" s="78" t="s">
        <v>146</v>
      </c>
      <c r="BH7" s="78" t="s">
        <v>147</v>
      </c>
      <c r="BI7" s="78" t="s">
        <v>148</v>
      </c>
      <c r="BJ7" s="78" t="s">
        <v>149</v>
      </c>
      <c r="BK7" s="78" t="s">
        <v>32</v>
      </c>
      <c r="BL7" s="78" t="s">
        <v>150</v>
      </c>
      <c r="BM7" s="78" t="s">
        <v>151</v>
      </c>
      <c r="BN7" s="79" t="s">
        <v>136</v>
      </c>
      <c r="BO7" s="80" t="s">
        <v>152</v>
      </c>
    </row>
    <row r="8" spans="2:67" x14ac:dyDescent="0.2">
      <c r="B8" s="81" t="s">
        <v>153</v>
      </c>
      <c r="C8" s="82"/>
      <c r="D8" s="82"/>
      <c r="E8" s="82"/>
      <c r="F8" s="82"/>
      <c r="G8" s="82"/>
      <c r="H8" s="82"/>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c r="BN8" s="61"/>
      <c r="BO8" s="83"/>
    </row>
    <row r="9" spans="2:67" x14ac:dyDescent="0.2">
      <c r="B9" s="84" t="s">
        <v>154</v>
      </c>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62"/>
      <c r="BO9" s="42"/>
    </row>
    <row r="10" spans="2:67" x14ac:dyDescent="0.2">
      <c r="B10" s="84" t="s">
        <v>155</v>
      </c>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62"/>
      <c r="BO10" s="42"/>
    </row>
    <row r="11" spans="2:67" x14ac:dyDescent="0.2">
      <c r="B11" s="84" t="s">
        <v>156</v>
      </c>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62"/>
      <c r="BO11" s="42"/>
    </row>
    <row r="12" spans="2:67" x14ac:dyDescent="0.2">
      <c r="B12" s="84" t="s">
        <v>157</v>
      </c>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62"/>
      <c r="BO12" s="42"/>
    </row>
    <row r="13" spans="2:67" x14ac:dyDescent="0.2">
      <c r="B13" s="84" t="s">
        <v>158</v>
      </c>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62"/>
      <c r="BO13" s="42"/>
    </row>
    <row r="14" spans="2:67" ht="17" thickBot="1" x14ac:dyDescent="0.25">
      <c r="B14" s="84" t="s">
        <v>159</v>
      </c>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62"/>
      <c r="BO14" s="42"/>
    </row>
    <row r="15" spans="2:67" ht="17" thickBot="1" x14ac:dyDescent="0.25">
      <c r="B15" s="85" t="s">
        <v>160</v>
      </c>
      <c r="C15" s="86"/>
      <c r="D15" s="86"/>
      <c r="E15" s="86"/>
      <c r="F15" s="86"/>
      <c r="G15" s="86"/>
      <c r="H15" s="86"/>
      <c r="I15" s="86"/>
      <c r="J15" s="86"/>
      <c r="K15" s="86"/>
      <c r="L15" s="86"/>
      <c r="M15" s="86"/>
      <c r="N15" s="86"/>
      <c r="O15" s="86"/>
      <c r="P15" s="86"/>
      <c r="Q15" s="86"/>
      <c r="R15" s="86"/>
      <c r="S15" s="86"/>
      <c r="T15" s="86"/>
      <c r="U15" s="86"/>
      <c r="V15" s="86"/>
      <c r="W15" s="86"/>
      <c r="X15" s="204"/>
      <c r="Y15" s="86"/>
      <c r="Z15" s="86"/>
      <c r="AA15" s="86"/>
      <c r="AB15" s="86"/>
      <c r="AC15" s="86"/>
      <c r="AD15" s="86"/>
      <c r="AE15" s="86"/>
      <c r="AF15" s="86"/>
      <c r="AG15" s="86"/>
      <c r="AH15" s="86"/>
      <c r="AI15" s="86"/>
      <c r="AJ15" s="86"/>
      <c r="AK15" s="86"/>
      <c r="AL15" s="8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7"/>
      <c r="BO15" s="88"/>
    </row>
    <row r="16" spans="2:67" x14ac:dyDescent="0.2">
      <c r="B16" s="84" t="s">
        <v>161</v>
      </c>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62"/>
      <c r="BO16" s="42"/>
    </row>
    <row r="17" spans="2:67" ht="17" thickBot="1" x14ac:dyDescent="0.25">
      <c r="B17" s="84" t="s">
        <v>162</v>
      </c>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62"/>
      <c r="BO17" s="42"/>
    </row>
    <row r="18" spans="2:67" ht="17" thickBot="1" x14ac:dyDescent="0.25">
      <c r="B18" s="85" t="s">
        <v>163</v>
      </c>
      <c r="C18" s="86"/>
      <c r="D18" s="86"/>
      <c r="E18" s="86"/>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c r="BH18" s="86"/>
      <c r="BI18" s="86"/>
      <c r="BJ18" s="86"/>
      <c r="BK18" s="86"/>
      <c r="BL18" s="86"/>
      <c r="BM18" s="86"/>
      <c r="BN18" s="87"/>
      <c r="BO18" s="88"/>
    </row>
    <row r="19" spans="2:67" x14ac:dyDescent="0.2">
      <c r="B19" s="84" t="s">
        <v>164</v>
      </c>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62"/>
      <c r="BO19" s="42"/>
    </row>
    <row r="20" spans="2:67" x14ac:dyDescent="0.2">
      <c r="B20" s="84" t="s">
        <v>165</v>
      </c>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62"/>
      <c r="BO20" s="42"/>
    </row>
    <row r="21" spans="2:67" x14ac:dyDescent="0.2">
      <c r="B21" s="84" t="s">
        <v>166</v>
      </c>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62"/>
      <c r="BO21" s="42"/>
    </row>
    <row r="22" spans="2:67" x14ac:dyDescent="0.2">
      <c r="B22" s="84" t="s">
        <v>167</v>
      </c>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62"/>
      <c r="BO22" s="42"/>
    </row>
    <row r="23" spans="2:67" x14ac:dyDescent="0.2">
      <c r="B23" s="84" t="s">
        <v>168</v>
      </c>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62"/>
      <c r="BO23" s="42"/>
    </row>
    <row r="24" spans="2:67" x14ac:dyDescent="0.2">
      <c r="B24" s="89" t="s">
        <v>169</v>
      </c>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90"/>
      <c r="BO24" s="46"/>
    </row>
    <row r="25" spans="2:67" x14ac:dyDescent="0.2">
      <c r="B25" s="84" t="s">
        <v>170</v>
      </c>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62"/>
      <c r="BO25" s="42"/>
    </row>
    <row r="26" spans="2:67" x14ac:dyDescent="0.2">
      <c r="B26" s="84" t="s">
        <v>171</v>
      </c>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62"/>
      <c r="BO26" s="42"/>
    </row>
    <row r="27" spans="2:67" x14ac:dyDescent="0.2">
      <c r="B27" s="84" t="s">
        <v>172</v>
      </c>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62"/>
      <c r="BO27" s="42"/>
    </row>
    <row r="28" spans="2:67" x14ac:dyDescent="0.2">
      <c r="B28" s="84" t="s">
        <v>352</v>
      </c>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62"/>
      <c r="BO28" s="42"/>
    </row>
    <row r="29" spans="2:67" x14ac:dyDescent="0.2">
      <c r="B29" s="84" t="s">
        <v>353</v>
      </c>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62"/>
      <c r="BO29" s="42"/>
    </row>
    <row r="30" spans="2:67" x14ac:dyDescent="0.2">
      <c r="B30" s="84" t="s">
        <v>354</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62"/>
      <c r="BO30" s="42"/>
    </row>
    <row r="31" spans="2:67" x14ac:dyDescent="0.2">
      <c r="B31" s="84" t="s">
        <v>355</v>
      </c>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62"/>
      <c r="BO31" s="42"/>
    </row>
    <row r="32" spans="2:67" x14ac:dyDescent="0.2">
      <c r="B32" s="84" t="s">
        <v>356</v>
      </c>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62"/>
      <c r="BO32" s="42"/>
    </row>
    <row r="33" spans="2:67" x14ac:dyDescent="0.2">
      <c r="B33" s="84" t="s">
        <v>357</v>
      </c>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62"/>
      <c r="BO33" s="42"/>
    </row>
    <row r="34" spans="2:67" x14ac:dyDescent="0.2">
      <c r="B34" s="84" t="s">
        <v>173</v>
      </c>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62"/>
      <c r="BO34" s="42"/>
    </row>
    <row r="35" spans="2:67" x14ac:dyDescent="0.2">
      <c r="B35" s="84" t="s">
        <v>358</v>
      </c>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62"/>
      <c r="BO35" s="42"/>
    </row>
    <row r="36" spans="2:67" x14ac:dyDescent="0.2">
      <c r="B36" s="84" t="s">
        <v>359</v>
      </c>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62"/>
      <c r="BO36" s="42"/>
    </row>
    <row r="37" spans="2:67" x14ac:dyDescent="0.2">
      <c r="B37" s="84" t="s">
        <v>174</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62"/>
      <c r="BO37" s="42"/>
    </row>
    <row r="38" spans="2:67" x14ac:dyDescent="0.2">
      <c r="B38" s="84" t="s">
        <v>175</v>
      </c>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62"/>
      <c r="BO38" s="42"/>
    </row>
    <row r="39" spans="2:67" ht="17" thickBot="1" x14ac:dyDescent="0.25">
      <c r="B39" s="84" t="s">
        <v>176</v>
      </c>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62"/>
      <c r="BO39" s="42"/>
    </row>
    <row r="40" spans="2:67" ht="17" thickBot="1" x14ac:dyDescent="0.25">
      <c r="B40" s="85" t="s">
        <v>177</v>
      </c>
      <c r="C40" s="86"/>
      <c r="D40" s="86"/>
      <c r="E40" s="86"/>
      <c r="F40" s="86"/>
      <c r="G40" s="86"/>
      <c r="H40" s="86"/>
      <c r="I40" s="86"/>
      <c r="J40" s="86"/>
      <c r="K40" s="86"/>
      <c r="L40" s="86"/>
      <c r="M40" s="86"/>
      <c r="N40" s="86"/>
      <c r="O40" s="86"/>
      <c r="P40" s="86"/>
      <c r="Q40" s="86"/>
      <c r="R40" s="86"/>
      <c r="S40" s="86"/>
      <c r="T40" s="86"/>
      <c r="U40" s="86"/>
      <c r="V40" s="86"/>
      <c r="W40" s="86"/>
      <c r="X40" s="86"/>
      <c r="Y40" s="86"/>
      <c r="Z40" s="86"/>
      <c r="AA40" s="86"/>
      <c r="AB40" s="86"/>
      <c r="AC40" s="86"/>
      <c r="AD40" s="86"/>
      <c r="AE40" s="86"/>
      <c r="AF40" s="86"/>
      <c r="AG40" s="86"/>
      <c r="AH40" s="86"/>
      <c r="AI40" s="86"/>
      <c r="AJ40" s="86"/>
      <c r="AK40" s="86"/>
      <c r="AL40" s="86"/>
      <c r="AM40" s="86"/>
      <c r="AN40" s="86"/>
      <c r="AO40" s="86"/>
      <c r="AP40" s="86"/>
      <c r="AQ40" s="86"/>
      <c r="AR40" s="86"/>
      <c r="AS40" s="86"/>
      <c r="AT40" s="86"/>
      <c r="AU40" s="86"/>
      <c r="AV40" s="86"/>
      <c r="AW40" s="86"/>
      <c r="AX40" s="86"/>
      <c r="AY40" s="86"/>
      <c r="AZ40" s="86"/>
      <c r="BA40" s="86"/>
      <c r="BB40" s="86"/>
      <c r="BC40" s="86"/>
      <c r="BD40" s="86"/>
      <c r="BE40" s="86"/>
      <c r="BF40" s="86"/>
      <c r="BG40" s="86"/>
      <c r="BH40" s="86"/>
      <c r="BI40" s="86"/>
      <c r="BJ40" s="86"/>
      <c r="BK40" s="86"/>
      <c r="BL40" s="86"/>
      <c r="BM40" s="86"/>
      <c r="BN40" s="87"/>
      <c r="BO40" s="88"/>
    </row>
    <row r="41" spans="2:67" x14ac:dyDescent="0.2">
      <c r="B41" s="84" t="s">
        <v>178</v>
      </c>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62"/>
      <c r="BO41" s="42"/>
    </row>
    <row r="42" spans="2:67" x14ac:dyDescent="0.2">
      <c r="B42" s="84" t="s">
        <v>179</v>
      </c>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62"/>
      <c r="BO42" s="42"/>
    </row>
    <row r="43" spans="2:67" x14ac:dyDescent="0.2">
      <c r="B43" s="84" t="s">
        <v>360</v>
      </c>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62"/>
      <c r="BO43" s="42"/>
    </row>
    <row r="44" spans="2:67" x14ac:dyDescent="0.2">
      <c r="B44" s="84" t="s">
        <v>361</v>
      </c>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62"/>
      <c r="BO44" s="42"/>
    </row>
    <row r="45" spans="2:67" x14ac:dyDescent="0.2">
      <c r="B45" s="84" t="s">
        <v>180</v>
      </c>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62"/>
      <c r="BO45" s="42"/>
    </row>
    <row r="46" spans="2:67" x14ac:dyDescent="0.2">
      <c r="B46" s="84" t="s">
        <v>362</v>
      </c>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62"/>
      <c r="BO46" s="42"/>
    </row>
    <row r="47" spans="2:67" x14ac:dyDescent="0.2">
      <c r="B47" s="84" t="s">
        <v>363</v>
      </c>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62"/>
      <c r="BO47" s="42"/>
    </row>
    <row r="48" spans="2:67" x14ac:dyDescent="0.2">
      <c r="B48" s="84" t="s">
        <v>364</v>
      </c>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62"/>
      <c r="BO48" s="42"/>
    </row>
    <row r="49" spans="2:67" x14ac:dyDescent="0.2">
      <c r="B49" s="84" t="s">
        <v>365</v>
      </c>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62"/>
      <c r="BO49" s="42"/>
    </row>
    <row r="50" spans="2:67" x14ac:dyDescent="0.2">
      <c r="B50" s="84" t="s">
        <v>366</v>
      </c>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62"/>
      <c r="BO50" s="42"/>
    </row>
    <row r="51" spans="2:67" x14ac:dyDescent="0.2">
      <c r="B51" s="84" t="s">
        <v>181</v>
      </c>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62"/>
      <c r="BO51" s="42"/>
    </row>
    <row r="52" spans="2:67" x14ac:dyDescent="0.2">
      <c r="B52" s="84" t="s">
        <v>367</v>
      </c>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62"/>
      <c r="BO52" s="42"/>
    </row>
    <row r="53" spans="2:67" x14ac:dyDescent="0.2">
      <c r="B53" s="84" t="s">
        <v>182</v>
      </c>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62"/>
      <c r="BO53" s="42"/>
    </row>
    <row r="54" spans="2:67" x14ac:dyDescent="0.2">
      <c r="B54" s="84" t="s">
        <v>183</v>
      </c>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62"/>
      <c r="BO54" s="42"/>
    </row>
    <row r="55" spans="2:67" x14ac:dyDescent="0.2">
      <c r="B55" s="84" t="s">
        <v>184</v>
      </c>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62"/>
      <c r="BO55" s="42"/>
    </row>
    <row r="56" spans="2:67" x14ac:dyDescent="0.2">
      <c r="B56" s="84" t="s">
        <v>175</v>
      </c>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62"/>
      <c r="BO56" s="42"/>
    </row>
    <row r="57" spans="2:67" x14ac:dyDescent="0.2">
      <c r="B57" s="84" t="s">
        <v>185</v>
      </c>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62"/>
      <c r="BO57" s="42"/>
    </row>
    <row r="58" spans="2:67" ht="17" thickBot="1" x14ac:dyDescent="0.25">
      <c r="B58" s="84" t="s">
        <v>186</v>
      </c>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62"/>
      <c r="BO58" s="42"/>
    </row>
    <row r="59" spans="2:67" ht="17" thickBot="1" x14ac:dyDescent="0.25">
      <c r="B59" s="85" t="s">
        <v>187</v>
      </c>
      <c r="C59" s="86"/>
      <c r="D59" s="86"/>
      <c r="E59" s="86"/>
      <c r="F59" s="86"/>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7"/>
      <c r="BO59" s="88"/>
    </row>
    <row r="60" spans="2:67" ht="17" thickBot="1" x14ac:dyDescent="0.25">
      <c r="B60" s="85" t="s">
        <v>31</v>
      </c>
      <c r="C60" s="86"/>
      <c r="D60" s="86"/>
      <c r="E60" s="86"/>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c r="BH60" s="86"/>
      <c r="BI60" s="86"/>
      <c r="BJ60" s="86"/>
      <c r="BK60" s="86"/>
      <c r="BL60" s="86"/>
      <c r="BM60" s="86"/>
      <c r="BN60" s="87"/>
      <c r="BO60" s="88"/>
    </row>
    <row r="61" spans="2:67" x14ac:dyDescent="0.2">
      <c r="B61" s="84" t="s">
        <v>188</v>
      </c>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62"/>
      <c r="BO61" s="42"/>
    </row>
    <row r="62" spans="2:67" x14ac:dyDescent="0.2">
      <c r="B62" s="84" t="s">
        <v>189</v>
      </c>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62"/>
      <c r="BO62" s="42"/>
    </row>
    <row r="63" spans="2:67" x14ac:dyDescent="0.2">
      <c r="B63" s="84" t="s">
        <v>190</v>
      </c>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62"/>
      <c r="BO63" s="42"/>
    </row>
    <row r="64" spans="2:67" x14ac:dyDescent="0.2">
      <c r="B64" s="84" t="s">
        <v>191</v>
      </c>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62"/>
      <c r="BO64" s="42"/>
    </row>
    <row r="65" spans="2:67" x14ac:dyDescent="0.2">
      <c r="B65" s="84" t="s">
        <v>192</v>
      </c>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62"/>
      <c r="BO65" s="42"/>
    </row>
    <row r="66" spans="2:67" x14ac:dyDescent="0.2">
      <c r="B66" s="84" t="s">
        <v>193</v>
      </c>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62"/>
      <c r="BO66" s="42"/>
    </row>
    <row r="67" spans="2:67" x14ac:dyDescent="0.2">
      <c r="B67" s="84" t="s">
        <v>194</v>
      </c>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62"/>
      <c r="BO67" s="42"/>
    </row>
    <row r="68" spans="2:67" x14ac:dyDescent="0.2">
      <c r="B68" s="84" t="s">
        <v>195</v>
      </c>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62"/>
      <c r="BO68" s="42"/>
    </row>
    <row r="69" spans="2:67" x14ac:dyDescent="0.2">
      <c r="B69" s="84" t="s">
        <v>196</v>
      </c>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62"/>
      <c r="BO69" s="42"/>
    </row>
    <row r="70" spans="2:67" x14ac:dyDescent="0.2">
      <c r="B70" s="84" t="s">
        <v>197</v>
      </c>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62"/>
      <c r="BO70" s="42"/>
    </row>
    <row r="71" spans="2:67" x14ac:dyDescent="0.2">
      <c r="B71" s="84" t="s">
        <v>198</v>
      </c>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62"/>
      <c r="BO71" s="42"/>
    </row>
    <row r="72" spans="2:67" x14ac:dyDescent="0.2">
      <c r="B72" s="84" t="s">
        <v>199</v>
      </c>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62"/>
      <c r="BO72" s="42"/>
    </row>
    <row r="73" spans="2:67" ht="17" thickBot="1" x14ac:dyDescent="0.25">
      <c r="B73" s="84" t="s">
        <v>200</v>
      </c>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62"/>
      <c r="BO73" s="42"/>
    </row>
    <row r="74" spans="2:67" ht="17" thickBot="1" x14ac:dyDescent="0.25">
      <c r="B74" s="85" t="s">
        <v>201</v>
      </c>
      <c r="C74" s="86"/>
      <c r="D74" s="86"/>
      <c r="E74" s="86"/>
      <c r="F74" s="86"/>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7"/>
      <c r="BO74" s="88"/>
    </row>
    <row r="75" spans="2:67" x14ac:dyDescent="0.2">
      <c r="B75" s="84" t="s">
        <v>202</v>
      </c>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62"/>
      <c r="BO75" s="42"/>
    </row>
    <row r="76" spans="2:67" x14ac:dyDescent="0.2">
      <c r="B76" s="84" t="s">
        <v>203</v>
      </c>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62"/>
      <c r="BO76" s="42"/>
    </row>
    <row r="77" spans="2:67" x14ac:dyDescent="0.2">
      <c r="B77" s="84" t="s">
        <v>204</v>
      </c>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62"/>
      <c r="BO77" s="42"/>
    </row>
    <row r="78" spans="2:67" x14ac:dyDescent="0.2">
      <c r="B78" s="84" t="s">
        <v>205</v>
      </c>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62"/>
      <c r="BO78" s="42"/>
    </row>
    <row r="79" spans="2:67" x14ac:dyDescent="0.2">
      <c r="B79" s="84" t="s">
        <v>206</v>
      </c>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62"/>
      <c r="BO79" s="42"/>
    </row>
    <row r="80" spans="2:67" ht="17" thickBot="1" x14ac:dyDescent="0.25">
      <c r="B80" s="84" t="s">
        <v>207</v>
      </c>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62"/>
      <c r="BO80" s="42"/>
    </row>
    <row r="81" spans="2:67" ht="17" thickBot="1" x14ac:dyDescent="0.25">
      <c r="B81" s="85" t="s">
        <v>93</v>
      </c>
      <c r="C81" s="86"/>
      <c r="D81" s="86"/>
      <c r="E81" s="86"/>
      <c r="F81" s="86"/>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7"/>
      <c r="BO81" s="88"/>
    </row>
    <row r="82" spans="2:67" x14ac:dyDescent="0.2">
      <c r="B82" s="84" t="s">
        <v>208</v>
      </c>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62"/>
      <c r="BO82" s="42"/>
    </row>
    <row r="83" spans="2:67" x14ac:dyDescent="0.2">
      <c r="B83" s="84" t="s">
        <v>209</v>
      </c>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row>
    <row r="84" spans="2:67" x14ac:dyDescent="0.2">
      <c r="B84" s="84" t="s">
        <v>210</v>
      </c>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62"/>
      <c r="BO84" s="42"/>
    </row>
    <row r="85" spans="2:67" x14ac:dyDescent="0.2">
      <c r="B85" s="84" t="s">
        <v>211</v>
      </c>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62"/>
      <c r="BO85" s="42"/>
    </row>
    <row r="86" spans="2:67" ht="17" thickBot="1" x14ac:dyDescent="0.25">
      <c r="B86" s="84" t="s">
        <v>212</v>
      </c>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62"/>
      <c r="BO86" s="42"/>
    </row>
    <row r="87" spans="2:67" ht="17" thickBot="1" x14ac:dyDescent="0.25">
      <c r="B87" s="85" t="s">
        <v>213</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7"/>
      <c r="BO87" s="88"/>
    </row>
    <row r="88" spans="2:67" x14ac:dyDescent="0.2">
      <c r="B88" s="84" t="s">
        <v>214</v>
      </c>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62"/>
      <c r="BO88" s="42"/>
    </row>
    <row r="89" spans="2:67" x14ac:dyDescent="0.2">
      <c r="B89" s="84" t="s">
        <v>215</v>
      </c>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62"/>
      <c r="BO89" s="42"/>
    </row>
    <row r="90" spans="2:67" x14ac:dyDescent="0.2">
      <c r="B90" s="84" t="s">
        <v>216</v>
      </c>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62"/>
      <c r="BO90" s="42"/>
    </row>
    <row r="91" spans="2:67" ht="17" thickBot="1" x14ac:dyDescent="0.25">
      <c r="B91" s="84" t="s">
        <v>217</v>
      </c>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62"/>
      <c r="BO91" s="42"/>
    </row>
    <row r="92" spans="2:67" ht="17" thickBot="1" x14ac:dyDescent="0.25">
      <c r="B92" s="85" t="s">
        <v>218</v>
      </c>
      <c r="C92" s="86"/>
      <c r="D92" s="86"/>
      <c r="E92" s="86"/>
      <c r="F92" s="86"/>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c r="BA92" s="86"/>
      <c r="BB92" s="86"/>
      <c r="BC92" s="86"/>
      <c r="BD92" s="86"/>
      <c r="BE92" s="86"/>
      <c r="BF92" s="86"/>
      <c r="BG92" s="86"/>
      <c r="BH92" s="86"/>
      <c r="BI92" s="86"/>
      <c r="BJ92" s="86"/>
      <c r="BK92" s="86"/>
      <c r="BL92" s="86"/>
      <c r="BM92" s="86"/>
      <c r="BN92" s="87"/>
      <c r="BO92" s="88"/>
    </row>
    <row r="93" spans="2:67" x14ac:dyDescent="0.2">
      <c r="B93" s="84" t="s">
        <v>219</v>
      </c>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62"/>
      <c r="BO93" s="42"/>
    </row>
    <row r="94" spans="2:67" x14ac:dyDescent="0.2">
      <c r="B94" s="84" t="s">
        <v>220</v>
      </c>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62"/>
      <c r="BO94" s="42"/>
    </row>
    <row r="95" spans="2:67" x14ac:dyDescent="0.2">
      <c r="B95" s="84" t="s">
        <v>221</v>
      </c>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62"/>
      <c r="BO95" s="42"/>
    </row>
    <row r="96" spans="2:67" ht="17" thickBot="1" x14ac:dyDescent="0.25">
      <c r="B96" s="84" t="s">
        <v>222</v>
      </c>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62"/>
      <c r="BO96" s="42"/>
    </row>
    <row r="97" spans="2:67" ht="17" thickBot="1" x14ac:dyDescent="0.25">
      <c r="B97" s="85" t="s">
        <v>223</v>
      </c>
      <c r="C97" s="86"/>
      <c r="D97" s="86"/>
      <c r="E97" s="86"/>
      <c r="F97" s="86"/>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7"/>
      <c r="BO97" s="88"/>
    </row>
    <row r="98" spans="2:67" x14ac:dyDescent="0.2">
      <c r="B98" s="84" t="s">
        <v>224</v>
      </c>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62"/>
      <c r="BO98" s="42"/>
    </row>
    <row r="99" spans="2:67" x14ac:dyDescent="0.2">
      <c r="B99" s="84" t="s">
        <v>225</v>
      </c>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62"/>
      <c r="BO99" s="42"/>
    </row>
    <row r="100" spans="2:67" x14ac:dyDescent="0.2">
      <c r="B100" s="84" t="s">
        <v>226</v>
      </c>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62"/>
      <c r="BO100" s="42"/>
    </row>
    <row r="101" spans="2:67" ht="17" thickBot="1" x14ac:dyDescent="0.25">
      <c r="B101" s="91" t="s">
        <v>227</v>
      </c>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48"/>
      <c r="AT101" s="48"/>
      <c r="AU101" s="48"/>
      <c r="AV101" s="48"/>
      <c r="AW101" s="48"/>
      <c r="AX101" s="48"/>
      <c r="AY101" s="48"/>
      <c r="AZ101" s="48"/>
      <c r="BA101" s="48"/>
      <c r="BB101" s="48"/>
      <c r="BC101" s="48"/>
      <c r="BD101" s="48"/>
      <c r="BE101" s="48"/>
      <c r="BF101" s="48"/>
      <c r="BG101" s="48"/>
      <c r="BH101" s="48"/>
      <c r="BI101" s="48"/>
      <c r="BJ101" s="48"/>
      <c r="BK101" s="48"/>
      <c r="BL101" s="48"/>
      <c r="BM101" s="48"/>
      <c r="BN101" s="92"/>
      <c r="BO101" s="51"/>
    </row>
  </sheetData>
  <pageMargins left="0.75" right="0.75" top="1" bottom="1" header="0.5" footer="0.5"/>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B2:M38"/>
  <sheetViews>
    <sheetView workbookViewId="0"/>
  </sheetViews>
  <sheetFormatPr baseColWidth="10" defaultRowHeight="16" x14ac:dyDescent="0.2"/>
  <cols>
    <col min="1" max="1" width="10.83203125" style="1"/>
    <col min="2" max="2" width="21.6640625" style="1" customWidth="1"/>
    <col min="3" max="3" width="34" style="1" bestFit="1" customWidth="1"/>
    <col min="4" max="4" width="34" style="1" hidden="1" customWidth="1"/>
    <col min="5" max="5" width="72.5" style="1" bestFit="1" customWidth="1"/>
    <col min="6" max="6" width="18.33203125" style="1" bestFit="1" customWidth="1"/>
    <col min="7" max="9" width="16.83203125" style="1" bestFit="1" customWidth="1"/>
    <col min="10" max="10" width="17.1640625" style="1" customWidth="1"/>
    <col min="11" max="11" width="17.1640625" style="1" bestFit="1" customWidth="1"/>
    <col min="12" max="12" width="16.6640625" style="153" bestFit="1" customWidth="1"/>
    <col min="13" max="13" width="20.83203125" style="1" bestFit="1" customWidth="1"/>
    <col min="14" max="16384" width="10.83203125" style="1"/>
  </cols>
  <sheetData>
    <row r="2" spans="2:13" ht="21" x14ac:dyDescent="0.25">
      <c r="B2" s="67" t="s">
        <v>237</v>
      </c>
      <c r="C2" s="8"/>
      <c r="D2" s="8"/>
      <c r="E2" s="8"/>
      <c r="F2" s="8"/>
      <c r="G2" s="8"/>
      <c r="H2" s="8"/>
      <c r="I2" s="8"/>
    </row>
    <row r="4" spans="2:13" x14ac:dyDescent="0.2">
      <c r="B4" s="337" t="s">
        <v>94</v>
      </c>
      <c r="C4" s="338"/>
      <c r="D4" s="338"/>
      <c r="E4" s="339"/>
      <c r="F4" s="341"/>
      <c r="G4" s="342"/>
      <c r="H4" s="342"/>
      <c r="I4" s="342"/>
      <c r="J4" s="342"/>
      <c r="K4" s="342"/>
      <c r="L4" s="340"/>
    </row>
    <row r="5" spans="2:13" x14ac:dyDescent="0.2">
      <c r="B5" s="408" t="s">
        <v>564</v>
      </c>
      <c r="C5" s="409"/>
      <c r="D5" s="409"/>
      <c r="E5" s="410"/>
      <c r="F5" s="343"/>
      <c r="G5" s="224"/>
      <c r="H5" s="224"/>
      <c r="I5" s="224"/>
      <c r="J5" s="224"/>
      <c r="K5" s="224"/>
      <c r="L5" s="340"/>
    </row>
    <row r="6" spans="2:13" ht="17" thickBot="1" x14ac:dyDescent="0.25">
      <c r="B6" s="8"/>
      <c r="C6" s="8"/>
      <c r="D6" s="8"/>
      <c r="E6" s="8"/>
      <c r="F6" s="8"/>
      <c r="G6" s="8"/>
      <c r="H6" s="8"/>
      <c r="I6" s="8"/>
    </row>
    <row r="7" spans="2:13" x14ac:dyDescent="0.2">
      <c r="B7" s="324" t="s">
        <v>561</v>
      </c>
      <c r="C7" s="325"/>
      <c r="D7" s="325"/>
      <c r="E7" s="326" t="s">
        <v>562</v>
      </c>
      <c r="F7" s="322" t="s">
        <v>563</v>
      </c>
      <c r="G7" s="321"/>
      <c r="H7" s="322"/>
      <c r="I7" s="327"/>
      <c r="J7" s="328"/>
      <c r="K7" s="329"/>
      <c r="L7" s="333"/>
      <c r="M7" s="258" t="s">
        <v>454</v>
      </c>
    </row>
    <row r="8" spans="2:13" ht="32" x14ac:dyDescent="0.2">
      <c r="B8" s="330" t="s">
        <v>339</v>
      </c>
      <c r="C8" s="298" t="s">
        <v>228</v>
      </c>
      <c r="D8" s="8"/>
      <c r="E8" s="347" t="s">
        <v>416</v>
      </c>
      <c r="F8" s="8" t="s">
        <v>539</v>
      </c>
      <c r="G8" s="8" t="s">
        <v>540</v>
      </c>
      <c r="H8" s="8" t="s">
        <v>540</v>
      </c>
      <c r="I8" s="331" t="s">
        <v>560</v>
      </c>
      <c r="J8" s="334" t="s">
        <v>231</v>
      </c>
      <c r="K8" s="335" t="s">
        <v>230</v>
      </c>
      <c r="L8" s="336" t="s">
        <v>286</v>
      </c>
    </row>
    <row r="9" spans="2:13" ht="15" customHeight="1" x14ac:dyDescent="0.2">
      <c r="B9" s="43"/>
      <c r="C9" s="10"/>
      <c r="D9" s="74"/>
      <c r="E9" s="332"/>
      <c r="F9" s="323" t="s">
        <v>541</v>
      </c>
      <c r="G9" s="323" t="s">
        <v>542</v>
      </c>
      <c r="H9" s="323" t="s">
        <v>559</v>
      </c>
      <c r="I9" s="11" t="s">
        <v>543</v>
      </c>
      <c r="J9" s="20"/>
      <c r="K9" s="10"/>
      <c r="L9" s="295"/>
    </row>
    <row r="10" spans="2:13" x14ac:dyDescent="0.2">
      <c r="B10" s="70"/>
      <c r="C10" s="72"/>
      <c r="D10" s="72"/>
      <c r="E10" s="344"/>
      <c r="F10" s="72"/>
      <c r="G10" s="72"/>
      <c r="H10" s="72"/>
      <c r="I10" s="72"/>
      <c r="J10" s="348"/>
      <c r="K10" s="269"/>
      <c r="L10" s="349"/>
    </row>
    <row r="11" spans="2:13" x14ac:dyDescent="0.2">
      <c r="B11" s="50" t="s">
        <v>91</v>
      </c>
      <c r="C11" s="17" t="s">
        <v>122</v>
      </c>
      <c r="D11" s="17"/>
      <c r="E11" s="345" t="s">
        <v>544</v>
      </c>
      <c r="F11" s="355"/>
      <c r="G11" s="355" t="s">
        <v>568</v>
      </c>
      <c r="H11" s="355" t="s">
        <v>568</v>
      </c>
      <c r="I11" s="355" t="s">
        <v>568</v>
      </c>
      <c r="J11" s="366">
        <f>F11</f>
        <v>0</v>
      </c>
      <c r="K11" s="360"/>
      <c r="L11" s="361">
        <f>J11</f>
        <v>0</v>
      </c>
      <c r="M11" s="258" t="s">
        <v>459</v>
      </c>
    </row>
    <row r="12" spans="2:13" x14ac:dyDescent="0.2">
      <c r="B12" s="73"/>
      <c r="C12" s="17" t="s">
        <v>124</v>
      </c>
      <c r="D12" s="17"/>
      <c r="E12" s="345" t="s">
        <v>545</v>
      </c>
      <c r="F12" s="355"/>
      <c r="G12" s="355"/>
      <c r="H12" s="355" t="s">
        <v>568</v>
      </c>
      <c r="I12" s="355" t="s">
        <v>568</v>
      </c>
      <c r="J12" s="366"/>
      <c r="K12" s="360" t="e">
        <f>1/G12</f>
        <v>#DIV/0!</v>
      </c>
      <c r="L12" s="361" t="e">
        <f>K12</f>
        <v>#DIV/0!</v>
      </c>
      <c r="M12" s="258" t="s">
        <v>462</v>
      </c>
    </row>
    <row r="13" spans="2:13" x14ac:dyDescent="0.2">
      <c r="B13" s="73"/>
      <c r="C13" s="17" t="s">
        <v>123</v>
      </c>
      <c r="D13" s="17"/>
      <c r="E13" s="345" t="s">
        <v>546</v>
      </c>
      <c r="F13" s="355"/>
      <c r="G13" s="355" t="s">
        <v>568</v>
      </c>
      <c r="H13" s="355"/>
      <c r="I13" s="355" t="s">
        <v>568</v>
      </c>
      <c r="J13" s="366"/>
      <c r="K13" s="360" t="e">
        <f>1/H13</f>
        <v>#DIV/0!</v>
      </c>
      <c r="L13" s="361" t="e">
        <f>K13</f>
        <v>#DIV/0!</v>
      </c>
      <c r="M13" s="258" t="s">
        <v>478</v>
      </c>
    </row>
    <row r="14" spans="2:13" x14ac:dyDescent="0.2">
      <c r="B14" s="73"/>
      <c r="C14" s="17" t="s">
        <v>125</v>
      </c>
      <c r="D14" s="17"/>
      <c r="E14" s="345" t="s">
        <v>547</v>
      </c>
      <c r="F14" s="355"/>
      <c r="G14" s="355" t="s">
        <v>568</v>
      </c>
      <c r="H14" s="355" t="s">
        <v>568</v>
      </c>
      <c r="I14" s="355" t="s">
        <v>568</v>
      </c>
      <c r="J14" s="366">
        <f>F14</f>
        <v>0</v>
      </c>
      <c r="K14" s="360"/>
      <c r="L14" s="361">
        <f t="shared" ref="L14" si="0">J14</f>
        <v>0</v>
      </c>
      <c r="M14" s="258" t="s">
        <v>458</v>
      </c>
    </row>
    <row r="15" spans="2:13" x14ac:dyDescent="0.2">
      <c r="B15" s="73"/>
      <c r="C15" s="17" t="s">
        <v>127</v>
      </c>
      <c r="D15" s="17"/>
      <c r="E15" s="345" t="s">
        <v>548</v>
      </c>
      <c r="F15" s="355"/>
      <c r="G15" s="355" t="s">
        <v>568</v>
      </c>
      <c r="H15" s="355" t="s">
        <v>568</v>
      </c>
      <c r="I15" s="355" t="s">
        <v>568</v>
      </c>
      <c r="J15" s="366">
        <f>F15</f>
        <v>0</v>
      </c>
      <c r="K15" s="360"/>
      <c r="L15" s="361">
        <f>J15</f>
        <v>0</v>
      </c>
      <c r="M15" s="258" t="s">
        <v>461</v>
      </c>
    </row>
    <row r="16" spans="2:13" x14ac:dyDescent="0.2">
      <c r="B16" s="73"/>
      <c r="C16" s="17" t="s">
        <v>128</v>
      </c>
      <c r="D16" s="17"/>
      <c r="E16" s="345" t="s">
        <v>549</v>
      </c>
      <c r="F16" s="355"/>
      <c r="G16" s="355" t="s">
        <v>568</v>
      </c>
      <c r="H16" s="355" t="s">
        <v>568</v>
      </c>
      <c r="I16" s="355" t="s">
        <v>568</v>
      </c>
      <c r="J16" s="366">
        <f>F16</f>
        <v>0</v>
      </c>
      <c r="K16" s="360"/>
      <c r="L16" s="361">
        <f>J16</f>
        <v>0</v>
      </c>
      <c r="M16" s="258" t="s">
        <v>460</v>
      </c>
    </row>
    <row r="17" spans="2:13" x14ac:dyDescent="0.2">
      <c r="B17" s="73"/>
      <c r="E17" s="19"/>
      <c r="F17" s="356"/>
      <c r="G17" s="356"/>
      <c r="H17" s="356"/>
      <c r="I17" s="356"/>
      <c r="J17" s="366"/>
      <c r="K17" s="350"/>
      <c r="L17" s="350"/>
      <c r="M17" s="30"/>
    </row>
    <row r="18" spans="2:13" x14ac:dyDescent="0.2">
      <c r="B18" s="73"/>
      <c r="C18" s="17" t="s">
        <v>126</v>
      </c>
      <c r="D18" s="17"/>
      <c r="E18" s="345" t="s">
        <v>550</v>
      </c>
      <c r="F18" s="355"/>
      <c r="G18" s="355" t="s">
        <v>568</v>
      </c>
      <c r="H18" s="355" t="s">
        <v>568</v>
      </c>
      <c r="I18" s="355" t="s">
        <v>568</v>
      </c>
      <c r="J18" s="366">
        <f>F18</f>
        <v>0</v>
      </c>
      <c r="K18" s="360"/>
      <c r="L18" s="361">
        <f>J18</f>
        <v>0</v>
      </c>
      <c r="M18" s="258" t="s">
        <v>455</v>
      </c>
    </row>
    <row r="19" spans="2:13" x14ac:dyDescent="0.2">
      <c r="B19" s="73"/>
      <c r="C19" s="17" t="s">
        <v>129</v>
      </c>
      <c r="D19" s="17"/>
      <c r="E19" s="345" t="s">
        <v>551</v>
      </c>
      <c r="F19" s="355"/>
      <c r="G19" s="355" t="s">
        <v>568</v>
      </c>
      <c r="H19" s="355" t="s">
        <v>568</v>
      </c>
      <c r="I19" s="355" t="s">
        <v>568</v>
      </c>
      <c r="J19" s="366">
        <f>F19</f>
        <v>0</v>
      </c>
      <c r="K19" s="360"/>
      <c r="L19" s="361">
        <f>J19</f>
        <v>0</v>
      </c>
      <c r="M19" s="258" t="s">
        <v>457</v>
      </c>
    </row>
    <row r="20" spans="2:13" x14ac:dyDescent="0.2">
      <c r="B20" s="73"/>
      <c r="C20" s="17" t="s">
        <v>130</v>
      </c>
      <c r="D20" s="17"/>
      <c r="E20" s="345" t="s">
        <v>552</v>
      </c>
      <c r="F20" s="355"/>
      <c r="G20" s="355" t="s">
        <v>568</v>
      </c>
      <c r="H20" s="355" t="s">
        <v>568</v>
      </c>
      <c r="I20" s="355" t="s">
        <v>568</v>
      </c>
      <c r="J20" s="366">
        <f>F20</f>
        <v>0</v>
      </c>
      <c r="K20" s="360"/>
      <c r="L20" s="361">
        <f>J20</f>
        <v>0</v>
      </c>
      <c r="M20" s="258" t="s">
        <v>456</v>
      </c>
    </row>
    <row r="21" spans="2:13" x14ac:dyDescent="0.2">
      <c r="B21" s="30"/>
      <c r="C21" s="8"/>
      <c r="D21" s="8"/>
      <c r="E21" s="19"/>
      <c r="F21" s="357"/>
      <c r="G21" s="357"/>
      <c r="H21" s="357"/>
      <c r="I21" s="357"/>
      <c r="J21" s="366"/>
      <c r="K21" s="360"/>
      <c r="L21" s="361"/>
    </row>
    <row r="22" spans="2:13" x14ac:dyDescent="0.2">
      <c r="B22" s="49" t="s">
        <v>104</v>
      </c>
      <c r="C22" s="4"/>
      <c r="D22" s="4"/>
      <c r="E22" s="303"/>
      <c r="F22" s="358"/>
      <c r="G22" s="358"/>
      <c r="H22" s="358"/>
      <c r="I22" s="358"/>
      <c r="J22" s="367"/>
      <c r="K22" s="362"/>
      <c r="L22" s="363"/>
      <c r="M22" s="258"/>
    </row>
    <row r="23" spans="2:13" x14ac:dyDescent="0.2">
      <c r="B23" s="73"/>
      <c r="C23" s="17" t="s">
        <v>123</v>
      </c>
      <c r="D23" s="17"/>
      <c r="E23" s="345" t="s">
        <v>553</v>
      </c>
      <c r="F23" s="355" t="s">
        <v>568</v>
      </c>
      <c r="G23" s="355" t="s">
        <v>568</v>
      </c>
      <c r="H23" s="355"/>
      <c r="I23" s="355" t="s">
        <v>568</v>
      </c>
      <c r="J23" s="366"/>
      <c r="K23" s="360" t="e">
        <f>1/H23</f>
        <v>#DIV/0!</v>
      </c>
      <c r="L23" s="361" t="e">
        <f>K23</f>
        <v>#DIV/0!</v>
      </c>
      <c r="M23" s="258" t="s">
        <v>464</v>
      </c>
    </row>
    <row r="24" spans="2:13" x14ac:dyDescent="0.2">
      <c r="B24" s="73"/>
      <c r="C24" s="17" t="s">
        <v>124</v>
      </c>
      <c r="D24" s="17"/>
      <c r="E24" s="345" t="s">
        <v>554</v>
      </c>
      <c r="F24" s="355" t="s">
        <v>568</v>
      </c>
      <c r="G24" s="355"/>
      <c r="H24" s="355" t="s">
        <v>568</v>
      </c>
      <c r="I24" s="355" t="s">
        <v>568</v>
      </c>
      <c r="J24" s="366"/>
      <c r="K24" s="360" t="e">
        <f>1/G24</f>
        <v>#DIV/0!</v>
      </c>
      <c r="L24" s="361" t="e">
        <f>K24</f>
        <v>#DIV/0!</v>
      </c>
      <c r="M24" s="258" t="s">
        <v>465</v>
      </c>
    </row>
    <row r="25" spans="2:13" x14ac:dyDescent="0.2">
      <c r="B25" s="73"/>
      <c r="C25" s="17" t="s">
        <v>132</v>
      </c>
      <c r="D25" s="17"/>
      <c r="E25" s="345" t="s">
        <v>555</v>
      </c>
      <c r="F25" s="355" t="s">
        <v>568</v>
      </c>
      <c r="G25" s="355"/>
      <c r="H25" s="355" t="s">
        <v>568</v>
      </c>
      <c r="I25" s="355" t="s">
        <v>568</v>
      </c>
      <c r="J25" s="366"/>
      <c r="K25" s="360" t="e">
        <f>1/G25</f>
        <v>#DIV/0!</v>
      </c>
      <c r="L25" s="361" t="e">
        <f>K25</f>
        <v>#DIV/0!</v>
      </c>
      <c r="M25" s="258" t="s">
        <v>463</v>
      </c>
    </row>
    <row r="26" spans="2:13" x14ac:dyDescent="0.2">
      <c r="B26" s="43"/>
      <c r="C26" s="10"/>
      <c r="D26" s="10"/>
      <c r="E26" s="20"/>
      <c r="F26" s="359"/>
      <c r="G26" s="359"/>
      <c r="H26" s="359"/>
      <c r="I26" s="359"/>
      <c r="J26" s="368"/>
      <c r="K26" s="364"/>
      <c r="L26" s="365"/>
    </row>
    <row r="27" spans="2:13" x14ac:dyDescent="0.2">
      <c r="B27" s="37" t="s">
        <v>90</v>
      </c>
      <c r="C27" s="8"/>
      <c r="D27" s="8"/>
      <c r="E27" s="19"/>
      <c r="F27" s="357"/>
      <c r="G27" s="357"/>
      <c r="H27" s="357"/>
      <c r="I27" s="357"/>
      <c r="J27" s="366"/>
      <c r="K27" s="360"/>
      <c r="L27" s="361"/>
    </row>
    <row r="28" spans="2:13" x14ac:dyDescent="0.2">
      <c r="B28" s="73"/>
      <c r="C28" s="17" t="s">
        <v>133</v>
      </c>
      <c r="D28" s="17"/>
      <c r="E28" s="345"/>
      <c r="F28" s="355"/>
      <c r="G28" s="355"/>
      <c r="H28" s="355"/>
      <c r="I28" s="355"/>
      <c r="J28" s="369">
        <v>0.05</v>
      </c>
      <c r="K28" s="360"/>
      <c r="L28" s="361">
        <f>J28</f>
        <v>0.05</v>
      </c>
      <c r="M28" s="258" t="s">
        <v>467</v>
      </c>
    </row>
    <row r="29" spans="2:13" x14ac:dyDescent="0.2">
      <c r="B29" s="73"/>
      <c r="C29" s="17" t="s">
        <v>134</v>
      </c>
      <c r="D29" s="17"/>
      <c r="E29" s="345"/>
      <c r="F29" s="355"/>
      <c r="G29" s="355"/>
      <c r="H29" s="355"/>
      <c r="I29" s="355"/>
      <c r="J29" s="369">
        <v>0.12</v>
      </c>
      <c r="K29" s="360"/>
      <c r="L29" s="361">
        <f>J29</f>
        <v>0.12</v>
      </c>
      <c r="M29" s="258" t="s">
        <v>468</v>
      </c>
    </row>
    <row r="30" spans="2:13" x14ac:dyDescent="0.2">
      <c r="B30" s="73"/>
      <c r="C30" s="17" t="s">
        <v>333</v>
      </c>
      <c r="D30" s="17"/>
      <c r="E30" s="345" t="s">
        <v>557</v>
      </c>
      <c r="F30" s="355" t="s">
        <v>568</v>
      </c>
      <c r="G30" s="355" t="s">
        <v>568</v>
      </c>
      <c r="H30" s="355" t="s">
        <v>568</v>
      </c>
      <c r="I30" s="355"/>
      <c r="J30" s="366">
        <f>I30</f>
        <v>0</v>
      </c>
      <c r="K30" s="360"/>
      <c r="L30" s="361">
        <f>J30</f>
        <v>0</v>
      </c>
      <c r="M30" s="258" t="s">
        <v>469</v>
      </c>
    </row>
    <row r="31" spans="2:13" x14ac:dyDescent="0.2">
      <c r="B31" s="73"/>
      <c r="C31" s="17" t="s">
        <v>334</v>
      </c>
      <c r="D31" s="17"/>
      <c r="E31" s="345" t="s">
        <v>556</v>
      </c>
      <c r="F31" s="355" t="s">
        <v>568</v>
      </c>
      <c r="G31" s="355" t="s">
        <v>568</v>
      </c>
      <c r="H31" s="355" t="s">
        <v>568</v>
      </c>
      <c r="I31" s="355"/>
      <c r="J31" s="366">
        <f>I31</f>
        <v>0</v>
      </c>
      <c r="K31" s="360"/>
      <c r="L31" s="361">
        <f>J31</f>
        <v>0</v>
      </c>
      <c r="M31" s="258" t="s">
        <v>470</v>
      </c>
    </row>
    <row r="32" spans="2:13" x14ac:dyDescent="0.2">
      <c r="B32" s="73"/>
      <c r="C32" s="17" t="s">
        <v>135</v>
      </c>
      <c r="D32" s="17"/>
      <c r="E32" s="345" t="s">
        <v>558</v>
      </c>
      <c r="F32" s="355" t="s">
        <v>568</v>
      </c>
      <c r="G32" s="355" t="s">
        <v>568</v>
      </c>
      <c r="H32" s="355" t="s">
        <v>568</v>
      </c>
      <c r="I32" s="355"/>
      <c r="J32" s="366">
        <f>I32</f>
        <v>0</v>
      </c>
      <c r="K32" s="360"/>
      <c r="L32" s="361">
        <f>J32</f>
        <v>0</v>
      </c>
      <c r="M32" s="258" t="s">
        <v>466</v>
      </c>
    </row>
    <row r="33" spans="2:12" ht="17" thickBot="1" x14ac:dyDescent="0.25">
      <c r="B33" s="47"/>
      <c r="C33" s="102"/>
      <c r="D33" s="102"/>
      <c r="E33" s="346"/>
      <c r="F33" s="102"/>
      <c r="G33" s="102"/>
      <c r="H33" s="102"/>
      <c r="I33" s="102"/>
      <c r="J33" s="351"/>
      <c r="K33" s="352"/>
      <c r="L33" s="353"/>
    </row>
    <row r="34" spans="2:12" x14ac:dyDescent="0.2">
      <c r="J34" s="145"/>
      <c r="K34" s="145"/>
      <c r="L34" s="350"/>
    </row>
    <row r="35" spans="2:12" x14ac:dyDescent="0.2">
      <c r="J35" s="145"/>
      <c r="K35" s="145"/>
      <c r="L35" s="350"/>
    </row>
    <row r="36" spans="2:12" x14ac:dyDescent="0.2">
      <c r="J36" s="145"/>
      <c r="K36" s="145"/>
      <c r="L36" s="350"/>
    </row>
    <row r="37" spans="2:12" ht="24" x14ac:dyDescent="0.3">
      <c r="J37" s="354"/>
      <c r="K37" s="145"/>
      <c r="L37" s="350"/>
    </row>
    <row r="38" spans="2:12" ht="24" x14ac:dyDescent="0.3">
      <c r="J38" s="354"/>
      <c r="K38" s="145"/>
      <c r="L38" s="350"/>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30</vt:i4>
      </vt:variant>
      <vt:variant>
        <vt:lpstr>Named Ranges</vt:lpstr>
      </vt:variant>
      <vt:variant>
        <vt:i4>23</vt:i4>
      </vt:variant>
    </vt:vector>
  </HeadingPairs>
  <TitlesOfParts>
    <vt:vector size="53" baseType="lpstr">
      <vt:lpstr>Cover Sheet</vt:lpstr>
      <vt:lpstr>Changelog</vt:lpstr>
      <vt:lpstr>Contents</vt:lpstr>
      <vt:lpstr>Introduction</vt:lpstr>
      <vt:lpstr>Dataflow</vt:lpstr>
      <vt:lpstr>Assumptions</vt:lpstr>
      <vt:lpstr>Dashboard</vt:lpstr>
      <vt:lpstr>Corrected energy balance step 2</vt:lpstr>
      <vt:lpstr>technical_specs</vt:lpstr>
      <vt:lpstr>Application shares</vt:lpstr>
      <vt:lpstr>Technology shares</vt:lpstr>
      <vt:lpstr>Final demand per energy carrier</vt:lpstr>
      <vt:lpstr>Technology split final demand</vt:lpstr>
      <vt:lpstr>Final demand extracted from EB</vt:lpstr>
      <vt:lpstr>Fuel aggregation</vt:lpstr>
      <vt:lpstr>Tech split of useful demand</vt:lpstr>
      <vt:lpstr>csv_ps_final_demand_lighting</vt:lpstr>
      <vt:lpstr>csv_ps_space_heating_electricit</vt:lpstr>
      <vt:lpstr>csv_ps_cooling_electricity</vt:lpstr>
      <vt:lpstr>csv_ps_space_heating_gas</vt:lpstr>
      <vt:lpstr>csv_ps_final_demand_coal</vt:lpstr>
      <vt:lpstr>csv_ps_final_demand_gas</vt:lpstr>
      <vt:lpstr>csv_ps_final_demand_oil</vt:lpstr>
      <vt:lpstr>csv_ps_final_demand_electricity</vt:lpstr>
      <vt:lpstr>csv_ps_final_demand_wood_p</vt:lpstr>
      <vt:lpstr>csv_heating_useful_insulation</vt:lpstr>
      <vt:lpstr>csv_cooling_useful_insulation</vt:lpstr>
      <vt:lpstr>csv_light_saving_detection</vt:lpstr>
      <vt:lpstr>csv_light_saving_control</vt:lpstr>
      <vt:lpstr>csv_ps_sector_electricity</vt:lpstr>
      <vt:lpstr>base_year</vt:lpstr>
      <vt:lpstr>country</vt:lpstr>
      <vt:lpstr>Eff_cooling_airco</vt:lpstr>
      <vt:lpstr>Eff_cooling_pump</vt:lpstr>
      <vt:lpstr>Eff_cooling_pump_storage</vt:lpstr>
      <vt:lpstr>Eff_lighting_lamp_fluorescent</vt:lpstr>
      <vt:lpstr>Eff_lighting_lamp_incandescent</vt:lpstr>
      <vt:lpstr>Eff_lighting_led</vt:lpstr>
      <vt:lpstr>Eff_lighting_tube_fluorescent_efficient</vt:lpstr>
      <vt:lpstr>Eff_lighting_tube_fluorescent_standartd</vt:lpstr>
      <vt:lpstr>Eff_space_heating_coal</vt:lpstr>
      <vt:lpstr>Eff_space_heating_district</vt:lpstr>
      <vt:lpstr>Eff_space_heating_electric</vt:lpstr>
      <vt:lpstr>Eff_space_heating_gas</vt:lpstr>
      <vt:lpstr>Eff_space_heating_oil</vt:lpstr>
      <vt:lpstr>Eff_space_heating_pump_gas</vt:lpstr>
      <vt:lpstr>Eff_space_heating_pump_storage</vt:lpstr>
      <vt:lpstr>Eff_space_heating_solar_thermal</vt:lpstr>
      <vt:lpstr>Eff_space_heating_woodpellets</vt:lpstr>
      <vt:lpstr>Final_demand_lighting</vt:lpstr>
      <vt:lpstr>Final_demand_residences</vt:lpstr>
      <vt:lpstr>Final_demand_space_cooling</vt:lpstr>
      <vt:lpstr>Final_demand_space_heating</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Alexander Wirtz</cp:lastModifiedBy>
  <dcterms:created xsi:type="dcterms:W3CDTF">2013-06-25T11:11:29Z</dcterms:created>
  <dcterms:modified xsi:type="dcterms:W3CDTF">2018-08-09T11:54:13Z</dcterms:modified>
</cp:coreProperties>
</file>