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showInkAnnotation="0" autoCompressPictures="0"/>
  <mc:AlternateContent xmlns:mc="http://schemas.openxmlformats.org/markup-compatibility/2006">
    <mc:Choice Requires="x15">
      <x15ac:absPath xmlns:x15ac="http://schemas.microsoft.com/office/spreadsheetml/2010/11/ac" url="/Users/alexander/Dropbox (Quintel)/Quintel/Projects/201807_Dataset_Duitsland/Residences/"/>
    </mc:Choice>
  </mc:AlternateContent>
  <xr:revisionPtr revIDLastSave="0" documentId="13_ncr:1_{D271EDBE-08CD-124F-B10C-F38BB8D94BE1}" xr6:coauthVersionLast="34" xr6:coauthVersionMax="34" xr10:uidLastSave="{00000000-0000-0000-0000-000000000000}"/>
  <bookViews>
    <workbookView xWindow="0" yWindow="460" windowWidth="51200" windowHeight="28260" tabRatio="500" xr2:uid="{00000000-000D-0000-FFFF-FFFF00000000}"/>
  </bookViews>
  <sheets>
    <sheet name="Dashboard" sheetId="6" r:id="rId1"/>
    <sheet name="Final demand per energy carrier" sheetId="7" r:id="rId2"/>
    <sheet name="HRE 4 Source" sheetId="5" r:id="rId3"/>
    <sheet name="Application split old" sheetId="4" r:id="rId4"/>
  </sheets>
  <externalReferences>
    <externalReference r:id="rId5"/>
    <externalReference r:id="rId6"/>
    <externalReference r:id="rId7"/>
  </externalReferences>
  <definedNames>
    <definedName name="_xlnm._FilterDatabase" localSheetId="3" hidden="1">'Application split old'!$J$54:$K$58</definedName>
    <definedName name="ap_subfuel_allo">'[1]CEB allocation factors'!$F$12:$BC$12</definedName>
    <definedName name="base_year">[1]Dashboard!$E$13</definedName>
    <definedName name="country">[1]Dashboard!$E$12</definedName>
    <definedName name="Eff_cooking_biomass">[2]technical_specs!$M$50</definedName>
    <definedName name="Eff_cooking_electric">[2]technical_specs!$M$47</definedName>
    <definedName name="Eff_cooking_gas">[2]technical_specs!$M$46</definedName>
    <definedName name="Eff_cooking_halogen">[2]technical_specs!$M$48</definedName>
    <definedName name="Eff_cooking_induction">[2]technical_specs!$M$49</definedName>
    <definedName name="Eff_cooling_airco">[2]technical_specs!$M$43</definedName>
    <definedName name="Eff_cooling_pump_air">[2]technical_specs!$M$42</definedName>
    <definedName name="Eff_cooling_pump_ground">[2]technical_specs!$M$41</definedName>
    <definedName name="Eff_hot_water_coal">[2]technical_specs!$M$36</definedName>
    <definedName name="Eff_hot_water_combi_boiler">[2]technical_specs!$M$26</definedName>
    <definedName name="Eff_hot_water_district">[2]technical_specs!$M$30</definedName>
    <definedName name="Eff_hot_water_electric">[2]technical_specs!$M$33</definedName>
    <definedName name="Eff_hot_water_fuel_cell">[2]technical_specs!$M$37</definedName>
    <definedName name="Eff_hot_water_gas">[2]technical_specs!$M$34</definedName>
    <definedName name="Eff_hot_water_micro_CHP">[2]technical_specs!$M$29</definedName>
    <definedName name="Eff_hot_water_oil">[2]technical_specs!$M$35</definedName>
    <definedName name="Eff_hot_water_pump_air">[2]technical_specs!$M$31</definedName>
    <definedName name="Eff_hot_water_pump_ground">[2]technical_specs!$M$28</definedName>
    <definedName name="Eff_hot_water_solar_thermal_panel">[2]technical_specs!$M$27</definedName>
    <definedName name="Eff_hot_water_woodpellets">[2]technical_specs!$M$32</definedName>
    <definedName name="Eff_lighting_fluorescent">[2]technical_specs!$M$54</definedName>
    <definedName name="Eff_lighting_incandescent">[2]technical_specs!$M$53</definedName>
    <definedName name="Eff_lighting_led">[2]technical_specs!$M$55</definedName>
    <definedName name="Eff_space_heating_coal">[2]technical_specs!$M$21</definedName>
    <definedName name="Eff_space_heating_combi_boiler">[2]technical_specs!$M$11</definedName>
    <definedName name="Eff_space_heating_district">[2]technical_specs!$M$15</definedName>
    <definedName name="Eff_space_heating_electric">[2]technical_specs!$M$18</definedName>
    <definedName name="Eff_space_heating_gas">[2]technical_specs!$M$19</definedName>
    <definedName name="Eff_space_heating_micro_CHP">[2]technical_specs!$M$14</definedName>
    <definedName name="Eff_space_heating_oil">[2]technical_specs!$M$20</definedName>
    <definedName name="Eff_space_heating_pump_add_on">[2]technical_specs!$M$22</definedName>
    <definedName name="Eff_space_heating_pump_air">[2]technical_specs!$M$16</definedName>
    <definedName name="Eff_space_heating_pump_ground">[2]technical_specs!$M$13</definedName>
    <definedName name="Eff_space_heating_solar_thermal">[2]technical_specs!$M$12</definedName>
    <definedName name="Eff_space_heating_woodpellets">[2]technical_specs!$M$17</definedName>
    <definedName name="ei_subsector_allo">'[1]CEB allocation factors'!$D$17:$D$33</definedName>
    <definedName name="Final_demand_appliances">[2]Dashboard!$E$25</definedName>
    <definedName name="Final_demand_coal">'[2]Fuel aggregation'!$C$11</definedName>
    <definedName name="Final_demand_cooking">[2]Dashboard!$E$24</definedName>
    <definedName name="Final_demand_cooling">[2]Dashboard!$E$22</definedName>
    <definedName name="Final_demand_electricity">'[2]Fuel aggregation'!$I$11</definedName>
    <definedName name="Final_demand_gas">'[2]Fuel aggregation'!$D$11</definedName>
    <definedName name="Final_demand_heat">'[2]Fuel aggregation'!$J$11</definedName>
    <definedName name="Final_demand_hot_water">[2]Dashboard!$E$21</definedName>
    <definedName name="Final_demand_lighting">[2]Dashboard!$E$23</definedName>
    <definedName name="Final_demand_oil">'[2]Fuel aggregation'!$E$11</definedName>
    <definedName name="Final_demand_residences" localSheetId="1">'[2]Fuel aggregation'!$L$11</definedName>
    <definedName name="Final_demand_residences">'[3]Fuel aggregation'!$L$11</definedName>
    <definedName name="Final_demand_solar_thermal">'[2]Fuel aggregation'!$G$11</definedName>
    <definedName name="Final_demand_space_heating">[2]Dashboard!$E$20</definedName>
    <definedName name="Final_demand_woodpellets">'[2]Fuel aggregation'!$F$11</definedName>
    <definedName name="Fussnote2" localSheetId="3">'Application split old'!$C$67</definedName>
    <definedName name="Fussnote3" localSheetId="3">'Application split old'!$C$68</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 name="TWhtoPJ">'HRE 4 Source'!$G$2</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D73" i="7" l="1"/>
  <c r="D72" i="7"/>
  <c r="D71" i="7"/>
  <c r="D70" i="7"/>
  <c r="D69" i="7"/>
  <c r="D68" i="7"/>
  <c r="D67" i="7"/>
  <c r="B67" i="7"/>
  <c r="D66" i="7"/>
  <c r="N62" i="7"/>
  <c r="D62" i="7"/>
  <c r="N61" i="7"/>
  <c r="D61" i="7"/>
  <c r="N60" i="7"/>
  <c r="D60" i="7"/>
  <c r="N56" i="7"/>
  <c r="N47" i="7"/>
  <c r="N46" i="7"/>
  <c r="Q43" i="7"/>
  <c r="P43" i="7"/>
  <c r="N33" i="7"/>
  <c r="N32" i="7"/>
  <c r="Q27" i="7"/>
  <c r="N26" i="7"/>
  <c r="N18" i="7"/>
  <c r="N17" i="7"/>
  <c r="P27" i="7" l="1"/>
  <c r="N41" i="7"/>
  <c r="N42" i="7"/>
  <c r="F397" i="5" l="1"/>
  <c r="J27" i="7" s="1"/>
  <c r="J21" i="7" s="1"/>
  <c r="G397" i="5"/>
  <c r="H397" i="5"/>
  <c r="J43" i="7" s="1"/>
  <c r="J36" i="7" s="1"/>
  <c r="F398" i="5"/>
  <c r="H27" i="7" s="1"/>
  <c r="H25" i="7" s="1"/>
  <c r="G398" i="5"/>
  <c r="H398" i="5"/>
  <c r="H43" i="7" s="1"/>
  <c r="H40" i="7" s="1"/>
  <c r="F399" i="5"/>
  <c r="K27" i="7" s="1"/>
  <c r="K19" i="7" s="1"/>
  <c r="G399" i="5"/>
  <c r="H399" i="5"/>
  <c r="K43" i="7" s="1"/>
  <c r="K34" i="7" s="1"/>
  <c r="F400" i="5"/>
  <c r="G400" i="5"/>
  <c r="F49" i="7" s="1"/>
  <c r="F48" i="7" s="1"/>
  <c r="H400" i="5"/>
  <c r="F401" i="5"/>
  <c r="E27" i="7" s="1"/>
  <c r="E15" i="7" s="1"/>
  <c r="G401" i="5"/>
  <c r="H401" i="5"/>
  <c r="E43" i="7" s="1"/>
  <c r="E30" i="7" s="1"/>
  <c r="F402" i="5"/>
  <c r="F20" i="7" s="1"/>
  <c r="G402" i="5"/>
  <c r="H402" i="5"/>
  <c r="F35" i="7" s="1"/>
  <c r="F403" i="5"/>
  <c r="I27" i="7" s="1"/>
  <c r="I24" i="7" s="1"/>
  <c r="G403" i="5"/>
  <c r="H403" i="5"/>
  <c r="I43" i="7" s="1"/>
  <c r="I39" i="7" s="1"/>
  <c r="F404" i="5"/>
  <c r="G27" i="7" s="1"/>
  <c r="G16" i="7" s="1"/>
  <c r="G404" i="5"/>
  <c r="H404" i="5"/>
  <c r="G43" i="7" s="1"/>
  <c r="G31" i="7" s="1"/>
  <c r="F405" i="5"/>
  <c r="G405" i="5"/>
  <c r="H405" i="5"/>
  <c r="E398" i="5"/>
  <c r="E399" i="5"/>
  <c r="E400" i="5"/>
  <c r="F57" i="7" s="1"/>
  <c r="E401" i="5"/>
  <c r="E57" i="7" s="1"/>
  <c r="E402" i="5"/>
  <c r="E403" i="5"/>
  <c r="I57" i="7" s="1"/>
  <c r="E404" i="5"/>
  <c r="E405" i="5"/>
  <c r="I421" i="5" s="1"/>
  <c r="E397" i="5"/>
  <c r="F43" i="7" l="1"/>
  <c r="F37" i="7"/>
  <c r="D36" i="7" s="1"/>
  <c r="I422" i="5"/>
  <c r="F55" i="7" s="1"/>
  <c r="F53" i="7" s="1"/>
  <c r="F54" i="7"/>
  <c r="E52" i="7"/>
  <c r="I12" i="7"/>
  <c r="N24" i="7"/>
  <c r="I77" i="7"/>
  <c r="I78" i="7" s="1"/>
  <c r="I79" i="7" s="1"/>
  <c r="E38" i="7"/>
  <c r="B31" i="7"/>
  <c r="D32" i="7"/>
  <c r="N30" i="7"/>
  <c r="D30" i="7"/>
  <c r="D47" i="7"/>
  <c r="N48" i="7"/>
  <c r="B47" i="7"/>
  <c r="D48" i="7"/>
  <c r="D46" i="7"/>
  <c r="K12" i="7"/>
  <c r="K77" i="7"/>
  <c r="K78" i="7" s="1"/>
  <c r="K79" i="7" s="1"/>
  <c r="N19" i="7"/>
  <c r="N36" i="7"/>
  <c r="N31" i="7"/>
  <c r="D31" i="7"/>
  <c r="H12" i="7"/>
  <c r="H77" i="7"/>
  <c r="H78" i="7" s="1"/>
  <c r="H79" i="7" s="1"/>
  <c r="N25" i="7"/>
  <c r="G12" i="7"/>
  <c r="N16" i="7"/>
  <c r="G77" i="7"/>
  <c r="G78" i="7" s="1"/>
  <c r="G79" i="7" s="1"/>
  <c r="D35" i="7"/>
  <c r="N35" i="7"/>
  <c r="F27" i="7"/>
  <c r="F22" i="7"/>
  <c r="N40" i="7"/>
  <c r="D40" i="7"/>
  <c r="N20" i="7"/>
  <c r="N39" i="7"/>
  <c r="E23" i="7"/>
  <c r="E77" i="7" s="1"/>
  <c r="E78" i="7" s="1"/>
  <c r="E79" i="7" s="1"/>
  <c r="N15" i="7"/>
  <c r="N34" i="7"/>
  <c r="D34" i="7"/>
  <c r="J12" i="7"/>
  <c r="J77" i="7"/>
  <c r="J78" i="7" s="1"/>
  <c r="J79" i="7" s="1"/>
  <c r="N21" i="7"/>
  <c r="H394" i="5"/>
  <c r="H393" i="5"/>
  <c r="H392" i="5"/>
  <c r="H391" i="5"/>
  <c r="H390" i="5"/>
  <c r="H389" i="5"/>
  <c r="H388" i="5"/>
  <c r="H387" i="5"/>
  <c r="H386" i="5"/>
  <c r="G394" i="5"/>
  <c r="G393" i="5"/>
  <c r="G392" i="5"/>
  <c r="G391" i="5"/>
  <c r="G390" i="5"/>
  <c r="G389" i="5"/>
  <c r="G388" i="5"/>
  <c r="G387" i="5"/>
  <c r="G386" i="5"/>
  <c r="F394" i="5"/>
  <c r="F393" i="5"/>
  <c r="F392" i="5"/>
  <c r="F391" i="5"/>
  <c r="F390" i="5"/>
  <c r="F389" i="5"/>
  <c r="F388" i="5"/>
  <c r="F387" i="5"/>
  <c r="F386" i="5"/>
  <c r="E394" i="5"/>
  <c r="E393" i="5"/>
  <c r="E392" i="5"/>
  <c r="F419" i="5" s="1"/>
  <c r="E391" i="5"/>
  <c r="E390" i="5"/>
  <c r="E389" i="5"/>
  <c r="F420" i="5" s="1"/>
  <c r="E388" i="5"/>
  <c r="E387" i="5"/>
  <c r="E386" i="5"/>
  <c r="D394" i="5"/>
  <c r="D405" i="5" s="1"/>
  <c r="D393" i="5"/>
  <c r="D404" i="5" s="1"/>
  <c r="D392" i="5"/>
  <c r="D403" i="5" s="1"/>
  <c r="D391" i="5"/>
  <c r="D402" i="5" s="1"/>
  <c r="D390" i="5"/>
  <c r="D401" i="5" s="1"/>
  <c r="D389" i="5"/>
  <c r="D400" i="5" s="1"/>
  <c r="D388" i="5"/>
  <c r="D399" i="5" s="1"/>
  <c r="D387" i="5"/>
  <c r="D398" i="5" s="1"/>
  <c r="D386" i="5"/>
  <c r="D397" i="5" s="1"/>
  <c r="E207" i="5"/>
  <c r="G207" i="5" s="1"/>
  <c r="G206" i="5"/>
  <c r="G205" i="5"/>
  <c r="G204" i="5"/>
  <c r="G203" i="5"/>
  <c r="G202" i="5"/>
  <c r="G201" i="5"/>
  <c r="G200" i="5"/>
  <c r="G199" i="5"/>
  <c r="G198" i="5"/>
  <c r="G197" i="5"/>
  <c r="G181" i="5"/>
  <c r="G180" i="5"/>
  <c r="G179" i="5"/>
  <c r="G178" i="5"/>
  <c r="G177" i="5"/>
  <c r="G176" i="5"/>
  <c r="K58" i="4"/>
  <c r="E23" i="6" s="1"/>
  <c r="K57" i="4"/>
  <c r="E25" i="6" s="1"/>
  <c r="G173" i="5"/>
  <c r="E22" i="6" s="1"/>
  <c r="G172" i="5"/>
  <c r="E24" i="6" s="1"/>
  <c r="G171" i="5"/>
  <c r="G170" i="5"/>
  <c r="E21" i="6" s="1"/>
  <c r="G169" i="5"/>
  <c r="G168" i="5"/>
  <c r="E17" i="5"/>
  <c r="D39" i="7" l="1"/>
  <c r="D41" i="7"/>
  <c r="D16" i="7"/>
  <c r="O46" i="7"/>
  <c r="E62" i="6" s="1"/>
  <c r="O47" i="7"/>
  <c r="E63" i="6" s="1"/>
  <c r="O48" i="7"/>
  <c r="E64" i="6" s="1"/>
  <c r="O24" i="7"/>
  <c r="E40" i="6" s="1"/>
  <c r="N54" i="7"/>
  <c r="D54" i="7"/>
  <c r="D21" i="7"/>
  <c r="D17" i="7"/>
  <c r="B16" i="7"/>
  <c r="N38" i="7"/>
  <c r="O38" i="7" s="1"/>
  <c r="E54" i="6" s="1"/>
  <c r="D38" i="7"/>
  <c r="N55" i="7"/>
  <c r="D55" i="7"/>
  <c r="F12" i="7"/>
  <c r="N53" i="7"/>
  <c r="D53" i="7"/>
  <c r="E12" i="7"/>
  <c r="D26" i="7"/>
  <c r="D25" i="7"/>
  <c r="D19" i="7"/>
  <c r="N37" i="7"/>
  <c r="D37" i="7"/>
  <c r="O15" i="7"/>
  <c r="E31" i="6" s="1"/>
  <c r="N23" i="7"/>
  <c r="D23" i="7"/>
  <c r="D18" i="7"/>
  <c r="D15" i="7"/>
  <c r="D20" i="7"/>
  <c r="N22" i="7"/>
  <c r="O26" i="7" s="1"/>
  <c r="E42" i="6" s="1"/>
  <c r="D22" i="7"/>
  <c r="F77" i="7"/>
  <c r="F78" i="7" s="1"/>
  <c r="F79" i="7" s="1"/>
  <c r="D42" i="7"/>
  <c r="D33" i="7"/>
  <c r="D24" i="7"/>
  <c r="D52" i="7"/>
  <c r="D56" i="7"/>
  <c r="N52" i="7"/>
  <c r="B53" i="7"/>
  <c r="E20" i="6"/>
  <c r="G196" i="5"/>
  <c r="G167" i="5"/>
  <c r="D43" i="7" l="1"/>
  <c r="O23" i="7"/>
  <c r="E39" i="6" s="1"/>
  <c r="O39" i="7"/>
  <c r="E55" i="6" s="1"/>
  <c r="O16" i="7"/>
  <c r="E32" i="6" s="1"/>
  <c r="O17" i="7"/>
  <c r="E33" i="6" s="1"/>
  <c r="O31" i="7"/>
  <c r="E47" i="6" s="1"/>
  <c r="O30" i="7"/>
  <c r="E46" i="6" s="1"/>
  <c r="O32" i="7"/>
  <c r="E48" i="6" s="1"/>
  <c r="O35" i="7"/>
  <c r="E51" i="6" s="1"/>
  <c r="O33" i="7"/>
  <c r="E49" i="6" s="1"/>
  <c r="O56" i="7"/>
  <c r="E78" i="6" s="1"/>
  <c r="O52" i="7"/>
  <c r="E74" i="6" s="1"/>
  <c r="O22" i="7"/>
  <c r="E38" i="6" s="1"/>
  <c r="O21" i="7"/>
  <c r="E37" i="6" s="1"/>
  <c r="O18" i="7"/>
  <c r="E34" i="6" s="1"/>
  <c r="O55" i="7"/>
  <c r="E77" i="6" s="1"/>
  <c r="O41" i="7"/>
  <c r="E57" i="6" s="1"/>
  <c r="O19" i="7"/>
  <c r="E35" i="6" s="1"/>
  <c r="O20" i="7"/>
  <c r="E36" i="6" s="1"/>
  <c r="O36" i="7"/>
  <c r="E52" i="6" s="1"/>
  <c r="O37" i="7"/>
  <c r="E53" i="6" s="1"/>
  <c r="O40" i="7"/>
  <c r="E56" i="6" s="1"/>
  <c r="O53" i="7"/>
  <c r="E75" i="6" s="1"/>
  <c r="O42" i="7"/>
  <c r="E58" i="6" s="1"/>
  <c r="O25" i="7"/>
  <c r="E41" i="6" s="1"/>
  <c r="O54" i="7"/>
  <c r="E76" i="6" s="1"/>
  <c r="O34" i="7"/>
  <c r="E50" i="6" s="1"/>
  <c r="E107" i="5"/>
  <c r="E132" i="5" s="1"/>
  <c r="E58" i="5"/>
  <c r="E72" i="5"/>
  <c r="E15" i="5"/>
  <c r="E12" i="5"/>
  <c r="E70" i="5" l="1"/>
  <c r="E67" i="5"/>
  <c r="E71" i="5"/>
  <c r="E123" i="5"/>
  <c r="E127" i="5"/>
  <c r="E69" i="5"/>
  <c r="E125" i="5"/>
  <c r="E129" i="5"/>
  <c r="E126" i="5"/>
  <c r="E130" i="5"/>
  <c r="E131" i="5"/>
  <c r="E68" i="5"/>
  <c r="E124" i="5"/>
  <c r="E128" i="5"/>
  <c r="E36" i="4"/>
  <c r="F34" i="4"/>
  <c r="F33" i="4"/>
  <c r="F31" i="4"/>
  <c r="F30" i="4"/>
  <c r="F29" i="4"/>
  <c r="F18" i="4"/>
  <c r="F20" i="4"/>
  <c r="F23" i="4"/>
  <c r="F22" i="4"/>
  <c r="F19" i="4"/>
  <c r="J55" i="4"/>
  <c r="J58" i="4"/>
  <c r="F21" i="4" s="1"/>
  <c r="F32" i="4" s="1"/>
  <c r="F36" i="4" s="1"/>
  <c r="J57" i="4"/>
  <c r="J56" i="4"/>
  <c r="J54" i="4"/>
  <c r="E23" i="4"/>
  <c r="E34" i="4" s="1"/>
  <c r="E22" i="4"/>
  <c r="E33" i="4" s="1"/>
  <c r="E21" i="4"/>
  <c r="E32" i="4" s="1"/>
  <c r="E20" i="4"/>
  <c r="E31" i="4" s="1"/>
  <c r="E19" i="4"/>
  <c r="E30" i="4" s="1"/>
  <c r="E18" i="4"/>
  <c r="E29" i="4" s="1"/>
</calcChain>
</file>

<file path=xl/sharedStrings.xml><?xml version="1.0" encoding="utf-8"?>
<sst xmlns="http://schemas.openxmlformats.org/spreadsheetml/2006/main" count="742" uniqueCount="280">
  <si>
    <t>Germany</t>
  </si>
  <si>
    <t>Condensing Combi Boiler</t>
  </si>
  <si>
    <t>solar thermal panels</t>
  </si>
  <si>
    <t>gas-fired Heat Pump (ground)</t>
  </si>
  <si>
    <t>gas-fired micro CHP</t>
  </si>
  <si>
    <t>District Heating</t>
  </si>
  <si>
    <t>electricity-driven Heat pump (air)</t>
  </si>
  <si>
    <t>woodpellets (biomass) heaters</t>
  </si>
  <si>
    <t>Electric Heaters (resistance)</t>
  </si>
  <si>
    <t>Gas-fired Heaters</t>
  </si>
  <si>
    <t>Oil-fired Heaters</t>
  </si>
  <si>
    <t>Coal-fired Heaters</t>
  </si>
  <si>
    <t>gas-fired hot water Pump (ground)</t>
  </si>
  <si>
    <t>District heating</t>
  </si>
  <si>
    <t>woodpellets (biomass) stoves</t>
  </si>
  <si>
    <t>Electric heaters (resistance)</t>
  </si>
  <si>
    <t>Gas-fired heaters</t>
  </si>
  <si>
    <t>Oil-fired heaters</t>
  </si>
  <si>
    <t>Coal-fired heaters</t>
  </si>
  <si>
    <t>Fuel Cells</t>
  </si>
  <si>
    <t>Final_demand_space_heating</t>
  </si>
  <si>
    <t>Final_demand_hot_water</t>
  </si>
  <si>
    <t>Final_demand_cooling</t>
  </si>
  <si>
    <t>Final_demand_lighting</t>
  </si>
  <si>
    <t>Final_demand_cooking</t>
  </si>
  <si>
    <t>Final_demand_appliances</t>
  </si>
  <si>
    <t>TJ</t>
  </si>
  <si>
    <t>2012 dataset application split</t>
  </si>
  <si>
    <t>Total</t>
  </si>
  <si>
    <t>%</t>
  </si>
  <si>
    <t>Final demand</t>
  </si>
  <si>
    <t>Final energy demand of Residences (from energy balance)</t>
  </si>
  <si>
    <t xml:space="preserve">Final energy demand for </t>
  </si>
  <si>
    <t>Space Heating</t>
  </si>
  <si>
    <t>Hot Water</t>
  </si>
  <si>
    <t>Space Cooling</t>
  </si>
  <si>
    <t>Lighting</t>
  </si>
  <si>
    <t>Cooking</t>
  </si>
  <si>
    <t>Electrical Appliances</t>
  </si>
  <si>
    <t>Remaining final energy, not accounted for in the calculation of shares.</t>
  </si>
  <si>
    <t>Final energy demand of Residences (from 2015 energy balance)</t>
  </si>
  <si>
    <t>Energieträger</t>
  </si>
  <si>
    <t>Mineralöl</t>
  </si>
  <si>
    <t>Gas</t>
  </si>
  <si>
    <t>Strom</t>
  </si>
  <si>
    <t>Fernwärme</t>
  </si>
  <si>
    <t>Kohle</t>
  </si>
  <si>
    <t>Erneuerbare Energien</t>
  </si>
  <si>
    <t>Biomasse</t>
  </si>
  <si>
    <t>.</t>
  </si>
  <si>
    <t>Umweltwärme und Solarenergie</t>
  </si>
  <si>
    <t>Insgesamt</t>
  </si>
  <si>
    <t>Anwendungsbereiche</t>
  </si>
  <si>
    <t>Raumwärme</t>
  </si>
  <si>
    <t>Warmwasser</t>
  </si>
  <si>
    <t>Kochen, Trocknen, Bügeln</t>
  </si>
  <si>
    <t>Beleuchtung</t>
  </si>
  <si>
    <t>nachrichtlich:</t>
  </si>
  <si>
    <t>nicht temperaturbereinigt</t>
  </si>
  <si>
    <t>Energieverbrauch je Haushalt</t>
  </si>
  <si>
    <t>Energieträger und 
Anwendungsbereiche</t>
  </si>
  <si>
    <t>Milliarden Kilowattstunden</t>
  </si>
  <si>
    <t>bron: https://www.destatis.de/DE/ZahlenFakten/GesamtwirtschaftUmwelt/Umwelt/UmweltoekonomischeGesamtrechnungen/MaterialEnergiefluesse/Tabellen/EnergieverbrauchHaushalte.html</t>
  </si>
  <si>
    <t>Haushaltsgeräte 2</t>
  </si>
  <si>
    <t>in Kilowattstunden 3</t>
  </si>
  <si>
    <r>
      <t>2</t>
    </r>
    <r>
      <rPr>
        <sz val="12"/>
        <color rgb="FF2B2B2D"/>
        <rFont val="Arial"/>
        <family val="2"/>
      </rPr>
      <t> Einschließlich Kommunikation.</t>
    </r>
  </si>
  <si>
    <r>
      <t>3</t>
    </r>
    <r>
      <rPr>
        <sz val="12"/>
        <color rgb="FF2B2B2D"/>
        <rFont val="Arial"/>
        <family val="2"/>
      </rPr>
      <t> Energieverbrauch je Haushalt ab dem Jahr 2011 auf Basis von Bevölkerungsangaben aus dem Bevölkerungszensus 2011.</t>
    </r>
  </si>
  <si>
    <t>Angaben nach 2011 sind deshalb mit den Vorjahren nicht vollständig vergleichbar.</t>
  </si>
  <si>
    <t>Quelle: Eigene Berechnungen nach Angaben des Bundesministeriums für Wirtschaft und Energie (BMWI), </t>
  </si>
  <si>
    <t>des Rheinisch-Westfälischen Institituts für Wirtschaftsforschung (RWI) und der Arbeitsgemeinschaft Energiebilanzen.</t>
  </si>
  <si>
    <t>Die Angaben aus der Energiebilanz wurden temperaturbereinigt, bei leichten Heizöl wurden Lagerbestandsveränderungen herausgerechnet.</t>
  </si>
  <si>
    <t>. = Zahlenwert unbekannt oder geheim zu halten.</t>
  </si>
  <si>
    <t>from above</t>
  </si>
  <si>
    <t>from DESTATIS</t>
  </si>
  <si>
    <t>Source</t>
  </si>
  <si>
    <t>http://www.heatroadmap.eu/</t>
  </si>
  <si>
    <t>http://www.heatroadmap.eu/resources/HRE4-Country_presentation-Germany.pdf</t>
  </si>
  <si>
    <t>Final energy demand and cooling</t>
  </si>
  <si>
    <t>Percentage of final energy demand represented by H&amp;C</t>
  </si>
  <si>
    <t>Final energy demand DE in 2015</t>
  </si>
  <si>
    <t>TWh</t>
  </si>
  <si>
    <t>PJ</t>
  </si>
  <si>
    <t>Space heating</t>
  </si>
  <si>
    <t>Process heating</t>
  </si>
  <si>
    <t>Hot water</t>
  </si>
  <si>
    <t>Process cooling</t>
  </si>
  <si>
    <t>Other heating</t>
  </si>
  <si>
    <t>Space cooling</t>
  </si>
  <si>
    <t>p4</t>
  </si>
  <si>
    <t>H&amp;C energy by purposes</t>
  </si>
  <si>
    <t>Application split</t>
  </si>
  <si>
    <t>Total final demand for H&amp;C in 2015</t>
  </si>
  <si>
    <t>PULL OUT NUMBERS</t>
  </si>
  <si>
    <t>p5</t>
  </si>
  <si>
    <t>Final demand of H&amp;C energy by carriers</t>
  </si>
  <si>
    <t>Carriers split</t>
  </si>
  <si>
    <t>Oil</t>
  </si>
  <si>
    <t>Distric heating</t>
  </si>
  <si>
    <t>Electricity</t>
  </si>
  <si>
    <t>Biomass</t>
  </si>
  <si>
    <t>Coal</t>
  </si>
  <si>
    <t>Others (fossil) = lignite?</t>
  </si>
  <si>
    <t>Solar thermal</t>
  </si>
  <si>
    <t>Heat pumps</t>
  </si>
  <si>
    <t>Others (RES)</t>
  </si>
  <si>
    <t>Sectors by purposes and energy carriers</t>
  </si>
  <si>
    <t>Sectors split of H&amp;C energy</t>
  </si>
  <si>
    <t>Industry</t>
  </si>
  <si>
    <t>Residential</t>
  </si>
  <si>
    <t>Services</t>
  </si>
  <si>
    <t>Application split by sector</t>
  </si>
  <si>
    <t>Carrier split for H&amp;C energy demand by sector</t>
  </si>
  <si>
    <t>p6</t>
  </si>
  <si>
    <t>Industry sub-sectors by H&amp;C purposes and energy carriers</t>
  </si>
  <si>
    <t>Industry sub-sectors by H&amp;C purposes</t>
  </si>
  <si>
    <t>(Petro-)Chemical</t>
  </si>
  <si>
    <t>Iron and Steel</t>
  </si>
  <si>
    <t>Machinery and transport</t>
  </si>
  <si>
    <t>Non-ferrous metals</t>
  </si>
  <si>
    <t>Non-metallic minerals</t>
  </si>
  <si>
    <t>Other Industry</t>
  </si>
  <si>
    <t>Paper, Pulp and Printing</t>
  </si>
  <si>
    <t>Food, Beverages and Tobacco</t>
  </si>
  <si>
    <t>Process heating &lt;100 C</t>
  </si>
  <si>
    <t>Process cooling &lt;-30 C</t>
  </si>
  <si>
    <t>Process cooling 0-15 C</t>
  </si>
  <si>
    <t>Process cooling -30-0 C</t>
  </si>
  <si>
    <t>Process heating &gt;500 C</t>
  </si>
  <si>
    <t>Process heating 200-500 C</t>
  </si>
  <si>
    <t>Process heating 100-200 C</t>
  </si>
  <si>
    <t>Industry sub-sectors by energy carriers</t>
  </si>
  <si>
    <t>p7</t>
  </si>
  <si>
    <t>Final demand for industry space heating and cooling by carrier</t>
  </si>
  <si>
    <t>Final demand by energy carriers in Residential sub-sectors</t>
  </si>
  <si>
    <t>p8</t>
  </si>
  <si>
    <t>Final demand in Service sub-sectors by H&amp;C purpose and energy carrier</t>
  </si>
  <si>
    <t>Final demand in service sub-sectors by H&amp;C purposes</t>
  </si>
  <si>
    <t>Final demand in service sub-sectors by energy carriers</t>
  </si>
  <si>
    <t>TWhtoPJ</t>
  </si>
  <si>
    <t>Others (fossil)</t>
  </si>
  <si>
    <t>Heat pumps aireal (electric)</t>
  </si>
  <si>
    <t>Airconditioners (electric cooling)</t>
  </si>
  <si>
    <t>Country</t>
  </si>
  <si>
    <t>TWh/year</t>
  </si>
  <si>
    <t>Grand Total</t>
  </si>
  <si>
    <t>Residential Sector</t>
  </si>
  <si>
    <t>Percentage of useful heat in cooking produced by</t>
  </si>
  <si>
    <t>gas stoves</t>
  </si>
  <si>
    <t>electric stoves (resistance)</t>
  </si>
  <si>
    <t>electric halogen stoves</t>
  </si>
  <si>
    <t>electric induction stoves</t>
  </si>
  <si>
    <t>biomass stoves</t>
  </si>
  <si>
    <t>Assumptions</t>
  </si>
  <si>
    <t>Sector</t>
  </si>
  <si>
    <t>Assumption</t>
  </si>
  <si>
    <t>Unit</t>
  </si>
  <si>
    <t>Value</t>
  </si>
  <si>
    <t>Name</t>
  </si>
  <si>
    <t>General</t>
  </si>
  <si>
    <t>de</t>
  </si>
  <si>
    <t>counry</t>
  </si>
  <si>
    <t>The base year for this analysis</t>
  </si>
  <si>
    <t>base_year</t>
  </si>
  <si>
    <t>Taken from the IEA energy balance</t>
  </si>
  <si>
    <t>DESTATIS and estimate based on 2012 application split</t>
  </si>
  <si>
    <t>Percentage of useful heat in space heating delivered by</t>
  </si>
  <si>
    <t>Hybrid heatpump</t>
  </si>
  <si>
    <t>Percentage of hot water (useful heat) delivered by</t>
  </si>
  <si>
    <t>electricity-driven heat pump (air)</t>
  </si>
  <si>
    <t>Percentage of useful cooling energy delivered by</t>
  </si>
  <si>
    <t>heat pumps (ground)</t>
  </si>
  <si>
    <t>No data available; assumed 100% airconditioning</t>
  </si>
  <si>
    <t>heat pumps (air)</t>
  </si>
  <si>
    <t>airconditioning</t>
  </si>
  <si>
    <t>Percentage of light (useful energy) delivered by</t>
  </si>
  <si>
    <t>incandescent lamps</t>
  </si>
  <si>
    <t>low energy light bulbs (efficiient fluorescent lighting)</t>
  </si>
  <si>
    <t>LED lamps</t>
  </si>
  <si>
    <t>Applicances</t>
  </si>
  <si>
    <t xml:space="preserve">Percentage of final electricity demand in appliances used in </t>
  </si>
  <si>
    <t>Percentage of electricity in appliances used in Dishwashers</t>
  </si>
  <si>
    <t>Percentage of electricity in appliances used in Fridges / Freezers</t>
  </si>
  <si>
    <t>Percentage of electricity in appliances used in Washing Machines</t>
  </si>
  <si>
    <t>Percentage of electricity in appliances used in Dryers</t>
  </si>
  <si>
    <t>Percentage of electricity in appliances used in appliances used by Television</t>
  </si>
  <si>
    <t>Percentage of electricity in appliances used in appliances used by Computers / Media</t>
  </si>
  <si>
    <t>Percentage of electricity in appliances used in appliances used by Vacuum Cleaners</t>
  </si>
  <si>
    <t>Percentage of electricity in appliances used in appliances used by others</t>
  </si>
  <si>
    <t>Heater characterization (solar thermal, el. add-on)</t>
  </si>
  <si>
    <t>Percentage of useful heat in space heating delivered by solar thermal panel (if household is equipped)</t>
  </si>
  <si>
    <t>Percentage of useful heat in hot water delivered by solar thermal panel (if household is equipped)</t>
  </si>
  <si>
    <t>Old / New Houses Split</t>
  </si>
  <si>
    <t>Percentage of old houses (built before 1992)</t>
  </si>
  <si>
    <t>Percentage of new houses (built after 1991)</t>
  </si>
  <si>
    <t>Average R-value of a typical old residence (built before 1992)</t>
  </si>
  <si>
    <t>Average R-value of a typical new residence (built after 1991)</t>
  </si>
  <si>
    <t>m2K/W</t>
  </si>
  <si>
    <t>HRE4 Source</t>
  </si>
  <si>
    <t>Just a guess</t>
  </si>
  <si>
    <t>HRE4</t>
  </si>
  <si>
    <t>HRE4, but re-corrected for heating-degree-day correction</t>
  </si>
  <si>
    <t>Final demand per energy carrier</t>
  </si>
  <si>
    <t>Notes</t>
  </si>
  <si>
    <t>In this sheet an overview is presented of the allocation of energy carriers over the different technologies and applications. In the next three sheets, the final demands for all electrical technologies are calculated as well as the cooking, heat pump and cooling final demands.</t>
  </si>
  <si>
    <t>Application</t>
  </si>
  <si>
    <t>Technology used</t>
  </si>
  <si>
    <t>Percentage of final demand</t>
  </si>
  <si>
    <t>Final demand for network gas (TJ)</t>
  </si>
  <si>
    <t>Final demand for electricity (TJ)</t>
  </si>
  <si>
    <t>Final demand for solar thermal (TJ)</t>
  </si>
  <si>
    <t>Final demand for coal (TJ)</t>
  </si>
  <si>
    <t>Final demand for oil (TJ)</t>
  </si>
  <si>
    <t>Final demand for woodpellets (TJ)</t>
  </si>
  <si>
    <t>Final demand for district heat (TJ)</t>
  </si>
  <si>
    <t>Effective efficiency (heating, cooling, cooking or lighting)</t>
  </si>
  <si>
    <t>Useful demand (TJ)</t>
  </si>
  <si>
    <t>Share of useful demand within application</t>
  </si>
  <si>
    <t>Total IEA value</t>
  </si>
  <si>
    <t>All</t>
  </si>
  <si>
    <t>Final demand (TJ)</t>
  </si>
  <si>
    <t>Condensing Combi Boiler (space heating)</t>
  </si>
  <si>
    <t>Solar thermal panel (space heating)</t>
  </si>
  <si>
    <t>Electric Heat Pump (ground) (space heating)</t>
  </si>
  <si>
    <t>Micro CHP (gas-fired)) (space heating)</t>
  </si>
  <si>
    <t>District Heating (space heating)</t>
  </si>
  <si>
    <t>electricity-driven Heat pump (air) (space heating)</t>
  </si>
  <si>
    <t>woodpellets (biomass) heaters (space heating)</t>
  </si>
  <si>
    <t>Electric Heaters (resistance) (space heating)</t>
  </si>
  <si>
    <t>Gas-fired Heaters (space heating)</t>
  </si>
  <si>
    <t>Oil-fired Heaters (space heating)</t>
  </si>
  <si>
    <t>Coal-fired Heaters (space heating)</t>
  </si>
  <si>
    <t>hybrid heat pump (space heating</t>
  </si>
  <si>
    <t>Condensing Combi Boiler (hot water)</t>
  </si>
  <si>
    <t>Solar thermal panel (hot water)</t>
  </si>
  <si>
    <t>Electric Heat Pump (ground) (hot water)</t>
  </si>
  <si>
    <t>Micro CHP (gas-fired)) (hot water)</t>
  </si>
  <si>
    <t>District Heating (hot water)</t>
  </si>
  <si>
    <t>electricity-driven Heat pump (air) (hot water)</t>
  </si>
  <si>
    <t>woodpellets (biomass) heaters (hot water)</t>
  </si>
  <si>
    <t>Electric Heaters (resistance) (hot water)</t>
  </si>
  <si>
    <t>Gas-fired Heaters (hot water)</t>
  </si>
  <si>
    <t>Oil-fired Heaters (hot water)</t>
  </si>
  <si>
    <t>Coal-fired Heaters (hot water)</t>
  </si>
  <si>
    <t>Fuel Cell (hot water)</t>
  </si>
  <si>
    <t>hybrid heat pump (hot water)</t>
  </si>
  <si>
    <t>Electric heat pump ground</t>
  </si>
  <si>
    <t>Electric heat pump air</t>
  </si>
  <si>
    <t>Conventional electric airconditioning</t>
  </si>
  <si>
    <t>Gas stoves</t>
  </si>
  <si>
    <t>Electric stoves (resistance)</t>
  </si>
  <si>
    <t>Electric halogen stoves</t>
  </si>
  <si>
    <t>Electric induction stoves</t>
  </si>
  <si>
    <t>Biomass stoves</t>
  </si>
  <si>
    <t>Incandescent lamps</t>
  </si>
  <si>
    <t>* The useful demand shares for lighting are based on expert data</t>
  </si>
  <si>
    <t>Low energy light bulbs / fluorescent lighting</t>
  </si>
  <si>
    <t>** These are the relative final demands</t>
  </si>
  <si>
    <t>Dishwashers</t>
  </si>
  <si>
    <t>Fridges / Freezers</t>
  </si>
  <si>
    <t>Washing Machines</t>
  </si>
  <si>
    <t>Dryers</t>
  </si>
  <si>
    <t>Television</t>
  </si>
  <si>
    <t>Computers / Media</t>
  </si>
  <si>
    <t>Vacuum Cleaners</t>
  </si>
  <si>
    <t>Others</t>
  </si>
  <si>
    <t>Subtotal of defined appliances</t>
  </si>
  <si>
    <t>Network gas</t>
  </si>
  <si>
    <t>Woodpellets</t>
  </si>
  <si>
    <t>District heat</t>
  </si>
  <si>
    <t>Subtotal (TJ)</t>
  </si>
  <si>
    <t>Diiference between Carrier demand in analysis and Carrier demand in IEA data (TJ)</t>
  </si>
  <si>
    <t>Relative error</t>
  </si>
  <si>
    <t>% condensing</t>
  </si>
  <si>
    <t>Based on HRE4</t>
  </si>
  <si>
    <t>Percentage of FINAL heat in cooking by</t>
  </si>
  <si>
    <t xml:space="preserve">Note: this sheet is only used anymore to determine final demand for electrical appliances. </t>
  </si>
  <si>
    <t>http://www.heatroadmap.eu/resources/HRE4%20Exchange%20Template%20WP3_v22b_website.xlsx</t>
  </si>
  <si>
    <t>Website</t>
  </si>
  <si>
    <t>Images</t>
  </si>
  <si>
    <t>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</si>
</sst>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0"/>
    <numFmt numFmtId="166" formatCode="0.000"/>
    <numFmt numFmtId="167" formatCode="0.0"/>
    <numFmt numFmtId="168" formatCode="#,##0.0"/>
    <numFmt numFmtId="169" formatCode="#,##0.00000000000000000"/>
    <numFmt numFmtId="170" formatCode="#,##0.0000000000000000000"/>
  </numFmts>
  <fonts count="48">
    <font>
      <sz val="12"/>
      <color theme="1"/>
      <name val="Calibri"/>
      <family val="2"/>
      <scheme val="minor"/>
    </font>
    <font>
      <b/>
      <sz val="11"/>
      <color indexed="32"/>
      <name val="Verdana"/>
      <family val="2"/>
    </font>
    <font>
      <sz val="8"/>
      <name val="Arial"/>
      <family val="2"/>
    </font>
    <font>
      <b/>
      <sz val="10"/>
      <color rgb="FF8B8D8E"/>
      <name val="Verdana"/>
      <family val="2"/>
    </font>
    <font>
      <b/>
      <sz val="8"/>
      <name val="Arial"/>
      <family val="2"/>
    </font>
    <font>
      <sz val="8"/>
      <name val="Verdana"/>
      <family val="2"/>
    </font>
    <font>
      <b/>
      <sz val="8"/>
      <color rgb="FFFFFFFF"/>
      <name val="Arial"/>
      <family val="2"/>
    </font>
    <font>
      <sz val="8"/>
      <color indexed="8"/>
      <name val="Arial"/>
      <family val="2"/>
    </font>
    <font>
      <sz val="8"/>
      <color theme="0"/>
      <name val="Arial"/>
      <family val="2"/>
    </font>
    <font>
      <sz val="6"/>
      <color indexed="54"/>
      <name val="Arial"/>
      <family val="2"/>
    </font>
    <font>
      <sz val="8"/>
      <color rgb="FF0039A6"/>
      <name val="Arial"/>
      <family val="2"/>
    </font>
    <font>
      <sz val="8"/>
      <color rgb="FF8B8D8E"/>
      <name val="Verdana"/>
      <family val="2"/>
    </font>
    <font>
      <sz val="8"/>
      <color indexed="32"/>
      <name val="Arial"/>
      <family val="2"/>
    </font>
    <font>
      <sz val="8"/>
      <color rgb="FFA2A4A4"/>
      <name val="Arial"/>
      <family val="2"/>
    </font>
    <font>
      <b/>
      <sz val="9"/>
      <color rgb="FF8B8D8E"/>
      <name val="Verdana"/>
      <family val="2"/>
    </font>
    <font>
      <sz val="7"/>
      <color rgb="FF8B8D8E"/>
      <name val="Arial"/>
      <family val="2"/>
    </font>
    <font>
      <b/>
      <sz val="8"/>
      <color theme="0"/>
      <name val="Verdana"/>
      <family val="2"/>
    </font>
    <font>
      <b/>
      <sz val="8"/>
      <color rgb="FF7AB800"/>
      <name val="Verdana"/>
      <family val="2"/>
    </font>
    <font>
      <sz val="8"/>
      <color rgb="FFBD0C30"/>
      <name val="Arial"/>
      <family val="2"/>
    </font>
    <font>
      <u/>
      <sz val="12"/>
      <color theme="10"/>
      <name val="Calibri"/>
      <family val="2"/>
      <scheme val="minor"/>
    </font>
    <font>
      <u/>
      <sz val="12"/>
      <color theme="11"/>
      <name val="Calibri"/>
      <family val="2"/>
      <scheme val="minor"/>
    </font>
    <font>
      <sz val="12"/>
      <color theme="1"/>
      <name val="Calibri"/>
      <family val="2"/>
      <scheme val="minor"/>
    </font>
    <font>
      <sz val="12"/>
      <color rgb="FF006100"/>
      <name val="Calibri"/>
      <family val="2"/>
      <scheme val="minor"/>
    </font>
    <font>
      <sz val="12"/>
      <color rgb="FFFF0000"/>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sz val="12"/>
      <name val="Calibri"/>
      <family val="2"/>
      <scheme val="minor"/>
    </font>
    <font>
      <b/>
      <sz val="12"/>
      <name val="Calibri"/>
      <family val="2"/>
      <scheme val="minor"/>
    </font>
    <font>
      <u/>
      <sz val="12"/>
      <color rgb="FF000000"/>
      <name val="Calibri"/>
      <family val="2"/>
    </font>
    <font>
      <b/>
      <sz val="12"/>
      <color rgb="FF000000"/>
      <name val="Calibri"/>
      <family val="2"/>
    </font>
    <font>
      <sz val="12"/>
      <color theme="1"/>
      <name val="Calibri"/>
      <family val="2"/>
    </font>
    <font>
      <i/>
      <sz val="12"/>
      <color rgb="FF000000"/>
      <name val="Calibri"/>
      <family val="2"/>
    </font>
    <font>
      <sz val="12"/>
      <color rgb="FF000000"/>
      <name val="Calibri"/>
      <family val="2"/>
    </font>
    <font>
      <sz val="12"/>
      <name val="Calibri"/>
      <family val="2"/>
    </font>
    <font>
      <b/>
      <sz val="12"/>
      <name val="Calibri"/>
      <family val="2"/>
    </font>
    <font>
      <sz val="12"/>
      <color rgb="FF2B2B2D"/>
      <name val="Arial"/>
      <family val="2"/>
    </font>
    <font>
      <b/>
      <sz val="12"/>
      <color rgb="FF2B2B2D"/>
      <name val="Arial"/>
      <family val="2"/>
    </font>
    <font>
      <sz val="9.6"/>
      <color rgb="FF2B2B2D"/>
      <name val="Arial"/>
      <family val="2"/>
    </font>
    <font>
      <sz val="12"/>
      <color rgb="FF000000"/>
      <name val="Calibri"/>
      <family val="2"/>
      <scheme val="minor"/>
    </font>
    <font>
      <b/>
      <sz val="12"/>
      <color rgb="FF000000"/>
      <name val="Calibri"/>
      <family val="2"/>
      <scheme val="minor"/>
    </font>
    <font>
      <u/>
      <sz val="12"/>
      <color rgb="FF000000"/>
      <name val="Calibri"/>
      <family val="2"/>
      <scheme val="minor"/>
    </font>
    <font>
      <b/>
      <sz val="16"/>
      <color theme="3"/>
      <name val="Calibri"/>
      <family val="2"/>
      <scheme val="minor"/>
    </font>
    <font>
      <b/>
      <sz val="12"/>
      <color theme="3"/>
      <name val="Calibri"/>
      <family val="2"/>
      <scheme val="minor"/>
    </font>
    <font>
      <sz val="12"/>
      <color theme="0" tint="-0.499984740745262"/>
      <name val="Calibri"/>
      <family val="2"/>
      <scheme val="minor"/>
    </font>
    <font>
      <u/>
      <sz val="12"/>
      <name val="Calibri"/>
      <family val="2"/>
      <scheme val="minor"/>
    </font>
    <font>
      <sz val="12"/>
      <color theme="3" tint="0.39997558519241921"/>
      <name val="Calibri"/>
      <family val="2"/>
      <scheme val="minor"/>
    </font>
    <font>
      <b/>
      <u/>
      <sz val="12"/>
      <color theme="1"/>
      <name val="Calibri"/>
      <family val="2"/>
      <scheme val="minor"/>
    </font>
  </fonts>
  <fills count="41">
    <fill>
      <patternFill patternType="none"/>
    </fill>
    <fill>
      <patternFill patternType="gray125"/>
    </fill>
    <fill>
      <patternFill patternType="solid">
        <fgColor indexed="10"/>
        <bgColor indexed="64"/>
      </patternFill>
    </fill>
    <fill>
      <patternFill patternType="solid">
        <fgColor indexed="55"/>
        <bgColor indexed="64"/>
      </patternFill>
    </fill>
    <fill>
      <patternFill patternType="solid">
        <fgColor indexed="52"/>
        <bgColor indexed="64"/>
      </patternFill>
    </fill>
    <fill>
      <patternFill patternType="solid">
        <fgColor indexed="32"/>
        <bgColor indexed="64"/>
      </patternFill>
    </fill>
    <fill>
      <patternFill patternType="solid">
        <fgColor indexed="22"/>
        <bgColor indexed="64"/>
      </patternFill>
    </fill>
    <fill>
      <patternFill patternType="solid">
        <fgColor indexed="61"/>
        <bgColor indexed="64"/>
      </patternFill>
    </fill>
    <fill>
      <patternFill patternType="solid">
        <fgColor indexed="18"/>
        <bgColor indexed="64"/>
      </patternFill>
    </fill>
    <fill>
      <patternFill patternType="solid">
        <fgColor rgb="FFE899CE"/>
        <bgColor indexed="64"/>
      </patternFill>
    </fill>
    <fill>
      <patternFill patternType="solid">
        <fgColor indexed="19"/>
        <bgColor indexed="64"/>
      </patternFill>
    </fill>
    <fill>
      <patternFill patternType="solid">
        <fgColor indexed="12"/>
        <bgColor indexed="64"/>
      </patternFill>
    </fill>
    <fill>
      <patternFill patternType="solid">
        <fgColor indexed="9"/>
        <bgColor indexed="64"/>
      </patternFill>
    </fill>
    <fill>
      <patternFill patternType="solid">
        <fgColor indexed="46"/>
        <bgColor indexed="64"/>
      </patternFill>
    </fill>
    <fill>
      <patternFill patternType="solid">
        <fgColor indexed="62"/>
        <bgColor indexed="64"/>
      </patternFill>
    </fill>
    <fill>
      <patternFill patternType="solid">
        <fgColor indexed="59"/>
        <bgColor indexed="64"/>
      </patternFill>
    </fill>
    <fill>
      <patternFill patternType="solid">
        <fgColor rgb="FFAA82C9"/>
        <bgColor indexed="64"/>
      </patternFill>
    </fill>
    <fill>
      <patternFill patternType="solid">
        <fgColor indexed="54"/>
        <bgColor indexed="64"/>
      </patternFill>
    </fill>
    <fill>
      <patternFill patternType="solid">
        <fgColor indexed="31"/>
        <bgColor indexed="64"/>
      </patternFill>
    </fill>
    <fill>
      <patternFill patternType="solid">
        <fgColor indexed="30"/>
        <bgColor indexed="64"/>
      </patternFill>
    </fill>
    <fill>
      <patternFill patternType="solid">
        <fgColor rgb="FFE5E533"/>
        <bgColor indexed="64"/>
      </patternFill>
    </fill>
    <fill>
      <patternFill patternType="solid">
        <fgColor rgb="FFD1339D"/>
        <bgColor indexed="64"/>
      </patternFill>
    </fill>
    <fill>
      <patternFill patternType="solid">
        <fgColor rgb="FF8E58B7"/>
        <bgColor indexed="64"/>
      </patternFill>
    </fill>
    <fill>
      <patternFill patternType="solid">
        <fgColor rgb="FF50458F"/>
        <bgColor indexed="64"/>
      </patternFill>
    </fill>
    <fill>
      <patternFill patternType="solid">
        <fgColor indexed="39"/>
        <bgColor indexed="64"/>
      </patternFill>
    </fill>
    <fill>
      <patternFill patternType="solid">
        <fgColor indexed="38"/>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23"/>
        <bgColor indexed="64"/>
      </patternFill>
    </fill>
    <fill>
      <patternFill patternType="solid">
        <fgColor indexed="17"/>
        <bgColor indexed="64"/>
      </patternFill>
    </fill>
    <fill>
      <patternFill patternType="solid">
        <fgColor indexed="56"/>
        <bgColor indexed="64"/>
      </patternFill>
    </fill>
    <fill>
      <patternFill patternType="solid">
        <fgColor indexed="33"/>
        <bgColor indexed="64"/>
      </patternFill>
    </fill>
    <fill>
      <patternFill patternType="solid">
        <fgColor indexed="50"/>
        <bgColor indexed="64"/>
      </patternFill>
    </fill>
    <fill>
      <patternFill patternType="solid">
        <fgColor indexed="49"/>
        <bgColor indexed="64"/>
      </patternFill>
    </fill>
    <fill>
      <patternFill patternType="solid">
        <fgColor rgb="FFC6EFCE"/>
      </patternFill>
    </fill>
    <fill>
      <patternFill patternType="solid">
        <fgColor theme="0"/>
        <bgColor indexed="64"/>
      </patternFill>
    </fill>
    <fill>
      <patternFill patternType="solid">
        <fgColor rgb="FFFFFFFF"/>
        <bgColor rgb="FF000000"/>
      </patternFill>
    </fill>
    <fill>
      <patternFill patternType="solid">
        <fgColor rgb="FFFFFF00"/>
        <bgColor indexed="64"/>
      </patternFill>
    </fill>
    <fill>
      <patternFill patternType="solid">
        <fgColor theme="6" tint="0.59999389629810485"/>
        <bgColor indexed="64"/>
      </patternFill>
    </fill>
    <fill>
      <patternFill patternType="solid">
        <fgColor theme="2"/>
        <bgColor indexed="64"/>
      </patternFill>
    </fill>
  </fills>
  <borders count="53">
    <border>
      <left/>
      <right/>
      <top/>
      <bottom/>
      <diagonal/>
    </border>
    <border>
      <left/>
      <right/>
      <top/>
      <bottom style="medium">
        <color indexed="33"/>
      </bottom>
      <diagonal/>
    </border>
    <border>
      <left/>
      <right/>
      <top/>
      <bottom style="thin">
        <color indexed="33"/>
      </bottom>
      <diagonal/>
    </border>
    <border>
      <left style="hair">
        <color indexed="43"/>
      </left>
      <right style="hair">
        <color indexed="43"/>
      </right>
      <top style="hair">
        <color indexed="43"/>
      </top>
      <bottom style="thin">
        <color indexed="34"/>
      </bottom>
      <diagonal/>
    </border>
    <border>
      <left style="hair">
        <color indexed="47"/>
      </left>
      <right style="hair">
        <color indexed="47"/>
      </right>
      <top style="hair">
        <color indexed="47"/>
      </top>
      <bottom style="hair">
        <color indexed="47"/>
      </bottom>
      <diagonal/>
    </border>
    <border>
      <left style="hair">
        <color indexed="13"/>
      </left>
      <right style="hair">
        <color indexed="13"/>
      </right>
      <top style="hair">
        <color indexed="13"/>
      </top>
      <bottom style="hair">
        <color indexed="13"/>
      </bottom>
      <diagonal/>
    </border>
    <border>
      <left/>
      <right/>
      <top style="thin">
        <color indexed="33"/>
      </top>
      <bottom/>
      <diagonal/>
    </border>
    <border>
      <left/>
      <right/>
      <top/>
      <bottom style="thin">
        <color indexed="34"/>
      </bottom>
      <diagonal/>
    </border>
    <border>
      <left style="hair">
        <color indexed="43"/>
      </left>
      <right style="hair">
        <color indexed="43"/>
      </right>
      <top style="hair">
        <color indexed="43"/>
      </top>
      <bottom style="hair">
        <color indexed="43"/>
      </bottom>
      <diagonal/>
    </border>
    <border>
      <left style="hair">
        <color indexed="43"/>
      </left>
      <right style="hair">
        <color indexed="43"/>
      </right>
      <top style="hair">
        <color indexed="43"/>
      </top>
      <bottom style="thin">
        <color indexed="33"/>
      </bottom>
      <diagonal/>
    </border>
    <border>
      <left style="thin">
        <color auto="1"/>
      </left>
      <right/>
      <top/>
      <bottom/>
      <diagonal/>
    </border>
    <border>
      <left style="medium">
        <color auto="1"/>
      </left>
      <right style="medium">
        <color auto="1"/>
      </right>
      <top style="medium">
        <color auto="1"/>
      </top>
      <bottom style="medium">
        <color auto="1"/>
      </bottom>
      <diagonal/>
    </border>
    <border>
      <left style="thin">
        <color theme="0"/>
      </left>
      <right style="thin">
        <color theme="0"/>
      </right>
      <top/>
      <bottom/>
      <diagonal/>
    </border>
    <border>
      <left style="thin">
        <color theme="0"/>
      </left>
      <right style="medium">
        <color auto="1"/>
      </right>
      <top/>
      <bottom/>
      <diagonal/>
    </border>
    <border>
      <left style="medium">
        <color auto="1"/>
      </left>
      <right/>
      <top/>
      <bottom/>
      <diagonal/>
    </border>
    <border>
      <left style="thin">
        <color theme="0"/>
      </left>
      <right/>
      <top/>
      <bottom/>
      <diagonal/>
    </border>
    <border>
      <left style="medium">
        <color auto="1"/>
      </left>
      <right/>
      <top/>
      <bottom style="thin">
        <color auto="1"/>
      </bottom>
      <diagonal/>
    </border>
    <border>
      <left/>
      <right/>
      <top/>
      <bottom style="thin">
        <color auto="1"/>
      </bottom>
      <diagonal/>
    </border>
    <border>
      <left style="thin">
        <color theme="0"/>
      </left>
      <right/>
      <top/>
      <bottom style="thin">
        <color auto="1"/>
      </bottom>
      <diagonal/>
    </border>
    <border>
      <left style="thin">
        <color theme="0"/>
      </left>
      <right style="thin">
        <color theme="0"/>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top style="thin">
        <color indexed="64"/>
      </top>
      <bottom/>
      <diagonal/>
    </border>
    <border>
      <left/>
      <right/>
      <top style="thin">
        <color indexed="64"/>
      </top>
      <bottom/>
      <diagonal/>
    </border>
    <border>
      <left/>
      <right style="medium">
        <color indexed="64"/>
      </right>
      <top style="thin">
        <color indexed="64"/>
      </top>
      <bottom/>
      <diagonal/>
    </border>
    <border>
      <left/>
      <right/>
      <top style="thin">
        <color indexed="64"/>
      </top>
      <bottom style="double">
        <color indexed="64"/>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style="medium">
        <color auto="1"/>
      </bottom>
      <diagonal/>
    </border>
    <border>
      <left style="thin">
        <color theme="0"/>
      </left>
      <right/>
      <top style="thin">
        <color auto="1"/>
      </top>
      <bottom/>
      <diagonal/>
    </border>
    <border>
      <left style="thin">
        <color theme="0"/>
      </left>
      <right style="thin">
        <color theme="0"/>
      </right>
      <top style="thin">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style="thin">
        <color theme="0"/>
      </left>
      <right style="thin">
        <color theme="0"/>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top style="thin">
        <color auto="1"/>
      </top>
      <bottom style="thin">
        <color auto="1"/>
      </bottom>
      <diagonal/>
    </border>
    <border>
      <left/>
      <right style="medium">
        <color auto="1"/>
      </right>
      <top style="medium">
        <color auto="1"/>
      </top>
      <bottom style="medium">
        <color auto="1"/>
      </bottom>
      <diagonal/>
    </border>
    <border>
      <left/>
      <right/>
      <top/>
      <bottom style="thin">
        <color indexed="8"/>
      </bottom>
      <diagonal/>
    </border>
    <border>
      <left/>
      <right/>
      <top style="thin">
        <color indexed="8"/>
      </top>
      <bottom/>
      <diagonal/>
    </border>
    <border>
      <left/>
      <right style="thin">
        <color auto="1"/>
      </right>
      <top style="thin">
        <color auto="1"/>
      </top>
      <bottom/>
      <diagonal/>
    </border>
    <border>
      <left/>
      <right/>
      <top style="thin">
        <color auto="1"/>
      </top>
      <bottom/>
      <diagonal/>
    </border>
    <border>
      <left/>
      <right style="medium">
        <color auto="1"/>
      </right>
      <top style="thin">
        <color auto="1"/>
      </top>
      <bottom/>
      <diagonal/>
    </border>
    <border>
      <left/>
      <right/>
      <top style="thin">
        <color indexed="8"/>
      </top>
      <bottom style="thin">
        <color auto="1"/>
      </bottom>
      <diagonal/>
    </border>
    <border>
      <left/>
      <right style="medium">
        <color auto="1"/>
      </right>
      <top/>
      <bottom style="medium">
        <color auto="1"/>
      </bottom>
      <diagonal/>
    </border>
  </borders>
  <cellStyleXfs count="62">
    <xf numFmtId="0" fontId="0" fillId="0" borderId="0"/>
    <xf numFmtId="0" fontId="1" fillId="0" borderId="1" applyNumberFormat="0" applyFill="0" applyAlignment="0"/>
    <xf numFmtId="0" fontId="2" fillId="0" borderId="0"/>
    <xf numFmtId="0" fontId="3" fillId="0" borderId="2" applyNumberFormat="0" applyFill="0" applyAlignment="0"/>
    <xf numFmtId="0" fontId="4" fillId="0" borderId="3" applyNumberFormat="0">
      <alignment wrapText="1"/>
    </xf>
    <xf numFmtId="0" fontId="5" fillId="0" borderId="4" applyNumberFormat="0" applyAlignment="0"/>
    <xf numFmtId="9" fontId="2" fillId="0" borderId="0" applyFont="0" applyFill="0" applyBorder="0" applyAlignment="0" applyProtection="0"/>
    <xf numFmtId="1" fontId="2" fillId="0" borderId="5" applyNumberFormat="0" applyFont="0" applyAlignment="0">
      <protection locked="0"/>
    </xf>
    <xf numFmtId="0" fontId="2" fillId="2" borderId="5" applyNumberFormat="0" applyFont="0" applyAlignment="0"/>
    <xf numFmtId="0" fontId="2" fillId="3" borderId="5" applyNumberFormat="0" applyFont="0" applyAlignment="0"/>
    <xf numFmtId="0" fontId="2" fillId="4" borderId="5" applyNumberFormat="0" applyFont="0" applyAlignment="0"/>
    <xf numFmtId="0" fontId="6" fillId="5" borderId="5" applyNumberFormat="0" applyAlignment="0"/>
    <xf numFmtId="0" fontId="7" fillId="6" borderId="0" applyNumberFormat="0" applyBorder="0" applyAlignment="0" applyProtection="0"/>
    <xf numFmtId="0" fontId="7"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2"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2" fillId="0" borderId="5" applyNumberFormat="0" applyFont="0" applyFill="0" applyAlignment="0"/>
    <xf numFmtId="0" fontId="2" fillId="30" borderId="5" applyNumberFormat="0" applyFont="0" applyAlignment="0"/>
    <xf numFmtId="0" fontId="9" fillId="0" borderId="0" applyNumberFormat="0" applyFill="0" applyBorder="0" applyAlignment="0"/>
    <xf numFmtId="0" fontId="10" fillId="0" borderId="0" applyNumberFormat="0" applyFill="0" applyBorder="0" applyAlignment="0"/>
    <xf numFmtId="0" fontId="11" fillId="0" borderId="6" applyNumberFormat="0" applyFill="0" applyAlignment="0"/>
    <xf numFmtId="3" fontId="2" fillId="31" borderId="5" applyNumberFormat="0" applyFont="0" applyAlignment="0">
      <protection locked="0"/>
    </xf>
    <xf numFmtId="1" fontId="12" fillId="31" borderId="5" applyNumberFormat="0" applyAlignment="0">
      <protection locked="0"/>
    </xf>
    <xf numFmtId="0" fontId="2" fillId="14" borderId="5" applyNumberFormat="0" applyFont="0" applyAlignment="0"/>
    <xf numFmtId="3" fontId="2" fillId="8" borderId="5" applyNumberFormat="0" applyFont="0" applyAlignment="0">
      <protection locked="0"/>
    </xf>
    <xf numFmtId="0" fontId="13" fillId="0" borderId="0" applyNumberFormat="0" applyFill="0" applyBorder="0">
      <alignment horizontal="right"/>
    </xf>
    <xf numFmtId="0" fontId="14" fillId="0" borderId="7" applyNumberFormat="0" applyFill="0" applyAlignment="0"/>
    <xf numFmtId="0" fontId="15" fillId="0" borderId="0" applyNumberFormat="0" applyFill="0" applyBorder="0" applyAlignment="0"/>
    <xf numFmtId="0" fontId="2" fillId="0" borderId="8" applyNumberFormat="0" applyFont="0" applyAlignment="0"/>
    <xf numFmtId="0" fontId="5" fillId="0" borderId="8" applyNumberFormat="0" applyAlignment="0"/>
    <xf numFmtId="0" fontId="16" fillId="32" borderId="0" applyNumberFormat="0" applyBorder="0">
      <alignment wrapText="1"/>
    </xf>
    <xf numFmtId="0" fontId="17" fillId="0" borderId="9" applyNumberFormat="0">
      <alignment wrapText="1"/>
    </xf>
    <xf numFmtId="0" fontId="2" fillId="33" borderId="0" applyNumberFormat="0" applyFont="0" applyBorder="0" applyAlignment="0">
      <protection locked="0"/>
    </xf>
    <xf numFmtId="0" fontId="18" fillId="34" borderId="0" applyNumberFormat="0" applyBorder="0" applyAlignment="0">
      <protection locked="0"/>
    </xf>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9" fontId="21" fillId="0" borderId="0" applyFont="0" applyFill="0" applyBorder="0" applyAlignment="0" applyProtection="0"/>
    <xf numFmtId="0" fontId="22" fillId="35" borderId="0" applyNumberFormat="0" applyBorder="0" applyAlignment="0" applyProtection="0"/>
  </cellStyleXfs>
  <cellXfs count="345">
    <xf numFmtId="0" fontId="0" fillId="0" borderId="0" xfId="0"/>
    <xf numFmtId="3" fontId="0" fillId="0" borderId="11" xfId="0" applyNumberFormat="1" applyFont="1" applyFill="1" applyBorder="1" applyAlignment="1">
      <alignment horizontal="right"/>
    </xf>
    <xf numFmtId="0" fontId="25" fillId="0" borderId="12" xfId="0" applyFont="1" applyFill="1" applyBorder="1" applyAlignment="1">
      <alignment horizontal="left"/>
    </xf>
    <xf numFmtId="3" fontId="0" fillId="0" borderId="13" xfId="0" applyNumberFormat="1" applyFont="1" applyFill="1" applyBorder="1" applyAlignment="1">
      <alignment horizontal="center"/>
    </xf>
    <xf numFmtId="0" fontId="0" fillId="0" borderId="0" xfId="0" applyAlignment="1">
      <alignment horizontal="center"/>
    </xf>
    <xf numFmtId="3" fontId="0" fillId="0" borderId="0" xfId="0" applyNumberFormat="1"/>
    <xf numFmtId="165" fontId="0" fillId="0" borderId="0" xfId="0" applyNumberFormat="1"/>
    <xf numFmtId="2" fontId="0" fillId="0" borderId="0" xfId="0" applyNumberFormat="1"/>
    <xf numFmtId="0" fontId="26" fillId="36" borderId="14" xfId="0" applyFont="1" applyFill="1" applyBorder="1"/>
    <xf numFmtId="0" fontId="24" fillId="36" borderId="0" xfId="0" applyFont="1" applyFill="1" applyBorder="1"/>
    <xf numFmtId="0" fontId="24" fillId="36" borderId="0" xfId="0" applyFont="1" applyFill="1" applyBorder="1" applyAlignment="1">
      <alignment horizontal="center"/>
    </xf>
    <xf numFmtId="0" fontId="24" fillId="36" borderId="0" xfId="0" applyFont="1" applyFill="1" applyBorder="1" applyAlignment="1">
      <alignment horizontal="right"/>
    </xf>
    <xf numFmtId="0" fontId="0" fillId="36" borderId="14" xfId="0" applyFill="1" applyBorder="1"/>
    <xf numFmtId="0" fontId="0" fillId="0" borderId="0" xfId="0" applyFont="1" applyFill="1" applyBorder="1"/>
    <xf numFmtId="3" fontId="0" fillId="0" borderId="15" xfId="0" applyNumberFormat="1" applyFont="1" applyFill="1" applyBorder="1" applyAlignment="1">
      <alignment horizontal="center"/>
    </xf>
    <xf numFmtId="3" fontId="0" fillId="0" borderId="0" xfId="0" applyNumberFormat="1" applyFont="1" applyFill="1" applyBorder="1" applyAlignment="1">
      <alignment horizontal="right"/>
    </xf>
    <xf numFmtId="0" fontId="0" fillId="0" borderId="0" xfId="0" applyFill="1" applyBorder="1"/>
    <xf numFmtId="0" fontId="0" fillId="36" borderId="0" xfId="0" applyFont="1" applyFill="1" applyBorder="1"/>
    <xf numFmtId="0" fontId="0" fillId="36" borderId="15" xfId="0" applyFont="1" applyFill="1" applyBorder="1" applyAlignment="1">
      <alignment horizontal="center"/>
    </xf>
    <xf numFmtId="9" fontId="21" fillId="36" borderId="0" xfId="60" applyFont="1" applyFill="1" applyBorder="1" applyAlignment="1">
      <alignment horizontal="right"/>
    </xf>
    <xf numFmtId="0" fontId="25" fillId="36" borderId="12" xfId="0" applyFont="1" applyFill="1" applyBorder="1" applyAlignment="1">
      <alignment horizontal="left"/>
    </xf>
    <xf numFmtId="0" fontId="0" fillId="0" borderId="0" xfId="0" applyFont="1" applyFill="1" applyBorder="1" applyAlignment="1">
      <alignment horizontal="left"/>
    </xf>
    <xf numFmtId="0" fontId="0" fillId="0" borderId="0" xfId="0" applyFont="1" applyFill="1" applyBorder="1" applyAlignment="1">
      <alignment horizontal="left" indent="2"/>
    </xf>
    <xf numFmtId="0" fontId="0" fillId="36" borderId="0" xfId="0" applyFont="1" applyFill="1" applyBorder="1" applyAlignment="1">
      <alignment horizontal="right"/>
    </xf>
    <xf numFmtId="0" fontId="0" fillId="36" borderId="12" xfId="0" applyFill="1" applyBorder="1" applyAlignment="1">
      <alignment horizontal="left"/>
    </xf>
    <xf numFmtId="167" fontId="27" fillId="36" borderId="0" xfId="60" applyNumberFormat="1" applyFont="1" applyFill="1" applyBorder="1" applyAlignment="1">
      <alignment horizontal="right"/>
    </xf>
    <xf numFmtId="167" fontId="28" fillId="36" borderId="0" xfId="60" applyNumberFormat="1" applyFont="1" applyFill="1" applyBorder="1" applyAlignment="1">
      <alignment horizontal="right"/>
    </xf>
    <xf numFmtId="0" fontId="26" fillId="36" borderId="16" xfId="0" applyFont="1" applyFill="1" applyBorder="1"/>
    <xf numFmtId="0" fontId="0" fillId="36" borderId="17" xfId="0" applyFont="1" applyFill="1" applyBorder="1"/>
    <xf numFmtId="0" fontId="0" fillId="36" borderId="18" xfId="0" applyFont="1" applyFill="1" applyBorder="1" applyAlignment="1">
      <alignment horizontal="center"/>
    </xf>
    <xf numFmtId="0" fontId="0" fillId="36" borderId="17" xfId="0" applyFont="1" applyFill="1" applyBorder="1" applyAlignment="1">
      <alignment horizontal="right"/>
    </xf>
    <xf numFmtId="0" fontId="0" fillId="36" borderId="19" xfId="0" applyFill="1" applyBorder="1" applyAlignment="1">
      <alignment horizontal="left"/>
    </xf>
    <xf numFmtId="0" fontId="29" fillId="37" borderId="14" xfId="0" applyFont="1" applyFill="1" applyBorder="1"/>
    <xf numFmtId="0" fontId="30" fillId="37" borderId="0" xfId="0" applyFont="1" applyFill="1" applyBorder="1"/>
    <xf numFmtId="0" fontId="31" fillId="37" borderId="14" xfId="0" applyFont="1" applyFill="1" applyBorder="1"/>
    <xf numFmtId="0" fontId="31" fillId="0" borderId="0" xfId="0" applyFont="1" applyFill="1" applyBorder="1"/>
    <xf numFmtId="3" fontId="31" fillId="0" borderId="0" xfId="0" applyNumberFormat="1" applyFont="1" applyFill="1" applyBorder="1" applyAlignment="1">
      <alignment horizontal="right"/>
    </xf>
    <xf numFmtId="0" fontId="31" fillId="37" borderId="0" xfId="0" applyFont="1" applyFill="1" applyBorder="1"/>
    <xf numFmtId="9" fontId="33" fillId="37" borderId="0" xfId="60" applyFont="1" applyFill="1" applyBorder="1" applyAlignment="1">
      <alignment horizontal="right"/>
    </xf>
    <xf numFmtId="0" fontId="31" fillId="0" borderId="0" xfId="0" applyFont="1" applyFill="1" applyBorder="1" applyAlignment="1">
      <alignment horizontal="left"/>
    </xf>
    <xf numFmtId="0" fontId="31" fillId="0" borderId="0" xfId="0" applyFont="1" applyFill="1" applyBorder="1" applyAlignment="1">
      <alignment horizontal="left" indent="2"/>
    </xf>
    <xf numFmtId="0" fontId="31" fillId="37" borderId="0" xfId="0" applyFont="1" applyFill="1" applyBorder="1" applyAlignment="1">
      <alignment horizontal="right"/>
    </xf>
    <xf numFmtId="167" fontId="34" fillId="37" borderId="0" xfId="60" applyNumberFormat="1" applyFont="1" applyFill="1" applyBorder="1" applyAlignment="1">
      <alignment horizontal="right"/>
    </xf>
    <xf numFmtId="167" fontId="35" fillId="37" borderId="0" xfId="60" applyNumberFormat="1" applyFont="1" applyFill="1" applyBorder="1" applyAlignment="1">
      <alignment horizontal="right"/>
    </xf>
    <xf numFmtId="0" fontId="31" fillId="37" borderId="17" xfId="0" applyFont="1" applyFill="1" applyBorder="1"/>
    <xf numFmtId="0" fontId="29" fillId="37" borderId="20" xfId="0" applyFont="1" applyFill="1" applyBorder="1"/>
    <xf numFmtId="0" fontId="30" fillId="37" borderId="21" xfId="0" applyFont="1" applyFill="1" applyBorder="1"/>
    <xf numFmtId="0" fontId="30" fillId="37" borderId="21" xfId="0" applyFont="1" applyFill="1" applyBorder="1" applyAlignment="1">
      <alignment horizontal="center"/>
    </xf>
    <xf numFmtId="0" fontId="30" fillId="37" borderId="21" xfId="0" applyFont="1" applyFill="1" applyBorder="1" applyAlignment="1">
      <alignment horizontal="right"/>
    </xf>
    <xf numFmtId="0" fontId="0" fillId="0" borderId="0" xfId="0" applyBorder="1"/>
    <xf numFmtId="0" fontId="29" fillId="37" borderId="24" xfId="0" applyFont="1" applyFill="1" applyBorder="1"/>
    <xf numFmtId="0" fontId="31" fillId="37" borderId="25" xfId="0" applyFont="1" applyFill="1" applyBorder="1"/>
    <xf numFmtId="0" fontId="31" fillId="37" borderId="25" xfId="0" applyFont="1" applyFill="1" applyBorder="1" applyAlignment="1">
      <alignment horizontal="right"/>
    </xf>
    <xf numFmtId="3" fontId="31" fillId="0" borderId="0" xfId="0" applyNumberFormat="1" applyFont="1" applyFill="1" applyBorder="1" applyAlignment="1">
      <alignment horizontal="center"/>
    </xf>
    <xf numFmtId="0" fontId="32" fillId="0" borderId="0" xfId="0" applyFont="1" applyFill="1" applyBorder="1" applyAlignment="1">
      <alignment horizontal="left"/>
    </xf>
    <xf numFmtId="0" fontId="31" fillId="37" borderId="0" xfId="0" applyFont="1" applyFill="1" applyBorder="1" applyAlignment="1">
      <alignment horizontal="center"/>
    </xf>
    <xf numFmtId="0" fontId="32" fillId="37" borderId="0" xfId="0" applyFont="1" applyFill="1" applyBorder="1" applyAlignment="1">
      <alignment horizontal="left"/>
    </xf>
    <xf numFmtId="0" fontId="31" fillId="37" borderId="0" xfId="0" applyFont="1" applyFill="1" applyBorder="1" applyAlignment="1">
      <alignment horizontal="left"/>
    </xf>
    <xf numFmtId="0" fontId="0" fillId="0" borderId="0" xfId="0" applyBorder="1" applyAlignment="1">
      <alignment horizontal="center"/>
    </xf>
    <xf numFmtId="164" fontId="31" fillId="0" borderId="0" xfId="60" applyNumberFormat="1" applyFont="1" applyFill="1" applyBorder="1" applyAlignment="1">
      <alignment horizontal="right"/>
    </xf>
    <xf numFmtId="0" fontId="0" fillId="0" borderId="14" xfId="0" applyBorder="1"/>
    <xf numFmtId="0" fontId="31" fillId="37" borderId="25" xfId="0" applyFont="1" applyFill="1" applyBorder="1" applyAlignment="1">
      <alignment horizontal="center"/>
    </xf>
    <xf numFmtId="0" fontId="31" fillId="37" borderId="25" xfId="0" applyFont="1" applyFill="1" applyBorder="1" applyAlignment="1">
      <alignment horizontal="left"/>
    </xf>
    <xf numFmtId="0" fontId="0" fillId="0" borderId="27" xfId="0" applyBorder="1"/>
    <xf numFmtId="0" fontId="31" fillId="0" borderId="28" xfId="0" applyFont="1" applyFill="1" applyBorder="1" applyAlignment="1">
      <alignment horizontal="left"/>
    </xf>
    <xf numFmtId="0" fontId="0" fillId="0" borderId="28" xfId="0" applyBorder="1"/>
    <xf numFmtId="0" fontId="0" fillId="0" borderId="28" xfId="0" applyBorder="1" applyAlignment="1">
      <alignment horizontal="center"/>
    </xf>
    <xf numFmtId="0" fontId="29" fillId="37" borderId="27" xfId="0" applyFont="1" applyFill="1" applyBorder="1"/>
    <xf numFmtId="0" fontId="30" fillId="37" borderId="28" xfId="0" applyFont="1" applyFill="1" applyBorder="1"/>
    <xf numFmtId="0" fontId="30" fillId="37" borderId="28" xfId="0" applyFont="1" applyFill="1" applyBorder="1" applyAlignment="1">
      <alignment horizontal="center"/>
    </xf>
    <xf numFmtId="0" fontId="30" fillId="37" borderId="28" xfId="0" applyFont="1" applyFill="1" applyBorder="1" applyAlignment="1">
      <alignment horizontal="right"/>
    </xf>
    <xf numFmtId="0" fontId="36" fillId="0" borderId="0" xfId="0" applyFont="1"/>
    <xf numFmtId="0" fontId="0" fillId="0" borderId="0" xfId="0"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0" xfId="0" applyBorder="1" applyAlignment="1">
      <alignment horizontal="right"/>
    </xf>
    <xf numFmtId="0" fontId="0" fillId="0" borderId="23" xfId="0" applyBorder="1" applyAlignment="1">
      <alignment horizontal="right"/>
    </xf>
    <xf numFmtId="0" fontId="0" fillId="0" borderId="28" xfId="0" applyBorder="1" applyAlignment="1">
      <alignment horizontal="right"/>
    </xf>
    <xf numFmtId="0" fontId="0" fillId="0" borderId="29" xfId="0" applyBorder="1" applyAlignment="1">
      <alignment horizontal="right"/>
    </xf>
    <xf numFmtId="0" fontId="0" fillId="0" borderId="25" xfId="0" applyBorder="1" applyAlignment="1">
      <alignment horizontal="right"/>
    </xf>
    <xf numFmtId="0" fontId="0" fillId="0" borderId="26" xfId="0" applyBorder="1" applyAlignment="1">
      <alignment horizontal="right"/>
    </xf>
    <xf numFmtId="3" fontId="0" fillId="0" borderId="0" xfId="0" applyNumberFormat="1" applyAlignment="1">
      <alignment horizontal="center"/>
    </xf>
    <xf numFmtId="3" fontId="0" fillId="0" borderId="0" xfId="0" applyNumberFormat="1" applyAlignment="1">
      <alignment horizontal="right"/>
    </xf>
    <xf numFmtId="0" fontId="24" fillId="0" borderId="0" xfId="0" applyFon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xf>
    <xf numFmtId="0" fontId="24" fillId="0" borderId="0" xfId="0" applyFont="1" applyAlignment="1">
      <alignment horizontal="left"/>
    </xf>
    <xf numFmtId="0" fontId="36" fillId="0" borderId="0" xfId="0" applyFont="1" applyAlignment="1"/>
    <xf numFmtId="3" fontId="0" fillId="0" borderId="30" xfId="0" applyNumberFormat="1" applyBorder="1"/>
    <xf numFmtId="3" fontId="0" fillId="0" borderId="30" xfId="0" applyNumberFormat="1" applyBorder="1" applyAlignment="1">
      <alignment horizontal="center"/>
    </xf>
    <xf numFmtId="164" fontId="0" fillId="0" borderId="0" xfId="60" applyNumberFormat="1" applyFont="1" applyAlignment="1">
      <alignment horizontal="right"/>
    </xf>
    <xf numFmtId="0" fontId="38" fillId="0" borderId="0" xfId="0" applyFont="1"/>
    <xf numFmtId="164" fontId="0" fillId="0" borderId="0" xfId="0" applyNumberFormat="1" applyBorder="1"/>
    <xf numFmtId="9" fontId="0" fillId="0" borderId="0" xfId="0" applyNumberFormat="1"/>
    <xf numFmtId="167" fontId="0" fillId="0" borderId="0" xfId="0" applyNumberFormat="1"/>
    <xf numFmtId="168" fontId="0" fillId="0" borderId="0" xfId="0" applyNumberFormat="1"/>
    <xf numFmtId="0" fontId="39" fillId="0" borderId="0" xfId="0" applyFont="1" applyAlignment="1">
      <alignment horizontal="left" indent="1"/>
    </xf>
    <xf numFmtId="9" fontId="39" fillId="0" borderId="0" xfId="0" applyNumberFormat="1" applyFont="1"/>
    <xf numFmtId="0" fontId="39" fillId="0" borderId="0" xfId="0" applyFont="1"/>
    <xf numFmtId="3" fontId="25" fillId="0" borderId="0" xfId="0" applyNumberFormat="1" applyFont="1"/>
    <xf numFmtId="3" fontId="25" fillId="0" borderId="30" xfId="0" applyNumberFormat="1" applyFont="1" applyBorder="1"/>
    <xf numFmtId="0" fontId="0" fillId="0" borderId="30" xfId="0" applyBorder="1"/>
    <xf numFmtId="0" fontId="0" fillId="38" borderId="0" xfId="0" applyFill="1" applyAlignment="1">
      <alignment horizontal="left" indent="2"/>
    </xf>
    <xf numFmtId="167" fontId="0" fillId="38" borderId="0" xfId="0" applyNumberFormat="1" applyFill="1"/>
    <xf numFmtId="0" fontId="0" fillId="38" borderId="0" xfId="0" applyFill="1"/>
    <xf numFmtId="3" fontId="0" fillId="38" borderId="0" xfId="0" applyNumberFormat="1" applyFill="1"/>
    <xf numFmtId="10" fontId="0" fillId="0" borderId="0" xfId="60" applyNumberFormat="1" applyFont="1"/>
    <xf numFmtId="10" fontId="0" fillId="0" borderId="30" xfId="60" applyNumberFormat="1" applyFont="1" applyBorder="1"/>
    <xf numFmtId="10" fontId="0" fillId="36" borderId="0" xfId="60" applyNumberFormat="1" applyFont="1" applyFill="1" applyBorder="1" applyAlignment="1">
      <alignment horizontal="right"/>
    </xf>
    <xf numFmtId="0" fontId="0" fillId="0" borderId="15" xfId="0" applyFont="1" applyFill="1" applyBorder="1" applyAlignment="1">
      <alignment horizontal="center"/>
    </xf>
    <xf numFmtId="10" fontId="0" fillId="0" borderId="11" xfId="60" applyNumberFormat="1" applyFont="1" applyFill="1" applyBorder="1" applyAlignment="1">
      <alignment horizontal="right"/>
    </xf>
    <xf numFmtId="10" fontId="0" fillId="36" borderId="17" xfId="60" applyNumberFormat="1" applyFont="1" applyFill="1" applyBorder="1" applyAlignment="1">
      <alignment horizontal="right"/>
    </xf>
    <xf numFmtId="0" fontId="24" fillId="36" borderId="20" xfId="0" applyFont="1" applyFill="1" applyBorder="1"/>
    <xf numFmtId="0" fontId="0" fillId="36" borderId="21" xfId="0" applyFont="1" applyFill="1" applyBorder="1"/>
    <xf numFmtId="0" fontId="0" fillId="36" borderId="21" xfId="0" applyFont="1" applyFill="1" applyBorder="1" applyAlignment="1">
      <alignment horizontal="center"/>
    </xf>
    <xf numFmtId="0" fontId="0" fillId="36" borderId="21" xfId="0" applyFont="1" applyFill="1" applyBorder="1" applyAlignment="1">
      <alignment horizontal="right"/>
    </xf>
    <xf numFmtId="0" fontId="0" fillId="36" borderId="21" xfId="0" applyFill="1" applyBorder="1"/>
    <xf numFmtId="0" fontId="0" fillId="36" borderId="14" xfId="0" applyFont="1" applyFill="1" applyBorder="1"/>
    <xf numFmtId="0" fontId="0" fillId="36" borderId="0" xfId="0" applyFont="1" applyFill="1" applyBorder="1" applyAlignment="1">
      <alignment horizontal="center"/>
    </xf>
    <xf numFmtId="0" fontId="0" fillId="36" borderId="0" xfId="0" applyFill="1" applyBorder="1"/>
    <xf numFmtId="0" fontId="40" fillId="37" borderId="16" xfId="0" applyFont="1" applyFill="1" applyBorder="1"/>
    <xf numFmtId="0" fontId="40" fillId="0" borderId="17" xfId="0" applyFont="1" applyBorder="1"/>
    <xf numFmtId="0" fontId="41" fillId="37" borderId="14" xfId="0" applyFont="1" applyFill="1" applyBorder="1" applyAlignment="1">
      <alignment vertical="top"/>
    </xf>
    <xf numFmtId="0" fontId="24" fillId="36" borderId="14" xfId="0" applyFont="1" applyFill="1" applyBorder="1"/>
    <xf numFmtId="0" fontId="25" fillId="36" borderId="0" xfId="0" applyFont="1" applyFill="1" applyBorder="1"/>
    <xf numFmtId="0" fontId="24" fillId="36" borderId="16" xfId="0" applyFont="1" applyFill="1" applyBorder="1"/>
    <xf numFmtId="0" fontId="24" fillId="36" borderId="17" xfId="0" applyFont="1" applyFill="1" applyBorder="1"/>
    <xf numFmtId="0" fontId="24" fillId="36" borderId="17" xfId="0" applyFont="1" applyFill="1" applyBorder="1" applyAlignment="1">
      <alignment horizontal="center"/>
    </xf>
    <xf numFmtId="0" fontId="24" fillId="36" borderId="17" xfId="0" applyFont="1" applyFill="1" applyBorder="1" applyAlignment="1">
      <alignment horizontal="right"/>
    </xf>
    <xf numFmtId="0" fontId="25" fillId="0" borderId="0" xfId="0" applyFont="1" applyFill="1" applyBorder="1" applyAlignment="1">
      <alignment horizontal="left"/>
    </xf>
    <xf numFmtId="0" fontId="25" fillId="36" borderId="0" xfId="0" applyFont="1" applyFill="1" applyBorder="1" applyAlignment="1">
      <alignment horizontal="left"/>
    </xf>
    <xf numFmtId="0" fontId="0" fillId="0" borderId="11" xfId="0" applyFill="1" applyBorder="1"/>
    <xf numFmtId="0" fontId="0" fillId="36" borderId="0" xfId="0" applyFill="1" applyBorder="1" applyAlignment="1">
      <alignment horizontal="left"/>
    </xf>
    <xf numFmtId="0" fontId="0" fillId="36" borderId="17" xfId="0" applyFill="1" applyBorder="1" applyAlignment="1">
      <alignment horizontal="left"/>
    </xf>
    <xf numFmtId="0" fontId="0" fillId="36" borderId="17" xfId="0" applyFill="1" applyBorder="1"/>
    <xf numFmtId="9" fontId="0" fillId="36" borderId="28" xfId="60" applyFont="1" applyFill="1" applyBorder="1" applyAlignment="1">
      <alignment horizontal="right"/>
    </xf>
    <xf numFmtId="9" fontId="0" fillId="36" borderId="0" xfId="60" applyFont="1" applyFill="1" applyBorder="1" applyAlignment="1">
      <alignment horizontal="right"/>
    </xf>
    <xf numFmtId="0" fontId="0" fillId="0" borderId="15" xfId="0" applyFill="1" applyBorder="1"/>
    <xf numFmtId="10" fontId="0" fillId="0" borderId="11" xfId="60" applyNumberFormat="1" applyFont="1" applyFill="1" applyBorder="1"/>
    <xf numFmtId="10" fontId="0" fillId="0" borderId="0" xfId="60" applyNumberFormat="1" applyFont="1" applyFill="1" applyBorder="1"/>
    <xf numFmtId="0" fontId="0" fillId="0" borderId="12" xfId="0" applyFill="1" applyBorder="1" applyAlignment="1">
      <alignment horizontal="left"/>
    </xf>
    <xf numFmtId="0" fontId="0" fillId="0" borderId="0" xfId="0" applyFill="1" applyBorder="1" applyAlignment="1">
      <alignment horizontal="left"/>
    </xf>
    <xf numFmtId="10" fontId="25" fillId="36" borderId="17" xfId="60" applyNumberFormat="1" applyFont="1" applyFill="1" applyBorder="1" applyAlignment="1">
      <alignment horizontal="right"/>
    </xf>
    <xf numFmtId="0" fontId="25" fillId="36" borderId="19" xfId="0" applyFont="1" applyFill="1" applyBorder="1" applyAlignment="1">
      <alignment horizontal="left"/>
    </xf>
    <xf numFmtId="0" fontId="25" fillId="36" borderId="17" xfId="0" applyFont="1" applyFill="1" applyBorder="1" applyAlignment="1">
      <alignment horizontal="left"/>
    </xf>
    <xf numFmtId="10" fontId="25" fillId="36" borderId="0" xfId="60" applyNumberFormat="1" applyFont="1" applyFill="1" applyBorder="1" applyAlignment="1">
      <alignment horizontal="right"/>
    </xf>
    <xf numFmtId="0" fontId="39" fillId="0" borderId="33" xfId="0" applyFont="1" applyBorder="1"/>
    <xf numFmtId="0" fontId="39" fillId="0" borderId="11" xfId="0" applyFont="1" applyBorder="1"/>
    <xf numFmtId="0" fontId="39" fillId="37" borderId="0" xfId="0" applyFont="1" applyFill="1" applyBorder="1"/>
    <xf numFmtId="0" fontId="39" fillId="37" borderId="15" xfId="0" applyFont="1" applyFill="1" applyBorder="1" applyAlignment="1">
      <alignment horizontal="center"/>
    </xf>
    <xf numFmtId="10" fontId="0" fillId="0" borderId="0" xfId="60" applyNumberFormat="1" applyFont="1" applyFill="1" applyBorder="1" applyAlignment="1">
      <alignment horizontal="right"/>
    </xf>
    <xf numFmtId="0" fontId="39" fillId="0" borderId="15" xfId="0" applyFont="1" applyFill="1" applyBorder="1" applyAlignment="1">
      <alignment horizontal="center"/>
    </xf>
    <xf numFmtId="0" fontId="39" fillId="0" borderId="12" xfId="0" applyFont="1" applyBorder="1" applyAlignment="1">
      <alignment horizontal="left"/>
    </xf>
    <xf numFmtId="0" fontId="39" fillId="0" borderId="0" xfId="0" applyFont="1" applyBorder="1" applyAlignment="1">
      <alignment horizontal="left"/>
    </xf>
    <xf numFmtId="0" fontId="39" fillId="0" borderId="12" xfId="0" applyFont="1" applyFill="1" applyBorder="1" applyAlignment="1">
      <alignment horizontal="left"/>
    </xf>
    <xf numFmtId="0" fontId="39" fillId="0" borderId="0" xfId="0" applyFont="1" applyFill="1" applyBorder="1" applyAlignment="1">
      <alignment horizontal="left"/>
    </xf>
    <xf numFmtId="0" fontId="26" fillId="36" borderId="27" xfId="0" applyFont="1" applyFill="1" applyBorder="1"/>
    <xf numFmtId="0" fontId="0" fillId="36" borderId="28" xfId="0" applyFont="1" applyFill="1" applyBorder="1"/>
    <xf numFmtId="0" fontId="0" fillId="36" borderId="28" xfId="0" applyFont="1" applyFill="1" applyBorder="1" applyAlignment="1">
      <alignment horizontal="center"/>
    </xf>
    <xf numFmtId="0" fontId="0" fillId="36" borderId="28" xfId="0" applyFont="1" applyFill="1" applyBorder="1" applyAlignment="1">
      <alignment horizontal="right"/>
    </xf>
    <xf numFmtId="0" fontId="0" fillId="36" borderId="28" xfId="0" applyFill="1" applyBorder="1" applyAlignment="1">
      <alignment horizontal="left"/>
    </xf>
    <xf numFmtId="0" fontId="0" fillId="36" borderId="28" xfId="0" applyFill="1" applyBorder="1"/>
    <xf numFmtId="0" fontId="0" fillId="36" borderId="17" xfId="0" applyFont="1" applyFill="1" applyBorder="1" applyAlignment="1">
      <alignment horizontal="center"/>
    </xf>
    <xf numFmtId="0" fontId="0" fillId="36" borderId="34" xfId="0" applyFont="1" applyFill="1" applyBorder="1" applyAlignment="1">
      <alignment horizontal="center"/>
    </xf>
    <xf numFmtId="10" fontId="0" fillId="36" borderId="28" xfId="60" applyNumberFormat="1" applyFont="1" applyFill="1" applyBorder="1" applyAlignment="1">
      <alignment horizontal="right"/>
    </xf>
    <xf numFmtId="0" fontId="0" fillId="36" borderId="35" xfId="0" applyFill="1" applyBorder="1" applyAlignment="1">
      <alignment horizontal="left"/>
    </xf>
    <xf numFmtId="0" fontId="0" fillId="0" borderId="36" xfId="0" applyFill="1" applyBorder="1"/>
    <xf numFmtId="167" fontId="0" fillId="0" borderId="11" xfId="60" applyNumberFormat="1" applyFont="1" applyFill="1" applyBorder="1" applyAlignment="1">
      <alignment horizontal="right"/>
    </xf>
    <xf numFmtId="0" fontId="0" fillId="0" borderId="33" xfId="0" applyFill="1" applyBorder="1"/>
    <xf numFmtId="0" fontId="0" fillId="36" borderId="37" xfId="0" applyFont="1" applyFill="1" applyBorder="1"/>
    <xf numFmtId="0" fontId="0" fillId="36" borderId="38" xfId="0" applyFont="1" applyFill="1" applyBorder="1"/>
    <xf numFmtId="0" fontId="0" fillId="36" borderId="38" xfId="0" applyFont="1" applyFill="1" applyBorder="1" applyAlignment="1">
      <alignment horizontal="center"/>
    </xf>
    <xf numFmtId="0" fontId="0" fillId="36" borderId="38" xfId="0" applyFont="1" applyFill="1" applyBorder="1" applyAlignment="1">
      <alignment horizontal="right"/>
    </xf>
    <xf numFmtId="0" fontId="0" fillId="36" borderId="39" xfId="0" applyFill="1" applyBorder="1" applyAlignment="1">
      <alignment horizontal="left"/>
    </xf>
    <xf numFmtId="0" fontId="0" fillId="36" borderId="38" xfId="0" applyFill="1" applyBorder="1" applyAlignment="1">
      <alignment horizontal="left"/>
    </xf>
    <xf numFmtId="0" fontId="0" fillId="36" borderId="38" xfId="0" applyFill="1" applyBorder="1"/>
    <xf numFmtId="0" fontId="31" fillId="37" borderId="21" xfId="0" applyFont="1" applyFill="1" applyBorder="1"/>
    <xf numFmtId="0" fontId="30" fillId="0" borderId="17" xfId="0" applyFont="1" applyFill="1" applyBorder="1"/>
    <xf numFmtId="0" fontId="30" fillId="37" borderId="31" xfId="0" applyFont="1" applyFill="1" applyBorder="1"/>
    <xf numFmtId="0" fontId="30" fillId="37" borderId="32" xfId="0" applyFont="1" applyFill="1" applyBorder="1"/>
    <xf numFmtId="0" fontId="31" fillId="37" borderId="31" xfId="0" applyFont="1" applyFill="1" applyBorder="1"/>
    <xf numFmtId="0" fontId="31" fillId="37" borderId="28" xfId="0" applyFont="1" applyFill="1" applyBorder="1"/>
    <xf numFmtId="0" fontId="31" fillId="37" borderId="38" xfId="0" applyFont="1" applyFill="1" applyBorder="1"/>
    <xf numFmtId="0" fontId="0" fillId="36" borderId="0" xfId="0" applyFill="1"/>
    <xf numFmtId="0" fontId="0" fillId="0" borderId="38" xfId="0" applyBorder="1"/>
    <xf numFmtId="0" fontId="0" fillId="0" borderId="17" xfId="0" applyBorder="1"/>
    <xf numFmtId="0" fontId="42" fillId="36" borderId="0" xfId="0" applyFont="1" applyFill="1"/>
    <xf numFmtId="0" fontId="0" fillId="36" borderId="0" xfId="0" applyFont="1" applyFill="1"/>
    <xf numFmtId="0" fontId="0" fillId="36" borderId="0" xfId="0" applyFont="1" applyFill="1" applyAlignment="1">
      <alignment horizontal="center"/>
    </xf>
    <xf numFmtId="0" fontId="0" fillId="36" borderId="0" xfId="0" applyFont="1" applyFill="1" applyAlignment="1">
      <alignment horizontal="right"/>
    </xf>
    <xf numFmtId="0" fontId="24" fillId="36" borderId="40" xfId="0" applyFont="1" applyFill="1" applyBorder="1" applyAlignment="1">
      <alignment vertical="top"/>
    </xf>
    <xf numFmtId="0" fontId="43" fillId="36" borderId="0" xfId="0" applyFont="1" applyFill="1"/>
    <xf numFmtId="0" fontId="44" fillId="36" borderId="10" xfId="0" applyFont="1" applyFill="1" applyBorder="1" applyAlignment="1">
      <alignment vertical="top" wrapText="1"/>
    </xf>
    <xf numFmtId="0" fontId="24" fillId="0" borderId="40" xfId="0" applyFont="1" applyBorder="1"/>
    <xf numFmtId="0" fontId="0" fillId="36" borderId="41" xfId="0" applyFont="1" applyFill="1" applyBorder="1" applyAlignment="1">
      <alignment horizontal="right"/>
    </xf>
    <xf numFmtId="0" fontId="44" fillId="36" borderId="10" xfId="0" applyFont="1" applyFill="1" applyBorder="1"/>
    <xf numFmtId="0" fontId="0" fillId="36" borderId="0" xfId="0" applyFont="1" applyFill="1" applyBorder="1" applyAlignment="1">
      <alignment horizontal="left" vertical="top" wrapText="1"/>
    </xf>
    <xf numFmtId="0" fontId="44" fillId="36" borderId="42" xfId="0" applyFont="1" applyFill="1" applyBorder="1" applyAlignment="1">
      <alignment vertical="top"/>
    </xf>
    <xf numFmtId="0" fontId="0" fillId="36" borderId="0" xfId="0" applyFill="1" applyAlignment="1">
      <alignment horizontal="left"/>
    </xf>
    <xf numFmtId="0" fontId="0" fillId="36" borderId="12" xfId="0" applyFill="1" applyBorder="1"/>
    <xf numFmtId="3" fontId="0" fillId="36" borderId="12" xfId="0" applyNumberFormat="1" applyFill="1" applyBorder="1"/>
    <xf numFmtId="3" fontId="0" fillId="36" borderId="0" xfId="0" applyNumberFormat="1" applyFill="1"/>
    <xf numFmtId="2" fontId="0" fillId="0" borderId="30" xfId="0" applyNumberFormat="1" applyBorder="1"/>
    <xf numFmtId="0" fontId="42" fillId="36" borderId="0" xfId="0" applyFont="1" applyFill="1" applyBorder="1"/>
    <xf numFmtId="0" fontId="24" fillId="36" borderId="40" xfId="0" applyFont="1" applyFill="1" applyBorder="1"/>
    <xf numFmtId="0" fontId="0" fillId="36" borderId="41" xfId="0" applyFill="1" applyBorder="1"/>
    <xf numFmtId="0" fontId="0" fillId="36" borderId="22" xfId="0" applyFill="1" applyBorder="1"/>
    <xf numFmtId="0" fontId="0" fillId="36" borderId="20" xfId="0" applyFill="1" applyBorder="1"/>
    <xf numFmtId="0" fontId="0" fillId="36" borderId="23" xfId="0" applyFill="1" applyBorder="1"/>
    <xf numFmtId="0" fontId="24" fillId="36" borderId="16" xfId="0" applyFont="1" applyFill="1" applyBorder="1" applyAlignment="1">
      <alignment vertical="top" wrapText="1"/>
    </xf>
    <xf numFmtId="0" fontId="24" fillId="36" borderId="17" xfId="0" applyFont="1" applyFill="1" applyBorder="1" applyAlignment="1">
      <alignment vertical="top" wrapText="1"/>
    </xf>
    <xf numFmtId="0" fontId="24" fillId="0" borderId="17" xfId="0" applyFont="1" applyFill="1" applyBorder="1" applyAlignment="1">
      <alignment wrapText="1"/>
    </xf>
    <xf numFmtId="0" fontId="24" fillId="0" borderId="17" xfId="0" applyFont="1" applyFill="1" applyBorder="1" applyAlignment="1">
      <alignment vertical="top" wrapText="1"/>
    </xf>
    <xf numFmtId="0" fontId="24" fillId="0" borderId="43" xfId="0" applyFont="1" applyFill="1" applyBorder="1" applyAlignment="1">
      <alignment vertical="top" wrapText="1"/>
    </xf>
    <xf numFmtId="0" fontId="24" fillId="36" borderId="0" xfId="0" applyFont="1" applyFill="1" applyBorder="1" applyAlignment="1">
      <alignment vertical="top" wrapText="1"/>
    </xf>
    <xf numFmtId="0" fontId="24" fillId="36" borderId="14" xfId="0" applyFont="1" applyFill="1" applyBorder="1" applyAlignment="1">
      <alignment vertical="top" wrapText="1"/>
    </xf>
    <xf numFmtId="0" fontId="24" fillId="36" borderId="0" xfId="0" applyFont="1" applyFill="1" applyBorder="1" applyAlignment="1">
      <alignment vertical="top"/>
    </xf>
    <xf numFmtId="0" fontId="24" fillId="36" borderId="23" xfId="0" applyFont="1" applyFill="1" applyBorder="1" applyAlignment="1">
      <alignment vertical="top" wrapText="1"/>
    </xf>
    <xf numFmtId="0" fontId="45" fillId="36" borderId="14" xfId="0" applyFont="1" applyFill="1" applyBorder="1"/>
    <xf numFmtId="0" fontId="24" fillId="36" borderId="28" xfId="0" applyFont="1" applyFill="1" applyBorder="1" applyAlignment="1">
      <alignment vertical="top" wrapText="1"/>
    </xf>
    <xf numFmtId="3" fontId="24" fillId="36" borderId="28" xfId="0" applyNumberFormat="1" applyFont="1" applyFill="1" applyBorder="1" applyAlignment="1">
      <alignment vertical="top" wrapText="1"/>
    </xf>
    <xf numFmtId="3" fontId="24" fillId="36" borderId="29" xfId="0" applyNumberFormat="1" applyFont="1" applyFill="1" applyBorder="1" applyAlignment="1">
      <alignment vertical="top" wrapText="1"/>
    </xf>
    <xf numFmtId="3" fontId="24" fillId="36" borderId="0" xfId="0" applyNumberFormat="1" applyFont="1" applyFill="1" applyBorder="1" applyAlignment="1">
      <alignment vertical="top" wrapText="1"/>
    </xf>
    <xf numFmtId="0" fontId="0" fillId="36" borderId="44" xfId="0" applyFont="1" applyFill="1" applyBorder="1"/>
    <xf numFmtId="4" fontId="24" fillId="36" borderId="0" xfId="0" applyNumberFormat="1" applyFont="1" applyFill="1" applyBorder="1" applyAlignment="1">
      <alignment vertical="top" wrapText="1"/>
    </xf>
    <xf numFmtId="0" fontId="0" fillId="36" borderId="23" xfId="0" applyFont="1" applyFill="1" applyBorder="1"/>
    <xf numFmtId="0" fontId="23" fillId="36" borderId="14" xfId="0" applyFont="1" applyFill="1" applyBorder="1"/>
    <xf numFmtId="4" fontId="24" fillId="36" borderId="17" xfId="0" applyNumberFormat="1" applyFont="1" applyFill="1" applyBorder="1"/>
    <xf numFmtId="4" fontId="24" fillId="36" borderId="43" xfId="0" applyNumberFormat="1" applyFont="1" applyFill="1" applyBorder="1"/>
    <xf numFmtId="4" fontId="24" fillId="36" borderId="0" xfId="0" applyNumberFormat="1" applyFont="1" applyFill="1" applyBorder="1"/>
    <xf numFmtId="0" fontId="45" fillId="36" borderId="17" xfId="0" applyFont="1" applyFill="1" applyBorder="1"/>
    <xf numFmtId="0" fontId="27" fillId="0" borderId="40" xfId="0" applyFont="1" applyFill="1" applyBorder="1"/>
    <xf numFmtId="10" fontId="22" fillId="35" borderId="41" xfId="61" applyNumberFormat="1" applyBorder="1"/>
    <xf numFmtId="4" fontId="22" fillId="39" borderId="28" xfId="61" applyNumberFormat="1" applyFill="1" applyBorder="1"/>
    <xf numFmtId="4" fontId="22" fillId="40" borderId="28" xfId="61" applyNumberFormat="1" applyFill="1" applyBorder="1"/>
    <xf numFmtId="4" fontId="22" fillId="39" borderId="29" xfId="61" applyNumberFormat="1" applyFill="1" applyBorder="1"/>
    <xf numFmtId="4" fontId="22" fillId="36" borderId="0" xfId="61" applyNumberFormat="1" applyFill="1" applyBorder="1"/>
    <xf numFmtId="2" fontId="0" fillId="36" borderId="0" xfId="0" applyNumberFormat="1" applyFill="1" applyBorder="1"/>
    <xf numFmtId="164" fontId="23" fillId="36" borderId="23" xfId="60" applyNumberFormat="1" applyFont="1" applyFill="1" applyBorder="1"/>
    <xf numFmtId="169" fontId="23" fillId="36" borderId="14" xfId="0" applyNumberFormat="1" applyFont="1" applyFill="1" applyBorder="1" applyAlignment="1">
      <alignment horizontal="left"/>
    </xf>
    <xf numFmtId="0" fontId="27" fillId="0" borderId="10" xfId="0" applyFont="1" applyFill="1" applyBorder="1"/>
    <xf numFmtId="10" fontId="22" fillId="35" borderId="31" xfId="61" applyNumberFormat="1" applyBorder="1"/>
    <xf numFmtId="4" fontId="22" fillId="39" borderId="0" xfId="61" applyNumberFormat="1" applyFill="1" applyBorder="1"/>
    <xf numFmtId="4" fontId="22" fillId="40" borderId="0" xfId="61" applyNumberFormat="1" applyFill="1" applyBorder="1"/>
    <xf numFmtId="4" fontId="22" fillId="39" borderId="23" xfId="61" applyNumberFormat="1" applyFill="1" applyBorder="1"/>
    <xf numFmtId="4" fontId="22" fillId="40" borderId="45" xfId="61" applyNumberFormat="1" applyFill="1" applyBorder="1"/>
    <xf numFmtId="0" fontId="27" fillId="0" borderId="42" xfId="0" applyFont="1" applyFill="1" applyBorder="1"/>
    <xf numFmtId="166" fontId="0" fillId="36" borderId="14" xfId="0" applyNumberFormat="1" applyFill="1" applyBorder="1"/>
    <xf numFmtId="165" fontId="0" fillId="36" borderId="0" xfId="0" applyNumberFormat="1" applyFill="1"/>
    <xf numFmtId="0" fontId="27" fillId="36" borderId="0" xfId="0" applyFont="1" applyFill="1" applyBorder="1"/>
    <xf numFmtId="10" fontId="45" fillId="36" borderId="0" xfId="0" applyNumberFormat="1" applyFont="1" applyFill="1" applyBorder="1"/>
    <xf numFmtId="4" fontId="24" fillId="39" borderId="28" xfId="0" applyNumberFormat="1" applyFont="1" applyFill="1" applyBorder="1"/>
    <xf numFmtId="4" fontId="24" fillId="40" borderId="28" xfId="0" applyNumberFormat="1" applyFont="1" applyFill="1" applyBorder="1"/>
    <xf numFmtId="4" fontId="24" fillId="39" borderId="29" xfId="0" applyNumberFormat="1" applyFont="1" applyFill="1" applyBorder="1"/>
    <xf numFmtId="166" fontId="23" fillId="36" borderId="23" xfId="0" applyNumberFormat="1" applyFont="1" applyFill="1" applyBorder="1"/>
    <xf numFmtId="0" fontId="45" fillId="36" borderId="16" xfId="0" applyFont="1" applyFill="1" applyBorder="1"/>
    <xf numFmtId="0" fontId="27" fillId="36" borderId="17" xfId="0" applyFont="1" applyFill="1" applyBorder="1"/>
    <xf numFmtId="10" fontId="45" fillId="36" borderId="17" xfId="0" applyNumberFormat="1" applyFont="1" applyFill="1" applyBorder="1"/>
    <xf numFmtId="4" fontId="24" fillId="39" borderId="17" xfId="0" applyNumberFormat="1" applyFont="1" applyFill="1" applyBorder="1"/>
    <xf numFmtId="4" fontId="24" fillId="40" borderId="17" xfId="0" applyNumberFormat="1" applyFont="1" applyFill="1" applyBorder="1"/>
    <xf numFmtId="4" fontId="24" fillId="39" borderId="43" xfId="0" applyNumberFormat="1" applyFont="1" applyFill="1" applyBorder="1"/>
    <xf numFmtId="4" fontId="0" fillId="39" borderId="17" xfId="0" applyNumberFormat="1" applyFont="1" applyFill="1" applyBorder="1"/>
    <xf numFmtId="4" fontId="0" fillId="40" borderId="17" xfId="0" applyNumberFormat="1" applyFont="1" applyFill="1" applyBorder="1"/>
    <xf numFmtId="4" fontId="0" fillId="39" borderId="43" xfId="0" applyNumberFormat="1" applyFont="1" applyFill="1" applyBorder="1"/>
    <xf numFmtId="4" fontId="0" fillId="36" borderId="0" xfId="0" applyNumberFormat="1" applyFont="1" applyFill="1" applyBorder="1"/>
    <xf numFmtId="0" fontId="27" fillId="0" borderId="0" xfId="0" applyFont="1" applyFill="1" applyBorder="1"/>
    <xf numFmtId="10" fontId="22" fillId="35" borderId="0" xfId="61" applyNumberFormat="1"/>
    <xf numFmtId="4" fontId="22" fillId="39" borderId="40" xfId="61" applyNumberFormat="1" applyFill="1" applyBorder="1"/>
    <xf numFmtId="170" fontId="23" fillId="36" borderId="14" xfId="0" applyNumberFormat="1" applyFont="1" applyFill="1" applyBorder="1" applyAlignment="1">
      <alignment horizontal="left"/>
    </xf>
    <xf numFmtId="4" fontId="22" fillId="39" borderId="10" xfId="61" applyNumberFormat="1" applyFill="1" applyBorder="1"/>
    <xf numFmtId="4" fontId="22" fillId="40" borderId="11" xfId="61" applyNumberFormat="1" applyFill="1" applyBorder="1"/>
    <xf numFmtId="164" fontId="0" fillId="36" borderId="0" xfId="0" applyNumberFormat="1" applyFill="1"/>
    <xf numFmtId="4" fontId="22" fillId="39" borderId="42" xfId="61" applyNumberFormat="1" applyFill="1" applyBorder="1"/>
    <xf numFmtId="4" fontId="22" fillId="40" borderId="17" xfId="61" applyNumberFormat="1" applyFill="1" applyBorder="1"/>
    <xf numFmtId="4" fontId="22" fillId="39" borderId="17" xfId="61" applyNumberFormat="1" applyFill="1" applyBorder="1"/>
    <xf numFmtId="4" fontId="22" fillId="39" borderId="43" xfId="61" applyNumberFormat="1" applyFill="1" applyBorder="1"/>
    <xf numFmtId="4" fontId="0" fillId="40" borderId="0" xfId="0" applyNumberFormat="1" applyFont="1" applyFill="1" applyBorder="1"/>
    <xf numFmtId="4" fontId="0" fillId="39" borderId="0" xfId="0" applyNumberFormat="1" applyFont="1" applyFill="1" applyBorder="1"/>
    <xf numFmtId="4" fontId="0" fillId="39" borderId="23" xfId="0" applyNumberFormat="1" applyFont="1" applyFill="1" applyBorder="1"/>
    <xf numFmtId="0" fontId="23" fillId="36" borderId="23" xfId="0" applyFont="1" applyFill="1" applyBorder="1"/>
    <xf numFmtId="4" fontId="0" fillId="39" borderId="46" xfId="0" applyNumberFormat="1" applyFont="1" applyFill="1" applyBorder="1"/>
    <xf numFmtId="4" fontId="23" fillId="36" borderId="14" xfId="0" applyNumberFormat="1" applyFont="1" applyFill="1" applyBorder="1" applyAlignment="1">
      <alignment horizontal="left"/>
    </xf>
    <xf numFmtId="0" fontId="27" fillId="0" borderId="17" xfId="0" applyFont="1" applyFill="1" applyBorder="1"/>
    <xf numFmtId="10" fontId="22" fillId="35" borderId="32" xfId="61" applyNumberFormat="1" applyBorder="1"/>
    <xf numFmtId="4" fontId="0" fillId="39" borderId="47" xfId="0" applyNumberFormat="1" applyFont="1" applyFill="1" applyBorder="1"/>
    <xf numFmtId="10" fontId="22" fillId="35" borderId="48" xfId="61" applyNumberFormat="1" applyBorder="1"/>
    <xf numFmtId="4" fontId="22" fillId="39" borderId="0" xfId="61" applyNumberFormat="1" applyFill="1"/>
    <xf numFmtId="4" fontId="0" fillId="39" borderId="49" xfId="0" applyNumberFormat="1" applyFont="1" applyFill="1" applyBorder="1"/>
    <xf numFmtId="4" fontId="0" fillId="39" borderId="50" xfId="0" applyNumberFormat="1" applyFont="1" applyFill="1" applyBorder="1"/>
    <xf numFmtId="4" fontId="0" fillId="0" borderId="17" xfId="0" applyNumberFormat="1" applyFont="1" applyFill="1" applyBorder="1"/>
    <xf numFmtId="4" fontId="0" fillId="0" borderId="46" xfId="0" applyNumberFormat="1" applyFont="1" applyFill="1" applyBorder="1"/>
    <xf numFmtId="4" fontId="0" fillId="36" borderId="14" xfId="0" applyNumberFormat="1" applyFont="1" applyFill="1" applyBorder="1"/>
    <xf numFmtId="4" fontId="22" fillId="0" borderId="10" xfId="61" applyNumberFormat="1" applyFill="1" applyBorder="1"/>
    <xf numFmtId="4" fontId="22" fillId="36" borderId="14" xfId="61" applyNumberFormat="1" applyFill="1" applyBorder="1"/>
    <xf numFmtId="2" fontId="46" fillId="36" borderId="0" xfId="0" applyNumberFormat="1" applyFont="1" applyFill="1" applyBorder="1"/>
    <xf numFmtId="0" fontId="46" fillId="36" borderId="0" xfId="0" applyFont="1" applyFill="1"/>
    <xf numFmtId="4" fontId="22" fillId="0" borderId="42" xfId="61" applyNumberFormat="1" applyFill="1" applyBorder="1"/>
    <xf numFmtId="0" fontId="45" fillId="36" borderId="0" xfId="0" applyFont="1" applyFill="1" applyBorder="1"/>
    <xf numFmtId="4" fontId="45" fillId="0" borderId="0" xfId="0" applyNumberFormat="1" applyFont="1" applyFill="1" applyBorder="1"/>
    <xf numFmtId="4" fontId="45" fillId="39" borderId="0" xfId="0" applyNumberFormat="1" applyFont="1" applyFill="1" applyBorder="1"/>
    <xf numFmtId="4" fontId="45" fillId="36" borderId="14" xfId="0" applyNumberFormat="1" applyFont="1" applyFill="1" applyBorder="1"/>
    <xf numFmtId="4" fontId="45" fillId="0" borderId="17" xfId="0" applyNumberFormat="1" applyFont="1" applyFill="1" applyBorder="1"/>
    <xf numFmtId="4" fontId="45" fillId="39" borderId="17" xfId="0" applyNumberFormat="1" applyFont="1" applyFill="1" applyBorder="1"/>
    <xf numFmtId="0" fontId="0" fillId="0" borderId="0" xfId="0" applyFont="1" applyFill="1"/>
    <xf numFmtId="4" fontId="22" fillId="39" borderId="49" xfId="61" applyNumberFormat="1" applyFill="1" applyBorder="1"/>
    <xf numFmtId="10" fontId="0" fillId="36" borderId="0" xfId="0" applyNumberFormat="1" applyFill="1" applyBorder="1"/>
    <xf numFmtId="0" fontId="0" fillId="0" borderId="17" xfId="0" applyFont="1" applyFill="1" applyBorder="1"/>
    <xf numFmtId="10" fontId="22" fillId="35" borderId="17" xfId="61" applyNumberFormat="1" applyBorder="1"/>
    <xf numFmtId="4" fontId="0" fillId="36" borderId="46" xfId="0" applyNumberFormat="1" applyFill="1" applyBorder="1"/>
    <xf numFmtId="4" fontId="0" fillId="36" borderId="17" xfId="0" applyNumberFormat="1" applyFill="1" applyBorder="1"/>
    <xf numFmtId="4" fontId="0" fillId="36" borderId="14" xfId="0" applyNumberFormat="1" applyFill="1" applyBorder="1"/>
    <xf numFmtId="0" fontId="47" fillId="36" borderId="14" xfId="0" applyFont="1" applyFill="1" applyBorder="1"/>
    <xf numFmtId="4" fontId="24" fillId="36" borderId="51" xfId="0" applyNumberFormat="1" applyFont="1" applyFill="1" applyBorder="1"/>
    <xf numFmtId="4" fontId="24" fillId="36" borderId="14" xfId="0" applyNumberFormat="1" applyFont="1" applyFill="1" applyBorder="1"/>
    <xf numFmtId="0" fontId="24" fillId="36" borderId="49" xfId="0" applyFont="1" applyFill="1" applyBorder="1" applyAlignment="1"/>
    <xf numFmtId="0" fontId="24" fillId="36" borderId="48" xfId="0" applyFont="1" applyFill="1" applyBorder="1" applyAlignment="1"/>
    <xf numFmtId="4" fontId="24" fillId="0" borderId="10" xfId="0" applyNumberFormat="1" applyFont="1" applyFill="1" applyBorder="1"/>
    <xf numFmtId="4" fontId="24" fillId="0" borderId="0" xfId="0" applyNumberFormat="1" applyFont="1" applyFill="1" applyBorder="1"/>
    <xf numFmtId="0" fontId="24" fillId="36" borderId="0" xfId="0" applyFont="1" applyFill="1" applyBorder="1" applyAlignment="1"/>
    <xf numFmtId="0" fontId="24" fillId="36" borderId="31" xfId="0" applyFont="1" applyFill="1" applyBorder="1" applyAlignment="1">
      <alignment wrapText="1"/>
    </xf>
    <xf numFmtId="0" fontId="24" fillId="36" borderId="17" xfId="0" applyFont="1" applyFill="1" applyBorder="1" applyAlignment="1"/>
    <xf numFmtId="0" fontId="24" fillId="36" borderId="32" xfId="0" applyFont="1" applyFill="1" applyBorder="1" applyAlignment="1"/>
    <xf numFmtId="10" fontId="24" fillId="0" borderId="42" xfId="60" applyNumberFormat="1" applyFont="1" applyFill="1" applyBorder="1"/>
    <xf numFmtId="10" fontId="24" fillId="0" borderId="17" xfId="60" applyNumberFormat="1" applyFont="1" applyFill="1" applyBorder="1"/>
    <xf numFmtId="10" fontId="24" fillId="36" borderId="14" xfId="60" applyNumberFormat="1" applyFont="1" applyFill="1" applyBorder="1"/>
    <xf numFmtId="9" fontId="24" fillId="0" borderId="0" xfId="60" applyNumberFormat="1" applyFont="1" applyFill="1" applyBorder="1"/>
    <xf numFmtId="9" fontId="24" fillId="36" borderId="14" xfId="60" applyNumberFormat="1" applyFont="1" applyFill="1" applyBorder="1"/>
    <xf numFmtId="0" fontId="0" fillId="36" borderId="37" xfId="0" applyFill="1" applyBorder="1"/>
    <xf numFmtId="0" fontId="0" fillId="36" borderId="52" xfId="0" applyFill="1" applyBorder="1"/>
    <xf numFmtId="3" fontId="24" fillId="36" borderId="17" xfId="0" applyNumberFormat="1" applyFont="1" applyFill="1" applyBorder="1"/>
    <xf numFmtId="9" fontId="0" fillId="36" borderId="0" xfId="0" applyNumberFormat="1" applyFill="1"/>
    <xf numFmtId="3" fontId="0" fillId="0" borderId="11" xfId="0" applyNumberFormat="1" applyFill="1" applyBorder="1"/>
    <xf numFmtId="3" fontId="0" fillId="0" borderId="11" xfId="0" applyNumberFormat="1" applyFont="1" applyFill="1" applyBorder="1" applyAlignment="1">
      <alignment vertical="top" wrapText="1"/>
    </xf>
    <xf numFmtId="4" fontId="22" fillId="40" borderId="49" xfId="61" applyNumberFormat="1" applyFill="1" applyBorder="1"/>
    <xf numFmtId="4" fontId="22" fillId="40" borderId="44" xfId="61" applyNumberFormat="1" applyFill="1" applyBorder="1"/>
    <xf numFmtId="0" fontId="0" fillId="36" borderId="42" xfId="0" applyFont="1" applyFill="1" applyBorder="1" applyAlignment="1">
      <alignment horizontal="left" vertical="top" wrapText="1"/>
    </xf>
    <xf numFmtId="0" fontId="0" fillId="36" borderId="17" xfId="0" applyFont="1" applyFill="1" applyBorder="1" applyAlignment="1">
      <alignment horizontal="left" vertical="top" wrapText="1"/>
    </xf>
    <xf numFmtId="0" fontId="0" fillId="36" borderId="32" xfId="0" applyFont="1" applyFill="1" applyBorder="1" applyAlignment="1">
      <alignment horizontal="left" vertical="top" wrapText="1"/>
    </xf>
    <xf numFmtId="0" fontId="0" fillId="36" borderId="42" xfId="0" applyFill="1" applyBorder="1" applyAlignment="1">
      <alignment horizontal="left" vertical="top" wrapText="1"/>
    </xf>
    <xf numFmtId="0" fontId="0" fillId="36" borderId="17" xfId="0" applyFill="1" applyBorder="1" applyAlignment="1">
      <alignment horizontal="left" vertical="top" wrapText="1"/>
    </xf>
    <xf numFmtId="0" fontId="0" fillId="36" borderId="32" xfId="0" applyFill="1" applyBorder="1" applyAlignment="1">
      <alignment horizontal="left" vertical="top" wrapText="1"/>
    </xf>
    <xf numFmtId="0" fontId="37" fillId="0" borderId="0" xfId="0" applyFont="1" applyAlignment="1">
      <alignment horizontal="left" wrapText="1"/>
    </xf>
    <xf numFmtId="0" fontId="37" fillId="0" borderId="0" xfId="0" applyFont="1" applyAlignment="1">
      <alignment horizontal="left"/>
    </xf>
    <xf numFmtId="0" fontId="36" fillId="0" borderId="0" xfId="0" applyFont="1" applyAlignment="1">
      <alignment horizontal="center"/>
    </xf>
  </cellXfs>
  <cellStyles count="62">
    <cellStyle name="20% - Accent10" xfId="12" xr:uid="{00000000-0005-0000-0000-000000000000}"/>
    <cellStyle name="20% - Accent11" xfId="13" xr:uid="{00000000-0005-0000-0000-000001000000}"/>
    <cellStyle name="20% - Accent12" xfId="14" xr:uid="{00000000-0005-0000-0000-000002000000}"/>
    <cellStyle name="20% - Accent7" xfId="15" xr:uid="{00000000-0005-0000-0000-000003000000}"/>
    <cellStyle name="20% - Accent8" xfId="16" xr:uid="{00000000-0005-0000-0000-000004000000}"/>
    <cellStyle name="20% - Accent9" xfId="17" xr:uid="{00000000-0005-0000-0000-000005000000}"/>
    <cellStyle name="40% - Accent10" xfId="18" xr:uid="{00000000-0005-0000-0000-000006000000}"/>
    <cellStyle name="40% - Accent11" xfId="19" xr:uid="{00000000-0005-0000-0000-000007000000}"/>
    <cellStyle name="40% - Accent12" xfId="20" xr:uid="{00000000-0005-0000-0000-000008000000}"/>
    <cellStyle name="40% - Accent7" xfId="21" xr:uid="{00000000-0005-0000-0000-000009000000}"/>
    <cellStyle name="40% - Accent8" xfId="22" xr:uid="{00000000-0005-0000-0000-00000A000000}"/>
    <cellStyle name="40% - Accent9" xfId="23" xr:uid="{00000000-0005-0000-0000-00000B000000}"/>
    <cellStyle name="60% - Accent10" xfId="24" xr:uid="{00000000-0005-0000-0000-00000C000000}"/>
    <cellStyle name="60% - Accent11" xfId="25" xr:uid="{00000000-0005-0000-0000-00000D000000}"/>
    <cellStyle name="60% - Accent12" xfId="26" xr:uid="{00000000-0005-0000-0000-00000E000000}"/>
    <cellStyle name="60% - Accent7" xfId="27" xr:uid="{00000000-0005-0000-0000-00000F000000}"/>
    <cellStyle name="60% - Accent8" xfId="28" xr:uid="{00000000-0005-0000-0000-000010000000}"/>
    <cellStyle name="60% - Accent9" xfId="29" xr:uid="{00000000-0005-0000-0000-000011000000}"/>
    <cellStyle name="Accent10" xfId="30" xr:uid="{00000000-0005-0000-0000-000012000000}"/>
    <cellStyle name="Accent11" xfId="31" xr:uid="{00000000-0005-0000-0000-000013000000}"/>
    <cellStyle name="Accent12" xfId="32" xr:uid="{00000000-0005-0000-0000-000014000000}"/>
    <cellStyle name="Accent7" xfId="33" xr:uid="{00000000-0005-0000-0000-000015000000}"/>
    <cellStyle name="Accent8" xfId="34" xr:uid="{00000000-0005-0000-0000-000016000000}"/>
    <cellStyle name="Accent9" xfId="35" xr:uid="{00000000-0005-0000-0000-000017000000}"/>
    <cellStyle name="E_Calculation0" xfId="36" xr:uid="{00000000-0005-0000-0000-000018000000}"/>
    <cellStyle name="E_Calculation1" xfId="8" xr:uid="{00000000-0005-0000-0000-000019000000}"/>
    <cellStyle name="E_Calculation2" xfId="10" xr:uid="{00000000-0005-0000-0000-00001A000000}"/>
    <cellStyle name="E_Calculation3" xfId="9" xr:uid="{00000000-0005-0000-0000-00001B000000}"/>
    <cellStyle name="E_Calculation4" xfId="37" xr:uid="{00000000-0005-0000-0000-00001C000000}"/>
    <cellStyle name="E_CalculationSum" xfId="11" xr:uid="{00000000-0005-0000-0000-00001D000000}"/>
    <cellStyle name="E_Check" xfId="38" xr:uid="{00000000-0005-0000-0000-00001E000000}"/>
    <cellStyle name="E_Comment" xfId="39" xr:uid="{00000000-0005-0000-0000-00001F000000}"/>
    <cellStyle name="E_Footer" xfId="40" xr:uid="{00000000-0005-0000-0000-000020000000}"/>
    <cellStyle name="E_Input1" xfId="41" xr:uid="{00000000-0005-0000-0000-000021000000}"/>
    <cellStyle name="E_Input2" xfId="42" xr:uid="{00000000-0005-0000-0000-000022000000}"/>
    <cellStyle name="E_InputFixed" xfId="43" xr:uid="{00000000-0005-0000-0000-000023000000}"/>
    <cellStyle name="E_InputList" xfId="44" xr:uid="{00000000-0005-0000-0000-000024000000}"/>
    <cellStyle name="E_InputWhite" xfId="7" xr:uid="{00000000-0005-0000-0000-000025000000}"/>
    <cellStyle name="E_RangeName" xfId="45" xr:uid="{00000000-0005-0000-0000-000026000000}"/>
    <cellStyle name="E_SecTitle1" xfId="1" xr:uid="{00000000-0005-0000-0000-000027000000}"/>
    <cellStyle name="E_SecTitle2" xfId="3" xr:uid="{00000000-0005-0000-0000-000028000000}"/>
    <cellStyle name="E_SecTitle3" xfId="46" xr:uid="{00000000-0005-0000-0000-000029000000}"/>
    <cellStyle name="E_Source" xfId="47" xr:uid="{00000000-0005-0000-0000-00002A000000}"/>
    <cellStyle name="E_TableCell0" xfId="48" xr:uid="{00000000-0005-0000-0000-00002B000000}"/>
    <cellStyle name="E_TableCell1" xfId="5" xr:uid="{00000000-0005-0000-0000-00002C000000}"/>
    <cellStyle name="E_TableCell2" xfId="49" xr:uid="{00000000-0005-0000-0000-00002D000000}"/>
    <cellStyle name="E_TableHeader0" xfId="4" xr:uid="{00000000-0005-0000-0000-00002E000000}"/>
    <cellStyle name="E_TableHeader1" xfId="50" xr:uid="{00000000-0005-0000-0000-00002F000000}"/>
    <cellStyle name="E_TableHeader2" xfId="51" xr:uid="{00000000-0005-0000-0000-000030000000}"/>
    <cellStyle name="E_VBACommunication" xfId="52" xr:uid="{00000000-0005-0000-0000-000031000000}"/>
    <cellStyle name="E_Warning" xfId="53" xr:uid="{00000000-0005-0000-0000-000032000000}"/>
    <cellStyle name="Followed Hyperlink" xfId="55" builtinId="9" hidden="1"/>
    <cellStyle name="Followed Hyperlink" xfId="57" builtinId="9" hidden="1"/>
    <cellStyle name="Followed Hyperlink" xfId="59" builtinId="9" hidden="1"/>
    <cellStyle name="Good" xfId="61" builtinId="26"/>
    <cellStyle name="Hyperlink" xfId="54" builtinId="8" hidden="1"/>
    <cellStyle name="Hyperlink" xfId="56" builtinId="8" hidden="1"/>
    <cellStyle name="Hyperlink" xfId="58" builtinId="8" hidden="1"/>
    <cellStyle name="Normal" xfId="0" builtinId="0"/>
    <cellStyle name="Normal 2" xfId="2" xr:uid="{00000000-0005-0000-0000-00003A000000}"/>
    <cellStyle name="Percent" xfId="60" builtinId="5"/>
    <cellStyle name="Percent 2" xfId="6" xr:uid="{00000000-0005-0000-0000-00003B000000}"/>
  </cellStyles>
  <dxfs count="1">
    <dxf>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23</xdr:col>
      <xdr:colOff>673100</xdr:colOff>
      <xdr:row>54</xdr:row>
      <xdr:rowOff>12700</xdr:rowOff>
    </xdr:to>
    <xdr:pic>
      <xdr:nvPicPr>
        <xdr:cNvPr id="3" name="Picture 2">
          <a:extLst>
            <a:ext uri="{FF2B5EF4-FFF2-40B4-BE49-F238E27FC236}">
              <a16:creationId xmlns:a16="http://schemas.microsoft.com/office/drawing/2014/main" id="{8B743A89-C67C-5D4F-9600-39CE5F2443BF}"/>
            </a:ext>
          </a:extLst>
        </xdr:cNvPr>
        <xdr:cNvPicPr>
          <a:picLocks noChangeAspect="1"/>
        </xdr:cNvPicPr>
      </xdr:nvPicPr>
      <xdr:blipFill>
        <a:blip xmlns:r="http://schemas.openxmlformats.org/officeDocument/2006/relationships" r:embed="rId1"/>
        <a:stretch>
          <a:fillRect/>
        </a:stretch>
      </xdr:blipFill>
      <xdr:spPr>
        <a:xfrm>
          <a:off x="5778500" y="1625600"/>
          <a:ext cx="12230100" cy="9156700"/>
        </a:xfrm>
        <a:prstGeom prst="rect">
          <a:avLst/>
        </a:prstGeom>
      </xdr:spPr>
    </xdr:pic>
    <xdr:clientData/>
  </xdr:twoCellAnchor>
  <xdr:twoCellAnchor editAs="oneCell">
    <xdr:from>
      <xdr:col>9</xdr:col>
      <xdr:colOff>0</xdr:colOff>
      <xdr:row>55</xdr:row>
      <xdr:rowOff>0</xdr:rowOff>
    </xdr:from>
    <xdr:to>
      <xdr:col>23</xdr:col>
      <xdr:colOff>711200</xdr:colOff>
      <xdr:row>100</xdr:row>
      <xdr:rowOff>50800</xdr:rowOff>
    </xdr:to>
    <xdr:pic>
      <xdr:nvPicPr>
        <xdr:cNvPr id="4" name="Picture 3">
          <a:extLst>
            <a:ext uri="{FF2B5EF4-FFF2-40B4-BE49-F238E27FC236}">
              <a16:creationId xmlns:a16="http://schemas.microsoft.com/office/drawing/2014/main" id="{FE1D053E-2048-C640-8BDE-75D4E8F71AB7}"/>
            </a:ext>
          </a:extLst>
        </xdr:cNvPr>
        <xdr:cNvPicPr>
          <a:picLocks noChangeAspect="1"/>
        </xdr:cNvPicPr>
      </xdr:nvPicPr>
      <xdr:blipFill>
        <a:blip xmlns:r="http://schemas.openxmlformats.org/officeDocument/2006/relationships" r:embed="rId2"/>
        <a:stretch>
          <a:fillRect/>
        </a:stretch>
      </xdr:blipFill>
      <xdr:spPr>
        <a:xfrm>
          <a:off x="8470900" y="10972800"/>
          <a:ext cx="12268200" cy="9194800"/>
        </a:xfrm>
        <a:prstGeom prst="rect">
          <a:avLst/>
        </a:prstGeom>
      </xdr:spPr>
    </xdr:pic>
    <xdr:clientData/>
  </xdr:twoCellAnchor>
  <xdr:twoCellAnchor editAs="oneCell">
    <xdr:from>
      <xdr:col>9</xdr:col>
      <xdr:colOff>0</xdr:colOff>
      <xdr:row>103</xdr:row>
      <xdr:rowOff>0</xdr:rowOff>
    </xdr:from>
    <xdr:to>
      <xdr:col>23</xdr:col>
      <xdr:colOff>711200</xdr:colOff>
      <xdr:row>148</xdr:row>
      <xdr:rowOff>50800</xdr:rowOff>
    </xdr:to>
    <xdr:pic>
      <xdr:nvPicPr>
        <xdr:cNvPr id="5" name="Picture 4">
          <a:extLst>
            <a:ext uri="{FF2B5EF4-FFF2-40B4-BE49-F238E27FC236}">
              <a16:creationId xmlns:a16="http://schemas.microsoft.com/office/drawing/2014/main" id="{E5CE5C5E-545B-394F-996F-0A10E04E9251}"/>
            </a:ext>
          </a:extLst>
        </xdr:cNvPr>
        <xdr:cNvPicPr>
          <a:picLocks noChangeAspect="1"/>
        </xdr:cNvPicPr>
      </xdr:nvPicPr>
      <xdr:blipFill>
        <a:blip xmlns:r="http://schemas.openxmlformats.org/officeDocument/2006/relationships" r:embed="rId3"/>
        <a:stretch>
          <a:fillRect/>
        </a:stretch>
      </xdr:blipFill>
      <xdr:spPr>
        <a:xfrm>
          <a:off x="9296400" y="20726400"/>
          <a:ext cx="12268200" cy="9194800"/>
        </a:xfrm>
        <a:prstGeom prst="rect">
          <a:avLst/>
        </a:prstGeom>
      </xdr:spPr>
    </xdr:pic>
    <xdr:clientData/>
  </xdr:twoCellAnchor>
  <xdr:twoCellAnchor editAs="oneCell">
    <xdr:from>
      <xdr:col>9</xdr:col>
      <xdr:colOff>0</xdr:colOff>
      <xdr:row>150</xdr:row>
      <xdr:rowOff>0</xdr:rowOff>
    </xdr:from>
    <xdr:to>
      <xdr:col>23</xdr:col>
      <xdr:colOff>138327</xdr:colOff>
      <xdr:row>192</xdr:row>
      <xdr:rowOff>65191</xdr:rowOff>
    </xdr:to>
    <xdr:pic>
      <xdr:nvPicPr>
        <xdr:cNvPr id="9" name="Picture 8">
          <a:extLst>
            <a:ext uri="{FF2B5EF4-FFF2-40B4-BE49-F238E27FC236}">
              <a16:creationId xmlns:a16="http://schemas.microsoft.com/office/drawing/2014/main" id="{612C9B33-2987-0343-B3C4-56E41E395418}"/>
            </a:ext>
          </a:extLst>
        </xdr:cNvPr>
        <xdr:cNvPicPr>
          <a:picLocks noChangeAspect="1"/>
        </xdr:cNvPicPr>
      </xdr:nvPicPr>
      <xdr:blipFill>
        <a:blip xmlns:r="http://schemas.openxmlformats.org/officeDocument/2006/relationships" r:embed="rId4"/>
        <a:stretch>
          <a:fillRect/>
        </a:stretch>
      </xdr:blipFill>
      <xdr:spPr>
        <a:xfrm>
          <a:off x="9279009" y="30685946"/>
          <a:ext cx="11671300" cy="8737600"/>
        </a:xfrm>
        <a:prstGeom prst="rect">
          <a:avLst/>
        </a:prstGeom>
      </xdr:spPr>
    </xdr:pic>
    <xdr:clientData/>
  </xdr:twoCellAnchor>
  <xdr:twoCellAnchor editAs="oneCell">
    <xdr:from>
      <xdr:col>9</xdr:col>
      <xdr:colOff>0</xdr:colOff>
      <xdr:row>224</xdr:row>
      <xdr:rowOff>0</xdr:rowOff>
    </xdr:from>
    <xdr:to>
      <xdr:col>24</xdr:col>
      <xdr:colOff>33603</xdr:colOff>
      <xdr:row>269</xdr:row>
      <xdr:rowOff>22425</xdr:rowOff>
    </xdr:to>
    <xdr:pic>
      <xdr:nvPicPr>
        <xdr:cNvPr id="12" name="Picture 11">
          <a:extLst>
            <a:ext uri="{FF2B5EF4-FFF2-40B4-BE49-F238E27FC236}">
              <a16:creationId xmlns:a16="http://schemas.microsoft.com/office/drawing/2014/main" id="{888CBE67-BBD3-074B-95BB-FA7D8C7F10D4}"/>
            </a:ext>
          </a:extLst>
        </xdr:cNvPr>
        <xdr:cNvPicPr>
          <a:picLocks noChangeAspect="1"/>
        </xdr:cNvPicPr>
      </xdr:nvPicPr>
      <xdr:blipFill>
        <a:blip xmlns:r="http://schemas.openxmlformats.org/officeDocument/2006/relationships" r:embed="rId5"/>
        <a:stretch>
          <a:fillRect/>
        </a:stretch>
      </xdr:blipFill>
      <xdr:spPr>
        <a:xfrm>
          <a:off x="9279009" y="45720000"/>
          <a:ext cx="12390361" cy="9289993"/>
        </a:xfrm>
        <a:prstGeom prst="rect">
          <a:avLst/>
        </a:prstGeom>
      </xdr:spPr>
    </xdr:pic>
    <xdr:clientData/>
  </xdr:twoCellAnchor>
  <xdr:twoCellAnchor editAs="oneCell">
    <xdr:from>
      <xdr:col>9</xdr:col>
      <xdr:colOff>0</xdr:colOff>
      <xdr:row>270</xdr:row>
      <xdr:rowOff>205945</xdr:rowOff>
    </xdr:from>
    <xdr:to>
      <xdr:col>24</xdr:col>
      <xdr:colOff>44888</xdr:colOff>
      <xdr:row>316</xdr:row>
      <xdr:rowOff>11441</xdr:rowOff>
    </xdr:to>
    <xdr:pic>
      <xdr:nvPicPr>
        <xdr:cNvPr id="13" name="Picture 12">
          <a:extLst>
            <a:ext uri="{FF2B5EF4-FFF2-40B4-BE49-F238E27FC236}">
              <a16:creationId xmlns:a16="http://schemas.microsoft.com/office/drawing/2014/main" id="{48EEE0A9-85C5-4C47-B0F1-5695E94A6F94}"/>
            </a:ext>
          </a:extLst>
        </xdr:cNvPr>
        <xdr:cNvPicPr>
          <a:picLocks noChangeAspect="1"/>
        </xdr:cNvPicPr>
      </xdr:nvPicPr>
      <xdr:blipFill>
        <a:blip xmlns:r="http://schemas.openxmlformats.org/officeDocument/2006/relationships" r:embed="rId6"/>
        <a:stretch>
          <a:fillRect/>
        </a:stretch>
      </xdr:blipFill>
      <xdr:spPr>
        <a:xfrm>
          <a:off x="9279009" y="55399459"/>
          <a:ext cx="12401646" cy="9279009"/>
        </a:xfrm>
        <a:prstGeom prst="rect">
          <a:avLst/>
        </a:prstGeom>
      </xdr:spPr>
    </xdr:pic>
    <xdr:clientData/>
  </xdr:twoCellAnchor>
  <xdr:twoCellAnchor editAs="oneCell">
    <xdr:from>
      <xdr:col>9</xdr:col>
      <xdr:colOff>0</xdr:colOff>
      <xdr:row>320</xdr:row>
      <xdr:rowOff>0</xdr:rowOff>
    </xdr:from>
    <xdr:to>
      <xdr:col>24</xdr:col>
      <xdr:colOff>20925</xdr:colOff>
      <xdr:row>364</xdr:row>
      <xdr:rowOff>180087</xdr:rowOff>
    </xdr:to>
    <xdr:pic>
      <xdr:nvPicPr>
        <xdr:cNvPr id="15" name="Picture 14">
          <a:extLst>
            <a:ext uri="{FF2B5EF4-FFF2-40B4-BE49-F238E27FC236}">
              <a16:creationId xmlns:a16="http://schemas.microsoft.com/office/drawing/2014/main" id="{83FCC8AA-4B2C-4545-B068-8E3111209F27}"/>
            </a:ext>
          </a:extLst>
        </xdr:cNvPr>
        <xdr:cNvPicPr>
          <a:picLocks noChangeAspect="1"/>
        </xdr:cNvPicPr>
      </xdr:nvPicPr>
      <xdr:blipFill>
        <a:blip xmlns:r="http://schemas.openxmlformats.org/officeDocument/2006/relationships" r:embed="rId7"/>
        <a:stretch>
          <a:fillRect/>
        </a:stretch>
      </xdr:blipFill>
      <xdr:spPr>
        <a:xfrm>
          <a:off x="9279009" y="65490811"/>
          <a:ext cx="12377683" cy="9241708"/>
        </a:xfrm>
        <a:prstGeom prst="rect">
          <a:avLst/>
        </a:prstGeom>
      </xdr:spPr>
    </xdr:pic>
    <xdr:clientData/>
  </xdr:twoCellAnchor>
  <xdr:twoCellAnchor editAs="oneCell">
    <xdr:from>
      <xdr:col>9</xdr:col>
      <xdr:colOff>0</xdr:colOff>
      <xdr:row>367</xdr:row>
      <xdr:rowOff>0</xdr:rowOff>
    </xdr:from>
    <xdr:to>
      <xdr:col>24</xdr:col>
      <xdr:colOff>45765</xdr:colOff>
      <xdr:row>411</xdr:row>
      <xdr:rowOff>100012</xdr:rowOff>
    </xdr:to>
    <xdr:pic>
      <xdr:nvPicPr>
        <xdr:cNvPr id="16" name="Picture 15">
          <a:extLst>
            <a:ext uri="{FF2B5EF4-FFF2-40B4-BE49-F238E27FC236}">
              <a16:creationId xmlns:a16="http://schemas.microsoft.com/office/drawing/2014/main" id="{CA1AF917-0873-8E4C-8AAF-4F46EE2CB41E}"/>
            </a:ext>
          </a:extLst>
        </xdr:cNvPr>
        <xdr:cNvPicPr>
          <a:picLocks noChangeAspect="1"/>
        </xdr:cNvPicPr>
      </xdr:nvPicPr>
      <xdr:blipFill>
        <a:blip xmlns:r="http://schemas.openxmlformats.org/officeDocument/2006/relationships" r:embed="rId8"/>
        <a:stretch>
          <a:fillRect/>
        </a:stretch>
      </xdr:blipFill>
      <xdr:spPr>
        <a:xfrm>
          <a:off x="9279009" y="75170270"/>
          <a:ext cx="12402523" cy="9276865"/>
        </a:xfrm>
        <a:prstGeom prst="rect">
          <a:avLst/>
        </a:prstGeom>
      </xdr:spPr>
    </xdr:pic>
    <xdr:clientData/>
  </xdr:twoCellAnchor>
  <xdr:twoCellAnchor editAs="oneCell">
    <xdr:from>
      <xdr:col>9</xdr:col>
      <xdr:colOff>0</xdr:colOff>
      <xdr:row>431</xdr:row>
      <xdr:rowOff>194497</xdr:rowOff>
    </xdr:from>
    <xdr:to>
      <xdr:col>24</xdr:col>
      <xdr:colOff>33775</xdr:colOff>
      <xdr:row>477</xdr:row>
      <xdr:rowOff>578</xdr:rowOff>
    </xdr:to>
    <xdr:pic>
      <xdr:nvPicPr>
        <xdr:cNvPr id="17" name="Picture 16">
          <a:extLst>
            <a:ext uri="{FF2B5EF4-FFF2-40B4-BE49-F238E27FC236}">
              <a16:creationId xmlns:a16="http://schemas.microsoft.com/office/drawing/2014/main" id="{A74C0C93-80B9-3C42-A24B-EB168E3E2069}"/>
            </a:ext>
          </a:extLst>
        </xdr:cNvPr>
        <xdr:cNvPicPr>
          <a:picLocks noChangeAspect="1"/>
        </xdr:cNvPicPr>
      </xdr:nvPicPr>
      <xdr:blipFill>
        <a:blip xmlns:r="http://schemas.openxmlformats.org/officeDocument/2006/relationships" r:embed="rId9"/>
        <a:stretch>
          <a:fillRect/>
        </a:stretch>
      </xdr:blipFill>
      <xdr:spPr>
        <a:xfrm>
          <a:off x="9279009" y="85250173"/>
          <a:ext cx="12390533" cy="9279009"/>
        </a:xfrm>
        <a:prstGeom prst="rect">
          <a:avLst/>
        </a:prstGeom>
      </xdr:spPr>
    </xdr:pic>
    <xdr:clientData/>
  </xdr:twoCellAnchor>
  <xdr:twoCellAnchor editAs="oneCell">
    <xdr:from>
      <xdr:col>9</xdr:col>
      <xdr:colOff>0</xdr:colOff>
      <xdr:row>479</xdr:row>
      <xdr:rowOff>0</xdr:rowOff>
    </xdr:from>
    <xdr:to>
      <xdr:col>23</xdr:col>
      <xdr:colOff>827767</xdr:colOff>
      <xdr:row>524</xdr:row>
      <xdr:rowOff>3872</xdr:rowOff>
    </xdr:to>
    <xdr:pic>
      <xdr:nvPicPr>
        <xdr:cNvPr id="18" name="Picture 17">
          <a:extLst>
            <a:ext uri="{FF2B5EF4-FFF2-40B4-BE49-F238E27FC236}">
              <a16:creationId xmlns:a16="http://schemas.microsoft.com/office/drawing/2014/main" id="{56A86F64-7D29-9B4B-BFB9-9B75B22B4387}"/>
            </a:ext>
          </a:extLst>
        </xdr:cNvPr>
        <xdr:cNvPicPr>
          <a:picLocks noChangeAspect="1"/>
        </xdr:cNvPicPr>
      </xdr:nvPicPr>
      <xdr:blipFill>
        <a:blip xmlns:r="http://schemas.openxmlformats.org/officeDocument/2006/relationships" r:embed="rId10"/>
        <a:stretch>
          <a:fillRect/>
        </a:stretch>
      </xdr:blipFill>
      <xdr:spPr>
        <a:xfrm>
          <a:off x="9279009" y="94941081"/>
          <a:ext cx="12356757" cy="92620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analyses/6_residences_analysi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lexander/Git/etdataset/analyse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 val="csv_heating_heat_pump"/>
      <sheetName val="csv_add_on_space_heating_child"/>
      <sheetName val="csv_add_on_hot water_child"/>
      <sheetName val="csv_hot_water_from_el_add_on"/>
    </sheetNames>
    <sheetDataSet>
      <sheetData sheetId="0"/>
      <sheetData sheetId="1"/>
      <sheetData sheetId="2"/>
      <sheetData sheetId="3"/>
      <sheetData sheetId="4"/>
      <sheetData sheetId="5"/>
      <sheetData sheetId="6"/>
      <sheetData sheetId="7"/>
      <sheetData sheetId="8">
        <row r="14">
          <cell r="M14">
            <v>0</v>
          </cell>
        </row>
        <row r="29">
          <cell r="M29">
            <v>0</v>
          </cell>
        </row>
        <row r="37">
          <cell r="M37">
            <v>0</v>
          </cell>
        </row>
      </sheetData>
      <sheetData sheetId="9"/>
      <sheetData sheetId="10"/>
      <sheetData sheetId="11"/>
      <sheetData sheetId="12"/>
      <sheetData sheetId="13"/>
      <sheetData sheetId="14"/>
      <sheetData sheetId="15">
        <row r="11">
          <cell r="C11">
            <v>0</v>
          </cell>
          <cell r="D11">
            <v>0</v>
          </cell>
          <cell r="E11">
            <v>0</v>
          </cell>
          <cell r="F11">
            <v>0</v>
          </cell>
          <cell r="G11">
            <v>0</v>
          </cell>
          <cell r="I11">
            <v>0</v>
          </cell>
          <cell r="J11">
            <v>0</v>
          </cell>
          <cell r="L11">
            <v>1660101.54</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2224342.7999999998</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508C7-BAB1-E840-83B7-7482A254343F}">
  <dimension ref="A2:J115"/>
  <sheetViews>
    <sheetView tabSelected="1" workbookViewId="0">
      <selection activeCell="E23" sqref="E23"/>
    </sheetView>
  </sheetViews>
  <sheetFormatPr baseColWidth="10" defaultRowHeight="16"/>
  <cols>
    <col min="1" max="1" width="10.83203125" style="184"/>
    <col min="2" max="2" width="17.1640625" style="188" customWidth="1"/>
    <col min="3" max="3" width="83.6640625" style="188" bestFit="1" customWidth="1"/>
    <col min="4" max="4" width="7.1640625" style="189" bestFit="1" customWidth="1"/>
    <col min="5" max="5" width="17.1640625" style="190" customWidth="1"/>
    <col min="6" max="6" width="3.83203125" style="190" customWidth="1"/>
    <col min="7" max="7" width="30.83203125" style="184" customWidth="1"/>
    <col min="8" max="8" width="3.83203125" style="184" customWidth="1"/>
    <col min="9" max="9" width="32.5" style="184" customWidth="1"/>
  </cols>
  <sheetData>
    <row r="2" spans="2:10" ht="21">
      <c r="B2" s="187"/>
      <c r="I2" s="191"/>
    </row>
    <row r="3" spans="2:10">
      <c r="B3" s="192"/>
      <c r="I3" s="193"/>
    </row>
    <row r="4" spans="2:10">
      <c r="B4" s="194"/>
      <c r="C4" s="158"/>
      <c r="D4" s="159"/>
      <c r="E4" s="195"/>
      <c r="F4" s="23"/>
      <c r="I4" s="196"/>
    </row>
    <row r="5" spans="2:10">
      <c r="B5" s="336"/>
      <c r="C5" s="337"/>
      <c r="D5" s="337"/>
      <c r="E5" s="338"/>
      <c r="F5" s="197"/>
      <c r="I5" s="198"/>
    </row>
    <row r="6" spans="2:10" ht="17" thickBot="1"/>
    <row r="7" spans="2:10">
      <c r="B7" s="113" t="s">
        <v>152</v>
      </c>
      <c r="C7" s="114"/>
      <c r="D7" s="115"/>
      <c r="E7" s="116"/>
      <c r="F7" s="116"/>
      <c r="G7" s="117"/>
      <c r="H7" s="117"/>
      <c r="I7" s="117"/>
      <c r="J7" s="177"/>
    </row>
    <row r="8" spans="2:10">
      <c r="B8" s="118"/>
      <c r="C8" s="17"/>
      <c r="D8" s="119"/>
      <c r="E8" s="23"/>
      <c r="F8" s="23"/>
      <c r="G8" s="120"/>
      <c r="H8" s="120"/>
      <c r="I8" s="120"/>
      <c r="J8" s="37"/>
    </row>
    <row r="9" spans="2:10">
      <c r="B9" s="121" t="s">
        <v>153</v>
      </c>
      <c r="C9" s="122" t="s">
        <v>154</v>
      </c>
      <c r="D9" s="122" t="s">
        <v>155</v>
      </c>
      <c r="E9" s="122" t="s">
        <v>156</v>
      </c>
      <c r="F9" s="122"/>
      <c r="G9" s="122" t="s">
        <v>157</v>
      </c>
      <c r="H9" s="122"/>
      <c r="I9" s="122" t="s">
        <v>74</v>
      </c>
      <c r="J9" s="178"/>
    </row>
    <row r="10" spans="2:10">
      <c r="B10" s="123" t="s">
        <v>158</v>
      </c>
      <c r="C10" s="9"/>
      <c r="D10" s="10"/>
      <c r="E10" s="11"/>
      <c r="F10" s="11"/>
      <c r="G10" s="9"/>
      <c r="H10" s="9"/>
      <c r="I10" s="9"/>
      <c r="J10" s="179"/>
    </row>
    <row r="11" spans="2:10">
      <c r="B11" s="124"/>
      <c r="C11" s="13" t="s">
        <v>142</v>
      </c>
      <c r="D11" s="14"/>
      <c r="E11" s="13" t="s">
        <v>159</v>
      </c>
      <c r="F11" s="17"/>
      <c r="G11" s="125" t="s">
        <v>160</v>
      </c>
      <c r="H11" s="9"/>
      <c r="I11" s="9"/>
      <c r="J11" s="179"/>
    </row>
    <row r="12" spans="2:10">
      <c r="B12" s="124"/>
      <c r="C12" s="13" t="s">
        <v>161</v>
      </c>
      <c r="D12" s="14"/>
      <c r="E12" s="13">
        <v>2015</v>
      </c>
      <c r="F12" s="17"/>
      <c r="G12" s="125" t="s">
        <v>162</v>
      </c>
      <c r="H12" s="9"/>
      <c r="I12" s="9"/>
      <c r="J12" s="179"/>
    </row>
    <row r="13" spans="2:10">
      <c r="B13" s="124"/>
      <c r="C13" s="9"/>
      <c r="D13" s="10"/>
      <c r="E13" s="11"/>
      <c r="F13" s="11"/>
      <c r="G13" s="9"/>
      <c r="H13" s="9"/>
      <c r="I13" s="9"/>
      <c r="J13" s="179"/>
    </row>
    <row r="14" spans="2:10">
      <c r="B14" s="124"/>
      <c r="C14" s="9"/>
      <c r="D14" s="10"/>
      <c r="E14" s="11"/>
      <c r="F14" s="11"/>
      <c r="G14" s="9"/>
      <c r="H14" s="9"/>
      <c r="I14" s="9"/>
      <c r="J14" s="179"/>
    </row>
    <row r="15" spans="2:10">
      <c r="B15" s="126"/>
      <c r="C15" s="127"/>
      <c r="D15" s="128"/>
      <c r="E15" s="129"/>
      <c r="F15" s="129"/>
      <c r="G15" s="127"/>
      <c r="H15" s="127"/>
      <c r="I15" s="127"/>
      <c r="J15" s="180"/>
    </row>
    <row r="16" spans="2:10">
      <c r="B16" s="8" t="s">
        <v>30</v>
      </c>
      <c r="C16" s="9"/>
      <c r="D16" s="10"/>
      <c r="E16" s="11"/>
      <c r="F16" s="11"/>
      <c r="G16" s="9"/>
      <c r="H16" s="9"/>
      <c r="I16" s="9"/>
      <c r="J16" s="33"/>
    </row>
    <row r="17" spans="2:10">
      <c r="B17" s="12"/>
      <c r="C17" s="13" t="s">
        <v>31</v>
      </c>
      <c r="D17" s="14" t="s">
        <v>26</v>
      </c>
      <c r="E17" s="15">
        <v>2224342.7999999998</v>
      </c>
      <c r="F17" s="16"/>
      <c r="G17" s="2"/>
      <c r="H17" s="130"/>
      <c r="I17" s="16" t="s">
        <v>163</v>
      </c>
      <c r="J17" s="37"/>
    </row>
    <row r="18" spans="2:10">
      <c r="B18" s="8"/>
      <c r="C18" s="17"/>
      <c r="D18" s="18"/>
      <c r="E18" s="19"/>
      <c r="F18" s="19"/>
      <c r="G18" s="20"/>
      <c r="H18" s="131"/>
      <c r="I18" s="120"/>
      <c r="J18" s="37"/>
    </row>
    <row r="19" spans="2:10" ht="17" thickBot="1">
      <c r="B19" s="8"/>
      <c r="C19" s="21" t="s">
        <v>32</v>
      </c>
      <c r="D19" s="18"/>
      <c r="E19" s="19"/>
      <c r="F19" s="19"/>
      <c r="G19" s="20"/>
      <c r="H19" s="131"/>
      <c r="I19" s="120"/>
      <c r="J19" s="37"/>
    </row>
    <row r="20" spans="2:10" ht="17" thickBot="1">
      <c r="B20" s="8"/>
      <c r="C20" s="22" t="s">
        <v>33</v>
      </c>
      <c r="D20" s="3" t="s">
        <v>26</v>
      </c>
      <c r="E20" s="1">
        <f>E17-SUM(E21:E25)</f>
        <v>1510963.8401028165</v>
      </c>
      <c r="F20" s="15"/>
      <c r="G20" s="2" t="s">
        <v>20</v>
      </c>
      <c r="H20" s="130"/>
      <c r="I20" s="132" t="s">
        <v>200</v>
      </c>
      <c r="J20" s="181"/>
    </row>
    <row r="21" spans="2:10" ht="17" thickBot="1">
      <c r="B21" s="8"/>
      <c r="C21" s="22" t="s">
        <v>34</v>
      </c>
      <c r="D21" s="3" t="s">
        <v>26</v>
      </c>
      <c r="E21" s="1">
        <f>'HRE 4 Source'!G170</f>
        <v>383470.86092283303</v>
      </c>
      <c r="F21" s="15"/>
      <c r="G21" s="2" t="s">
        <v>21</v>
      </c>
      <c r="H21" s="130"/>
      <c r="I21" s="132" t="s">
        <v>199</v>
      </c>
      <c r="J21" s="181"/>
    </row>
    <row r="22" spans="2:10" ht="17" thickBot="1">
      <c r="B22" s="8"/>
      <c r="C22" s="22" t="s">
        <v>35</v>
      </c>
      <c r="D22" s="3" t="s">
        <v>26</v>
      </c>
      <c r="E22" s="1">
        <f>'HRE 4 Source'!G173</f>
        <v>440.68057985744196</v>
      </c>
      <c r="F22" s="15"/>
      <c r="G22" s="2" t="s">
        <v>22</v>
      </c>
      <c r="H22" s="130"/>
      <c r="I22" s="132" t="s">
        <v>199</v>
      </c>
      <c r="J22" s="181"/>
    </row>
    <row r="23" spans="2:10" ht="17" thickBot="1">
      <c r="B23" s="8"/>
      <c r="C23" s="22" t="s">
        <v>36</v>
      </c>
      <c r="D23" s="3" t="s">
        <v>26</v>
      </c>
      <c r="E23" s="1">
        <f>'Application split old'!K58</f>
        <v>39600</v>
      </c>
      <c r="F23" s="15"/>
      <c r="G23" s="2" t="s">
        <v>23</v>
      </c>
      <c r="H23" s="130"/>
      <c r="I23" s="132" t="s">
        <v>164</v>
      </c>
      <c r="J23" s="181"/>
    </row>
    <row r="24" spans="2:10" ht="17" thickBot="1">
      <c r="B24" s="8"/>
      <c r="C24" s="22" t="s">
        <v>37</v>
      </c>
      <c r="D24" s="3" t="s">
        <v>26</v>
      </c>
      <c r="E24" s="1">
        <f>'HRE 4 Source'!G172</f>
        <v>88267.418394492939</v>
      </c>
      <c r="F24" s="15"/>
      <c r="G24" s="2" t="s">
        <v>24</v>
      </c>
      <c r="H24" s="130"/>
      <c r="I24" s="132" t="s">
        <v>199</v>
      </c>
      <c r="J24" s="37"/>
    </row>
    <row r="25" spans="2:10" ht="17" thickBot="1">
      <c r="B25" s="8"/>
      <c r="C25" s="22" t="s">
        <v>38</v>
      </c>
      <c r="D25" s="3" t="s">
        <v>26</v>
      </c>
      <c r="E25" s="1">
        <f>'Application split old'!K57</f>
        <v>201600</v>
      </c>
      <c r="F25" s="15"/>
      <c r="G25" s="2" t="s">
        <v>25</v>
      </c>
      <c r="H25" s="130"/>
      <c r="I25" s="132" t="s">
        <v>164</v>
      </c>
      <c r="J25" s="37"/>
    </row>
    <row r="26" spans="2:10">
      <c r="B26" s="8"/>
      <c r="C26" s="17"/>
      <c r="D26" s="18"/>
      <c r="E26" s="23"/>
      <c r="F26" s="23"/>
      <c r="G26" s="24"/>
      <c r="H26" s="133"/>
      <c r="I26" s="120"/>
      <c r="J26" s="37"/>
    </row>
    <row r="27" spans="2:10">
      <c r="B27" s="8"/>
      <c r="C27" s="17" t="s">
        <v>39</v>
      </c>
      <c r="D27" s="18" t="s">
        <v>26</v>
      </c>
      <c r="E27" s="25">
        <v>0</v>
      </c>
      <c r="F27" s="26"/>
      <c r="G27" s="24"/>
      <c r="H27" s="133"/>
      <c r="I27" s="120"/>
      <c r="J27" s="37"/>
    </row>
    <row r="28" spans="2:10">
      <c r="B28" s="27"/>
      <c r="C28" s="28"/>
      <c r="D28" s="29"/>
      <c r="E28" s="30"/>
      <c r="F28" s="30"/>
      <c r="G28" s="31"/>
      <c r="H28" s="134"/>
      <c r="I28" s="135"/>
      <c r="J28" s="44"/>
    </row>
    <row r="29" spans="2:10">
      <c r="B29" s="8" t="s">
        <v>33</v>
      </c>
      <c r="C29" s="17"/>
      <c r="D29" s="18"/>
      <c r="E29" s="136"/>
      <c r="F29" s="137"/>
      <c r="G29" s="24"/>
      <c r="H29" s="133"/>
      <c r="I29" s="120"/>
      <c r="J29" s="37"/>
    </row>
    <row r="30" spans="2:10" ht="17" thickBot="1">
      <c r="B30" s="8"/>
      <c r="C30" s="21" t="s">
        <v>165</v>
      </c>
      <c r="D30" s="18"/>
      <c r="E30" s="137"/>
      <c r="F30" s="137"/>
      <c r="G30" s="24"/>
      <c r="H30" s="133"/>
      <c r="I30" s="120"/>
      <c r="J30" s="37"/>
    </row>
    <row r="31" spans="2:10" ht="17" thickBot="1">
      <c r="B31" s="8"/>
      <c r="C31" s="22" t="s">
        <v>1</v>
      </c>
      <c r="D31" s="138"/>
      <c r="E31" s="139">
        <f>'Final demand per energy carrier'!O15</f>
        <v>0.29746567871562196</v>
      </c>
      <c r="F31" s="140"/>
      <c r="G31" s="141"/>
      <c r="H31" s="142"/>
      <c r="I31" s="132" t="s">
        <v>273</v>
      </c>
      <c r="J31" s="37"/>
    </row>
    <row r="32" spans="2:10" ht="17" thickBot="1">
      <c r="B32" s="8"/>
      <c r="C32" s="22" t="s">
        <v>2</v>
      </c>
      <c r="D32" s="138"/>
      <c r="E32" s="139">
        <f>'Final demand per energy carrier'!O16</f>
        <v>5.2011648910617683E-4</v>
      </c>
      <c r="F32" s="140"/>
      <c r="G32" s="141"/>
      <c r="H32" s="142"/>
      <c r="I32" s="132" t="s">
        <v>273</v>
      </c>
      <c r="J32" s="37"/>
    </row>
    <row r="33" spans="2:10" ht="17" thickBot="1">
      <c r="B33" s="8"/>
      <c r="C33" s="22" t="s">
        <v>3</v>
      </c>
      <c r="D33" s="138"/>
      <c r="E33" s="139">
        <f>'Final demand per energy carrier'!O17</f>
        <v>0</v>
      </c>
      <c r="F33" s="140"/>
      <c r="G33" s="141"/>
      <c r="H33" s="142"/>
      <c r="I33" s="132" t="s">
        <v>273</v>
      </c>
      <c r="J33" s="37"/>
    </row>
    <row r="34" spans="2:10" ht="17" thickBot="1">
      <c r="B34" s="8"/>
      <c r="C34" s="22" t="s">
        <v>4</v>
      </c>
      <c r="D34" s="138"/>
      <c r="E34" s="139">
        <f>'Final demand per energy carrier'!O18</f>
        <v>0</v>
      </c>
      <c r="F34" s="140"/>
      <c r="G34" s="141"/>
      <c r="H34" s="142"/>
      <c r="I34" s="132" t="s">
        <v>273</v>
      </c>
      <c r="J34" s="37"/>
    </row>
    <row r="35" spans="2:10" ht="17" thickBot="1">
      <c r="B35" s="8"/>
      <c r="C35" s="22" t="s">
        <v>5</v>
      </c>
      <c r="D35" s="138"/>
      <c r="E35" s="139">
        <f>'Final demand per energy carrier'!O19</f>
        <v>0.10332607361503099</v>
      </c>
      <c r="F35" s="140"/>
      <c r="G35" s="141"/>
      <c r="H35" s="142"/>
      <c r="I35" s="132" t="s">
        <v>273</v>
      </c>
      <c r="J35" s="37"/>
    </row>
    <row r="36" spans="2:10" ht="17" thickBot="1">
      <c r="B36" s="8"/>
      <c r="C36" s="22" t="s">
        <v>6</v>
      </c>
      <c r="D36" s="138"/>
      <c r="E36" s="139">
        <f>'Final demand per energy carrier'!O20</f>
        <v>2.333902725593226E-2</v>
      </c>
      <c r="F36" s="140"/>
      <c r="G36" s="141"/>
      <c r="H36" s="142"/>
      <c r="I36" s="132" t="s">
        <v>273</v>
      </c>
      <c r="J36" s="37"/>
    </row>
    <row r="37" spans="2:10" ht="17" thickBot="1">
      <c r="B37" s="8"/>
      <c r="C37" s="22" t="s">
        <v>7</v>
      </c>
      <c r="D37" s="138"/>
      <c r="E37" s="139">
        <f>'Final demand per energy carrier'!O21</f>
        <v>0.11461673570598158</v>
      </c>
      <c r="F37" s="140"/>
      <c r="G37" s="141"/>
      <c r="H37" s="142"/>
      <c r="I37" s="132" t="s">
        <v>273</v>
      </c>
      <c r="J37" s="37"/>
    </row>
    <row r="38" spans="2:10" ht="17" thickBot="1">
      <c r="B38" s="8"/>
      <c r="C38" s="22" t="s">
        <v>8</v>
      </c>
      <c r="D38" s="138"/>
      <c r="E38" s="139">
        <f>'Final demand per energy carrier'!O22</f>
        <v>4.2492958517383647E-2</v>
      </c>
      <c r="F38" s="140"/>
      <c r="G38" s="141"/>
      <c r="H38" s="142"/>
      <c r="I38" s="132" t="s">
        <v>273</v>
      </c>
      <c r="J38" s="37"/>
    </row>
    <row r="39" spans="2:10" ht="17" thickBot="1">
      <c r="B39" s="8"/>
      <c r="C39" s="22" t="s">
        <v>9</v>
      </c>
      <c r="D39" s="138"/>
      <c r="E39" s="139">
        <f>'Final demand per energy carrier'!O23</f>
        <v>0.14868637486566544</v>
      </c>
      <c r="F39" s="140"/>
      <c r="G39" s="141"/>
      <c r="H39" s="142"/>
      <c r="I39" s="132" t="s">
        <v>273</v>
      </c>
      <c r="J39" s="37"/>
    </row>
    <row r="40" spans="2:10" ht="17" thickBot="1">
      <c r="B40" s="8"/>
      <c r="C40" s="22" t="s">
        <v>10</v>
      </c>
      <c r="D40" s="138"/>
      <c r="E40" s="139">
        <f>'Final demand per energy carrier'!O24</f>
        <v>0.25571920420843186</v>
      </c>
      <c r="F40" s="140"/>
      <c r="G40" s="141"/>
      <c r="H40" s="142"/>
      <c r="I40" s="132" t="s">
        <v>273</v>
      </c>
      <c r="J40" s="37"/>
    </row>
    <row r="41" spans="2:10" ht="17" thickBot="1">
      <c r="B41" s="8"/>
      <c r="C41" s="22" t="s">
        <v>11</v>
      </c>
      <c r="D41" s="138"/>
      <c r="E41" s="139">
        <f>'Final demand per energy carrier'!O25</f>
        <v>1.3833830626846051E-2</v>
      </c>
      <c r="F41" s="140"/>
      <c r="G41" s="141"/>
      <c r="H41" s="142"/>
      <c r="I41" s="132" t="s">
        <v>273</v>
      </c>
      <c r="J41" s="37"/>
    </row>
    <row r="42" spans="2:10" ht="17" thickBot="1">
      <c r="B42" s="8"/>
      <c r="C42" s="22" t="s">
        <v>166</v>
      </c>
      <c r="D42" s="138"/>
      <c r="E42" s="139">
        <f>'Final demand per energy carrier'!O26</f>
        <v>0</v>
      </c>
      <c r="F42" s="140"/>
      <c r="G42" s="141"/>
      <c r="H42" s="142"/>
      <c r="I42" s="132" t="s">
        <v>273</v>
      </c>
      <c r="J42" s="37"/>
    </row>
    <row r="43" spans="2:10">
      <c r="B43" s="27"/>
      <c r="C43" s="28"/>
      <c r="D43" s="29"/>
      <c r="E43" s="143"/>
      <c r="F43" s="143"/>
      <c r="G43" s="144"/>
      <c r="H43" s="145"/>
      <c r="I43" s="135"/>
      <c r="J43" s="44"/>
    </row>
    <row r="44" spans="2:10">
      <c r="B44" s="8" t="s">
        <v>34</v>
      </c>
      <c r="C44" s="17"/>
      <c r="D44" s="18"/>
      <c r="E44" s="146"/>
      <c r="F44" s="146"/>
      <c r="G44" s="24"/>
      <c r="H44" s="133"/>
      <c r="I44" s="120"/>
      <c r="J44" s="37"/>
    </row>
    <row r="45" spans="2:10" ht="17" thickBot="1">
      <c r="B45" s="8"/>
      <c r="C45" s="21" t="s">
        <v>167</v>
      </c>
      <c r="D45" s="18"/>
      <c r="E45" s="146"/>
      <c r="F45" s="146"/>
      <c r="G45" s="24"/>
      <c r="H45" s="133"/>
      <c r="I45" s="120"/>
      <c r="J45" s="37"/>
    </row>
    <row r="46" spans="2:10" ht="17" thickBot="1">
      <c r="B46" s="8"/>
      <c r="C46" s="22" t="s">
        <v>1</v>
      </c>
      <c r="D46" s="138"/>
      <c r="E46" s="139">
        <f>'Final demand per energy carrier'!O30</f>
        <v>0.28052800523797694</v>
      </c>
      <c r="F46" s="140"/>
      <c r="G46" s="141"/>
      <c r="H46" s="142"/>
      <c r="I46" s="132" t="s">
        <v>273</v>
      </c>
      <c r="J46" s="37"/>
    </row>
    <row r="47" spans="2:10" ht="17" thickBot="1">
      <c r="B47" s="8"/>
      <c r="C47" s="22" t="s">
        <v>2</v>
      </c>
      <c r="D47" s="138"/>
      <c r="E47" s="139">
        <f>'Final demand per energy carrier'!O31</f>
        <v>7.7730195247317765E-2</v>
      </c>
      <c r="F47" s="140"/>
      <c r="G47" s="141"/>
      <c r="H47" s="142"/>
      <c r="I47" s="132" t="s">
        <v>273</v>
      </c>
      <c r="J47" s="37"/>
    </row>
    <row r="48" spans="2:10" ht="17" thickBot="1">
      <c r="B48" s="8"/>
      <c r="C48" s="22" t="s">
        <v>12</v>
      </c>
      <c r="D48" s="138"/>
      <c r="E48" s="139">
        <f>'Final demand per energy carrier'!O32</f>
        <v>0</v>
      </c>
      <c r="F48" s="140"/>
      <c r="G48" s="141"/>
      <c r="H48" s="142"/>
      <c r="I48" s="132" t="s">
        <v>273</v>
      </c>
      <c r="J48" s="37"/>
    </row>
    <row r="49" spans="2:10" ht="17" thickBot="1">
      <c r="B49" s="8"/>
      <c r="C49" s="22" t="s">
        <v>4</v>
      </c>
      <c r="D49" s="138"/>
      <c r="E49" s="139">
        <f>'Final demand per energy carrier'!O33</f>
        <v>0</v>
      </c>
      <c r="F49" s="140"/>
      <c r="G49" s="141"/>
      <c r="H49" s="142"/>
      <c r="I49" s="132" t="s">
        <v>273</v>
      </c>
      <c r="J49" s="37"/>
    </row>
    <row r="50" spans="2:10" ht="17" thickBot="1">
      <c r="B50" s="8"/>
      <c r="C50" s="22" t="s">
        <v>13</v>
      </c>
      <c r="D50" s="138"/>
      <c r="E50" s="139">
        <f>'Final demand per energy carrier'!O34</f>
        <v>0.14462509810323765</v>
      </c>
      <c r="F50" s="140"/>
      <c r="G50" s="141"/>
      <c r="H50" s="142"/>
      <c r="I50" s="132" t="s">
        <v>273</v>
      </c>
      <c r="J50" s="37"/>
    </row>
    <row r="51" spans="2:10" ht="17" thickBot="1">
      <c r="B51" s="8"/>
      <c r="C51" s="22" t="s">
        <v>168</v>
      </c>
      <c r="D51" s="138"/>
      <c r="E51" s="139">
        <f>'Final demand per energy carrier'!O35</f>
        <v>2.0301030972753022E-2</v>
      </c>
      <c r="F51" s="140"/>
      <c r="G51" s="141"/>
      <c r="H51" s="142"/>
      <c r="I51" s="132" t="s">
        <v>273</v>
      </c>
      <c r="J51" s="37"/>
    </row>
    <row r="52" spans="2:10" ht="17" thickBot="1">
      <c r="B52" s="8"/>
      <c r="C52" s="22" t="s">
        <v>14</v>
      </c>
      <c r="D52" s="138"/>
      <c r="E52" s="139">
        <f>'Final demand per energy carrier'!O36</f>
        <v>3.0478873608408855E-2</v>
      </c>
      <c r="F52" s="140"/>
      <c r="G52" s="141"/>
      <c r="H52" s="142"/>
      <c r="I52" s="132" t="s">
        <v>273</v>
      </c>
      <c r="J52" s="37"/>
    </row>
    <row r="53" spans="2:10" ht="17" thickBot="1">
      <c r="B53" s="8"/>
      <c r="C53" s="22" t="s">
        <v>15</v>
      </c>
      <c r="D53" s="138"/>
      <c r="E53" s="139">
        <f>'Final demand per energy carrier'!O37</f>
        <v>5.9542019957177082E-2</v>
      </c>
      <c r="F53" s="140"/>
      <c r="G53" s="141"/>
      <c r="H53" s="142"/>
      <c r="I53" s="132" t="s">
        <v>273</v>
      </c>
      <c r="J53" s="37"/>
    </row>
    <row r="54" spans="2:10" ht="17" thickBot="1">
      <c r="B54" s="8"/>
      <c r="C54" s="22" t="s">
        <v>16</v>
      </c>
      <c r="D54" s="138"/>
      <c r="E54" s="139">
        <f>'Final demand per energy carrier'!O38</f>
        <v>0.13922501000699597</v>
      </c>
      <c r="F54" s="140"/>
      <c r="G54" s="141"/>
      <c r="H54" s="142"/>
      <c r="I54" s="132" t="s">
        <v>273</v>
      </c>
      <c r="J54" s="37"/>
    </row>
    <row r="55" spans="2:10" ht="17" thickBot="1">
      <c r="B55" s="8"/>
      <c r="C55" s="22" t="s">
        <v>17</v>
      </c>
      <c r="D55" s="138"/>
      <c r="E55" s="139">
        <f>'Final demand per energy carrier'!O39</f>
        <v>0.24756976686613275</v>
      </c>
      <c r="F55" s="140"/>
      <c r="G55" s="141"/>
      <c r="H55" s="142"/>
      <c r="I55" s="132" t="s">
        <v>273</v>
      </c>
      <c r="J55" s="37"/>
    </row>
    <row r="56" spans="2:10" ht="17" thickBot="1">
      <c r="B56" s="8"/>
      <c r="C56" s="22" t="s">
        <v>18</v>
      </c>
      <c r="D56" s="138"/>
      <c r="E56" s="139">
        <f>'Final demand per energy carrier'!O40</f>
        <v>0</v>
      </c>
      <c r="F56" s="140"/>
      <c r="G56" s="141"/>
      <c r="H56" s="142"/>
      <c r="I56" s="132" t="s">
        <v>273</v>
      </c>
      <c r="J56" s="37"/>
    </row>
    <row r="57" spans="2:10" ht="17" thickBot="1">
      <c r="B57" s="8"/>
      <c r="C57" s="22" t="s">
        <v>19</v>
      </c>
      <c r="D57" s="138"/>
      <c r="E57" s="139">
        <f>'Final demand per energy carrier'!O41</f>
        <v>0</v>
      </c>
      <c r="F57" s="140"/>
      <c r="G57" s="141"/>
      <c r="H57" s="142"/>
      <c r="I57" s="132" t="s">
        <v>273</v>
      </c>
      <c r="J57" s="37"/>
    </row>
    <row r="58" spans="2:10" ht="17" thickBot="1">
      <c r="B58" s="8"/>
      <c r="C58" s="22" t="s">
        <v>166</v>
      </c>
      <c r="D58" s="138"/>
      <c r="E58" s="139">
        <f>'Final demand per energy carrier'!O42</f>
        <v>0</v>
      </c>
      <c r="F58" s="140"/>
      <c r="G58" s="141"/>
      <c r="H58" s="142"/>
      <c r="I58" s="132" t="s">
        <v>273</v>
      </c>
      <c r="J58" s="37"/>
    </row>
    <row r="59" spans="2:10">
      <c r="B59" s="27"/>
      <c r="C59" s="28"/>
      <c r="D59" s="29"/>
      <c r="E59" s="112"/>
      <c r="F59" s="112"/>
      <c r="G59" s="31"/>
      <c r="H59" s="134"/>
      <c r="I59" s="135"/>
      <c r="J59" s="44"/>
    </row>
    <row r="60" spans="2:10">
      <c r="B60" s="8" t="s">
        <v>35</v>
      </c>
      <c r="C60" s="149"/>
      <c r="D60" s="150"/>
      <c r="E60" s="109"/>
      <c r="F60" s="109"/>
      <c r="G60" s="24"/>
      <c r="H60" s="133"/>
      <c r="I60" s="120"/>
      <c r="J60" s="37"/>
    </row>
    <row r="61" spans="2:10" ht="17" thickBot="1">
      <c r="B61" s="8"/>
      <c r="C61" s="21" t="s">
        <v>169</v>
      </c>
      <c r="D61" s="150"/>
      <c r="E61" s="109"/>
      <c r="F61" s="109"/>
      <c r="G61" s="24"/>
      <c r="H61" s="133"/>
      <c r="I61" s="120"/>
      <c r="J61" s="37"/>
    </row>
    <row r="62" spans="2:10" ht="17" thickBot="1">
      <c r="B62" s="8"/>
      <c r="C62" s="22" t="s">
        <v>170</v>
      </c>
      <c r="D62" s="110"/>
      <c r="E62" s="111">
        <f>'Final demand per energy carrier'!O46</f>
        <v>0</v>
      </c>
      <c r="F62" s="151"/>
      <c r="G62" s="141"/>
      <c r="H62" s="142"/>
      <c r="I62" s="148" t="s">
        <v>197</v>
      </c>
      <c r="J62" s="37"/>
    </row>
    <row r="63" spans="2:10" ht="17" thickBot="1">
      <c r="B63" s="8"/>
      <c r="C63" s="22" t="s">
        <v>172</v>
      </c>
      <c r="D63" s="110"/>
      <c r="E63" s="111">
        <f>'Final demand per energy carrier'!O47</f>
        <v>0</v>
      </c>
      <c r="F63" s="151"/>
      <c r="G63" s="141"/>
      <c r="H63" s="142"/>
      <c r="I63" s="147" t="s">
        <v>197</v>
      </c>
      <c r="J63" s="37"/>
    </row>
    <row r="64" spans="2:10" ht="17" thickBot="1">
      <c r="B64" s="8"/>
      <c r="C64" s="22" t="s">
        <v>173</v>
      </c>
      <c r="D64" s="152"/>
      <c r="E64" s="111">
        <f>'Final demand per energy carrier'!O48</f>
        <v>1</v>
      </c>
      <c r="F64" s="151"/>
      <c r="G64" s="153"/>
      <c r="H64" s="154"/>
      <c r="I64" s="147" t="s">
        <v>197</v>
      </c>
      <c r="J64" s="37"/>
    </row>
    <row r="65" spans="2:10">
      <c r="B65" s="27"/>
      <c r="C65" s="28"/>
      <c r="D65" s="29"/>
      <c r="E65" s="112"/>
      <c r="F65" s="112"/>
      <c r="G65" s="31"/>
      <c r="H65" s="134"/>
      <c r="I65" s="135"/>
      <c r="J65" s="44"/>
    </row>
    <row r="66" spans="2:10">
      <c r="B66" s="8" t="s">
        <v>36</v>
      </c>
      <c r="C66" s="17"/>
      <c r="D66" s="18"/>
      <c r="E66" s="109"/>
      <c r="F66" s="151"/>
      <c r="G66" s="141"/>
      <c r="H66" s="142"/>
      <c r="I66" s="120"/>
      <c r="J66" s="37"/>
    </row>
    <row r="67" spans="2:10" ht="17" thickBot="1">
      <c r="B67" s="8"/>
      <c r="C67" s="21" t="s">
        <v>174</v>
      </c>
      <c r="D67" s="18"/>
      <c r="E67" s="109"/>
      <c r="F67" s="151"/>
      <c r="G67" s="141"/>
      <c r="H67" s="142"/>
      <c r="I67" s="120"/>
      <c r="J67" s="37"/>
    </row>
    <row r="68" spans="2:10" ht="17" thickBot="1">
      <c r="B68" s="8"/>
      <c r="C68" s="22" t="s">
        <v>175</v>
      </c>
      <c r="D68" s="110"/>
      <c r="E68" s="111"/>
      <c r="F68" s="151"/>
      <c r="G68" s="141"/>
      <c r="H68" s="142"/>
      <c r="I68" s="148"/>
      <c r="J68" s="37"/>
    </row>
    <row r="69" spans="2:10" ht="17" thickBot="1">
      <c r="B69" s="8"/>
      <c r="C69" s="22" t="s">
        <v>176</v>
      </c>
      <c r="D69" s="110"/>
      <c r="E69" s="111"/>
      <c r="F69" s="151"/>
      <c r="G69" s="141"/>
      <c r="H69" s="142"/>
      <c r="I69" s="148"/>
      <c r="J69" s="37"/>
    </row>
    <row r="70" spans="2:10" ht="17" thickBot="1">
      <c r="B70" s="8"/>
      <c r="C70" s="22" t="s">
        <v>177</v>
      </c>
      <c r="D70" s="110"/>
      <c r="E70" s="111"/>
      <c r="F70" s="151"/>
      <c r="G70" s="153"/>
      <c r="H70" s="154"/>
      <c r="I70" s="148"/>
      <c r="J70" s="37"/>
    </row>
    <row r="71" spans="2:10">
      <c r="B71" s="27"/>
      <c r="C71" s="28"/>
      <c r="D71" s="29"/>
      <c r="E71" s="112"/>
      <c r="F71" s="112"/>
      <c r="G71" s="31"/>
      <c r="H71" s="134"/>
      <c r="I71" s="135"/>
      <c r="J71" s="44"/>
    </row>
    <row r="72" spans="2:10">
      <c r="B72" s="8" t="s">
        <v>37</v>
      </c>
      <c r="C72" s="17"/>
      <c r="D72" s="18"/>
      <c r="E72" s="109"/>
      <c r="F72" s="109"/>
      <c r="G72" s="24"/>
      <c r="H72" s="133"/>
      <c r="I72" s="120"/>
      <c r="J72" s="37"/>
    </row>
    <row r="73" spans="2:10" ht="17" thickBot="1">
      <c r="B73" s="8"/>
      <c r="C73" s="21" t="s">
        <v>146</v>
      </c>
      <c r="D73" s="18"/>
      <c r="E73" s="109"/>
      <c r="F73" s="109"/>
      <c r="G73" s="24"/>
      <c r="H73" s="133"/>
      <c r="I73" s="120"/>
      <c r="J73" s="37"/>
    </row>
    <row r="74" spans="2:10" ht="17" thickBot="1">
      <c r="B74" s="8"/>
      <c r="C74" s="22" t="s">
        <v>147</v>
      </c>
      <c r="D74" s="110"/>
      <c r="E74" s="111">
        <f>'Final demand per energy carrier'!O52</f>
        <v>2.9198754425961565E-2</v>
      </c>
      <c r="F74" s="151"/>
      <c r="G74" s="141"/>
      <c r="H74" s="142"/>
      <c r="I74" s="148" t="s">
        <v>197</v>
      </c>
      <c r="J74" s="37"/>
    </row>
    <row r="75" spans="2:10" ht="17" thickBot="1">
      <c r="B75" s="8"/>
      <c r="C75" s="22" t="s">
        <v>148</v>
      </c>
      <c r="D75" s="110"/>
      <c r="E75" s="111">
        <f>'Final demand per energy carrier'!O53</f>
        <v>0.84164910260319115</v>
      </c>
      <c r="F75" s="151"/>
      <c r="G75" s="141"/>
      <c r="H75" s="142"/>
      <c r="I75" s="148" t="s">
        <v>197</v>
      </c>
      <c r="J75" s="37"/>
    </row>
    <row r="76" spans="2:10" ht="17" thickBot="1">
      <c r="B76" s="8"/>
      <c r="C76" s="22" t="s">
        <v>149</v>
      </c>
      <c r="D76" s="110"/>
      <c r="E76" s="111">
        <f>'Final demand per energy carrier'!O54</f>
        <v>5.3442266056902325E-2</v>
      </c>
      <c r="F76" s="151"/>
      <c r="G76" s="153"/>
      <c r="H76" s="154"/>
      <c r="I76" s="148" t="s">
        <v>197</v>
      </c>
      <c r="J76" s="37"/>
    </row>
    <row r="77" spans="2:10" ht="17" thickBot="1">
      <c r="B77" s="8"/>
      <c r="C77" s="22" t="s">
        <v>150</v>
      </c>
      <c r="D77" s="110"/>
      <c r="E77" s="111">
        <f>'Final demand per energy carrier'!O55</f>
        <v>7.5709876913944957E-2</v>
      </c>
      <c r="F77" s="151"/>
      <c r="G77" s="153"/>
      <c r="H77" s="154"/>
      <c r="I77" s="148" t="s">
        <v>197</v>
      </c>
      <c r="J77" s="37"/>
    </row>
    <row r="78" spans="2:10" ht="17" thickBot="1">
      <c r="B78" s="8"/>
      <c r="C78" s="22" t="s">
        <v>151</v>
      </c>
      <c r="D78" s="110"/>
      <c r="E78" s="111">
        <f>'Final demand per energy carrier'!O56</f>
        <v>0</v>
      </c>
      <c r="F78" s="151"/>
      <c r="G78" s="153"/>
      <c r="H78" s="154"/>
      <c r="I78" s="148" t="s">
        <v>197</v>
      </c>
      <c r="J78" s="37"/>
    </row>
    <row r="79" spans="2:10">
      <c r="B79" s="27"/>
      <c r="C79" s="28"/>
      <c r="D79" s="29"/>
      <c r="E79" s="112"/>
      <c r="F79" s="112"/>
      <c r="G79" s="31"/>
      <c r="H79" s="134"/>
      <c r="I79" s="135"/>
      <c r="J79" s="44"/>
    </row>
    <row r="80" spans="2:10">
      <c r="B80" s="8" t="s">
        <v>178</v>
      </c>
      <c r="C80" s="17"/>
      <c r="D80" s="18"/>
      <c r="E80" s="109"/>
      <c r="F80" s="109"/>
      <c r="G80" s="24"/>
      <c r="H80" s="133"/>
      <c r="I80" s="120"/>
      <c r="J80" s="37"/>
    </row>
    <row r="81" spans="2:10" ht="17" thickBot="1">
      <c r="B81" s="8"/>
      <c r="C81" s="21" t="s">
        <v>179</v>
      </c>
      <c r="D81" s="18"/>
      <c r="E81" s="109"/>
      <c r="F81" s="109"/>
      <c r="G81" s="24"/>
      <c r="H81" s="133"/>
      <c r="I81" s="120"/>
      <c r="J81" s="37"/>
    </row>
    <row r="82" spans="2:10" ht="17" thickBot="1">
      <c r="B82" s="8"/>
      <c r="C82" s="22" t="s">
        <v>180</v>
      </c>
      <c r="D82" s="110"/>
      <c r="E82" s="111"/>
      <c r="F82" s="151"/>
      <c r="G82" s="155"/>
      <c r="H82" s="156"/>
      <c r="I82" s="148"/>
      <c r="J82" s="37"/>
    </row>
    <row r="83" spans="2:10" ht="17" thickBot="1">
      <c r="B83" s="8"/>
      <c r="C83" s="22" t="s">
        <v>181</v>
      </c>
      <c r="D83" s="110"/>
      <c r="E83" s="111"/>
      <c r="F83" s="151"/>
      <c r="G83" s="141"/>
      <c r="H83" s="142"/>
      <c r="I83" s="148"/>
      <c r="J83" s="37"/>
    </row>
    <row r="84" spans="2:10" ht="17" thickBot="1">
      <c r="B84" s="8"/>
      <c r="C84" s="22" t="s">
        <v>182</v>
      </c>
      <c r="D84" s="110"/>
      <c r="E84" s="111"/>
      <c r="F84" s="151"/>
      <c r="G84" s="141"/>
      <c r="H84" s="142"/>
      <c r="I84" s="148"/>
      <c r="J84" s="37"/>
    </row>
    <row r="85" spans="2:10" ht="17" thickBot="1">
      <c r="B85" s="8"/>
      <c r="C85" s="22" t="s">
        <v>183</v>
      </c>
      <c r="D85" s="110"/>
      <c r="E85" s="111"/>
      <c r="F85" s="151"/>
      <c r="G85" s="141"/>
      <c r="H85" s="142"/>
      <c r="I85" s="148"/>
      <c r="J85" s="37"/>
    </row>
    <row r="86" spans="2:10" ht="17" thickBot="1">
      <c r="B86" s="8"/>
      <c r="C86" s="22" t="s">
        <v>184</v>
      </c>
      <c r="D86" s="110"/>
      <c r="E86" s="111"/>
      <c r="F86" s="151"/>
      <c r="G86" s="141"/>
      <c r="H86" s="142"/>
      <c r="I86" s="148"/>
      <c r="J86" s="37"/>
    </row>
    <row r="87" spans="2:10" ht="17" thickBot="1">
      <c r="B87" s="8"/>
      <c r="C87" s="22" t="s">
        <v>185</v>
      </c>
      <c r="D87" s="110"/>
      <c r="E87" s="111"/>
      <c r="F87" s="151"/>
      <c r="G87" s="141"/>
      <c r="H87" s="142"/>
      <c r="I87" s="148"/>
      <c r="J87" s="37"/>
    </row>
    <row r="88" spans="2:10" ht="17" thickBot="1">
      <c r="B88" s="8"/>
      <c r="C88" s="22" t="s">
        <v>186</v>
      </c>
      <c r="D88" s="110"/>
      <c r="E88" s="111"/>
      <c r="F88" s="151"/>
      <c r="G88" s="141"/>
      <c r="H88" s="142"/>
      <c r="I88" s="148"/>
      <c r="J88" s="37"/>
    </row>
    <row r="89" spans="2:10" ht="17" thickBot="1">
      <c r="B89" s="8"/>
      <c r="C89" s="22" t="s">
        <v>187</v>
      </c>
      <c r="D89" s="110"/>
      <c r="E89" s="111"/>
      <c r="F89" s="151"/>
      <c r="G89" s="141"/>
      <c r="H89" s="142"/>
      <c r="I89" s="148"/>
      <c r="J89" s="37"/>
    </row>
    <row r="90" spans="2:10">
      <c r="B90" s="27"/>
      <c r="C90" s="28"/>
      <c r="D90" s="29"/>
      <c r="E90" s="30"/>
      <c r="F90" s="30"/>
      <c r="G90" s="31"/>
      <c r="H90" s="134"/>
      <c r="I90" s="135"/>
      <c r="J90" s="44"/>
    </row>
    <row r="91" spans="2:10">
      <c r="B91" s="157"/>
      <c r="C91" s="158"/>
      <c r="D91" s="159"/>
      <c r="E91" s="160"/>
      <c r="F91" s="160"/>
      <c r="G91" s="161"/>
      <c r="H91" s="161"/>
      <c r="I91" s="162"/>
      <c r="J91" s="182"/>
    </row>
    <row r="92" spans="2:10">
      <c r="B92" s="27"/>
      <c r="C92" s="28"/>
      <c r="D92" s="163"/>
      <c r="E92" s="30"/>
      <c r="F92" s="30"/>
      <c r="G92" s="134"/>
      <c r="H92" s="134"/>
      <c r="I92" s="135"/>
      <c r="J92" s="44"/>
    </row>
    <row r="93" spans="2:10" ht="17" thickBot="1">
      <c r="B93" s="8" t="s">
        <v>188</v>
      </c>
      <c r="C93" s="17"/>
      <c r="D93" s="18"/>
      <c r="E93" s="23"/>
      <c r="F93" s="23"/>
      <c r="G93" s="24"/>
      <c r="H93" s="133"/>
      <c r="I93" s="120"/>
      <c r="J93" s="37"/>
    </row>
    <row r="94" spans="2:10" ht="17" thickBot="1">
      <c r="B94" s="8"/>
      <c r="C94" s="13" t="s">
        <v>189</v>
      </c>
      <c r="D94" s="110"/>
      <c r="E94" s="111"/>
      <c r="F94" s="151"/>
      <c r="G94" s="155"/>
      <c r="H94" s="156"/>
      <c r="I94" s="148"/>
      <c r="J94" s="37"/>
    </row>
    <row r="95" spans="2:10" ht="17" thickBot="1">
      <c r="B95" s="8"/>
      <c r="C95" s="13" t="s">
        <v>190</v>
      </c>
      <c r="D95" s="110"/>
      <c r="E95" s="111"/>
      <c r="F95" s="151"/>
      <c r="G95" s="141"/>
      <c r="H95" s="142"/>
      <c r="I95" s="147"/>
      <c r="J95" s="37"/>
    </row>
    <row r="96" spans="2:10">
      <c r="B96" s="8"/>
      <c r="C96" s="17"/>
      <c r="D96" s="18"/>
      <c r="E96" s="23"/>
      <c r="F96" s="23"/>
      <c r="G96" s="24"/>
      <c r="H96" s="133"/>
      <c r="I96" s="120"/>
      <c r="J96" s="37"/>
    </row>
    <row r="97" spans="2:10">
      <c r="B97" s="27"/>
      <c r="C97" s="28"/>
      <c r="D97" s="29"/>
      <c r="E97" s="30"/>
      <c r="F97" s="30"/>
      <c r="G97" s="31"/>
      <c r="H97" s="134"/>
      <c r="I97" s="135"/>
      <c r="J97" s="44"/>
    </row>
    <row r="98" spans="2:10" ht="17" thickBot="1">
      <c r="B98" s="157" t="s">
        <v>191</v>
      </c>
      <c r="C98" s="158"/>
      <c r="D98" s="164"/>
      <c r="E98" s="165"/>
      <c r="F98" s="165"/>
      <c r="G98" s="166"/>
      <c r="H98" s="161"/>
      <c r="I98" s="162"/>
      <c r="J98" s="182"/>
    </row>
    <row r="99" spans="2:10" ht="17" thickBot="1">
      <c r="B99" s="8"/>
      <c r="C99" s="13" t="s">
        <v>192</v>
      </c>
      <c r="D99" s="110"/>
      <c r="E99" s="111"/>
      <c r="F99" s="151"/>
      <c r="G99" s="141"/>
      <c r="H99" s="142"/>
      <c r="I99" s="167"/>
      <c r="J99" s="37"/>
    </row>
    <row r="100" spans="2:10" ht="17" thickBot="1">
      <c r="B100" s="8"/>
      <c r="C100" s="13" t="s">
        <v>193</v>
      </c>
      <c r="D100" s="110"/>
      <c r="E100" s="111"/>
      <c r="F100" s="151"/>
      <c r="G100" s="141"/>
      <c r="H100" s="142"/>
      <c r="I100" s="132"/>
      <c r="J100" s="37"/>
    </row>
    <row r="101" spans="2:10" ht="17" thickBot="1">
      <c r="B101" s="118"/>
      <c r="C101" s="17"/>
      <c r="D101" s="119"/>
      <c r="E101" s="23"/>
      <c r="F101" s="23"/>
      <c r="G101" s="24"/>
      <c r="H101" s="133"/>
      <c r="I101" s="120"/>
      <c r="J101" s="37"/>
    </row>
    <row r="102" spans="2:10" ht="17" thickBot="1">
      <c r="B102" s="118"/>
      <c r="C102" s="16" t="s">
        <v>194</v>
      </c>
      <c r="D102" s="110" t="s">
        <v>196</v>
      </c>
      <c r="E102" s="168"/>
      <c r="F102" s="151"/>
      <c r="G102" s="141"/>
      <c r="H102" s="142"/>
      <c r="I102" s="132"/>
      <c r="J102" s="37"/>
    </row>
    <row r="103" spans="2:10" ht="17" thickBot="1">
      <c r="B103" s="118"/>
      <c r="C103" s="16" t="s">
        <v>195</v>
      </c>
      <c r="D103" s="110" t="s">
        <v>196</v>
      </c>
      <c r="E103" s="168"/>
      <c r="F103" s="151"/>
      <c r="G103" s="141"/>
      <c r="H103" s="142"/>
      <c r="I103" s="169"/>
      <c r="J103" s="37"/>
    </row>
    <row r="104" spans="2:10" ht="17" thickBot="1">
      <c r="B104" s="170"/>
      <c r="C104" s="171"/>
      <c r="D104" s="172"/>
      <c r="E104" s="173"/>
      <c r="F104" s="173"/>
      <c r="G104" s="174"/>
      <c r="H104" s="175"/>
      <c r="I104" s="176"/>
      <c r="J104" s="183"/>
    </row>
    <row r="105" spans="2:10">
      <c r="G105" s="24"/>
      <c r="H105" s="199"/>
    </row>
    <row r="106" spans="2:10">
      <c r="G106" s="24"/>
      <c r="H106" s="199"/>
    </row>
    <row r="107" spans="2:10">
      <c r="G107" s="200"/>
    </row>
    <row r="108" spans="2:10">
      <c r="G108" s="200"/>
    </row>
    <row r="109" spans="2:10">
      <c r="G109" s="201"/>
      <c r="H109" s="202"/>
      <c r="I109" s="202"/>
    </row>
    <row r="110" spans="2:10">
      <c r="G110" s="201"/>
      <c r="H110" s="202"/>
      <c r="I110" s="202"/>
    </row>
    <row r="111" spans="2:10">
      <c r="G111" s="201"/>
      <c r="H111" s="202"/>
      <c r="I111" s="202"/>
    </row>
    <row r="112" spans="2:10">
      <c r="G112" s="201"/>
      <c r="H112" s="202"/>
      <c r="I112" s="202"/>
    </row>
    <row r="113" spans="7:9">
      <c r="G113" s="201"/>
      <c r="H113" s="202"/>
      <c r="I113" s="202"/>
    </row>
    <row r="114" spans="7:9">
      <c r="G114" s="201"/>
      <c r="H114" s="202"/>
      <c r="I114" s="202"/>
    </row>
    <row r="115" spans="7:9">
      <c r="G115" s="201"/>
      <c r="H115" s="202"/>
      <c r="I115" s="202"/>
    </row>
  </sheetData>
  <mergeCells count="1">
    <mergeCell ref="B5:E5"/>
  </mergeCells>
  <dataValidations count="3">
    <dataValidation type="decimal" showInputMessage="1" showErrorMessage="1" errorTitle="Number Range" error="You may only  instert a number between 0 and 100%_x000d_" sqref="E94:E95" xr:uid="{B9F7C05E-1238-1141-9397-2E528FD4FB1D}">
      <formula1>0</formula1>
      <formula2>1</formula2>
    </dataValidation>
    <dataValidation type="decimal" operator="greaterThanOrEqual" showInputMessage="1" showErrorMessage="1" errorTitle="Number Range" error="You may only add positive numbers. _x000d_" sqref="E96:E100 E31:E93" xr:uid="{573247C6-F701-CD4D-AC5E-BD4A0CF11141}">
      <formula1>0</formula1>
    </dataValidation>
    <dataValidation type="decimal" operator="greaterThanOrEqual" allowBlank="1" showInputMessage="1" showErrorMessage="1" errorTitle="Number Range" error="You may only enter positive numbers here. " sqref="E20:E25" xr:uid="{D0166905-9373-0540-9CAA-FB51D747E513}">
      <formula1>0</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D8C73-C1E3-7D4B-A2F9-1A7724D8FDF2}">
  <sheetPr>
    <tabColor theme="8" tint="0.39997558519241921"/>
  </sheetPr>
  <dimension ref="B2:Q81"/>
  <sheetViews>
    <sheetView zoomScale="90" zoomScaleNormal="120" workbookViewId="0">
      <pane xSplit="2" ySplit="9" topLeftCell="C10" activePane="bottomRight" state="frozen"/>
      <selection pane="topRight" activeCell="C1" sqref="C1"/>
      <selection pane="bottomLeft" activeCell="A10" sqref="A10"/>
      <selection pane="bottomRight" activeCell="B61" sqref="B61"/>
    </sheetView>
  </sheetViews>
  <sheetFormatPr baseColWidth="10" defaultRowHeight="16"/>
  <cols>
    <col min="1" max="1" width="10.83203125" style="184"/>
    <col min="2" max="2" width="40.83203125" style="184" customWidth="1"/>
    <col min="3" max="3" width="41.5" style="184" bestFit="1" customWidth="1"/>
    <col min="4" max="4" width="37.33203125" style="184" customWidth="1"/>
    <col min="5" max="5" width="29" style="184" bestFit="1" customWidth="1"/>
    <col min="6" max="6" width="28" style="184" bestFit="1" customWidth="1"/>
    <col min="7" max="7" width="15.1640625" style="184" bestFit="1" customWidth="1"/>
    <col min="8" max="8" width="11.33203125" style="184" bestFit="1" customWidth="1"/>
    <col min="9" max="9" width="11" style="184" bestFit="1" customWidth="1"/>
    <col min="10" max="10" width="14.83203125" style="184" bestFit="1" customWidth="1"/>
    <col min="11" max="11" width="14.6640625" style="184" bestFit="1" customWidth="1"/>
    <col min="12" max="12" width="4.5" style="184" customWidth="1"/>
    <col min="13" max="13" width="19.83203125" style="184" customWidth="1"/>
    <col min="14" max="14" width="22.6640625" style="184" customWidth="1"/>
    <col min="15" max="15" width="29.1640625" style="184" customWidth="1"/>
    <col min="16" max="16384" width="10.83203125" style="184"/>
  </cols>
  <sheetData>
    <row r="2" spans="2:17" ht="21">
      <c r="B2" s="204" t="s">
        <v>201</v>
      </c>
      <c r="C2" s="120"/>
      <c r="D2" s="120"/>
      <c r="E2" s="120"/>
      <c r="F2" s="120"/>
      <c r="G2" s="120"/>
      <c r="H2" s="120"/>
      <c r="I2" s="120"/>
      <c r="J2" s="120"/>
      <c r="K2" s="120"/>
      <c r="L2" s="120"/>
    </row>
    <row r="3" spans="2:17">
      <c r="E3" s="120"/>
      <c r="F3" s="120"/>
      <c r="G3" s="120"/>
      <c r="H3" s="120"/>
      <c r="I3" s="120"/>
      <c r="J3" s="120"/>
      <c r="K3" s="120"/>
      <c r="L3" s="120"/>
    </row>
    <row r="4" spans="2:17">
      <c r="B4" s="205" t="s">
        <v>202</v>
      </c>
      <c r="C4" s="162"/>
      <c r="D4" s="162"/>
      <c r="E4" s="162"/>
      <c r="F4" s="162"/>
      <c r="G4" s="206"/>
      <c r="H4" s="120"/>
      <c r="I4" s="120"/>
      <c r="J4" s="120"/>
      <c r="K4" s="120"/>
      <c r="L4" s="120"/>
    </row>
    <row r="5" spans="2:17" ht="30" customHeight="1">
      <c r="B5" s="339" t="s">
        <v>203</v>
      </c>
      <c r="C5" s="340"/>
      <c r="D5" s="340"/>
      <c r="E5" s="340"/>
      <c r="F5" s="340"/>
      <c r="G5" s="341"/>
      <c r="H5" s="120"/>
      <c r="I5" s="120"/>
      <c r="J5" s="120"/>
      <c r="K5" s="120"/>
      <c r="L5" s="120"/>
    </row>
    <row r="6" spans="2:17" ht="17" thickBot="1">
      <c r="B6" s="120"/>
      <c r="C6" s="120"/>
      <c r="D6" s="120"/>
      <c r="E6" s="120"/>
      <c r="F6" s="120"/>
      <c r="G6" s="120"/>
      <c r="H6" s="120"/>
      <c r="I6" s="120"/>
      <c r="J6" s="120"/>
      <c r="K6" s="120"/>
      <c r="L6" s="120"/>
    </row>
    <row r="7" spans="2:17">
      <c r="B7" s="113" t="s">
        <v>201</v>
      </c>
      <c r="C7" s="117"/>
      <c r="D7" s="117"/>
      <c r="E7" s="117"/>
      <c r="F7" s="117"/>
      <c r="G7" s="117"/>
      <c r="H7" s="117"/>
      <c r="I7" s="117"/>
      <c r="J7" s="117"/>
      <c r="K7" s="207"/>
      <c r="L7" s="120"/>
      <c r="M7" s="208"/>
      <c r="N7" s="117"/>
      <c r="O7" s="207"/>
    </row>
    <row r="8" spans="2:17">
      <c r="B8" s="12"/>
      <c r="C8" s="120"/>
      <c r="D8" s="120"/>
      <c r="E8" s="120"/>
      <c r="F8" s="120"/>
      <c r="G8" s="120"/>
      <c r="H8" s="120"/>
      <c r="I8" s="120"/>
      <c r="J8" s="120"/>
      <c r="K8" s="209"/>
      <c r="L8" s="120"/>
      <c r="M8" s="12"/>
      <c r="N8" s="120"/>
      <c r="O8" s="209"/>
    </row>
    <row r="9" spans="2:17" ht="48">
      <c r="B9" s="210" t="s">
        <v>204</v>
      </c>
      <c r="C9" s="211" t="s">
        <v>205</v>
      </c>
      <c r="D9" s="212" t="s">
        <v>206</v>
      </c>
      <c r="E9" s="213" t="s">
        <v>207</v>
      </c>
      <c r="F9" s="213" t="s">
        <v>208</v>
      </c>
      <c r="G9" s="213" t="s">
        <v>209</v>
      </c>
      <c r="H9" s="213" t="s">
        <v>210</v>
      </c>
      <c r="I9" s="213" t="s">
        <v>211</v>
      </c>
      <c r="J9" s="213" t="s">
        <v>212</v>
      </c>
      <c r="K9" s="214" t="s">
        <v>213</v>
      </c>
      <c r="L9" s="215"/>
      <c r="M9" s="216" t="s">
        <v>214</v>
      </c>
      <c r="N9" s="217" t="s">
        <v>215</v>
      </c>
      <c r="O9" s="218" t="s">
        <v>216</v>
      </c>
    </row>
    <row r="10" spans="2:17" ht="17" thickBot="1">
      <c r="B10" s="219" t="s">
        <v>217</v>
      </c>
      <c r="C10" s="220"/>
      <c r="D10" s="220"/>
      <c r="E10" s="221"/>
      <c r="F10" s="221"/>
      <c r="G10" s="221"/>
      <c r="H10" s="221"/>
      <c r="I10" s="221"/>
      <c r="J10" s="221"/>
      <c r="K10" s="222"/>
      <c r="L10" s="223"/>
      <c r="M10" s="12"/>
      <c r="N10" s="120"/>
      <c r="O10" s="209"/>
    </row>
    <row r="11" spans="2:17" s="188" customFormat="1" ht="17" thickBot="1">
      <c r="B11" s="118"/>
      <c r="C11" s="224" t="s">
        <v>218</v>
      </c>
      <c r="D11" s="224"/>
      <c r="E11" s="332">
        <v>826425.92</v>
      </c>
      <c r="F11" s="332">
        <v>463320</v>
      </c>
      <c r="G11" s="332">
        <v>26490.01</v>
      </c>
      <c r="H11" s="333">
        <v>25153.620000000003</v>
      </c>
      <c r="I11" s="332">
        <v>488987.22000000003</v>
      </c>
      <c r="J11" s="332">
        <v>222600.01</v>
      </c>
      <c r="K11" s="332">
        <v>170404.02</v>
      </c>
      <c r="L11" s="225"/>
      <c r="M11" s="118"/>
      <c r="N11" s="17"/>
      <c r="O11" s="226"/>
    </row>
    <row r="12" spans="2:17">
      <c r="B12" s="227"/>
      <c r="C12" s="215"/>
      <c r="D12" s="215"/>
      <c r="E12" s="223">
        <f>SUM(E15:E26)+SUM(E30:E42)+SUM(E52:E56)</f>
        <v>878326.67193376308</v>
      </c>
      <c r="F12" s="223">
        <f>SUM(F15:F26)+SUM(F30:F42)+SUM(F52:F56)+SUM(F46:F48)+SUM(F60:F62)+SUM(F66:F73)</f>
        <v>180277.98636311863</v>
      </c>
      <c r="G12" s="223">
        <f>SUM(G15:G26)+SUM(G30:G42)</f>
        <v>26936.573674565323</v>
      </c>
      <c r="H12" s="223">
        <f>SUM(H15:H26)+SUM(H30:H42)</f>
        <v>26048.319600454346</v>
      </c>
      <c r="I12" s="223">
        <f>SUM(I15:I26)+SUM(I30:I42)</f>
        <v>551177.79101261497</v>
      </c>
      <c r="J12" s="223">
        <f>SUM(J15:J26)+SUM(J30:J42)+J56</f>
        <v>223058.9956769355</v>
      </c>
      <c r="K12" s="223">
        <f>SUM(K15:K26)+SUM(K30:K42)</f>
        <v>204306.26197125233</v>
      </c>
      <c r="L12" s="225"/>
      <c r="M12" s="12"/>
      <c r="N12" s="120"/>
      <c r="O12" s="209"/>
    </row>
    <row r="13" spans="2:17">
      <c r="B13" s="210"/>
      <c r="C13" s="135"/>
      <c r="D13" s="135"/>
      <c r="E13" s="228"/>
      <c r="F13" s="228"/>
      <c r="G13" s="228"/>
      <c r="H13" s="228"/>
      <c r="I13" s="228"/>
      <c r="J13" s="228"/>
      <c r="K13" s="229"/>
      <c r="L13" s="230"/>
      <c r="M13" s="12"/>
      <c r="N13" s="120"/>
      <c r="O13" s="209"/>
    </row>
    <row r="14" spans="2:17">
      <c r="B14" s="219" t="s">
        <v>33</v>
      </c>
      <c r="C14" s="231"/>
      <c r="D14" s="135"/>
      <c r="E14" s="330"/>
      <c r="F14" s="330"/>
      <c r="G14" s="330"/>
      <c r="H14" s="330"/>
      <c r="I14" s="330"/>
      <c r="J14" s="228"/>
      <c r="K14" s="229"/>
      <c r="L14" s="230"/>
      <c r="M14" s="12"/>
      <c r="N14" s="120"/>
      <c r="O14" s="209"/>
      <c r="P14" s="184" t="s">
        <v>272</v>
      </c>
      <c r="Q14" s="331">
        <v>0.6</v>
      </c>
    </row>
    <row r="15" spans="2:17">
      <c r="B15" s="227" t="s">
        <v>219</v>
      </c>
      <c r="C15" s="232" t="s">
        <v>220</v>
      </c>
      <c r="D15" s="233">
        <f>SUM(E15:K15)/SUM($E$15:$K$26)</f>
        <v>0.2595575201947366</v>
      </c>
      <c r="E15" s="234">
        <f>E27*Q14</f>
        <v>419952.03467553452</v>
      </c>
      <c r="F15" s="235"/>
      <c r="G15" s="234"/>
      <c r="H15" s="234"/>
      <c r="I15" s="234"/>
      <c r="J15" s="234"/>
      <c r="K15" s="236"/>
      <c r="L15" s="237"/>
      <c r="M15" s="12">
        <v>1.0669999999999999</v>
      </c>
      <c r="N15" s="238">
        <f t="shared" ref="N15:N25" si="0">M15*SUM(E15:K15)</f>
        <v>448088.82099879533</v>
      </c>
      <c r="O15" s="239">
        <f>N15/SUM($N$15:$N$26)</f>
        <v>0.29746567871562196</v>
      </c>
    </row>
    <row r="16" spans="2:17">
      <c r="B16" s="240">
        <f>SUM(E15:K26)</f>
        <v>1617953.6403355207</v>
      </c>
      <c r="C16" s="241" t="s">
        <v>221</v>
      </c>
      <c r="D16" s="242">
        <f t="shared" ref="D16:D26" si="1">SUM(E16:K16)/SUM($E$15:$K$26)</f>
        <v>4.8424126284787514E-4</v>
      </c>
      <c r="E16" s="243"/>
      <c r="F16" s="244"/>
      <c r="G16" s="243">
        <f>G27</f>
        <v>783.47991402538935</v>
      </c>
      <c r="H16" s="243"/>
      <c r="I16" s="243"/>
      <c r="J16" s="243"/>
      <c r="K16" s="245"/>
      <c r="L16" s="237"/>
      <c r="M16" s="12">
        <v>1</v>
      </c>
      <c r="N16" s="238">
        <f t="shared" si="0"/>
        <v>783.47991402538935</v>
      </c>
      <c r="O16" s="239">
        <f t="shared" ref="O16:O25" si="2">N16/SUM($N$15:$N$26)</f>
        <v>5.2011648910617683E-4</v>
      </c>
    </row>
    <row r="17" spans="2:17" ht="17" thickBot="1">
      <c r="B17" s="219"/>
      <c r="C17" s="241" t="s">
        <v>222</v>
      </c>
      <c r="D17" s="242">
        <f t="shared" si="1"/>
        <v>0</v>
      </c>
      <c r="E17" s="243"/>
      <c r="F17" s="244"/>
      <c r="G17" s="243"/>
      <c r="H17" s="243"/>
      <c r="I17" s="243"/>
      <c r="J17" s="243"/>
      <c r="K17" s="245"/>
      <c r="L17" s="237"/>
      <c r="M17" s="12">
        <v>4.8000000000000078</v>
      </c>
      <c r="N17" s="238">
        <f t="shared" si="0"/>
        <v>0</v>
      </c>
      <c r="O17" s="239">
        <f t="shared" si="2"/>
        <v>0</v>
      </c>
    </row>
    <row r="18" spans="2:17" ht="17" thickBot="1">
      <c r="B18" s="219"/>
      <c r="C18" s="241" t="s">
        <v>223</v>
      </c>
      <c r="D18" s="242">
        <f t="shared" si="1"/>
        <v>0</v>
      </c>
      <c r="E18" s="246">
        <v>0</v>
      </c>
      <c r="F18" s="244"/>
      <c r="G18" s="243"/>
      <c r="H18" s="243"/>
      <c r="I18" s="243"/>
      <c r="J18" s="243"/>
      <c r="K18" s="245"/>
      <c r="L18" s="237"/>
      <c r="M18" s="12">
        <v>0.88</v>
      </c>
      <c r="N18" s="238">
        <f t="shared" si="0"/>
        <v>0</v>
      </c>
      <c r="O18" s="239">
        <f t="shared" si="2"/>
        <v>0</v>
      </c>
    </row>
    <row r="19" spans="2:17">
      <c r="B19" s="219"/>
      <c r="C19" s="241" t="s">
        <v>224</v>
      </c>
      <c r="D19" s="242">
        <f t="shared" si="1"/>
        <v>9.6199119659598029E-2</v>
      </c>
      <c r="E19" s="243"/>
      <c r="F19" s="244"/>
      <c r="G19" s="243"/>
      <c r="H19" s="243"/>
      <c r="I19" s="243"/>
      <c r="J19" s="243"/>
      <c r="K19" s="245">
        <f>K27</f>
        <v>155645.71585031899</v>
      </c>
      <c r="L19" s="237"/>
      <c r="M19" s="12">
        <v>1</v>
      </c>
      <c r="N19" s="238">
        <f t="shared" si="0"/>
        <v>155645.71585031899</v>
      </c>
      <c r="O19" s="239">
        <f t="shared" si="2"/>
        <v>0.10332607361503099</v>
      </c>
    </row>
    <row r="20" spans="2:17">
      <c r="B20" s="219"/>
      <c r="C20" s="241" t="s">
        <v>225</v>
      </c>
      <c r="D20" s="242">
        <f t="shared" si="1"/>
        <v>4.8287131691832578E-3</v>
      </c>
      <c r="E20" s="243"/>
      <c r="F20" s="244">
        <f>'HRE 4 Source'!F402</f>
        <v>7812.6340502161211</v>
      </c>
      <c r="G20" s="243"/>
      <c r="H20" s="243"/>
      <c r="I20" s="243"/>
      <c r="J20" s="243"/>
      <c r="K20" s="245"/>
      <c r="L20" s="237"/>
      <c r="M20" s="12">
        <v>4.5000000000000044</v>
      </c>
      <c r="N20" s="238">
        <f t="shared" si="0"/>
        <v>35156.853225972576</v>
      </c>
      <c r="O20" s="239">
        <f t="shared" si="2"/>
        <v>2.333902725593226E-2</v>
      </c>
    </row>
    <row r="21" spans="2:17">
      <c r="B21" s="219"/>
      <c r="C21" s="241" t="s">
        <v>226</v>
      </c>
      <c r="D21" s="242">
        <f t="shared" si="1"/>
        <v>0.1301353709480999</v>
      </c>
      <c r="E21" s="243"/>
      <c r="F21" s="244"/>
      <c r="G21" s="243"/>
      <c r="H21" s="243"/>
      <c r="I21" s="243"/>
      <c r="J21" s="243">
        <f>J27</f>
        <v>210552.9971618916</v>
      </c>
      <c r="K21" s="245"/>
      <c r="L21" s="237"/>
      <c r="M21" s="12">
        <v>0.82</v>
      </c>
      <c r="N21" s="238">
        <f t="shared" si="0"/>
        <v>172653.4576727511</v>
      </c>
      <c r="O21" s="239">
        <f t="shared" si="2"/>
        <v>0.11461673570598158</v>
      </c>
    </row>
    <row r="22" spans="2:17" ht="17" thickBot="1">
      <c r="B22" s="219"/>
      <c r="C22" s="241" t="s">
        <v>227</v>
      </c>
      <c r="D22" s="242">
        <f t="shared" si="1"/>
        <v>3.9561991064658714E-2</v>
      </c>
      <c r="E22" s="243"/>
      <c r="F22" s="244">
        <f>'HRE 4 Source'!F400</f>
        <v>64009.467461985907</v>
      </c>
      <c r="G22" s="243"/>
      <c r="H22" s="243"/>
      <c r="I22" s="243"/>
      <c r="J22" s="243"/>
      <c r="K22" s="245"/>
      <c r="L22" s="237"/>
      <c r="M22" s="12">
        <v>1</v>
      </c>
      <c r="N22" s="238">
        <f t="shared" si="0"/>
        <v>64009.467461985907</v>
      </c>
      <c r="O22" s="239">
        <f>N22/SUM($N$15:$N$26)</f>
        <v>4.2492958517383647E-2</v>
      </c>
    </row>
    <row r="23" spans="2:17" ht="17" thickBot="1">
      <c r="B23" s="219"/>
      <c r="C23" s="241" t="s">
        <v>228</v>
      </c>
      <c r="D23" s="242">
        <f t="shared" si="1"/>
        <v>0.17303834679649105</v>
      </c>
      <c r="E23" s="246">
        <f>E27-E15</f>
        <v>279968.023117023</v>
      </c>
      <c r="F23" s="244"/>
      <c r="G23" s="243"/>
      <c r="H23" s="243"/>
      <c r="I23" s="243"/>
      <c r="J23" s="243"/>
      <c r="K23" s="245"/>
      <c r="L23" s="237"/>
      <c r="M23" s="12">
        <v>0.8</v>
      </c>
      <c r="N23" s="238">
        <f t="shared" si="0"/>
        <v>223974.4184936184</v>
      </c>
      <c r="O23" s="239">
        <f t="shared" si="2"/>
        <v>0.14868637486566544</v>
      </c>
    </row>
    <row r="24" spans="2:17">
      <c r="B24" s="219"/>
      <c r="C24" s="241" t="s">
        <v>229</v>
      </c>
      <c r="D24" s="242">
        <f t="shared" si="1"/>
        <v>0.28009515056939044</v>
      </c>
      <c r="E24" s="243"/>
      <c r="F24" s="244"/>
      <c r="G24" s="243"/>
      <c r="H24" s="243"/>
      <c r="I24" s="243">
        <f>I27</f>
        <v>453180.96850407106</v>
      </c>
      <c r="J24" s="243"/>
      <c r="K24" s="245"/>
      <c r="L24" s="237"/>
      <c r="M24" s="12">
        <v>0.85</v>
      </c>
      <c r="N24" s="238">
        <f t="shared" si="0"/>
        <v>385203.82322846039</v>
      </c>
      <c r="O24" s="239">
        <f t="shared" si="2"/>
        <v>0.25571920420843186</v>
      </c>
    </row>
    <row r="25" spans="2:17">
      <c r="B25" s="219"/>
      <c r="C25" s="241" t="s">
        <v>230</v>
      </c>
      <c r="D25" s="242">
        <f>SUM(E25:K25)/SUM($E$15:$K$26)</f>
        <v>1.6099546334994254E-2</v>
      </c>
      <c r="E25" s="243"/>
      <c r="F25" s="244"/>
      <c r="G25" s="243"/>
      <c r="H25" s="243">
        <f>H27</f>
        <v>26048.319600454346</v>
      </c>
      <c r="I25" s="243"/>
      <c r="J25" s="243"/>
      <c r="K25" s="245"/>
      <c r="L25" s="237"/>
      <c r="M25" s="12">
        <v>0.8</v>
      </c>
      <c r="N25" s="238">
        <f t="shared" si="0"/>
        <v>20838.655680363478</v>
      </c>
      <c r="O25" s="239">
        <f t="shared" si="2"/>
        <v>1.3833830626846051E-2</v>
      </c>
    </row>
    <row r="26" spans="2:17">
      <c r="B26" s="219"/>
      <c r="C26" s="247" t="s">
        <v>231</v>
      </c>
      <c r="D26" s="242">
        <f t="shared" si="1"/>
        <v>0</v>
      </c>
      <c r="E26" s="243">
        <v>0</v>
      </c>
      <c r="F26" s="244">
        <v>0</v>
      </c>
      <c r="G26" s="243"/>
      <c r="H26" s="243"/>
      <c r="I26" s="243"/>
      <c r="J26" s="243"/>
      <c r="K26" s="245"/>
      <c r="L26" s="237"/>
      <c r="M26" s="248">
        <v>2.8070962566756963</v>
      </c>
      <c r="N26" s="238">
        <f>Q26*SUM(E26)+F26*P26</f>
        <v>0</v>
      </c>
      <c r="O26" s="239">
        <f>N26/SUM($N$15:$N$26)</f>
        <v>0</v>
      </c>
      <c r="P26" s="184">
        <v>4.4999999999999938</v>
      </c>
      <c r="Q26" s="249">
        <v>1.0669999999999999</v>
      </c>
    </row>
    <row r="27" spans="2:17">
      <c r="B27" s="219"/>
      <c r="C27" s="250" t="s">
        <v>28</v>
      </c>
      <c r="D27" s="251"/>
      <c r="E27" s="252">
        <f>'HRE 4 Source'!F401</f>
        <v>699920.05779255752</v>
      </c>
      <c r="F27" s="253">
        <f>'HRE 4 Source'!F400+'HRE 4 Source'!F402</f>
        <v>71822.101512202033</v>
      </c>
      <c r="G27" s="252">
        <f>'HRE 4 Source'!F404</f>
        <v>783.47991402538935</v>
      </c>
      <c r="H27" s="252">
        <f>'HRE 4 Source'!F398</f>
        <v>26048.319600454346</v>
      </c>
      <c r="I27" s="252">
        <f>'HRE 4 Source'!F403</f>
        <v>453180.96850407106</v>
      </c>
      <c r="J27" s="252">
        <f>'HRE 4 Source'!F397</f>
        <v>210552.9971618916</v>
      </c>
      <c r="K27" s="254">
        <f>'HRE 4 Source'!F399</f>
        <v>155645.71585031899</v>
      </c>
      <c r="L27" s="230"/>
      <c r="M27" s="248"/>
      <c r="N27" s="238"/>
      <c r="O27" s="255"/>
      <c r="P27" s="184">
        <f>F26*P26</f>
        <v>0</v>
      </c>
      <c r="Q27" s="184">
        <f>Q26*SUM(E26)</f>
        <v>0</v>
      </c>
    </row>
    <row r="28" spans="2:17">
      <c r="B28" s="256"/>
      <c r="C28" s="257"/>
      <c r="D28" s="258"/>
      <c r="E28" s="259"/>
      <c r="F28" s="260"/>
      <c r="G28" s="259"/>
      <c r="H28" s="259"/>
      <c r="I28" s="259"/>
      <c r="J28" s="259"/>
      <c r="K28" s="261"/>
      <c r="L28" s="230"/>
      <c r="M28" s="248"/>
      <c r="N28" s="238"/>
      <c r="O28" s="255"/>
    </row>
    <row r="29" spans="2:17">
      <c r="B29" s="219" t="s">
        <v>34</v>
      </c>
      <c r="C29" s="257"/>
      <c r="D29" s="258"/>
      <c r="E29" s="262"/>
      <c r="F29" s="263"/>
      <c r="G29" s="262"/>
      <c r="H29" s="262"/>
      <c r="I29" s="262"/>
      <c r="J29" s="262"/>
      <c r="K29" s="264"/>
      <c r="L29" s="265"/>
      <c r="M29" s="248"/>
      <c r="N29" s="238"/>
      <c r="O29" s="239"/>
    </row>
    <row r="30" spans="2:17">
      <c r="B30" s="227" t="s">
        <v>219</v>
      </c>
      <c r="C30" s="266" t="s">
        <v>232</v>
      </c>
      <c r="D30" s="267">
        <f>SUM(E30:K30)/SUM($E$30:$K$42)</f>
        <v>0.27348572199236648</v>
      </c>
      <c r="E30" s="268">
        <f>E43*Q14</f>
        <v>104873.80526251534</v>
      </c>
      <c r="F30" s="244"/>
      <c r="G30" s="243"/>
      <c r="H30" s="243"/>
      <c r="I30" s="243"/>
      <c r="J30" s="243"/>
      <c r="K30" s="245"/>
      <c r="L30" s="237"/>
      <c r="M30" s="248">
        <v>0.9</v>
      </c>
      <c r="N30" s="238">
        <f t="shared" ref="N30:N36" si="3">M30*SUM(E30:K30)</f>
        <v>94386.424736263798</v>
      </c>
      <c r="O30" s="239">
        <f>N30/SUM($N$30:$N$42)</f>
        <v>0.28052800523797694</v>
      </c>
    </row>
    <row r="31" spans="2:17">
      <c r="B31" s="269">
        <f>SUM(E30:K42)</f>
        <v>383470.86092283303</v>
      </c>
      <c r="C31" s="266" t="s">
        <v>233</v>
      </c>
      <c r="D31" s="267">
        <f t="shared" ref="D31:D42" si="4">SUM(E31:K31)/SUM($E$30:$K$42)</f>
        <v>6.8200993675508498E-2</v>
      </c>
      <c r="E31" s="270"/>
      <c r="F31" s="244"/>
      <c r="G31" s="243">
        <f>G43</f>
        <v>26153.093760539934</v>
      </c>
      <c r="H31" s="243"/>
      <c r="I31" s="243"/>
      <c r="J31" s="243"/>
      <c r="K31" s="245"/>
      <c r="L31" s="237"/>
      <c r="M31" s="248">
        <v>1</v>
      </c>
      <c r="N31" s="238">
        <f t="shared" si="3"/>
        <v>26153.093760539934</v>
      </c>
      <c r="O31" s="239">
        <f t="shared" ref="O31:O42" si="5">N31/SUM($N$30:$N$42)</f>
        <v>7.7730195247317765E-2</v>
      </c>
    </row>
    <row r="32" spans="2:17" ht="17" thickBot="1">
      <c r="B32" s="219"/>
      <c r="C32" s="266" t="s">
        <v>234</v>
      </c>
      <c r="D32" s="267">
        <f t="shared" si="4"/>
        <v>0</v>
      </c>
      <c r="E32" s="270"/>
      <c r="F32" s="244"/>
      <c r="G32" s="243"/>
      <c r="H32" s="243"/>
      <c r="I32" s="243"/>
      <c r="J32" s="243"/>
      <c r="K32" s="245"/>
      <c r="L32" s="237"/>
      <c r="M32" s="248">
        <v>3.0000000000000031</v>
      </c>
      <c r="N32" s="238">
        <f t="shared" si="3"/>
        <v>0</v>
      </c>
      <c r="O32" s="239">
        <f t="shared" si="5"/>
        <v>0</v>
      </c>
    </row>
    <row r="33" spans="2:17" ht="17" thickBot="1">
      <c r="B33" s="219"/>
      <c r="C33" s="266" t="s">
        <v>235</v>
      </c>
      <c r="D33" s="267">
        <f t="shared" si="4"/>
        <v>0</v>
      </c>
      <c r="E33" s="271">
        <v>0</v>
      </c>
      <c r="F33" s="244"/>
      <c r="G33" s="243"/>
      <c r="H33" s="243"/>
      <c r="I33" s="243"/>
      <c r="J33" s="243"/>
      <c r="K33" s="245"/>
      <c r="L33" s="237"/>
      <c r="M33" s="248">
        <v>0.88</v>
      </c>
      <c r="N33" s="238">
        <f t="shared" si="3"/>
        <v>0</v>
      </c>
      <c r="O33" s="239">
        <f t="shared" si="5"/>
        <v>0</v>
      </c>
    </row>
    <row r="34" spans="2:17">
      <c r="B34" s="219"/>
      <c r="C34" s="266" t="s">
        <v>236</v>
      </c>
      <c r="D34" s="267">
        <f t="shared" si="4"/>
        <v>0.12689502926983925</v>
      </c>
      <c r="E34" s="270"/>
      <c r="F34" s="244"/>
      <c r="G34" s="243"/>
      <c r="H34" s="243"/>
      <c r="I34" s="243"/>
      <c r="J34" s="243"/>
      <c r="K34" s="245">
        <f>K43</f>
        <v>48660.546120933352</v>
      </c>
      <c r="L34" s="237"/>
      <c r="M34" s="248">
        <v>1</v>
      </c>
      <c r="N34" s="238">
        <f t="shared" si="3"/>
        <v>48660.546120933352</v>
      </c>
      <c r="O34" s="239">
        <f t="shared" si="5"/>
        <v>0.14462509810323765</v>
      </c>
    </row>
    <row r="35" spans="2:17">
      <c r="B35" s="219"/>
      <c r="C35" s="266" t="s">
        <v>237</v>
      </c>
      <c r="D35" s="267">
        <f t="shared" si="4"/>
        <v>5.9374201603111078E-3</v>
      </c>
      <c r="E35" s="270"/>
      <c r="F35" s="244">
        <f>'HRE 4 Source'!H402</f>
        <v>2276.8276205350858</v>
      </c>
      <c r="G35" s="243"/>
      <c r="H35" s="243"/>
      <c r="I35" s="243"/>
      <c r="J35" s="243"/>
      <c r="K35" s="245"/>
      <c r="L35" s="237"/>
      <c r="M35" s="248">
        <v>3.0000000000000031</v>
      </c>
      <c r="N35" s="238">
        <f t="shared" si="3"/>
        <v>6830.4828616052646</v>
      </c>
      <c r="O35" s="239">
        <f t="shared" si="5"/>
        <v>2.0301030972753022E-2</v>
      </c>
    </row>
    <row r="36" spans="2:17">
      <c r="B36" s="219"/>
      <c r="C36" s="266" t="s">
        <v>238</v>
      </c>
      <c r="D36" s="267">
        <f t="shared" si="4"/>
        <v>3.2612643591609203E-2</v>
      </c>
      <c r="E36" s="270"/>
      <c r="F36" s="244"/>
      <c r="G36" s="243"/>
      <c r="H36" s="243"/>
      <c r="I36" s="243"/>
      <c r="J36" s="243">
        <f>J43</f>
        <v>12505.998515043895</v>
      </c>
      <c r="K36" s="245"/>
      <c r="L36" s="237"/>
      <c r="M36" s="248">
        <v>0.82</v>
      </c>
      <c r="N36" s="238">
        <f t="shared" si="3"/>
        <v>10254.918782335993</v>
      </c>
      <c r="O36" s="239">
        <f t="shared" si="5"/>
        <v>3.0478873608408855E-2</v>
      </c>
    </row>
    <row r="37" spans="2:17" ht="17" thickBot="1">
      <c r="B37" s="219"/>
      <c r="C37" s="266" t="s">
        <v>239</v>
      </c>
      <c r="D37" s="267">
        <f t="shared" si="4"/>
        <v>5.4992175700032793E-2</v>
      </c>
      <c r="E37" s="270"/>
      <c r="F37" s="244">
        <f>'HRE 4 Source'!H400</f>
        <v>21087.896959711274</v>
      </c>
      <c r="G37" s="243"/>
      <c r="H37" s="243"/>
      <c r="I37" s="243"/>
      <c r="J37" s="243"/>
      <c r="K37" s="245"/>
      <c r="L37" s="237"/>
      <c r="M37" s="248">
        <v>0.95</v>
      </c>
      <c r="N37" s="238">
        <f>M37*SUM(E37:K37)</f>
        <v>20033.502111725709</v>
      </c>
      <c r="O37" s="239">
        <f t="shared" si="5"/>
        <v>5.9542019957177082E-2</v>
      </c>
    </row>
    <row r="38" spans="2:17" ht="17" thickBot="1">
      <c r="B38" s="219"/>
      <c r="C38" s="266" t="s">
        <v>240</v>
      </c>
      <c r="D38" s="267">
        <f t="shared" si="4"/>
        <v>0.18232381466157763</v>
      </c>
      <c r="E38" s="246">
        <f>E43-E30</f>
        <v>69915.870175010219</v>
      </c>
      <c r="F38" s="244"/>
      <c r="G38" s="243"/>
      <c r="H38" s="243"/>
      <c r="I38" s="243"/>
      <c r="J38" s="243"/>
      <c r="K38" s="245"/>
      <c r="L38" s="237"/>
      <c r="M38" s="248">
        <v>0.67</v>
      </c>
      <c r="N38" s="238">
        <f>M38*SUM(E38:K38)</f>
        <v>46843.633017256849</v>
      </c>
      <c r="O38" s="239">
        <f t="shared" si="5"/>
        <v>0.13922501000699597</v>
      </c>
      <c r="P38" s="272"/>
    </row>
    <row r="39" spans="2:17">
      <c r="B39" s="219"/>
      <c r="C39" s="266" t="s">
        <v>241</v>
      </c>
      <c r="D39" s="267">
        <f t="shared" si="4"/>
        <v>0.25555220094875497</v>
      </c>
      <c r="E39" s="270"/>
      <c r="F39" s="244"/>
      <c r="G39" s="243"/>
      <c r="H39" s="243"/>
      <c r="I39" s="243">
        <f>I43</f>
        <v>97996.822508543904</v>
      </c>
      <c r="J39" s="243"/>
      <c r="K39" s="245"/>
      <c r="L39" s="237"/>
      <c r="M39" s="248">
        <v>0.85</v>
      </c>
      <c r="N39" s="238">
        <f>M39*SUM(E39:K39)</f>
        <v>83297.299132262313</v>
      </c>
      <c r="O39" s="239">
        <f t="shared" si="5"/>
        <v>0.24756976686613275</v>
      </c>
    </row>
    <row r="40" spans="2:17">
      <c r="B40" s="219"/>
      <c r="C40" s="266" t="s">
        <v>242</v>
      </c>
      <c r="D40" s="267">
        <f t="shared" si="4"/>
        <v>0</v>
      </c>
      <c r="E40" s="270"/>
      <c r="F40" s="244"/>
      <c r="G40" s="243"/>
      <c r="H40" s="243">
        <f>H43</f>
        <v>0</v>
      </c>
      <c r="I40" s="243"/>
      <c r="J40" s="243"/>
      <c r="K40" s="245"/>
      <c r="L40" s="237"/>
      <c r="M40" s="248">
        <v>0.8</v>
      </c>
      <c r="N40" s="238">
        <f>M40*SUM(E40:K40)</f>
        <v>0</v>
      </c>
      <c r="O40" s="239">
        <f t="shared" si="5"/>
        <v>0</v>
      </c>
    </row>
    <row r="41" spans="2:17">
      <c r="B41" s="219"/>
      <c r="C41" s="266" t="s">
        <v>243</v>
      </c>
      <c r="D41" s="267">
        <f t="shared" si="4"/>
        <v>0</v>
      </c>
      <c r="E41" s="270"/>
      <c r="F41" s="244"/>
      <c r="G41" s="243"/>
      <c r="H41" s="243"/>
      <c r="I41" s="243"/>
      <c r="J41" s="243"/>
      <c r="K41" s="245"/>
      <c r="L41" s="237"/>
      <c r="M41" s="248">
        <v>0.2</v>
      </c>
      <c r="N41" s="238">
        <f>Q42*SUM(E41)+F41*P42</f>
        <v>0</v>
      </c>
      <c r="O41" s="239">
        <f t="shared" si="5"/>
        <v>0</v>
      </c>
    </row>
    <row r="42" spans="2:17">
      <c r="B42" s="219"/>
      <c r="C42" s="247" t="s">
        <v>244</v>
      </c>
      <c r="D42" s="267">
        <f t="shared" si="4"/>
        <v>0</v>
      </c>
      <c r="E42" s="273">
        <v>0</v>
      </c>
      <c r="F42" s="274">
        <v>0</v>
      </c>
      <c r="G42" s="275"/>
      <c r="H42" s="275"/>
      <c r="I42" s="275"/>
      <c r="J42" s="275"/>
      <c r="K42" s="276"/>
      <c r="L42" s="237"/>
      <c r="M42" s="248">
        <v>1.687500000000002</v>
      </c>
      <c r="N42" s="238">
        <f>Q42*SUM(E42)+F42*P42</f>
        <v>0</v>
      </c>
      <c r="O42" s="239">
        <f t="shared" si="5"/>
        <v>0</v>
      </c>
      <c r="P42" s="184">
        <v>3.0000000000000044</v>
      </c>
      <c r="Q42" s="184">
        <v>0.9</v>
      </c>
    </row>
    <row r="43" spans="2:17">
      <c r="B43" s="219"/>
      <c r="D43" s="251">
        <f>SUM(D41:D42)</f>
        <v>0</v>
      </c>
      <c r="E43" s="252">
        <f>'HRE 4 Source'!H401</f>
        <v>174789.67543752556</v>
      </c>
      <c r="F43" s="277">
        <f>'HRE 4 Source'!H400+'HRE 4 Source'!H402</f>
        <v>23364.724580246359</v>
      </c>
      <c r="G43" s="278">
        <f>'HRE 4 Source'!H404</f>
        <v>26153.093760539934</v>
      </c>
      <c r="H43" s="278">
        <f>'HRE 4 Source'!H398</f>
        <v>0</v>
      </c>
      <c r="I43" s="278">
        <f>'HRE 4 Source'!H403</f>
        <v>97996.822508543904</v>
      </c>
      <c r="J43" s="278">
        <f>'HRE 4 Source'!H397</f>
        <v>12505.998515043895</v>
      </c>
      <c r="K43" s="279">
        <f>'HRE 4 Source'!H399</f>
        <v>48660.546120933352</v>
      </c>
      <c r="L43" s="265"/>
      <c r="M43" s="12"/>
      <c r="N43" s="238"/>
      <c r="O43" s="239"/>
      <c r="P43" s="184">
        <f>F42*P42</f>
        <v>0</v>
      </c>
      <c r="Q43" s="184">
        <f>Q42*SUM(E42)</f>
        <v>0</v>
      </c>
    </row>
    <row r="44" spans="2:17">
      <c r="B44" s="256"/>
      <c r="C44" s="250" t="s">
        <v>28</v>
      </c>
      <c r="D44" s="258"/>
      <c r="E44" s="262"/>
      <c r="F44" s="263"/>
      <c r="G44" s="262"/>
      <c r="H44" s="262"/>
      <c r="I44" s="262"/>
      <c r="J44" s="262"/>
      <c r="K44" s="264"/>
      <c r="L44" s="265"/>
      <c r="M44" s="12"/>
      <c r="N44" s="120"/>
      <c r="O44" s="280"/>
    </row>
    <row r="45" spans="2:17">
      <c r="B45" s="219" t="s">
        <v>35</v>
      </c>
      <c r="C45" s="257"/>
      <c r="D45" s="258"/>
      <c r="E45" s="281"/>
      <c r="F45" s="263"/>
      <c r="G45" s="262"/>
      <c r="H45" s="262"/>
      <c r="I45" s="262"/>
      <c r="J45" s="262"/>
      <c r="K45" s="264"/>
      <c r="L45" s="265"/>
      <c r="M45" s="12"/>
      <c r="N45" s="120"/>
      <c r="O45" s="280"/>
    </row>
    <row r="46" spans="2:17">
      <c r="B46" s="227" t="s">
        <v>219</v>
      </c>
      <c r="C46" s="266" t="s">
        <v>245</v>
      </c>
      <c r="D46" s="267">
        <f>F46/SUM($E$46:$K$48)</f>
        <v>0</v>
      </c>
      <c r="E46" s="270"/>
      <c r="F46" s="244">
        <v>0</v>
      </c>
      <c r="G46" s="243"/>
      <c r="H46" s="243"/>
      <c r="I46" s="243"/>
      <c r="J46" s="243"/>
      <c r="K46" s="245"/>
      <c r="L46" s="237"/>
      <c r="M46" s="12">
        <v>4.6000000000000023</v>
      </c>
      <c r="N46" s="238">
        <f>M46*SUM(E46:K46)</f>
        <v>0</v>
      </c>
      <c r="O46" s="239">
        <f>N46/SUM($N$46:$N$48)</f>
        <v>0</v>
      </c>
    </row>
    <row r="47" spans="2:17">
      <c r="B47" s="282">
        <f>SUM(E46:K48)</f>
        <v>440.68057985744196</v>
      </c>
      <c r="C47" s="266" t="s">
        <v>246</v>
      </c>
      <c r="D47" s="267">
        <f>F47/SUM($E$46:$K$48)</f>
        <v>0</v>
      </c>
      <c r="E47" s="270"/>
      <c r="F47" s="244">
        <v>0</v>
      </c>
      <c r="G47" s="243"/>
      <c r="H47" s="243"/>
      <c r="I47" s="243"/>
      <c r="J47" s="243"/>
      <c r="K47" s="245"/>
      <c r="L47" s="237"/>
      <c r="M47" s="12">
        <v>4.5000000000000044</v>
      </c>
      <c r="N47" s="238">
        <f>M47*SUM(E47:K47)</f>
        <v>0</v>
      </c>
      <c r="O47" s="239">
        <f>N47/SUM($N$46:$N$48)</f>
        <v>0</v>
      </c>
    </row>
    <row r="48" spans="2:17">
      <c r="B48" s="219"/>
      <c r="C48" s="283" t="s">
        <v>247</v>
      </c>
      <c r="D48" s="284">
        <f>F48/SUM($E$46:$K$48)</f>
        <v>1</v>
      </c>
      <c r="E48" s="270"/>
      <c r="F48" s="244">
        <f>F49</f>
        <v>440.68057985744196</v>
      </c>
      <c r="G48" s="275"/>
      <c r="H48" s="275"/>
      <c r="I48" s="275"/>
      <c r="J48" s="275"/>
      <c r="K48" s="276"/>
      <c r="L48" s="237"/>
      <c r="M48" s="12">
        <v>4</v>
      </c>
      <c r="N48" s="238">
        <f>M48*SUM(E48:K48)</f>
        <v>1762.7223194297678</v>
      </c>
      <c r="O48" s="239">
        <f>N48/SUM($N$46:$N$48)</f>
        <v>1</v>
      </c>
    </row>
    <row r="49" spans="2:16">
      <c r="B49" s="219"/>
      <c r="C49" s="250"/>
      <c r="D49" s="251"/>
      <c r="E49" s="285"/>
      <c r="F49" s="334">
        <f>'HRE 4 Source'!G400</f>
        <v>440.68057985744196</v>
      </c>
      <c r="G49" s="278"/>
      <c r="H49" s="278"/>
      <c r="I49" s="278"/>
      <c r="J49" s="278"/>
      <c r="K49" s="279"/>
      <c r="L49" s="265"/>
      <c r="M49" s="12"/>
      <c r="N49" s="238"/>
      <c r="O49" s="280"/>
    </row>
    <row r="50" spans="2:16">
      <c r="B50" s="256"/>
      <c r="C50" s="257"/>
      <c r="D50" s="258"/>
      <c r="E50" s="262"/>
      <c r="F50" s="244"/>
      <c r="G50" s="262"/>
      <c r="H50" s="262"/>
      <c r="I50" s="262"/>
      <c r="J50" s="262"/>
      <c r="K50" s="264"/>
      <c r="L50" s="265"/>
      <c r="M50" s="12"/>
      <c r="N50" s="238"/>
      <c r="O50" s="280"/>
    </row>
    <row r="51" spans="2:16">
      <c r="B51" s="219" t="s">
        <v>37</v>
      </c>
      <c r="C51" s="257"/>
      <c r="D51" s="258"/>
      <c r="E51" s="281"/>
      <c r="F51" s="335"/>
      <c r="G51" s="262"/>
      <c r="H51" s="262"/>
      <c r="I51" s="262"/>
      <c r="J51" s="262"/>
      <c r="K51" s="264"/>
      <c r="L51" s="265"/>
      <c r="M51" s="12"/>
      <c r="N51" s="238"/>
      <c r="O51" s="280"/>
    </row>
    <row r="52" spans="2:16">
      <c r="B52" s="227" t="s">
        <v>219</v>
      </c>
      <c r="C52" s="266" t="s">
        <v>248</v>
      </c>
      <c r="D52" s="286">
        <f>E52/SUM($E$52:$K$56)</f>
        <v>4.0977053248741874E-2</v>
      </c>
      <c r="E52" s="270">
        <f>E57+I57</f>
        <v>3616.9387036801154</v>
      </c>
      <c r="F52" s="334"/>
      <c r="G52" s="243"/>
      <c r="H52" s="243"/>
      <c r="I52" s="243"/>
      <c r="J52" s="243"/>
      <c r="K52" s="245"/>
      <c r="L52" s="237"/>
      <c r="M52" s="12">
        <v>0.4</v>
      </c>
      <c r="N52" s="238">
        <f>M52*SUM(E52:K52)</f>
        <v>1446.7754814720463</v>
      </c>
      <c r="O52" s="239">
        <f>N52/SUM($N$52:$N$56)</f>
        <v>2.9198754425961565E-2</v>
      </c>
    </row>
    <row r="53" spans="2:16">
      <c r="B53" s="282">
        <f>SUM(E52:K56)</f>
        <v>88267.418394492939</v>
      </c>
      <c r="C53" s="266" t="s">
        <v>249</v>
      </c>
      <c r="D53" s="242">
        <f>F53/SUM($E$52:$K$56)</f>
        <v>0.85902294675125801</v>
      </c>
      <c r="E53" s="270"/>
      <c r="F53" s="244">
        <f>F57-SUM(F54:F55)</f>
        <v>75823.737851363519</v>
      </c>
      <c r="G53" s="243"/>
      <c r="H53" s="243"/>
      <c r="I53" s="243"/>
      <c r="J53" s="243"/>
      <c r="K53" s="245"/>
      <c r="L53" s="237"/>
      <c r="M53" s="12">
        <v>0.55000000000000004</v>
      </c>
      <c r="N53" s="238">
        <f>M53*SUM(E53:K53)</f>
        <v>41703.055818249937</v>
      </c>
      <c r="O53" s="239">
        <f>N53/SUM($N$52:$N$56)</f>
        <v>0.84164910260319115</v>
      </c>
    </row>
    <row r="54" spans="2:16">
      <c r="B54" s="219"/>
      <c r="C54" s="266" t="s">
        <v>250</v>
      </c>
      <c r="D54" s="242">
        <f>F54/SUM($E$52:$K$56)</f>
        <v>0.05</v>
      </c>
      <c r="E54" s="270"/>
      <c r="F54" s="244">
        <f>'HRE 4 Source'!I421</f>
        <v>4413.3709197246471</v>
      </c>
      <c r="G54" s="243"/>
      <c r="H54" s="243"/>
      <c r="I54" s="243"/>
      <c r="J54" s="243"/>
      <c r="K54" s="245"/>
      <c r="L54" s="237"/>
      <c r="M54" s="12">
        <v>0.6</v>
      </c>
      <c r="N54" s="238">
        <f>M54*SUM(E54:K54)</f>
        <v>2648.0225518347884</v>
      </c>
      <c r="O54" s="239">
        <f>N54/SUM($N$52:$N$56)</f>
        <v>5.3442266056902325E-2</v>
      </c>
    </row>
    <row r="55" spans="2:16">
      <c r="B55" s="219"/>
      <c r="C55" s="266" t="s">
        <v>251</v>
      </c>
      <c r="D55" s="242">
        <f>F55/SUM($E$52:$K$56)</f>
        <v>0.05</v>
      </c>
      <c r="E55" s="270"/>
      <c r="F55" s="244">
        <f>'HRE 4 Source'!I422</f>
        <v>4413.3709197246471</v>
      </c>
      <c r="G55" s="243"/>
      <c r="H55" s="243"/>
      <c r="I55" s="243"/>
      <c r="J55" s="243"/>
      <c r="K55" s="245"/>
      <c r="L55" s="237"/>
      <c r="M55" s="12">
        <v>0.85</v>
      </c>
      <c r="N55" s="238">
        <f>M55*SUM(E55:K55)</f>
        <v>3751.3652817659499</v>
      </c>
      <c r="O55" s="239">
        <f>N55/SUM($N$52:$N$56)</f>
        <v>7.5709876913944957E-2</v>
      </c>
    </row>
    <row r="56" spans="2:16">
      <c r="B56" s="219"/>
      <c r="C56" s="283" t="s">
        <v>252</v>
      </c>
      <c r="D56" s="284">
        <f>H56/SUM($E$52:$K$56)</f>
        <v>0</v>
      </c>
      <c r="E56" s="270"/>
      <c r="F56" s="244"/>
      <c r="G56" s="275"/>
      <c r="H56" s="275"/>
      <c r="I56" s="275"/>
      <c r="J56" s="287"/>
      <c r="K56" s="276"/>
      <c r="L56" s="237"/>
      <c r="M56" s="12">
        <v>0.3</v>
      </c>
      <c r="N56" s="238">
        <f>M56*SUM(E56:K56)</f>
        <v>0</v>
      </c>
      <c r="O56" s="239">
        <f>N56/SUM($N$52:$N$56)</f>
        <v>0</v>
      </c>
    </row>
    <row r="57" spans="2:16">
      <c r="B57" s="219"/>
      <c r="C57" s="250" t="s">
        <v>28</v>
      </c>
      <c r="D57" s="251"/>
      <c r="E57" s="285">
        <f>'HRE 4 Source'!E401</f>
        <v>3523.6945238473158</v>
      </c>
      <c r="F57" s="334">
        <f>'HRE 4 Source'!E400</f>
        <v>84650.479690812819</v>
      </c>
      <c r="G57" s="288"/>
      <c r="H57" s="288"/>
      <c r="I57" s="288">
        <f>'HRE 4 Source'!E403</f>
        <v>93.244179832799588</v>
      </c>
      <c r="J57" s="288"/>
      <c r="K57" s="289"/>
      <c r="L57" s="265"/>
      <c r="M57" s="12"/>
      <c r="N57" s="238"/>
      <c r="O57" s="280"/>
    </row>
    <row r="58" spans="2:16">
      <c r="B58" s="256"/>
      <c r="C58" s="257"/>
      <c r="D58" s="258"/>
      <c r="E58" s="290"/>
      <c r="F58" s="244"/>
      <c r="G58" s="262"/>
      <c r="H58" s="262"/>
      <c r="I58" s="262"/>
      <c r="J58" s="262"/>
      <c r="K58" s="264"/>
      <c r="L58" s="265"/>
      <c r="M58" s="12"/>
      <c r="N58" s="238"/>
      <c r="O58" s="280"/>
    </row>
    <row r="59" spans="2:16">
      <c r="B59" s="219" t="s">
        <v>36</v>
      </c>
      <c r="C59" s="257"/>
      <c r="D59" s="258"/>
      <c r="E59" s="291"/>
      <c r="F59" s="244"/>
      <c r="G59" s="262"/>
      <c r="H59" s="262"/>
      <c r="I59" s="262"/>
      <c r="J59" s="262"/>
      <c r="K59" s="262"/>
      <c r="L59" s="292"/>
      <c r="M59" s="12"/>
      <c r="N59" s="238"/>
      <c r="O59" s="280"/>
    </row>
    <row r="60" spans="2:16">
      <c r="B60" s="227" t="s">
        <v>219</v>
      </c>
      <c r="C60" s="266" t="s">
        <v>253</v>
      </c>
      <c r="D60" s="267" t="e">
        <f>F60/SUM($E$60:$K$62)</f>
        <v>#DIV/0!</v>
      </c>
      <c r="E60" s="293"/>
      <c r="F60" s="244"/>
      <c r="G60" s="243"/>
      <c r="H60" s="243"/>
      <c r="I60" s="243"/>
      <c r="J60" s="243"/>
      <c r="K60" s="243"/>
      <c r="L60" s="294"/>
      <c r="M60" s="12">
        <v>0.05</v>
      </c>
      <c r="N60" s="295">
        <f>O60/M60</f>
        <v>9.8999999999999986</v>
      </c>
      <c r="O60" s="239">
        <v>0.495</v>
      </c>
      <c r="P60" s="188" t="s">
        <v>254</v>
      </c>
    </row>
    <row r="61" spans="2:16">
      <c r="B61" s="282">
        <v>11723.04</v>
      </c>
      <c r="C61" s="266" t="s">
        <v>255</v>
      </c>
      <c r="D61" s="267" t="e">
        <f>F61/SUM($E$60:$K$62)</f>
        <v>#DIV/0!</v>
      </c>
      <c r="E61" s="293"/>
      <c r="F61" s="244"/>
      <c r="G61" s="243"/>
      <c r="H61" s="243"/>
      <c r="I61" s="243"/>
      <c r="J61" s="243"/>
      <c r="K61" s="243"/>
      <c r="L61" s="294"/>
      <c r="M61" s="12">
        <v>0.25</v>
      </c>
      <c r="N61" s="295">
        <f>O61/M61</f>
        <v>1.94</v>
      </c>
      <c r="O61" s="239">
        <v>0.48499999999999999</v>
      </c>
      <c r="P61" s="296" t="s">
        <v>256</v>
      </c>
    </row>
    <row r="62" spans="2:16">
      <c r="B62" s="219"/>
      <c r="C62" s="283" t="s">
        <v>177</v>
      </c>
      <c r="D62" s="284" t="e">
        <f>F62/SUM($E$60:$K$62)</f>
        <v>#DIV/0!</v>
      </c>
      <c r="E62" s="297"/>
      <c r="F62" s="244"/>
      <c r="G62" s="275"/>
      <c r="H62" s="275"/>
      <c r="I62" s="275"/>
      <c r="J62" s="275"/>
      <c r="K62" s="275"/>
      <c r="L62" s="294"/>
      <c r="M62" s="12">
        <v>0.5</v>
      </c>
      <c r="N62" s="295">
        <f>O62/M62</f>
        <v>0.04</v>
      </c>
      <c r="O62" s="239">
        <v>0.02</v>
      </c>
    </row>
    <row r="63" spans="2:16">
      <c r="B63" s="219"/>
      <c r="C63" s="298"/>
      <c r="D63" s="251"/>
      <c r="E63" s="299"/>
      <c r="F63" s="244"/>
      <c r="G63" s="300"/>
      <c r="H63" s="300"/>
      <c r="I63" s="300"/>
      <c r="J63" s="300"/>
      <c r="K63" s="300"/>
      <c r="L63" s="301"/>
      <c r="M63" s="12"/>
      <c r="N63" s="120"/>
      <c r="O63" s="209"/>
    </row>
    <row r="64" spans="2:16">
      <c r="B64" s="256"/>
      <c r="C64" s="231"/>
      <c r="D64" s="258"/>
      <c r="E64" s="302"/>
      <c r="F64" s="244"/>
      <c r="G64" s="303"/>
      <c r="H64" s="303"/>
      <c r="I64" s="303"/>
      <c r="J64" s="303"/>
      <c r="K64" s="303"/>
      <c r="L64" s="301"/>
      <c r="M64" s="12"/>
      <c r="N64" s="120"/>
      <c r="O64" s="209"/>
    </row>
    <row r="65" spans="2:15">
      <c r="B65" s="219" t="s">
        <v>38</v>
      </c>
      <c r="C65" s="231"/>
      <c r="D65" s="258"/>
      <c r="E65" s="302"/>
      <c r="F65" s="244"/>
      <c r="G65" s="303"/>
      <c r="H65" s="303"/>
      <c r="I65" s="303"/>
      <c r="J65" s="303"/>
      <c r="K65" s="303"/>
      <c r="L65" s="301"/>
      <c r="M65" s="12"/>
      <c r="N65" s="120"/>
      <c r="O65" s="209"/>
    </row>
    <row r="66" spans="2:15">
      <c r="B66" s="227" t="s">
        <v>219</v>
      </c>
      <c r="C66" s="304" t="s">
        <v>257</v>
      </c>
      <c r="D66" s="267" t="e">
        <f>F66/SUM($E$66:$K$73)</f>
        <v>#DIV/0!</v>
      </c>
      <c r="E66" s="293"/>
      <c r="F66" s="244"/>
      <c r="G66" s="287"/>
      <c r="H66" s="287"/>
      <c r="I66" s="287"/>
      <c r="J66" s="287"/>
      <c r="K66" s="305"/>
      <c r="L66" s="294"/>
      <c r="M66" s="12"/>
      <c r="N66" s="306"/>
      <c r="O66" s="209"/>
    </row>
    <row r="67" spans="2:15">
      <c r="B67" s="282">
        <f>SUM(E66:K73)</f>
        <v>0</v>
      </c>
      <c r="C67" s="304" t="s">
        <v>258</v>
      </c>
      <c r="D67" s="267" t="e">
        <f t="shared" ref="D67:D73" si="6">F67/SUM($E$66:$K$73)</f>
        <v>#DIV/0!</v>
      </c>
      <c r="E67" s="293"/>
      <c r="F67" s="244"/>
      <c r="G67" s="287"/>
      <c r="H67" s="287"/>
      <c r="I67" s="287"/>
      <c r="J67" s="287"/>
      <c r="K67" s="243"/>
      <c r="L67" s="294"/>
      <c r="M67" s="12"/>
      <c r="N67" s="306"/>
      <c r="O67" s="209"/>
    </row>
    <row r="68" spans="2:15">
      <c r="B68" s="118"/>
      <c r="C68" s="304" t="s">
        <v>259</v>
      </c>
      <c r="D68" s="267" t="e">
        <f t="shared" si="6"/>
        <v>#DIV/0!</v>
      </c>
      <c r="E68" s="293"/>
      <c r="F68" s="244"/>
      <c r="G68" s="287"/>
      <c r="H68" s="287"/>
      <c r="I68" s="287"/>
      <c r="J68" s="287"/>
      <c r="K68" s="243"/>
      <c r="L68" s="294"/>
      <c r="M68" s="12"/>
      <c r="N68" s="306"/>
      <c r="O68" s="209"/>
    </row>
    <row r="69" spans="2:15">
      <c r="B69" s="118"/>
      <c r="C69" s="304" t="s">
        <v>260</v>
      </c>
      <c r="D69" s="267" t="e">
        <f t="shared" si="6"/>
        <v>#DIV/0!</v>
      </c>
      <c r="E69" s="293"/>
      <c r="F69" s="244"/>
      <c r="G69" s="287"/>
      <c r="H69" s="287"/>
      <c r="I69" s="287"/>
      <c r="J69" s="287"/>
      <c r="K69" s="243"/>
      <c r="L69" s="294"/>
      <c r="M69" s="12"/>
      <c r="N69" s="306"/>
      <c r="O69" s="209"/>
    </row>
    <row r="70" spans="2:15">
      <c r="B70" s="118"/>
      <c r="C70" s="304" t="s">
        <v>261</v>
      </c>
      <c r="D70" s="267" t="e">
        <f t="shared" si="6"/>
        <v>#DIV/0!</v>
      </c>
      <c r="E70" s="293"/>
      <c r="F70" s="244"/>
      <c r="G70" s="287"/>
      <c r="H70" s="287"/>
      <c r="I70" s="287"/>
      <c r="J70" s="287"/>
      <c r="K70" s="243"/>
      <c r="L70" s="294"/>
      <c r="M70" s="12"/>
      <c r="N70" s="306"/>
      <c r="O70" s="209"/>
    </row>
    <row r="71" spans="2:15">
      <c r="B71" s="118"/>
      <c r="C71" s="304" t="s">
        <v>262</v>
      </c>
      <c r="D71" s="267" t="e">
        <f t="shared" si="6"/>
        <v>#DIV/0!</v>
      </c>
      <c r="E71" s="293"/>
      <c r="F71" s="244"/>
      <c r="G71" s="287"/>
      <c r="H71" s="287"/>
      <c r="I71" s="287"/>
      <c r="J71" s="287"/>
      <c r="K71" s="243"/>
      <c r="L71" s="294"/>
      <c r="M71" s="12"/>
      <c r="N71" s="306"/>
      <c r="O71" s="209"/>
    </row>
    <row r="72" spans="2:15">
      <c r="B72" s="118"/>
      <c r="C72" s="304" t="s">
        <v>263</v>
      </c>
      <c r="D72" s="267" t="e">
        <f t="shared" si="6"/>
        <v>#DIV/0!</v>
      </c>
      <c r="E72" s="293"/>
      <c r="F72" s="244"/>
      <c r="G72" s="287"/>
      <c r="H72" s="287"/>
      <c r="I72" s="287"/>
      <c r="J72" s="287"/>
      <c r="K72" s="243"/>
      <c r="L72" s="294"/>
      <c r="M72" s="12"/>
      <c r="N72" s="306"/>
      <c r="O72" s="209"/>
    </row>
    <row r="73" spans="2:15">
      <c r="B73" s="118"/>
      <c r="C73" s="307" t="s">
        <v>264</v>
      </c>
      <c r="D73" s="308" t="e">
        <f t="shared" si="6"/>
        <v>#DIV/0!</v>
      </c>
      <c r="E73" s="297"/>
      <c r="F73" s="244"/>
      <c r="G73" s="275"/>
      <c r="H73" s="275"/>
      <c r="I73" s="275"/>
      <c r="J73" s="275"/>
      <c r="K73" s="275"/>
      <c r="L73" s="294"/>
      <c r="M73" s="12"/>
      <c r="N73" s="306"/>
      <c r="O73" s="209"/>
    </row>
    <row r="74" spans="2:15">
      <c r="B74" s="219"/>
      <c r="C74" s="298"/>
      <c r="D74" s="298"/>
      <c r="E74" s="298"/>
      <c r="F74" s="298"/>
      <c r="G74" s="298"/>
      <c r="H74" s="298"/>
      <c r="I74" s="298"/>
      <c r="J74" s="298"/>
      <c r="K74" s="298"/>
      <c r="L74" s="219"/>
      <c r="M74" s="12"/>
      <c r="N74" s="120"/>
      <c r="O74" s="209"/>
    </row>
    <row r="75" spans="2:15">
      <c r="B75" s="256"/>
      <c r="C75" s="135"/>
      <c r="D75" s="135"/>
      <c r="E75" s="309"/>
      <c r="F75" s="310"/>
      <c r="G75" s="310"/>
      <c r="H75" s="310"/>
      <c r="I75" s="310"/>
      <c r="J75" s="310"/>
      <c r="K75" s="310"/>
      <c r="L75" s="311"/>
      <c r="M75" s="12"/>
      <c r="N75" s="120"/>
      <c r="O75" s="209"/>
    </row>
    <row r="76" spans="2:15">
      <c r="B76" s="312" t="s">
        <v>265</v>
      </c>
      <c r="C76" s="127"/>
      <c r="D76" s="127"/>
      <c r="E76" s="313" t="s">
        <v>266</v>
      </c>
      <c r="F76" s="228" t="s">
        <v>98</v>
      </c>
      <c r="G76" s="228" t="s">
        <v>102</v>
      </c>
      <c r="H76" s="228" t="s">
        <v>100</v>
      </c>
      <c r="I76" s="228" t="s">
        <v>96</v>
      </c>
      <c r="J76" s="228" t="s">
        <v>267</v>
      </c>
      <c r="K76" s="228" t="s">
        <v>268</v>
      </c>
      <c r="L76" s="314"/>
      <c r="M76" s="12"/>
      <c r="N76" s="120"/>
      <c r="O76" s="209"/>
    </row>
    <row r="77" spans="2:15">
      <c r="B77" s="124"/>
      <c r="C77" s="315" t="s">
        <v>269</v>
      </c>
      <c r="D77" s="316"/>
      <c r="E77" s="317">
        <f>SUM(E15:E74)-E44-E57-E27</f>
        <v>1053116.347371289</v>
      </c>
      <c r="F77" s="318">
        <f>SUM(F15:F74)-F57</f>
        <v>275905.4930354245</v>
      </c>
      <c r="G77" s="318">
        <f>SUM(G15:G74)</f>
        <v>53873.147349130646</v>
      </c>
      <c r="H77" s="318">
        <f t="shared" ref="H77:K77" si="7">SUM(H15:H74)</f>
        <v>52096.639200908692</v>
      </c>
      <c r="I77" s="318">
        <f t="shared" si="7"/>
        <v>1102448.8262050627</v>
      </c>
      <c r="J77" s="318">
        <f t="shared" si="7"/>
        <v>446117.99135387095</v>
      </c>
      <c r="K77" s="318">
        <f t="shared" si="7"/>
        <v>408612.52394250472</v>
      </c>
      <c r="L77" s="314"/>
      <c r="M77" s="12"/>
      <c r="N77" s="120"/>
      <c r="O77" s="209"/>
    </row>
    <row r="78" spans="2:15">
      <c r="B78" s="124"/>
      <c r="C78" s="319" t="s">
        <v>270</v>
      </c>
      <c r="D78" s="320"/>
      <c r="E78" s="317">
        <f t="shared" ref="E78:K78" si="8">E11-E77</f>
        <v>-226690.427371289</v>
      </c>
      <c r="F78" s="318">
        <f>F11-F77</f>
        <v>187414.5069645755</v>
      </c>
      <c r="G78" s="318">
        <f t="shared" si="8"/>
        <v>-27383.137349130648</v>
      </c>
      <c r="H78" s="318">
        <f t="shared" si="8"/>
        <v>-26943.01920090869</v>
      </c>
      <c r="I78" s="318">
        <f t="shared" si="8"/>
        <v>-613461.60620506271</v>
      </c>
      <c r="J78" s="318">
        <f t="shared" si="8"/>
        <v>-223517.98135387094</v>
      </c>
      <c r="K78" s="318">
        <f t="shared" si="8"/>
        <v>-238208.50394250473</v>
      </c>
      <c r="L78" s="314"/>
      <c r="M78" s="12"/>
      <c r="N78" s="120"/>
      <c r="O78" s="209"/>
    </row>
    <row r="79" spans="2:15">
      <c r="B79" s="124"/>
      <c r="C79" s="321" t="s">
        <v>271</v>
      </c>
      <c r="D79" s="322"/>
      <c r="E79" s="323">
        <f t="shared" ref="E79:K79" si="9">E78/E11</f>
        <v>-0.27430217504708587</v>
      </c>
      <c r="F79" s="324">
        <f t="shared" si="9"/>
        <v>0.40450338203525749</v>
      </c>
      <c r="G79" s="324">
        <f t="shared" si="9"/>
        <v>-1.0337156289911045</v>
      </c>
      <c r="H79" s="324">
        <f t="shared" si="9"/>
        <v>-1.0711388341283954</v>
      </c>
      <c r="I79" s="324">
        <f t="shared" si="9"/>
        <v>-1.2545554998452979</v>
      </c>
      <c r="J79" s="324">
        <f t="shared" si="9"/>
        <v>-1.0041238603442602</v>
      </c>
      <c r="K79" s="324">
        <f t="shared" si="9"/>
        <v>-1.3979042509824871</v>
      </c>
      <c r="L79" s="325"/>
      <c r="M79" s="12"/>
      <c r="N79" s="120"/>
      <c r="O79" s="209"/>
    </row>
    <row r="80" spans="2:15">
      <c r="B80" s="124"/>
      <c r="C80" s="319"/>
      <c r="D80" s="319"/>
      <c r="E80" s="326"/>
      <c r="F80" s="326"/>
      <c r="G80" s="326"/>
      <c r="H80" s="326"/>
      <c r="I80" s="326"/>
      <c r="J80" s="326"/>
      <c r="K80" s="326"/>
      <c r="L80" s="327"/>
      <c r="M80" s="12"/>
      <c r="N80" s="120"/>
      <c r="O80" s="209"/>
    </row>
    <row r="81" spans="2:15" ht="17" thickBot="1">
      <c r="B81" s="328"/>
      <c r="C81" s="176"/>
      <c r="D81" s="176"/>
      <c r="E81" s="176"/>
      <c r="F81" s="176"/>
      <c r="G81" s="176"/>
      <c r="H81" s="176"/>
      <c r="I81" s="176"/>
      <c r="J81" s="176"/>
      <c r="K81" s="176"/>
      <c r="L81" s="12"/>
      <c r="M81" s="328"/>
      <c r="N81" s="176"/>
      <c r="O81" s="329"/>
    </row>
  </sheetData>
  <mergeCells count="1">
    <mergeCell ref="B5:G5"/>
  </mergeCells>
  <conditionalFormatting sqref="J76">
    <cfRule type="cellIs" dxfId="0" priority="1" operator="lessThan">
      <formula>0</formula>
    </cfRule>
  </conditionalFormatting>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4483D-34E5-0040-9AED-ADF0CE6BF74B}">
  <dimension ref="B2:J535"/>
  <sheetViews>
    <sheetView zoomScale="112" workbookViewId="0">
      <selection activeCell="C7" sqref="C7"/>
    </sheetView>
  </sheetViews>
  <sheetFormatPr baseColWidth="10" defaultRowHeight="16"/>
  <cols>
    <col min="4" max="4" width="46.1640625" customWidth="1"/>
  </cols>
  <sheetData>
    <row r="2" spans="2:8">
      <c r="G2">
        <v>3.6</v>
      </c>
      <c r="H2" t="s">
        <v>138</v>
      </c>
    </row>
    <row r="4" spans="2:8">
      <c r="B4" s="83" t="s">
        <v>74</v>
      </c>
      <c r="C4" t="s">
        <v>277</v>
      </c>
      <c r="D4" t="s">
        <v>75</v>
      </c>
    </row>
    <row r="5" spans="2:8">
      <c r="C5" t="s">
        <v>278</v>
      </c>
      <c r="D5" t="s">
        <v>76</v>
      </c>
    </row>
    <row r="6" spans="2:8">
      <c r="C6" t="s">
        <v>279</v>
      </c>
      <c r="D6" t="s">
        <v>276</v>
      </c>
    </row>
    <row r="8" spans="2:8">
      <c r="B8" t="s">
        <v>88</v>
      </c>
    </row>
    <row r="9" spans="2:8">
      <c r="C9" s="83" t="s">
        <v>77</v>
      </c>
    </row>
    <row r="10" spans="2:8">
      <c r="D10" s="83" t="s">
        <v>79</v>
      </c>
    </row>
    <row r="11" spans="2:8">
      <c r="E11" s="96">
        <v>2467</v>
      </c>
      <c r="F11" t="s">
        <v>80</v>
      </c>
    </row>
    <row r="12" spans="2:8">
      <c r="E12" s="96">
        <f>E11*3.6</f>
        <v>8881.2000000000007</v>
      </c>
      <c r="F12" t="s">
        <v>81</v>
      </c>
    </row>
    <row r="14" spans="2:8">
      <c r="D14" s="83" t="s">
        <v>78</v>
      </c>
    </row>
    <row r="15" spans="2:8">
      <c r="E15" s="94">
        <f>E16/E11</f>
        <v>0.56100526955816776</v>
      </c>
    </row>
    <row r="16" spans="2:8">
      <c r="E16">
        <v>1384</v>
      </c>
      <c r="F16" t="s">
        <v>80</v>
      </c>
    </row>
    <row r="17" spans="4:6">
      <c r="E17" s="96">
        <f>E16*TWhtoPJ</f>
        <v>4982.4000000000005</v>
      </c>
      <c r="F17" t="s">
        <v>81</v>
      </c>
    </row>
    <row r="18" spans="4:6">
      <c r="D18" s="87" t="s">
        <v>90</v>
      </c>
      <c r="E18" s="94"/>
    </row>
    <row r="19" spans="4:6">
      <c r="D19" s="97" t="s">
        <v>82</v>
      </c>
      <c r="E19" s="98">
        <v>0.55000000000000004</v>
      </c>
      <c r="F19" s="99"/>
    </row>
    <row r="20" spans="4:6">
      <c r="D20" s="97" t="s">
        <v>83</v>
      </c>
      <c r="E20" s="98">
        <v>0.32</v>
      </c>
      <c r="F20" s="99"/>
    </row>
    <row r="21" spans="4:6">
      <c r="D21" s="97" t="s">
        <v>84</v>
      </c>
      <c r="E21" s="98">
        <v>0.09</v>
      </c>
      <c r="F21" s="99"/>
    </row>
    <row r="22" spans="4:6">
      <c r="D22" s="97" t="s">
        <v>85</v>
      </c>
      <c r="E22" s="98">
        <v>0.02</v>
      </c>
      <c r="F22" s="99"/>
    </row>
    <row r="23" spans="4:6">
      <c r="D23" s="97" t="s">
        <v>86</v>
      </c>
      <c r="E23" s="98">
        <v>0.02</v>
      </c>
      <c r="F23" s="99"/>
    </row>
    <row r="24" spans="4:6">
      <c r="D24" s="97" t="s">
        <v>87</v>
      </c>
      <c r="E24" s="98">
        <v>0</v>
      </c>
      <c r="F24" s="99"/>
    </row>
    <row r="25" spans="4:6">
      <c r="D25" s="99"/>
      <c r="E25" s="99"/>
      <c r="F25" s="99"/>
    </row>
    <row r="26" spans="4:6">
      <c r="D26" s="97" t="s">
        <v>82</v>
      </c>
      <c r="E26" s="96">
        <v>2740.32</v>
      </c>
      <c r="F26" s="99" t="s">
        <v>81</v>
      </c>
    </row>
    <row r="27" spans="4:6">
      <c r="D27" s="97" t="s">
        <v>83</v>
      </c>
      <c r="E27" s="96">
        <v>1594.3679999999999</v>
      </c>
      <c r="F27" s="99" t="s">
        <v>81</v>
      </c>
    </row>
    <row r="28" spans="4:6">
      <c r="D28" s="97" t="s">
        <v>84</v>
      </c>
      <c r="E28" s="96">
        <v>448.416</v>
      </c>
      <c r="F28" s="99" t="s">
        <v>81</v>
      </c>
    </row>
    <row r="29" spans="4:6">
      <c r="D29" s="97" t="s">
        <v>85</v>
      </c>
      <c r="E29" s="96">
        <v>99.647999999999996</v>
      </c>
      <c r="F29" s="99" t="s">
        <v>81</v>
      </c>
    </row>
    <row r="30" spans="4:6">
      <c r="D30" s="97" t="s">
        <v>86</v>
      </c>
      <c r="E30" s="96">
        <v>99.647999999999996</v>
      </c>
      <c r="F30" s="99" t="s">
        <v>81</v>
      </c>
    </row>
    <row r="31" spans="4:6">
      <c r="D31" s="97" t="s">
        <v>87</v>
      </c>
      <c r="E31" s="96">
        <v>0</v>
      </c>
      <c r="F31" s="99" t="s">
        <v>81</v>
      </c>
    </row>
    <row r="56" spans="3:6">
      <c r="C56" s="83" t="s">
        <v>89</v>
      </c>
    </row>
    <row r="57" spans="3:6">
      <c r="D57" s="83" t="s">
        <v>91</v>
      </c>
      <c r="E57" s="96">
        <v>1384</v>
      </c>
      <c r="F57" t="s">
        <v>80</v>
      </c>
    </row>
    <row r="58" spans="3:6">
      <c r="E58" s="96">
        <f>E57*3.6</f>
        <v>4982.4000000000005</v>
      </c>
      <c r="F58" t="s">
        <v>81</v>
      </c>
    </row>
    <row r="59" spans="3:6">
      <c r="D59" s="83" t="s">
        <v>90</v>
      </c>
    </row>
    <row r="60" spans="3:6">
      <c r="D60" s="84" t="s">
        <v>82</v>
      </c>
      <c r="E60" s="94">
        <v>0.55000000000000004</v>
      </c>
    </row>
    <row r="61" spans="3:6">
      <c r="D61" s="84" t="s">
        <v>83</v>
      </c>
      <c r="E61" s="94">
        <v>0.32</v>
      </c>
    </row>
    <row r="62" spans="3:6">
      <c r="D62" s="84" t="s">
        <v>84</v>
      </c>
      <c r="E62" s="94">
        <v>0.09</v>
      </c>
    </row>
    <row r="63" spans="3:6">
      <c r="D63" s="84" t="s">
        <v>85</v>
      </c>
      <c r="E63" s="94">
        <v>0.02</v>
      </c>
    </row>
    <row r="64" spans="3:6">
      <c r="D64" s="84" t="s">
        <v>86</v>
      </c>
      <c r="E64" s="94">
        <v>0.02</v>
      </c>
    </row>
    <row r="65" spans="4:6">
      <c r="D65" s="84" t="s">
        <v>87</v>
      </c>
      <c r="E65" s="94">
        <v>0</v>
      </c>
    </row>
    <row r="67" spans="4:6">
      <c r="D67" s="84" t="s">
        <v>82</v>
      </c>
      <c r="E67" s="96">
        <f>$E$17*E60</f>
        <v>2740.3200000000006</v>
      </c>
      <c r="F67" t="s">
        <v>81</v>
      </c>
    </row>
    <row r="68" spans="4:6">
      <c r="D68" s="84" t="s">
        <v>83</v>
      </c>
      <c r="E68" s="96">
        <f t="shared" ref="E68:E72" si="0">$E$17*E61</f>
        <v>1594.3680000000002</v>
      </c>
      <c r="F68" t="s">
        <v>81</v>
      </c>
    </row>
    <row r="69" spans="4:6">
      <c r="D69" s="84" t="s">
        <v>84</v>
      </c>
      <c r="E69" s="96">
        <f t="shared" si="0"/>
        <v>448.41600000000005</v>
      </c>
      <c r="F69" t="s">
        <v>81</v>
      </c>
    </row>
    <row r="70" spans="4:6">
      <c r="D70" s="84" t="s">
        <v>85</v>
      </c>
      <c r="E70" s="96">
        <f t="shared" si="0"/>
        <v>99.64800000000001</v>
      </c>
      <c r="F70" t="s">
        <v>81</v>
      </c>
    </row>
    <row r="71" spans="4:6">
      <c r="D71" s="84" t="s">
        <v>86</v>
      </c>
      <c r="E71" s="96">
        <f t="shared" si="0"/>
        <v>99.64800000000001</v>
      </c>
      <c r="F71" t="s">
        <v>81</v>
      </c>
    </row>
    <row r="72" spans="4:6">
      <c r="D72" s="84" t="s">
        <v>87</v>
      </c>
      <c r="E72" s="96">
        <f t="shared" si="0"/>
        <v>0</v>
      </c>
      <c r="F72" t="s">
        <v>81</v>
      </c>
    </row>
    <row r="79" spans="4:6">
      <c r="F79" t="s">
        <v>92</v>
      </c>
    </row>
    <row r="103" spans="2:6">
      <c r="B103" t="s">
        <v>93</v>
      </c>
    </row>
    <row r="104" spans="2:6">
      <c r="C104" s="83" t="s">
        <v>94</v>
      </c>
    </row>
    <row r="106" spans="2:6">
      <c r="D106" s="83" t="s">
        <v>91</v>
      </c>
      <c r="E106" s="96">
        <v>1384</v>
      </c>
      <c r="F106" t="s">
        <v>80</v>
      </c>
    </row>
    <row r="107" spans="2:6">
      <c r="E107" s="96">
        <f>E106*3.6</f>
        <v>4982.4000000000005</v>
      </c>
      <c r="F107" t="s">
        <v>81</v>
      </c>
    </row>
    <row r="109" spans="2:6">
      <c r="D109" s="83" t="s">
        <v>95</v>
      </c>
    </row>
    <row r="111" spans="2:6">
      <c r="D111" s="84" t="s">
        <v>43</v>
      </c>
      <c r="E111" s="94">
        <v>0.42</v>
      </c>
    </row>
    <row r="112" spans="2:6">
      <c r="D112" s="84" t="s">
        <v>96</v>
      </c>
      <c r="E112" s="94">
        <v>0.2</v>
      </c>
    </row>
    <row r="113" spans="4:5">
      <c r="D113" s="84" t="s">
        <v>97</v>
      </c>
      <c r="E113">
        <v>10</v>
      </c>
    </row>
    <row r="114" spans="4:5">
      <c r="D114" s="84" t="s">
        <v>98</v>
      </c>
      <c r="E114" s="94">
        <v>0.08</v>
      </c>
    </row>
    <row r="115" spans="4:5">
      <c r="D115" s="84" t="s">
        <v>99</v>
      </c>
      <c r="E115" s="94">
        <v>0.08</v>
      </c>
    </row>
    <row r="116" spans="4:5">
      <c r="D116" s="84" t="s">
        <v>100</v>
      </c>
      <c r="E116" s="94">
        <v>0.08</v>
      </c>
    </row>
    <row r="117" spans="4:5">
      <c r="D117" s="84" t="s">
        <v>101</v>
      </c>
      <c r="E117" s="94">
        <v>0.03</v>
      </c>
    </row>
    <row r="118" spans="4:5">
      <c r="D118" s="84" t="s">
        <v>102</v>
      </c>
      <c r="E118" s="94">
        <v>0.01</v>
      </c>
    </row>
    <row r="119" spans="4:5">
      <c r="D119" s="84" t="s">
        <v>103</v>
      </c>
      <c r="E119" s="94">
        <v>0</v>
      </c>
    </row>
    <row r="120" spans="4:5">
      <c r="D120" s="84" t="s">
        <v>104</v>
      </c>
      <c r="E120" s="94">
        <v>0</v>
      </c>
    </row>
    <row r="123" spans="4:5">
      <c r="D123" s="84" t="s">
        <v>43</v>
      </c>
      <c r="E123" s="96">
        <f>$E$107*E111</f>
        <v>2092.6080000000002</v>
      </c>
    </row>
    <row r="124" spans="4:5">
      <c r="D124" s="84" t="s">
        <v>96</v>
      </c>
      <c r="E124" s="96">
        <f t="shared" ref="E124:E132" si="1">$E$107*E112</f>
        <v>996.48000000000013</v>
      </c>
    </row>
    <row r="125" spans="4:5">
      <c r="D125" s="84" t="s">
        <v>97</v>
      </c>
      <c r="E125" s="96">
        <f t="shared" si="1"/>
        <v>49824.000000000007</v>
      </c>
    </row>
    <row r="126" spans="4:5">
      <c r="D126" s="84" t="s">
        <v>98</v>
      </c>
      <c r="E126" s="96">
        <f t="shared" si="1"/>
        <v>398.59200000000004</v>
      </c>
    </row>
    <row r="127" spans="4:5">
      <c r="D127" s="84" t="s">
        <v>99</v>
      </c>
      <c r="E127" s="96">
        <f t="shared" si="1"/>
        <v>398.59200000000004</v>
      </c>
    </row>
    <row r="128" spans="4:5">
      <c r="D128" s="84" t="s">
        <v>100</v>
      </c>
      <c r="E128" s="96">
        <f t="shared" si="1"/>
        <v>398.59200000000004</v>
      </c>
    </row>
    <row r="129" spans="4:5">
      <c r="D129" s="84" t="s">
        <v>101</v>
      </c>
      <c r="E129" s="96">
        <f t="shared" si="1"/>
        <v>149.47200000000001</v>
      </c>
    </row>
    <row r="130" spans="4:5">
      <c r="D130" s="84" t="s">
        <v>102</v>
      </c>
      <c r="E130" s="96">
        <f t="shared" si="1"/>
        <v>49.824000000000005</v>
      </c>
    </row>
    <row r="131" spans="4:5">
      <c r="D131" s="84" t="s">
        <v>103</v>
      </c>
      <c r="E131" s="96">
        <f t="shared" si="1"/>
        <v>0</v>
      </c>
    </row>
    <row r="132" spans="4:5">
      <c r="D132" s="84" t="s">
        <v>104</v>
      </c>
      <c r="E132" s="96">
        <f t="shared" si="1"/>
        <v>0</v>
      </c>
    </row>
    <row r="143" spans="4:5">
      <c r="D143" t="s">
        <v>86</v>
      </c>
      <c r="E143">
        <v>24.518727331803593</v>
      </c>
    </row>
    <row r="144" spans="4:5">
      <c r="D144" t="s">
        <v>82</v>
      </c>
      <c r="E144">
        <v>449.43156675986694</v>
      </c>
    </row>
    <row r="145" spans="3:6">
      <c r="D145" t="s">
        <v>84</v>
      </c>
      <c r="E145">
        <v>106.51968358967584</v>
      </c>
    </row>
    <row r="146" spans="3:6">
      <c r="D146" t="s">
        <v>87</v>
      </c>
      <c r="E146">
        <v>0.12241127218262277</v>
      </c>
    </row>
    <row r="151" spans="3:6">
      <c r="C151" s="83" t="s">
        <v>105</v>
      </c>
    </row>
    <row r="153" spans="3:6">
      <c r="D153" s="83" t="s">
        <v>106</v>
      </c>
    </row>
    <row r="154" spans="3:6">
      <c r="D154" s="84" t="s">
        <v>107</v>
      </c>
      <c r="E154">
        <v>512</v>
      </c>
      <c r="F154" t="s">
        <v>80</v>
      </c>
    </row>
    <row r="155" spans="3:6">
      <c r="D155" s="84" t="s">
        <v>108</v>
      </c>
      <c r="E155">
        <v>581</v>
      </c>
      <c r="F155" t="s">
        <v>80</v>
      </c>
    </row>
    <row r="156" spans="3:6">
      <c r="D156" s="84" t="s">
        <v>109</v>
      </c>
      <c r="E156">
        <v>291</v>
      </c>
      <c r="F156" t="s">
        <v>80</v>
      </c>
    </row>
    <row r="158" spans="3:6">
      <c r="D158" s="87" t="s">
        <v>110</v>
      </c>
    </row>
    <row r="159" spans="3:6">
      <c r="D159" s="84" t="s">
        <v>107</v>
      </c>
    </row>
    <row r="160" spans="3:6">
      <c r="D160" s="85" t="s">
        <v>82</v>
      </c>
      <c r="F160" t="s">
        <v>80</v>
      </c>
    </row>
    <row r="161" spans="4:9">
      <c r="D161" s="85" t="s">
        <v>83</v>
      </c>
      <c r="F161" t="s">
        <v>80</v>
      </c>
    </row>
    <row r="162" spans="4:9">
      <c r="D162" s="85" t="s">
        <v>84</v>
      </c>
      <c r="F162" t="s">
        <v>80</v>
      </c>
    </row>
    <row r="163" spans="4:9">
      <c r="D163" s="85" t="s">
        <v>85</v>
      </c>
      <c r="F163" t="s">
        <v>80</v>
      </c>
    </row>
    <row r="164" spans="4:9">
      <c r="D164" s="85" t="s">
        <v>86</v>
      </c>
      <c r="F164" t="s">
        <v>80</v>
      </c>
    </row>
    <row r="165" spans="4:9">
      <c r="D165" s="85" t="s">
        <v>87</v>
      </c>
      <c r="F165" t="s">
        <v>80</v>
      </c>
    </row>
    <row r="167" spans="4:9" ht="17" thickBot="1">
      <c r="D167" s="84" t="s">
        <v>108</v>
      </c>
      <c r="G167" s="101">
        <f>SUM(G168:G173)</f>
        <v>2090132.6002327043</v>
      </c>
      <c r="H167" s="102" t="s">
        <v>26</v>
      </c>
      <c r="I167" s="49"/>
    </row>
    <row r="168" spans="4:9" ht="17" thickTop="1">
      <c r="D168" s="85" t="s">
        <v>82</v>
      </c>
      <c r="E168" s="6">
        <v>449.43156675986694</v>
      </c>
      <c r="F168" t="s">
        <v>80</v>
      </c>
      <c r="G168" s="5">
        <f t="shared" ref="G168:G173" si="2">E168*TWhtoPJ*1000</f>
        <v>1617953.640335521</v>
      </c>
      <c r="H168" t="s">
        <v>26</v>
      </c>
    </row>
    <row r="169" spans="4:9">
      <c r="D169" s="85" t="s">
        <v>83</v>
      </c>
      <c r="E169" s="6">
        <v>0</v>
      </c>
      <c r="F169" t="s">
        <v>80</v>
      </c>
      <c r="G169" s="5">
        <f t="shared" si="2"/>
        <v>0</v>
      </c>
      <c r="H169" t="s">
        <v>26</v>
      </c>
    </row>
    <row r="170" spans="4:9">
      <c r="D170" s="85" t="s">
        <v>84</v>
      </c>
      <c r="E170" s="6">
        <v>106.51968358967584</v>
      </c>
      <c r="F170" t="s">
        <v>80</v>
      </c>
      <c r="G170" s="5">
        <f t="shared" si="2"/>
        <v>383470.86092283303</v>
      </c>
      <c r="H170" t="s">
        <v>26</v>
      </c>
    </row>
    <row r="171" spans="4:9">
      <c r="D171" s="85" t="s">
        <v>85</v>
      </c>
      <c r="E171" s="6">
        <v>0</v>
      </c>
      <c r="F171" t="s">
        <v>80</v>
      </c>
      <c r="G171" s="5">
        <f t="shared" si="2"/>
        <v>0</v>
      </c>
      <c r="H171" t="s">
        <v>26</v>
      </c>
    </row>
    <row r="172" spans="4:9">
      <c r="D172" s="85" t="s">
        <v>86</v>
      </c>
      <c r="E172" s="6">
        <v>24.518727331803593</v>
      </c>
      <c r="F172" t="s">
        <v>80</v>
      </c>
      <c r="G172" s="5">
        <f t="shared" si="2"/>
        <v>88267.418394492939</v>
      </c>
      <c r="H172" t="s">
        <v>26</v>
      </c>
    </row>
    <row r="173" spans="4:9">
      <c r="D173" s="85" t="s">
        <v>87</v>
      </c>
      <c r="E173" s="95">
        <v>0.12241127218262277</v>
      </c>
      <c r="F173" t="s">
        <v>80</v>
      </c>
      <c r="G173" s="5">
        <f t="shared" si="2"/>
        <v>440.68057985744196</v>
      </c>
      <c r="H173" t="s">
        <v>26</v>
      </c>
    </row>
    <row r="174" spans="4:9">
      <c r="E174" s="95"/>
    </row>
    <row r="175" spans="4:9">
      <c r="D175" s="84" t="s">
        <v>109</v>
      </c>
      <c r="E175" s="95"/>
    </row>
    <row r="176" spans="4:9">
      <c r="D176" s="85" t="s">
        <v>82</v>
      </c>
      <c r="E176" s="95">
        <v>243.7150879865263</v>
      </c>
      <c r="F176" t="s">
        <v>80</v>
      </c>
      <c r="G176" s="5">
        <f t="shared" ref="G176:G181" si="3">E176*TWhtoPJ*1000</f>
        <v>877374.31675149465</v>
      </c>
      <c r="H176" t="s">
        <v>26</v>
      </c>
    </row>
    <row r="177" spans="4:8">
      <c r="D177" s="85" t="s">
        <v>83</v>
      </c>
      <c r="E177" s="95">
        <v>11.469393416956578</v>
      </c>
      <c r="F177" t="s">
        <v>80</v>
      </c>
      <c r="G177" s="5">
        <f t="shared" si="3"/>
        <v>41289.816301043677</v>
      </c>
      <c r="H177" t="s">
        <v>26</v>
      </c>
    </row>
    <row r="178" spans="4:8">
      <c r="D178" s="85" t="s">
        <v>84</v>
      </c>
      <c r="E178" s="95">
        <v>17.686060150092374</v>
      </c>
      <c r="F178" t="s">
        <v>80</v>
      </c>
      <c r="G178" s="5">
        <f t="shared" si="3"/>
        <v>63669.816540332547</v>
      </c>
      <c r="H178" t="s">
        <v>26</v>
      </c>
    </row>
    <row r="179" spans="4:8">
      <c r="D179" s="85" t="s">
        <v>85</v>
      </c>
      <c r="E179" s="95">
        <v>17.16994551815807</v>
      </c>
      <c r="F179" t="s">
        <v>80</v>
      </c>
      <c r="G179" s="5">
        <f t="shared" si="3"/>
        <v>61811.803865369053</v>
      </c>
      <c r="H179" t="s">
        <v>26</v>
      </c>
    </row>
    <row r="180" spans="4:8">
      <c r="D180" s="85" t="s">
        <v>86</v>
      </c>
      <c r="E180" s="95"/>
      <c r="F180" t="s">
        <v>80</v>
      </c>
      <c r="G180" s="5">
        <f t="shared" si="3"/>
        <v>0</v>
      </c>
      <c r="H180" t="s">
        <v>26</v>
      </c>
    </row>
    <row r="181" spans="4:8">
      <c r="D181" s="85" t="s">
        <v>87</v>
      </c>
      <c r="E181" s="95">
        <v>1.5755003694547682</v>
      </c>
      <c r="F181" t="s">
        <v>80</v>
      </c>
      <c r="G181" s="5">
        <f t="shared" si="3"/>
        <v>5671.8013300371658</v>
      </c>
      <c r="H181" t="s">
        <v>26</v>
      </c>
    </row>
    <row r="183" spans="4:8">
      <c r="D183" s="83" t="s">
        <v>111</v>
      </c>
    </row>
    <row r="184" spans="4:8">
      <c r="D184" s="84" t="s">
        <v>107</v>
      </c>
    </row>
    <row r="185" spans="4:8">
      <c r="D185" s="85" t="s">
        <v>43</v>
      </c>
      <c r="F185" t="s">
        <v>80</v>
      </c>
    </row>
    <row r="186" spans="4:8">
      <c r="D186" s="85" t="s">
        <v>96</v>
      </c>
      <c r="F186" t="s">
        <v>80</v>
      </c>
    </row>
    <row r="187" spans="4:8">
      <c r="D187" s="85" t="s">
        <v>97</v>
      </c>
      <c r="F187" t="s">
        <v>80</v>
      </c>
    </row>
    <row r="188" spans="4:8">
      <c r="D188" s="85" t="s">
        <v>98</v>
      </c>
      <c r="F188" t="s">
        <v>80</v>
      </c>
    </row>
    <row r="189" spans="4:8">
      <c r="D189" s="85" t="s">
        <v>99</v>
      </c>
      <c r="F189" t="s">
        <v>80</v>
      </c>
    </row>
    <row r="190" spans="4:8">
      <c r="D190" s="85" t="s">
        <v>100</v>
      </c>
      <c r="F190" t="s">
        <v>80</v>
      </c>
    </row>
    <row r="191" spans="4:8">
      <c r="D191" s="85" t="s">
        <v>101</v>
      </c>
      <c r="F191" t="s">
        <v>80</v>
      </c>
    </row>
    <row r="192" spans="4:8">
      <c r="D192" s="85" t="s">
        <v>102</v>
      </c>
      <c r="F192" t="s">
        <v>80</v>
      </c>
    </row>
    <row r="193" spans="4:9">
      <c r="D193" s="85" t="s">
        <v>103</v>
      </c>
      <c r="F193" t="s">
        <v>80</v>
      </c>
    </row>
    <row r="194" spans="4:9">
      <c r="D194" s="85" t="s">
        <v>104</v>
      </c>
      <c r="F194" t="s">
        <v>80</v>
      </c>
    </row>
    <row r="196" spans="4:9">
      <c r="D196" s="84" t="s">
        <v>108</v>
      </c>
      <c r="G196" s="100">
        <f>SUM(G197:G207)</f>
        <v>2090132.6002327043</v>
      </c>
      <c r="H196" t="s">
        <v>26</v>
      </c>
    </row>
    <row r="197" spans="4:9">
      <c r="D197" s="85" t="s">
        <v>43</v>
      </c>
      <c r="E197">
        <v>243.9537299316473</v>
      </c>
      <c r="F197" t="s">
        <v>80</v>
      </c>
      <c r="G197" s="5">
        <f t="shared" ref="G197:G207" si="4">E197*TWhtoPJ*1000</f>
        <v>878233.42775393033</v>
      </c>
      <c r="H197" t="s">
        <v>26</v>
      </c>
    </row>
    <row r="198" spans="4:9">
      <c r="D198" s="85" t="s">
        <v>96</v>
      </c>
      <c r="E198">
        <v>153.13084310901326</v>
      </c>
      <c r="F198" t="s">
        <v>80</v>
      </c>
      <c r="G198" s="5">
        <f t="shared" si="4"/>
        <v>551271.03519244771</v>
      </c>
      <c r="H198" t="s">
        <v>26</v>
      </c>
    </row>
    <row r="199" spans="4:9">
      <c r="D199" s="85" t="s">
        <v>97</v>
      </c>
      <c r="E199">
        <v>56.751739436458983</v>
      </c>
      <c r="F199" t="s">
        <v>80</v>
      </c>
      <c r="G199" s="5">
        <f t="shared" si="4"/>
        <v>204306.26197125236</v>
      </c>
      <c r="H199" t="s">
        <v>26</v>
      </c>
    </row>
    <row r="200" spans="4:9">
      <c r="D200" s="85" t="s">
        <v>98</v>
      </c>
      <c r="E200">
        <v>47.152178920141665</v>
      </c>
      <c r="F200" t="s">
        <v>80</v>
      </c>
      <c r="G200" s="5">
        <f t="shared" si="4"/>
        <v>169747.84411251001</v>
      </c>
      <c r="H200" t="s">
        <v>26</v>
      </c>
    </row>
    <row r="201" spans="4:9">
      <c r="D201" s="85" t="s">
        <v>99</v>
      </c>
      <c r="E201">
        <v>61.960832132482075</v>
      </c>
      <c r="F201" t="s">
        <v>80</v>
      </c>
      <c r="G201" s="5">
        <f t="shared" si="4"/>
        <v>223058.99567693548</v>
      </c>
      <c r="H201" t="s">
        <v>26</v>
      </c>
    </row>
    <row r="202" spans="4:9">
      <c r="D202" s="85" t="s">
        <v>100</v>
      </c>
      <c r="E202">
        <v>7.2356443334595397</v>
      </c>
      <c r="F202" t="s">
        <v>80</v>
      </c>
      <c r="G202" s="5">
        <f t="shared" si="4"/>
        <v>26048.319600454346</v>
      </c>
      <c r="H202" t="s">
        <v>26</v>
      </c>
    </row>
    <row r="203" spans="4:9">
      <c r="D203" s="85" t="s">
        <v>139</v>
      </c>
      <c r="E203">
        <v>0</v>
      </c>
      <c r="F203" t="s">
        <v>80</v>
      </c>
      <c r="G203" s="5">
        <f t="shared" si="4"/>
        <v>0</v>
      </c>
      <c r="H203" t="s">
        <v>26</v>
      </c>
    </row>
    <row r="204" spans="4:9">
      <c r="D204" s="85" t="s">
        <v>102</v>
      </c>
      <c r="E204">
        <v>7.4823815762681454</v>
      </c>
      <c r="F204" t="s">
        <v>80</v>
      </c>
      <c r="G204" s="5">
        <f t="shared" si="4"/>
        <v>26936.573674565323</v>
      </c>
      <c r="H204" t="s">
        <v>26</v>
      </c>
    </row>
    <row r="205" spans="4:9">
      <c r="D205" s="85" t="s">
        <v>140</v>
      </c>
      <c r="E205">
        <v>2.8026282418753352</v>
      </c>
      <c r="F205" t="s">
        <v>80</v>
      </c>
      <c r="G205" s="5">
        <f t="shared" si="4"/>
        <v>10089.461670751207</v>
      </c>
      <c r="H205" t="s">
        <v>26</v>
      </c>
    </row>
    <row r="206" spans="4:9">
      <c r="D206" s="85" t="s">
        <v>104</v>
      </c>
      <c r="E206">
        <v>0</v>
      </c>
      <c r="F206" t="s">
        <v>80</v>
      </c>
      <c r="G206" s="5">
        <f t="shared" si="4"/>
        <v>0</v>
      </c>
      <c r="H206" t="s">
        <v>26</v>
      </c>
    </row>
    <row r="207" spans="4:9">
      <c r="D207" s="103" t="s">
        <v>141</v>
      </c>
      <c r="E207" s="104">
        <f>E173</f>
        <v>0.12241127218262277</v>
      </c>
      <c r="F207" s="105" t="s">
        <v>80</v>
      </c>
      <c r="G207" s="106">
        <f t="shared" si="4"/>
        <v>440.68057985744196</v>
      </c>
      <c r="H207" s="105" t="s">
        <v>26</v>
      </c>
      <c r="I207" s="105"/>
    </row>
    <row r="209" spans="2:6">
      <c r="D209" s="84" t="s">
        <v>109</v>
      </c>
    </row>
    <row r="210" spans="2:6">
      <c r="D210" s="85" t="s">
        <v>43</v>
      </c>
      <c r="F210" t="s">
        <v>80</v>
      </c>
    </row>
    <row r="211" spans="2:6">
      <c r="D211" s="85" t="s">
        <v>96</v>
      </c>
      <c r="F211" t="s">
        <v>80</v>
      </c>
    </row>
    <row r="212" spans="2:6">
      <c r="D212" s="85" t="s">
        <v>97</v>
      </c>
      <c r="F212" t="s">
        <v>80</v>
      </c>
    </row>
    <row r="213" spans="2:6">
      <c r="D213" s="85" t="s">
        <v>98</v>
      </c>
      <c r="F213" t="s">
        <v>80</v>
      </c>
    </row>
    <row r="214" spans="2:6">
      <c r="D214" s="85" t="s">
        <v>99</v>
      </c>
      <c r="F214" t="s">
        <v>80</v>
      </c>
    </row>
    <row r="215" spans="2:6">
      <c r="D215" s="85" t="s">
        <v>100</v>
      </c>
      <c r="F215" t="s">
        <v>80</v>
      </c>
    </row>
    <row r="216" spans="2:6">
      <c r="D216" s="85" t="s">
        <v>101</v>
      </c>
      <c r="F216" t="s">
        <v>80</v>
      </c>
    </row>
    <row r="217" spans="2:6">
      <c r="D217" s="85" t="s">
        <v>102</v>
      </c>
      <c r="F217" t="s">
        <v>80</v>
      </c>
    </row>
    <row r="218" spans="2:6">
      <c r="D218" s="85" t="s">
        <v>103</v>
      </c>
      <c r="F218" t="s">
        <v>80</v>
      </c>
    </row>
    <row r="219" spans="2:6">
      <c r="D219" s="85" t="s">
        <v>104</v>
      </c>
      <c r="F219" t="s">
        <v>80</v>
      </c>
    </row>
    <row r="223" spans="2:6">
      <c r="B223" s="83" t="s">
        <v>112</v>
      </c>
    </row>
    <row r="224" spans="2:6">
      <c r="C224" s="83" t="s">
        <v>113</v>
      </c>
    </row>
    <row r="225" spans="4:6">
      <c r="D225" s="83" t="s">
        <v>114</v>
      </c>
    </row>
    <row r="227" spans="4:6">
      <c r="D227" s="84" t="s">
        <v>123</v>
      </c>
    </row>
    <row r="228" spans="4:6">
      <c r="D228" s="84" t="s">
        <v>129</v>
      </c>
    </row>
    <row r="229" spans="4:6">
      <c r="D229" s="84" t="s">
        <v>128</v>
      </c>
    </row>
    <row r="230" spans="4:6">
      <c r="D230" s="84" t="s">
        <v>127</v>
      </c>
    </row>
    <row r="231" spans="4:6">
      <c r="D231" s="84" t="s">
        <v>82</v>
      </c>
    </row>
    <row r="232" spans="4:6">
      <c r="D232" s="84" t="s">
        <v>87</v>
      </c>
    </row>
    <row r="233" spans="4:6">
      <c r="D233" s="84" t="s">
        <v>124</v>
      </c>
    </row>
    <row r="234" spans="4:6">
      <c r="D234" s="84" t="s">
        <v>126</v>
      </c>
    </row>
    <row r="235" spans="4:6">
      <c r="D235" s="84" t="s">
        <v>125</v>
      </c>
    </row>
    <row r="239" spans="4:6">
      <c r="D239" s="84" t="s">
        <v>115</v>
      </c>
      <c r="F239" t="s">
        <v>80</v>
      </c>
    </row>
    <row r="240" spans="4:6">
      <c r="D240" s="84" t="s">
        <v>116</v>
      </c>
      <c r="F240" t="s">
        <v>80</v>
      </c>
    </row>
    <row r="241" spans="4:6">
      <c r="D241" s="84" t="s">
        <v>117</v>
      </c>
      <c r="F241" t="s">
        <v>80</v>
      </c>
    </row>
    <row r="242" spans="4:6">
      <c r="D242" s="84" t="s">
        <v>118</v>
      </c>
      <c r="F242" t="s">
        <v>80</v>
      </c>
    </row>
    <row r="243" spans="4:6">
      <c r="D243" s="84" t="s">
        <v>119</v>
      </c>
      <c r="F243" t="s">
        <v>80</v>
      </c>
    </row>
    <row r="244" spans="4:6">
      <c r="D244" s="84" t="s">
        <v>120</v>
      </c>
      <c r="F244" t="s">
        <v>80</v>
      </c>
    </row>
    <row r="245" spans="4:6">
      <c r="D245" s="84" t="s">
        <v>121</v>
      </c>
      <c r="F245" t="s">
        <v>80</v>
      </c>
    </row>
    <row r="246" spans="4:6">
      <c r="D246" s="84" t="s">
        <v>122</v>
      </c>
      <c r="F246" t="s">
        <v>80</v>
      </c>
    </row>
    <row r="272" spans="4:4">
      <c r="D272" s="83" t="s">
        <v>130</v>
      </c>
    </row>
    <row r="274" spans="4:4">
      <c r="D274" s="84" t="s">
        <v>115</v>
      </c>
    </row>
    <row r="275" spans="4:4">
      <c r="D275" s="84" t="s">
        <v>116</v>
      </c>
    </row>
    <row r="276" spans="4:4">
      <c r="D276" s="84" t="s">
        <v>117</v>
      </c>
    </row>
    <row r="277" spans="4:4">
      <c r="D277" s="84" t="s">
        <v>118</v>
      </c>
    </row>
    <row r="278" spans="4:4">
      <c r="D278" s="84" t="s">
        <v>119</v>
      </c>
    </row>
    <row r="279" spans="4:4">
      <c r="D279" s="84" t="s">
        <v>120</v>
      </c>
    </row>
    <row r="280" spans="4:4">
      <c r="D280" s="84" t="s">
        <v>121</v>
      </c>
    </row>
    <row r="281" spans="4:4">
      <c r="D281" s="84" t="s">
        <v>122</v>
      </c>
    </row>
    <row r="320" spans="2:2">
      <c r="B320" s="83" t="s">
        <v>131</v>
      </c>
    </row>
    <row r="321" spans="3:3">
      <c r="C321" s="83" t="s">
        <v>132</v>
      </c>
    </row>
    <row r="368" spans="3:3">
      <c r="C368" s="83" t="s">
        <v>133</v>
      </c>
    </row>
    <row r="371" spans="4:8">
      <c r="D371" t="s">
        <v>142</v>
      </c>
      <c r="E371" t="s">
        <v>0</v>
      </c>
    </row>
    <row r="372" spans="4:8">
      <c r="D372" t="s">
        <v>145</v>
      </c>
    </row>
    <row r="373" spans="4:8">
      <c r="E373" t="s">
        <v>143</v>
      </c>
    </row>
    <row r="374" spans="4:8">
      <c r="D374" t="s">
        <v>80</v>
      </c>
      <c r="E374" t="s">
        <v>86</v>
      </c>
      <c r="F374" t="s">
        <v>82</v>
      </c>
      <c r="G374" t="s">
        <v>87</v>
      </c>
      <c r="H374" t="s">
        <v>84</v>
      </c>
    </row>
    <row r="375" spans="4:8">
      <c r="D375" t="s">
        <v>99</v>
      </c>
      <c r="E375" s="7">
        <v>0</v>
      </c>
      <c r="F375" s="7">
        <v>58.486943656080996</v>
      </c>
      <c r="G375" s="7">
        <v>0</v>
      </c>
      <c r="H375" s="7">
        <v>3.4738884764010818</v>
      </c>
    </row>
    <row r="376" spans="4:8">
      <c r="D376" t="s">
        <v>100</v>
      </c>
      <c r="E376" s="7">
        <v>0</v>
      </c>
      <c r="F376" s="7">
        <v>7.2356443334595397</v>
      </c>
      <c r="G376" s="7">
        <v>0</v>
      </c>
      <c r="H376" s="7">
        <v>0</v>
      </c>
    </row>
    <row r="377" spans="4:8">
      <c r="D377" t="s">
        <v>13</v>
      </c>
      <c r="E377" s="7">
        <v>0</v>
      </c>
      <c r="F377" s="7">
        <v>43.234921069533051</v>
      </c>
      <c r="G377" s="7">
        <v>0</v>
      </c>
      <c r="H377" s="7">
        <v>13.516818366925932</v>
      </c>
    </row>
    <row r="378" spans="4:8">
      <c r="D378" t="s">
        <v>98</v>
      </c>
      <c r="E378" s="7">
        <v>23.514022136336894</v>
      </c>
      <c r="F378" s="7">
        <v>17.780407628329417</v>
      </c>
      <c r="G378" s="7">
        <v>0.12241127218262277</v>
      </c>
      <c r="H378" s="7">
        <v>5.8577491554753536</v>
      </c>
    </row>
    <row r="379" spans="4:8">
      <c r="D379" t="s">
        <v>43</v>
      </c>
      <c r="E379" s="7">
        <v>0.97880403440203223</v>
      </c>
      <c r="F379" s="7">
        <v>194.42223827571041</v>
      </c>
      <c r="G379" s="7">
        <v>0</v>
      </c>
      <c r="H379" s="7">
        <v>48.552687621534872</v>
      </c>
    </row>
    <row r="380" spans="4:8">
      <c r="D380" t="s">
        <v>103</v>
      </c>
      <c r="E380" s="7">
        <v>0</v>
      </c>
      <c r="F380" s="7">
        <v>2.1701761250600335</v>
      </c>
      <c r="G380" s="7">
        <v>0</v>
      </c>
      <c r="H380" s="7">
        <v>0.63245211681530167</v>
      </c>
    </row>
    <row r="381" spans="4:8">
      <c r="D381" t="s">
        <v>96</v>
      </c>
      <c r="E381" s="7">
        <v>2.5901161064666552E-2</v>
      </c>
      <c r="F381" s="7">
        <v>125.88360236224196</v>
      </c>
      <c r="G381" s="7">
        <v>0</v>
      </c>
      <c r="H381" s="7">
        <v>27.221339585706637</v>
      </c>
    </row>
    <row r="382" spans="4:8">
      <c r="D382" t="s">
        <v>102</v>
      </c>
      <c r="E382" s="7">
        <v>0</v>
      </c>
      <c r="F382" s="7">
        <v>0.21763330945149703</v>
      </c>
      <c r="G382" s="7">
        <v>0</v>
      </c>
      <c r="H382" s="7">
        <v>7.2647482668166488</v>
      </c>
    </row>
    <row r="383" spans="4:8" ht="17" thickBot="1">
      <c r="D383" s="102" t="s">
        <v>144</v>
      </c>
      <c r="E383" s="203">
        <v>24.518727331803593</v>
      </c>
      <c r="F383" s="203">
        <v>449.43156675986694</v>
      </c>
      <c r="G383" s="203">
        <v>0.12241127218262277</v>
      </c>
      <c r="H383" s="203">
        <v>106.51968358967584</v>
      </c>
    </row>
    <row r="384" spans="4:8" ht="17" thickTop="1"/>
    <row r="385" spans="4:8">
      <c r="D385" t="s">
        <v>29</v>
      </c>
    </row>
    <row r="386" spans="4:8">
      <c r="D386" t="str">
        <f>D375</f>
        <v>Biomass</v>
      </c>
      <c r="E386" s="107">
        <f>E375/E$383</f>
        <v>0</v>
      </c>
      <c r="F386" s="107">
        <f>F375/F$383</f>
        <v>0.13013537094809988</v>
      </c>
      <c r="G386" s="107">
        <f>G375/G$383</f>
        <v>0</v>
      </c>
      <c r="H386" s="107">
        <f>H375/H$383</f>
        <v>3.2612643591609203E-2</v>
      </c>
    </row>
    <row r="387" spans="4:8">
      <c r="D387" t="str">
        <f t="shared" ref="D387:D394" si="5">D376</f>
        <v>Coal</v>
      </c>
      <c r="E387" s="107">
        <f t="shared" ref="E387:F394" si="6">E376/E$383</f>
        <v>0</v>
      </c>
      <c r="F387" s="107">
        <f t="shared" si="6"/>
        <v>1.609954633499425E-2</v>
      </c>
      <c r="G387" s="107">
        <f t="shared" ref="G387:H387" si="7">G376/G$383</f>
        <v>0</v>
      </c>
      <c r="H387" s="107">
        <f t="shared" si="7"/>
        <v>0</v>
      </c>
    </row>
    <row r="388" spans="4:8">
      <c r="D388" t="str">
        <f t="shared" si="5"/>
        <v>District heating</v>
      </c>
      <c r="E388" s="107">
        <f t="shared" si="6"/>
        <v>0</v>
      </c>
      <c r="F388" s="107">
        <f t="shared" si="6"/>
        <v>9.6199119659598015E-2</v>
      </c>
      <c r="G388" s="107">
        <f t="shared" ref="G388:H388" si="8">G377/G$383</f>
        <v>0</v>
      </c>
      <c r="H388" s="107">
        <f t="shared" si="8"/>
        <v>0.12689502926983925</v>
      </c>
    </row>
    <row r="389" spans="4:8">
      <c r="D389" t="str">
        <f t="shared" si="5"/>
        <v>Electricity</v>
      </c>
      <c r="E389" s="107">
        <f t="shared" si="6"/>
        <v>0.9590229467512581</v>
      </c>
      <c r="F389" s="107">
        <f t="shared" si="6"/>
        <v>3.95619910646587E-2</v>
      </c>
      <c r="G389" s="107">
        <f t="shared" ref="G389:H389" si="9">G378/G$383</f>
        <v>1</v>
      </c>
      <c r="H389" s="107">
        <f t="shared" si="9"/>
        <v>5.4992175700032793E-2</v>
      </c>
    </row>
    <row r="390" spans="4:8">
      <c r="D390" t="str">
        <f t="shared" si="5"/>
        <v>Gas</v>
      </c>
      <c r="E390" s="107">
        <f t="shared" si="6"/>
        <v>3.992067048000536E-2</v>
      </c>
      <c r="F390" s="107">
        <f t="shared" si="6"/>
        <v>0.4325958669912276</v>
      </c>
      <c r="G390" s="107">
        <f t="shared" ref="G390:H390" si="10">G379/G$383</f>
        <v>0</v>
      </c>
      <c r="H390" s="107">
        <f t="shared" si="10"/>
        <v>0.45580953665394408</v>
      </c>
    </row>
    <row r="391" spans="4:8">
      <c r="D391" t="str">
        <f t="shared" si="5"/>
        <v>Heat pumps</v>
      </c>
      <c r="E391" s="107">
        <f t="shared" si="6"/>
        <v>0</v>
      </c>
      <c r="F391" s="107">
        <f t="shared" si="6"/>
        <v>4.8287131691832569E-3</v>
      </c>
      <c r="G391" s="107">
        <f t="shared" ref="G391:H391" si="11">G380/G$383</f>
        <v>0</v>
      </c>
      <c r="H391" s="107">
        <f t="shared" si="11"/>
        <v>5.9374201603111087E-3</v>
      </c>
    </row>
    <row r="392" spans="4:8">
      <c r="D392" t="str">
        <f t="shared" si="5"/>
        <v>Oil</v>
      </c>
      <c r="E392" s="107">
        <f t="shared" si="6"/>
        <v>1.0563827687365235E-3</v>
      </c>
      <c r="F392" s="107">
        <f t="shared" si="6"/>
        <v>0.28009515056939038</v>
      </c>
      <c r="G392" s="107">
        <f t="shared" ref="G392:H392" si="12">G381/G$383</f>
        <v>0</v>
      </c>
      <c r="H392" s="107">
        <f t="shared" si="12"/>
        <v>0.25555220094875497</v>
      </c>
    </row>
    <row r="393" spans="4:8">
      <c r="D393" t="str">
        <f t="shared" si="5"/>
        <v>Solar thermal</v>
      </c>
      <c r="E393" s="107">
        <f t="shared" si="6"/>
        <v>0</v>
      </c>
      <c r="F393" s="107">
        <f t="shared" si="6"/>
        <v>4.8424126284787503E-4</v>
      </c>
      <c r="G393" s="107">
        <f t="shared" ref="G393:H393" si="13">G382/G$383</f>
        <v>0</v>
      </c>
      <c r="H393" s="107">
        <f t="shared" si="13"/>
        <v>6.8200993675508512E-2</v>
      </c>
    </row>
    <row r="394" spans="4:8" ht="17" thickBot="1">
      <c r="D394" s="102" t="str">
        <f t="shared" si="5"/>
        <v>Grand Total</v>
      </c>
      <c r="E394" s="108">
        <f t="shared" si="6"/>
        <v>1</v>
      </c>
      <c r="F394" s="108">
        <f t="shared" si="6"/>
        <v>1</v>
      </c>
      <c r="G394" s="108">
        <f t="shared" ref="G394:H394" si="14">G383/G$383</f>
        <v>1</v>
      </c>
      <c r="H394" s="108">
        <f t="shared" si="14"/>
        <v>1</v>
      </c>
    </row>
    <row r="395" spans="4:8" ht="17" thickTop="1"/>
    <row r="396" spans="4:8">
      <c r="D396" t="s">
        <v>26</v>
      </c>
    </row>
    <row r="397" spans="4:8">
      <c r="D397" t="str">
        <f>D386</f>
        <v>Biomass</v>
      </c>
      <c r="E397" s="5">
        <f t="shared" ref="E397:H405" si="15">E375*TWhtoPJ*1000</f>
        <v>0</v>
      </c>
      <c r="F397" s="5">
        <f t="shared" si="15"/>
        <v>210552.9971618916</v>
      </c>
      <c r="G397" s="5">
        <f t="shared" si="15"/>
        <v>0</v>
      </c>
      <c r="H397" s="5">
        <f t="shared" si="15"/>
        <v>12505.998515043895</v>
      </c>
    </row>
    <row r="398" spans="4:8">
      <c r="D398" t="str">
        <f t="shared" ref="D398:D405" si="16">D387</f>
        <v>Coal</v>
      </c>
      <c r="E398" s="5">
        <f t="shared" si="15"/>
        <v>0</v>
      </c>
      <c r="F398" s="5">
        <f t="shared" si="15"/>
        <v>26048.319600454346</v>
      </c>
      <c r="G398" s="5">
        <f t="shared" si="15"/>
        <v>0</v>
      </c>
      <c r="H398" s="5">
        <f t="shared" si="15"/>
        <v>0</v>
      </c>
    </row>
    <row r="399" spans="4:8">
      <c r="D399" t="str">
        <f t="shared" si="16"/>
        <v>District heating</v>
      </c>
      <c r="E399" s="5">
        <f t="shared" si="15"/>
        <v>0</v>
      </c>
      <c r="F399" s="5">
        <f t="shared" si="15"/>
        <v>155645.71585031899</v>
      </c>
      <c r="G399" s="5">
        <f t="shared" si="15"/>
        <v>0</v>
      </c>
      <c r="H399" s="5">
        <f t="shared" si="15"/>
        <v>48660.546120933352</v>
      </c>
    </row>
    <row r="400" spans="4:8">
      <c r="D400" t="str">
        <f t="shared" si="16"/>
        <v>Electricity</v>
      </c>
      <c r="E400" s="5">
        <f t="shared" si="15"/>
        <v>84650.479690812819</v>
      </c>
      <c r="F400" s="5">
        <f t="shared" si="15"/>
        <v>64009.467461985907</v>
      </c>
      <c r="G400" s="5">
        <f t="shared" si="15"/>
        <v>440.68057985744196</v>
      </c>
      <c r="H400" s="5">
        <f t="shared" si="15"/>
        <v>21087.896959711274</v>
      </c>
    </row>
    <row r="401" spans="3:10">
      <c r="D401" t="str">
        <f t="shared" si="16"/>
        <v>Gas</v>
      </c>
      <c r="E401" s="5">
        <f t="shared" si="15"/>
        <v>3523.6945238473158</v>
      </c>
      <c r="F401" s="5">
        <f t="shared" si="15"/>
        <v>699920.05779255752</v>
      </c>
      <c r="G401" s="5">
        <f t="shared" si="15"/>
        <v>0</v>
      </c>
      <c r="H401" s="5">
        <f t="shared" si="15"/>
        <v>174789.67543752556</v>
      </c>
    </row>
    <row r="402" spans="3:10">
      <c r="D402" t="str">
        <f t="shared" si="16"/>
        <v>Heat pumps</v>
      </c>
      <c r="E402" s="5">
        <f t="shared" si="15"/>
        <v>0</v>
      </c>
      <c r="F402" s="5">
        <f t="shared" si="15"/>
        <v>7812.6340502161211</v>
      </c>
      <c r="G402" s="5">
        <f t="shared" si="15"/>
        <v>0</v>
      </c>
      <c r="H402" s="5">
        <f t="shared" si="15"/>
        <v>2276.8276205350858</v>
      </c>
    </row>
    <row r="403" spans="3:10">
      <c r="D403" t="str">
        <f t="shared" si="16"/>
        <v>Oil</v>
      </c>
      <c r="E403" s="5">
        <f t="shared" si="15"/>
        <v>93.244179832799588</v>
      </c>
      <c r="F403" s="5">
        <f t="shared" si="15"/>
        <v>453180.96850407106</v>
      </c>
      <c r="G403" s="5">
        <f t="shared" si="15"/>
        <v>0</v>
      </c>
      <c r="H403" s="5">
        <f t="shared" si="15"/>
        <v>97996.822508543904</v>
      </c>
    </row>
    <row r="404" spans="3:10">
      <c r="D404" t="str">
        <f t="shared" si="16"/>
        <v>Solar thermal</v>
      </c>
      <c r="E404" s="5">
        <f t="shared" si="15"/>
        <v>0</v>
      </c>
      <c r="F404" s="5">
        <f t="shared" si="15"/>
        <v>783.47991402538935</v>
      </c>
      <c r="G404" s="5">
        <f t="shared" si="15"/>
        <v>0</v>
      </c>
      <c r="H404" s="5">
        <f t="shared" si="15"/>
        <v>26153.093760539934</v>
      </c>
    </row>
    <row r="405" spans="3:10" ht="17" thickBot="1">
      <c r="D405" s="102" t="str">
        <f t="shared" si="16"/>
        <v>Grand Total</v>
      </c>
      <c r="E405" s="89">
        <f t="shared" si="15"/>
        <v>88267.418394492939</v>
      </c>
      <c r="F405" s="89">
        <f t="shared" si="15"/>
        <v>1617953.640335521</v>
      </c>
      <c r="G405" s="89">
        <f t="shared" si="15"/>
        <v>440.68057985744196</v>
      </c>
      <c r="H405" s="89">
        <f t="shared" si="15"/>
        <v>383470.86092283303</v>
      </c>
    </row>
    <row r="406" spans="3:10" ht="17" thickTop="1">
      <c r="J406" s="120"/>
    </row>
    <row r="407" spans="3:10" ht="17" thickBot="1">
      <c r="J407" s="120"/>
    </row>
    <row r="408" spans="3:10" ht="17" thickBot="1">
      <c r="J408" s="148" t="s">
        <v>171</v>
      </c>
    </row>
    <row r="409" spans="3:10" ht="17" thickBot="1">
      <c r="J409" s="147" t="s">
        <v>171</v>
      </c>
    </row>
    <row r="410" spans="3:10" ht="17" thickBot="1">
      <c r="J410" s="147" t="s">
        <v>171</v>
      </c>
    </row>
    <row r="411" spans="3:10">
      <c r="J411" s="135"/>
    </row>
    <row r="416" spans="3:10" ht="17" thickBot="1">
      <c r="C416" s="185"/>
      <c r="D416" s="185"/>
      <c r="E416" s="185"/>
      <c r="F416" s="185"/>
      <c r="G416" s="185"/>
      <c r="H416" s="185"/>
    </row>
    <row r="417" spans="2:9">
      <c r="C417" s="8" t="s">
        <v>37</v>
      </c>
      <c r="D417" s="17"/>
      <c r="E417" s="18"/>
      <c r="F417" s="109"/>
    </row>
    <row r="418" spans="2:9" ht="17" thickBot="1">
      <c r="C418" s="8"/>
      <c r="D418" s="21" t="s">
        <v>274</v>
      </c>
      <c r="E418" s="18"/>
      <c r="F418" s="109"/>
    </row>
    <row r="419" spans="2:9" ht="17" thickBot="1">
      <c r="C419" s="8"/>
      <c r="D419" s="22" t="s">
        <v>147</v>
      </c>
      <c r="E419" s="110"/>
      <c r="F419" s="111">
        <f>E392+E390</f>
        <v>4.0977053248741881E-2</v>
      </c>
    </row>
    <row r="420" spans="2:9" ht="17" thickBot="1">
      <c r="C420" s="8"/>
      <c r="D420" s="22" t="s">
        <v>148</v>
      </c>
      <c r="E420" s="110"/>
      <c r="F420" s="111">
        <f>E389-SUM(F421:F422)</f>
        <v>0.85902294675125812</v>
      </c>
    </row>
    <row r="421" spans="2:9" ht="17" thickBot="1">
      <c r="C421" s="8"/>
      <c r="D421" s="22" t="s">
        <v>149</v>
      </c>
      <c r="E421" s="110"/>
      <c r="F421" s="111">
        <v>0.05</v>
      </c>
      <c r="H421" t="s">
        <v>198</v>
      </c>
      <c r="I421">
        <f>F421*E405</f>
        <v>4413.3709197246471</v>
      </c>
    </row>
    <row r="422" spans="2:9" ht="17" thickBot="1">
      <c r="C422" s="8"/>
      <c r="D422" s="22" t="s">
        <v>150</v>
      </c>
      <c r="E422" s="110"/>
      <c r="F422" s="111">
        <v>0.05</v>
      </c>
      <c r="H422" t="s">
        <v>198</v>
      </c>
      <c r="I422">
        <f>I421</f>
        <v>4413.3709197246471</v>
      </c>
    </row>
    <row r="423" spans="2:9" ht="17" thickBot="1">
      <c r="C423" s="8"/>
      <c r="D423" s="22" t="s">
        <v>151</v>
      </c>
      <c r="E423" s="110"/>
      <c r="F423" s="111">
        <v>0</v>
      </c>
    </row>
    <row r="424" spans="2:9">
      <c r="C424" s="27"/>
      <c r="D424" s="28"/>
      <c r="E424" s="29"/>
      <c r="F424" s="112"/>
      <c r="G424" s="186"/>
      <c r="H424" s="186"/>
    </row>
    <row r="431" spans="2:9">
      <c r="B431" s="83" t="s">
        <v>134</v>
      </c>
    </row>
    <row r="432" spans="2:9">
      <c r="C432" s="83" t="s">
        <v>135</v>
      </c>
    </row>
    <row r="433" spans="4:4">
      <c r="D433" s="83" t="s">
        <v>136</v>
      </c>
    </row>
    <row r="480" spans="4:4">
      <c r="D480" s="83" t="s">
        <v>137</v>
      </c>
    </row>
    <row r="482" spans="4:6">
      <c r="D482" s="86" t="s">
        <v>82</v>
      </c>
      <c r="F482" t="s">
        <v>80</v>
      </c>
    </row>
    <row r="483" spans="4:6">
      <c r="D483" s="86" t="s">
        <v>83</v>
      </c>
      <c r="F483" t="s">
        <v>80</v>
      </c>
    </row>
    <row r="484" spans="4:6">
      <c r="D484" s="86" t="s">
        <v>84</v>
      </c>
      <c r="F484" t="s">
        <v>80</v>
      </c>
    </row>
    <row r="485" spans="4:6">
      <c r="D485" s="86" t="s">
        <v>85</v>
      </c>
      <c r="F485" t="s">
        <v>80</v>
      </c>
    </row>
    <row r="486" spans="4:6">
      <c r="D486" s="86" t="s">
        <v>86</v>
      </c>
      <c r="F486" t="s">
        <v>80</v>
      </c>
    </row>
    <row r="487" spans="4:6">
      <c r="D487" s="86" t="s">
        <v>87</v>
      </c>
      <c r="F487" t="s">
        <v>80</v>
      </c>
    </row>
    <row r="489" spans="4:6">
      <c r="D489" s="86" t="s">
        <v>82</v>
      </c>
    </row>
    <row r="490" spans="4:6">
      <c r="D490" s="84" t="s">
        <v>43</v>
      </c>
      <c r="F490" t="s">
        <v>80</v>
      </c>
    </row>
    <row r="491" spans="4:6">
      <c r="D491" s="84" t="s">
        <v>96</v>
      </c>
      <c r="F491" t="s">
        <v>80</v>
      </c>
    </row>
    <row r="492" spans="4:6">
      <c r="D492" s="84" t="s">
        <v>97</v>
      </c>
      <c r="F492" t="s">
        <v>80</v>
      </c>
    </row>
    <row r="493" spans="4:6">
      <c r="D493" s="84" t="s">
        <v>98</v>
      </c>
      <c r="F493" t="s">
        <v>80</v>
      </c>
    </row>
    <row r="494" spans="4:6">
      <c r="D494" s="84" t="s">
        <v>99</v>
      </c>
      <c r="F494" t="s">
        <v>80</v>
      </c>
    </row>
    <row r="495" spans="4:6">
      <c r="D495" s="84" t="s">
        <v>100</v>
      </c>
      <c r="F495" t="s">
        <v>80</v>
      </c>
    </row>
    <row r="496" spans="4:6">
      <c r="D496" s="84" t="s">
        <v>101</v>
      </c>
      <c r="F496" t="s">
        <v>80</v>
      </c>
    </row>
    <row r="497" spans="4:6">
      <c r="D497" s="84" t="s">
        <v>102</v>
      </c>
      <c r="F497" t="s">
        <v>80</v>
      </c>
    </row>
    <row r="498" spans="4:6">
      <c r="D498" s="84" t="s">
        <v>103</v>
      </c>
      <c r="F498" t="s">
        <v>80</v>
      </c>
    </row>
    <row r="499" spans="4:6">
      <c r="D499" s="84" t="s">
        <v>104</v>
      </c>
      <c r="F499" t="s">
        <v>80</v>
      </c>
    </row>
    <row r="501" spans="4:6">
      <c r="D501" s="86" t="s">
        <v>83</v>
      </c>
    </row>
    <row r="502" spans="4:6">
      <c r="D502" s="84" t="s">
        <v>43</v>
      </c>
      <c r="F502" t="s">
        <v>80</v>
      </c>
    </row>
    <row r="503" spans="4:6">
      <c r="D503" s="84" t="s">
        <v>96</v>
      </c>
      <c r="F503" t="s">
        <v>80</v>
      </c>
    </row>
    <row r="504" spans="4:6">
      <c r="D504" s="84" t="s">
        <v>97</v>
      </c>
      <c r="F504" t="s">
        <v>80</v>
      </c>
    </row>
    <row r="505" spans="4:6">
      <c r="D505" s="84" t="s">
        <v>98</v>
      </c>
      <c r="F505" t="s">
        <v>80</v>
      </c>
    </row>
    <row r="506" spans="4:6">
      <c r="D506" s="84" t="s">
        <v>99</v>
      </c>
      <c r="F506" t="s">
        <v>80</v>
      </c>
    </row>
    <row r="507" spans="4:6">
      <c r="D507" s="84" t="s">
        <v>100</v>
      </c>
      <c r="F507" t="s">
        <v>80</v>
      </c>
    </row>
    <row r="508" spans="4:6">
      <c r="D508" s="84" t="s">
        <v>101</v>
      </c>
      <c r="F508" t="s">
        <v>80</v>
      </c>
    </row>
    <row r="509" spans="4:6">
      <c r="D509" s="84" t="s">
        <v>102</v>
      </c>
      <c r="F509" t="s">
        <v>80</v>
      </c>
    </row>
    <row r="510" spans="4:6">
      <c r="D510" s="84" t="s">
        <v>103</v>
      </c>
      <c r="F510" t="s">
        <v>80</v>
      </c>
    </row>
    <row r="511" spans="4:6">
      <c r="D511" s="84" t="s">
        <v>104</v>
      </c>
      <c r="F511" t="s">
        <v>80</v>
      </c>
    </row>
    <row r="513" spans="4:6">
      <c r="D513" s="86" t="s">
        <v>84</v>
      </c>
    </row>
    <row r="514" spans="4:6">
      <c r="D514" s="84" t="s">
        <v>43</v>
      </c>
      <c r="F514" t="s">
        <v>80</v>
      </c>
    </row>
    <row r="515" spans="4:6">
      <c r="D515" s="84" t="s">
        <v>96</v>
      </c>
      <c r="F515" t="s">
        <v>80</v>
      </c>
    </row>
    <row r="516" spans="4:6">
      <c r="D516" s="84" t="s">
        <v>97</v>
      </c>
      <c r="F516" t="s">
        <v>80</v>
      </c>
    </row>
    <row r="517" spans="4:6">
      <c r="D517" s="84" t="s">
        <v>98</v>
      </c>
      <c r="F517" t="s">
        <v>80</v>
      </c>
    </row>
    <row r="518" spans="4:6">
      <c r="D518" s="84" t="s">
        <v>99</v>
      </c>
      <c r="F518" t="s">
        <v>80</v>
      </c>
    </row>
    <row r="519" spans="4:6">
      <c r="D519" s="84" t="s">
        <v>100</v>
      </c>
      <c r="F519" t="s">
        <v>80</v>
      </c>
    </row>
    <row r="520" spans="4:6">
      <c r="D520" s="84" t="s">
        <v>101</v>
      </c>
      <c r="F520" t="s">
        <v>80</v>
      </c>
    </row>
    <row r="521" spans="4:6">
      <c r="D521" s="84" t="s">
        <v>102</v>
      </c>
      <c r="F521" t="s">
        <v>80</v>
      </c>
    </row>
    <row r="522" spans="4:6">
      <c r="D522" s="84" t="s">
        <v>103</v>
      </c>
      <c r="F522" t="s">
        <v>80</v>
      </c>
    </row>
    <row r="523" spans="4:6">
      <c r="D523" s="84" t="s">
        <v>104</v>
      </c>
      <c r="F523" t="s">
        <v>80</v>
      </c>
    </row>
    <row r="525" spans="4:6">
      <c r="D525" s="86" t="s">
        <v>85</v>
      </c>
    </row>
    <row r="526" spans="4:6">
      <c r="D526" s="84" t="s">
        <v>43</v>
      </c>
      <c r="F526" t="s">
        <v>80</v>
      </c>
    </row>
    <row r="527" spans="4:6">
      <c r="D527" s="84" t="s">
        <v>96</v>
      </c>
      <c r="F527" t="s">
        <v>80</v>
      </c>
    </row>
    <row r="528" spans="4:6">
      <c r="D528" s="84" t="s">
        <v>97</v>
      </c>
      <c r="F528" t="s">
        <v>80</v>
      </c>
    </row>
    <row r="529" spans="4:6">
      <c r="D529" s="84" t="s">
        <v>98</v>
      </c>
      <c r="F529" t="s">
        <v>80</v>
      </c>
    </row>
    <row r="530" spans="4:6">
      <c r="D530" s="84" t="s">
        <v>99</v>
      </c>
      <c r="F530" t="s">
        <v>80</v>
      </c>
    </row>
    <row r="531" spans="4:6">
      <c r="D531" s="84" t="s">
        <v>100</v>
      </c>
      <c r="F531" t="s">
        <v>80</v>
      </c>
    </row>
    <row r="532" spans="4:6">
      <c r="D532" s="84" t="s">
        <v>101</v>
      </c>
      <c r="F532" t="s">
        <v>80</v>
      </c>
    </row>
    <row r="533" spans="4:6">
      <c r="D533" s="84" t="s">
        <v>102</v>
      </c>
      <c r="F533" t="s">
        <v>80</v>
      </c>
    </row>
    <row r="534" spans="4:6">
      <c r="D534" s="84" t="s">
        <v>103</v>
      </c>
      <c r="F534" t="s">
        <v>80</v>
      </c>
    </row>
    <row r="535" spans="4:6">
      <c r="D535" s="84" t="s">
        <v>104</v>
      </c>
      <c r="F535" t="s">
        <v>80</v>
      </c>
    </row>
  </sheetData>
  <dataValidations count="1">
    <dataValidation type="decimal" operator="greaterThanOrEqual" showInputMessage="1" showErrorMessage="1" errorTitle="Number Range" error="You may only add positive numbers. _x000d_" sqref="F417:F424" xr:uid="{BDAC19BE-E5B6-2B4F-9288-C2AA7B02B675}">
      <formula1>0</formula1>
    </dataValidation>
  </dataValidations>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2700D-EC10-4049-951F-23DA0E607856}">
  <dimension ref="A1:K73"/>
  <sheetViews>
    <sheetView workbookViewId="0">
      <selection activeCell="C65" sqref="C65"/>
    </sheetView>
  </sheetViews>
  <sheetFormatPr baseColWidth="10" defaultRowHeight="16"/>
  <cols>
    <col min="2" max="2" width="25.6640625" bestFit="1" customWidth="1"/>
    <col min="3" max="3" width="60" bestFit="1" customWidth="1"/>
    <col min="5" max="5" width="10.83203125" style="4"/>
    <col min="8" max="9" width="10.83203125" style="72"/>
  </cols>
  <sheetData>
    <row r="1" spans="1:9">
      <c r="A1" s="83" t="s">
        <v>275</v>
      </c>
    </row>
    <row r="3" spans="1:9" ht="17" thickBot="1"/>
    <row r="4" spans="1:9">
      <c r="B4" s="45" t="s">
        <v>30</v>
      </c>
      <c r="C4" s="46"/>
      <c r="D4" s="47"/>
      <c r="E4" s="48"/>
      <c r="F4" s="48"/>
      <c r="G4" s="46"/>
      <c r="H4" s="73"/>
      <c r="I4" s="74"/>
    </row>
    <row r="5" spans="1:9">
      <c r="B5" s="34"/>
      <c r="C5" s="35" t="s">
        <v>40</v>
      </c>
      <c r="D5" s="53" t="s">
        <v>26</v>
      </c>
      <c r="E5" s="36">
        <v>2224342.7999999998</v>
      </c>
      <c r="F5" s="35"/>
      <c r="G5" s="54"/>
      <c r="H5" s="75"/>
      <c r="I5" s="76"/>
    </row>
    <row r="6" spans="1:9">
      <c r="B6" s="32" t="s">
        <v>27</v>
      </c>
      <c r="C6" s="37"/>
      <c r="D6" s="55"/>
      <c r="E6" s="38"/>
      <c r="F6" s="38"/>
      <c r="G6" s="56"/>
      <c r="H6" s="75"/>
      <c r="I6" s="76"/>
    </row>
    <row r="7" spans="1:9">
      <c r="B7" s="32"/>
      <c r="C7" s="39" t="s">
        <v>32</v>
      </c>
      <c r="D7" s="55"/>
      <c r="E7" s="38"/>
      <c r="F7" s="38"/>
      <c r="G7" s="56"/>
      <c r="H7" s="75"/>
      <c r="I7" s="76"/>
    </row>
    <row r="8" spans="1:9">
      <c r="B8" s="32"/>
      <c r="C8" s="40" t="s">
        <v>33</v>
      </c>
      <c r="D8" s="53" t="s">
        <v>26</v>
      </c>
      <c r="E8" s="36">
        <v>1608000</v>
      </c>
      <c r="F8" s="36"/>
      <c r="G8" s="54" t="s">
        <v>20</v>
      </c>
      <c r="H8" s="75"/>
      <c r="I8" s="76"/>
    </row>
    <row r="9" spans="1:9">
      <c r="B9" s="32"/>
      <c r="C9" s="40" t="s">
        <v>34</v>
      </c>
      <c r="D9" s="53" t="s">
        <v>26</v>
      </c>
      <c r="E9" s="36">
        <v>375000</v>
      </c>
      <c r="F9" s="36"/>
      <c r="G9" s="54" t="s">
        <v>21</v>
      </c>
      <c r="H9" s="75"/>
      <c r="I9" s="76"/>
    </row>
    <row r="10" spans="1:9">
      <c r="B10" s="32"/>
      <c r="C10" s="40" t="s">
        <v>35</v>
      </c>
      <c r="D10" s="53" t="s">
        <v>26</v>
      </c>
      <c r="E10" s="36">
        <v>20000</v>
      </c>
      <c r="F10" s="36"/>
      <c r="G10" s="54" t="s">
        <v>22</v>
      </c>
      <c r="H10" s="75"/>
      <c r="I10" s="76"/>
    </row>
    <row r="11" spans="1:9">
      <c r="B11" s="32"/>
      <c r="C11" s="40" t="s">
        <v>36</v>
      </c>
      <c r="D11" s="53" t="s">
        <v>26</v>
      </c>
      <c r="E11" s="36">
        <v>46000</v>
      </c>
      <c r="F11" s="36"/>
      <c r="G11" s="54" t="s">
        <v>23</v>
      </c>
      <c r="H11" s="75"/>
      <c r="I11" s="76"/>
    </row>
    <row r="12" spans="1:9">
      <c r="B12" s="32"/>
      <c r="C12" s="40" t="s">
        <v>37</v>
      </c>
      <c r="D12" s="53" t="s">
        <v>26</v>
      </c>
      <c r="E12" s="36">
        <v>84000</v>
      </c>
      <c r="F12" s="36"/>
      <c r="G12" s="54" t="s">
        <v>24</v>
      </c>
      <c r="H12" s="75"/>
      <c r="I12" s="76"/>
    </row>
    <row r="13" spans="1:9">
      <c r="B13" s="32"/>
      <c r="C13" s="40" t="s">
        <v>38</v>
      </c>
      <c r="D13" s="53" t="s">
        <v>26</v>
      </c>
      <c r="E13" s="36">
        <v>270000</v>
      </c>
      <c r="F13" s="36"/>
      <c r="G13" s="54" t="s">
        <v>25</v>
      </c>
      <c r="H13" s="75"/>
      <c r="I13" s="76"/>
    </row>
    <row r="14" spans="1:9">
      <c r="B14" s="32"/>
      <c r="C14" s="37"/>
      <c r="D14" s="55"/>
      <c r="E14" s="41"/>
      <c r="F14" s="41"/>
      <c r="G14" s="57"/>
      <c r="H14" s="75"/>
      <c r="I14" s="76"/>
    </row>
    <row r="15" spans="1:9">
      <c r="B15" s="32"/>
      <c r="C15" s="37" t="s">
        <v>39</v>
      </c>
      <c r="D15" s="55" t="s">
        <v>26</v>
      </c>
      <c r="E15" s="42">
        <v>-178657.20000000019</v>
      </c>
      <c r="F15" s="43"/>
      <c r="G15" s="57"/>
      <c r="H15" s="75"/>
      <c r="I15" s="76"/>
    </row>
    <row r="16" spans="1:9">
      <c r="B16" s="32"/>
      <c r="C16" s="37"/>
      <c r="D16" s="55"/>
      <c r="E16" s="41"/>
      <c r="F16" s="41"/>
      <c r="G16" s="57"/>
      <c r="H16" s="75"/>
      <c r="I16" s="76"/>
    </row>
    <row r="17" spans="2:9">
      <c r="B17" s="63"/>
      <c r="C17" s="64" t="s">
        <v>32</v>
      </c>
      <c r="D17" s="65"/>
      <c r="E17" s="66" t="s">
        <v>72</v>
      </c>
      <c r="F17" s="65" t="s">
        <v>73</v>
      </c>
      <c r="G17" s="77"/>
      <c r="H17" s="77"/>
      <c r="I17" s="78"/>
    </row>
    <row r="18" spans="2:9">
      <c r="B18" s="60"/>
      <c r="C18" s="40" t="s">
        <v>33</v>
      </c>
      <c r="D18" s="53" t="s">
        <v>29</v>
      </c>
      <c r="E18" s="59">
        <f>E8/SUM($E$8:$E$13)</f>
        <v>0.66916354556803992</v>
      </c>
      <c r="F18" s="93">
        <f>J54-F20</f>
        <v>0.68984780203607277</v>
      </c>
      <c r="G18" s="54" t="s">
        <v>20</v>
      </c>
      <c r="H18" s="75"/>
      <c r="I18" s="76"/>
    </row>
    <row r="19" spans="2:9">
      <c r="B19" s="60"/>
      <c r="C19" s="40" t="s">
        <v>34</v>
      </c>
      <c r="D19" s="53" t="s">
        <v>29</v>
      </c>
      <c r="E19" s="59">
        <f t="shared" ref="E19:E23" si="0">E9/SUM($E$8:$E$13)</f>
        <v>0.1560549313358302</v>
      </c>
      <c r="F19" s="93">
        <f>J55</f>
        <v>0.14176829268292682</v>
      </c>
      <c r="G19" s="54" t="s">
        <v>21</v>
      </c>
      <c r="H19" s="75"/>
      <c r="I19" s="76"/>
    </row>
    <row r="20" spans="2:9">
      <c r="B20" s="60"/>
      <c r="C20" s="40" t="s">
        <v>35</v>
      </c>
      <c r="D20" s="53" t="s">
        <v>29</v>
      </c>
      <c r="E20" s="59">
        <f t="shared" si="0"/>
        <v>8.3229296712442787E-3</v>
      </c>
      <c r="F20" s="93">
        <f>E20</f>
        <v>8.3229296712442787E-3</v>
      </c>
      <c r="G20" s="54" t="s">
        <v>22</v>
      </c>
      <c r="H20" s="75"/>
      <c r="I20" s="76"/>
    </row>
    <row r="21" spans="2:9">
      <c r="B21" s="60"/>
      <c r="C21" s="40" t="s">
        <v>36</v>
      </c>
      <c r="D21" s="53" t="s">
        <v>29</v>
      </c>
      <c r="E21" s="59">
        <f t="shared" si="0"/>
        <v>1.914273824386184E-2</v>
      </c>
      <c r="F21" s="93">
        <f>J58</f>
        <v>1.676829268292683E-2</v>
      </c>
      <c r="G21" s="54" t="s">
        <v>23</v>
      </c>
      <c r="H21" s="75"/>
      <c r="I21" s="76"/>
    </row>
    <row r="22" spans="2:9">
      <c r="B22" s="60"/>
      <c r="C22" s="40" t="s">
        <v>37</v>
      </c>
      <c r="D22" s="53" t="s">
        <v>29</v>
      </c>
      <c r="E22" s="59">
        <f t="shared" si="0"/>
        <v>3.495630461922597E-2</v>
      </c>
      <c r="F22" s="93">
        <f>E22</f>
        <v>3.495630461922597E-2</v>
      </c>
      <c r="G22" s="54" t="s">
        <v>24</v>
      </c>
      <c r="H22" s="75"/>
      <c r="I22" s="76"/>
    </row>
    <row r="23" spans="2:9">
      <c r="B23" s="60"/>
      <c r="C23" s="40" t="s">
        <v>38</v>
      </c>
      <c r="D23" s="53" t="s">
        <v>29</v>
      </c>
      <c r="E23" s="59">
        <f t="shared" si="0"/>
        <v>0.11235955056179775</v>
      </c>
      <c r="F23" s="93">
        <f>J57+J56-F22</f>
        <v>0.10833637830760331</v>
      </c>
      <c r="G23" s="54" t="s">
        <v>25</v>
      </c>
      <c r="H23" s="75"/>
      <c r="I23" s="76"/>
    </row>
    <row r="24" spans="2:9">
      <c r="B24" s="60"/>
      <c r="C24" s="49"/>
      <c r="D24" s="49"/>
      <c r="E24" s="58"/>
      <c r="F24" s="49"/>
      <c r="G24" s="49"/>
      <c r="H24" s="75"/>
      <c r="I24" s="76"/>
    </row>
    <row r="25" spans="2:9">
      <c r="B25" s="67" t="s">
        <v>30</v>
      </c>
      <c r="C25" s="68"/>
      <c r="D25" s="69"/>
      <c r="E25" s="70"/>
      <c r="F25" s="70"/>
      <c r="G25" s="68"/>
      <c r="H25" s="77"/>
      <c r="I25" s="78"/>
    </row>
    <row r="26" spans="2:9">
      <c r="B26" s="34"/>
      <c r="C26" s="35" t="s">
        <v>40</v>
      </c>
      <c r="D26" s="53" t="s">
        <v>26</v>
      </c>
      <c r="E26" s="36">
        <v>2224342.7999999998</v>
      </c>
      <c r="F26" s="35"/>
      <c r="G26" s="54"/>
      <c r="H26" s="75"/>
      <c r="I26" s="76"/>
    </row>
    <row r="27" spans="2:9">
      <c r="B27" s="32"/>
      <c r="C27" s="37"/>
      <c r="D27" s="55"/>
      <c r="E27" s="38"/>
      <c r="F27" s="38"/>
      <c r="G27" s="56"/>
      <c r="H27" s="75"/>
      <c r="I27" s="76"/>
    </row>
    <row r="28" spans="2:9">
      <c r="B28" s="32"/>
      <c r="C28" s="39" t="s">
        <v>32</v>
      </c>
      <c r="D28" s="55"/>
      <c r="E28" s="38"/>
      <c r="F28" s="38"/>
      <c r="G28" s="56"/>
      <c r="H28" s="75"/>
      <c r="I28" s="76"/>
    </row>
    <row r="29" spans="2:9">
      <c r="B29" s="32"/>
      <c r="C29" s="40" t="s">
        <v>33</v>
      </c>
      <c r="D29" s="53" t="s">
        <v>26</v>
      </c>
      <c r="E29" s="36">
        <f t="shared" ref="E29:E34" si="1">$E$26*E18</f>
        <v>1488449.1146067414</v>
      </c>
      <c r="F29" s="36">
        <f t="shared" ref="F29:F34" si="2">$E$26*F18</f>
        <v>1534457.9915547636</v>
      </c>
      <c r="G29" s="54" t="s">
        <v>20</v>
      </c>
      <c r="H29" s="75"/>
      <c r="I29" s="76"/>
    </row>
    <row r="30" spans="2:9">
      <c r="B30" s="32"/>
      <c r="C30" s="40" t="s">
        <v>34</v>
      </c>
      <c r="D30" s="53" t="s">
        <v>26</v>
      </c>
      <c r="E30" s="36">
        <f t="shared" si="1"/>
        <v>347119.6629213483</v>
      </c>
      <c r="F30" s="36">
        <f t="shared" si="2"/>
        <v>315341.28109756095</v>
      </c>
      <c r="G30" s="54" t="s">
        <v>21</v>
      </c>
      <c r="H30" s="75"/>
      <c r="I30" s="76"/>
    </row>
    <row r="31" spans="2:9">
      <c r="B31" s="32"/>
      <c r="C31" s="40" t="s">
        <v>35</v>
      </c>
      <c r="D31" s="53" t="s">
        <v>26</v>
      </c>
      <c r="E31" s="36">
        <f t="shared" si="1"/>
        <v>18513.048689138577</v>
      </c>
      <c r="F31" s="36">
        <f t="shared" si="2"/>
        <v>18513.048689138577</v>
      </c>
      <c r="G31" s="54" t="s">
        <v>22</v>
      </c>
      <c r="H31" s="75"/>
      <c r="I31" s="76"/>
    </row>
    <row r="32" spans="2:9">
      <c r="B32" s="32"/>
      <c r="C32" s="40" t="s">
        <v>36</v>
      </c>
      <c r="D32" s="53" t="s">
        <v>26</v>
      </c>
      <c r="E32" s="36">
        <f t="shared" si="1"/>
        <v>42580.011985018726</v>
      </c>
      <c r="F32" s="36">
        <f t="shared" si="2"/>
        <v>37298.431097560977</v>
      </c>
      <c r="G32" s="54" t="s">
        <v>23</v>
      </c>
      <c r="H32" s="75"/>
      <c r="I32" s="76"/>
    </row>
    <row r="33" spans="2:10">
      <c r="B33" s="32"/>
      <c r="C33" s="40" t="s">
        <v>37</v>
      </c>
      <c r="D33" s="53" t="s">
        <v>26</v>
      </c>
      <c r="E33" s="36">
        <f t="shared" si="1"/>
        <v>77754.804494382028</v>
      </c>
      <c r="F33" s="36">
        <f t="shared" si="2"/>
        <v>77754.804494382028</v>
      </c>
      <c r="G33" s="54" t="s">
        <v>24</v>
      </c>
      <c r="H33" s="75"/>
      <c r="I33" s="76"/>
    </row>
    <row r="34" spans="2:10">
      <c r="B34" s="32"/>
      <c r="C34" s="40" t="s">
        <v>38</v>
      </c>
      <c r="D34" s="53" t="s">
        <v>26</v>
      </c>
      <c r="E34" s="36">
        <f t="shared" si="1"/>
        <v>249926.15730337077</v>
      </c>
      <c r="F34" s="36">
        <f t="shared" si="2"/>
        <v>240977.2430665936</v>
      </c>
      <c r="G34" s="54" t="s">
        <v>25</v>
      </c>
      <c r="H34" s="75"/>
      <c r="I34" s="76"/>
    </row>
    <row r="35" spans="2:10">
      <c r="B35" s="32"/>
      <c r="C35" s="37"/>
      <c r="D35" s="55"/>
      <c r="E35" s="41"/>
      <c r="F35" s="41"/>
      <c r="G35" s="57"/>
      <c r="H35" s="75"/>
      <c r="I35" s="76"/>
    </row>
    <row r="36" spans="2:10">
      <c r="B36" s="32"/>
      <c r="C36" s="37" t="s">
        <v>39</v>
      </c>
      <c r="D36" s="55" t="s">
        <v>26</v>
      </c>
      <c r="E36" s="42">
        <f>$E$26-SUM(E29:E34)</f>
        <v>0</v>
      </c>
      <c r="F36" s="42">
        <f>$E$26-SUM(F29:F34)</f>
        <v>0</v>
      </c>
      <c r="G36" s="57"/>
      <c r="H36" s="75"/>
      <c r="I36" s="76"/>
    </row>
    <row r="37" spans="2:10" ht="17" thickBot="1">
      <c r="B37" s="50"/>
      <c r="C37" s="51"/>
      <c r="D37" s="61"/>
      <c r="E37" s="52"/>
      <c r="F37" s="52"/>
      <c r="G37" s="62"/>
      <c r="H37" s="79"/>
      <c r="I37" s="80"/>
    </row>
    <row r="41" spans="2:10">
      <c r="C41" s="342" t="s">
        <v>60</v>
      </c>
      <c r="D41" s="83">
        <v>2010</v>
      </c>
      <c r="E41" s="83">
        <v>2012</v>
      </c>
      <c r="F41" s="83">
        <v>2014</v>
      </c>
      <c r="G41" s="83">
        <v>2015</v>
      </c>
      <c r="H41" s="83">
        <v>2016</v>
      </c>
      <c r="I41" s="83"/>
      <c r="J41" s="83">
        <v>2015</v>
      </c>
    </row>
    <row r="42" spans="2:10">
      <c r="C42" s="343"/>
      <c r="D42" s="344" t="s">
        <v>61</v>
      </c>
      <c r="E42" s="344"/>
      <c r="F42" s="344"/>
      <c r="G42" s="344"/>
      <c r="H42" s="344"/>
      <c r="I42" s="88"/>
      <c r="J42" s="88" t="s">
        <v>29</v>
      </c>
    </row>
    <row r="43" spans="2:10">
      <c r="C43" s="83" t="s">
        <v>41</v>
      </c>
      <c r="E43"/>
      <c r="F43" s="4"/>
      <c r="H43"/>
      <c r="J43" s="72"/>
    </row>
    <row r="44" spans="2:10">
      <c r="C44" s="84" t="s">
        <v>42</v>
      </c>
      <c r="D44" s="5">
        <v>140</v>
      </c>
      <c r="E44" s="5">
        <v>120</v>
      </c>
      <c r="F44" s="81">
        <v>128</v>
      </c>
      <c r="G44" s="5">
        <v>130</v>
      </c>
      <c r="H44" s="5">
        <v>124</v>
      </c>
      <c r="I44" s="82"/>
      <c r="J44" s="82"/>
    </row>
    <row r="45" spans="2:10">
      <c r="C45" s="84" t="s">
        <v>43</v>
      </c>
      <c r="D45" s="5">
        <v>254</v>
      </c>
      <c r="E45" s="5">
        <v>257</v>
      </c>
      <c r="F45" s="81">
        <v>246</v>
      </c>
      <c r="G45" s="5">
        <v>255</v>
      </c>
      <c r="H45" s="5">
        <v>268</v>
      </c>
      <c r="I45" s="82"/>
      <c r="J45" s="82"/>
    </row>
    <row r="46" spans="2:10">
      <c r="C46" s="84" t="s">
        <v>44</v>
      </c>
      <c r="D46" s="5">
        <v>140</v>
      </c>
      <c r="E46" s="5">
        <v>137</v>
      </c>
      <c r="F46" s="81">
        <v>131</v>
      </c>
      <c r="G46" s="5">
        <v>129</v>
      </c>
      <c r="H46" s="5">
        <v>129</v>
      </c>
      <c r="I46" s="82"/>
      <c r="J46" s="82"/>
    </row>
    <row r="47" spans="2:10">
      <c r="C47" s="84" t="s">
        <v>45</v>
      </c>
      <c r="D47" s="5">
        <v>46</v>
      </c>
      <c r="E47" s="5">
        <v>47</v>
      </c>
      <c r="F47" s="81">
        <v>48</v>
      </c>
      <c r="G47" s="5">
        <v>49</v>
      </c>
      <c r="H47" s="5">
        <v>47</v>
      </c>
      <c r="I47" s="82"/>
      <c r="J47" s="82"/>
    </row>
    <row r="48" spans="2:10">
      <c r="C48" s="84" t="s">
        <v>46</v>
      </c>
      <c r="D48" s="5">
        <v>13</v>
      </c>
      <c r="E48" s="5">
        <v>8</v>
      </c>
      <c r="F48" s="81">
        <v>8</v>
      </c>
      <c r="G48" s="5">
        <v>8</v>
      </c>
      <c r="H48" s="5">
        <v>8</v>
      </c>
      <c r="I48" s="82"/>
      <c r="J48" s="82"/>
    </row>
    <row r="49" spans="3:11">
      <c r="C49" s="84" t="s">
        <v>47</v>
      </c>
      <c r="D49" s="5">
        <v>76</v>
      </c>
      <c r="E49" s="5">
        <v>77</v>
      </c>
      <c r="F49" s="81">
        <v>83</v>
      </c>
      <c r="G49" s="5">
        <v>84</v>
      </c>
      <c r="H49" s="5">
        <v>90</v>
      </c>
      <c r="I49" s="82"/>
      <c r="J49" s="82"/>
    </row>
    <row r="50" spans="3:11">
      <c r="C50" s="85" t="s">
        <v>48</v>
      </c>
      <c r="D50" s="5" t="s">
        <v>49</v>
      </c>
      <c r="E50" s="5" t="s">
        <v>49</v>
      </c>
      <c r="F50" s="81">
        <v>66</v>
      </c>
      <c r="G50" s="5">
        <v>66</v>
      </c>
      <c r="H50" s="5">
        <v>71</v>
      </c>
      <c r="I50" s="82"/>
      <c r="J50" s="82"/>
    </row>
    <row r="51" spans="3:11">
      <c r="C51" s="85" t="s">
        <v>50</v>
      </c>
      <c r="D51" s="5" t="s">
        <v>49</v>
      </c>
      <c r="E51" s="5" t="s">
        <v>49</v>
      </c>
      <c r="F51" s="81">
        <v>17</v>
      </c>
      <c r="G51" s="5">
        <v>18</v>
      </c>
      <c r="H51" s="5">
        <v>19</v>
      </c>
      <c r="I51" s="82"/>
      <c r="J51" s="82"/>
    </row>
    <row r="52" spans="3:11" ht="17" thickBot="1">
      <c r="C52" s="86" t="s">
        <v>51</v>
      </c>
      <c r="D52" s="89">
        <v>669</v>
      </c>
      <c r="E52" s="89">
        <v>646</v>
      </c>
      <c r="F52" s="90">
        <v>644</v>
      </c>
      <c r="G52" s="89">
        <v>656</v>
      </c>
      <c r="H52" s="89">
        <v>665</v>
      </c>
      <c r="I52" s="82"/>
      <c r="J52" s="82"/>
    </row>
    <row r="53" spans="3:11" ht="17" thickTop="1">
      <c r="C53" s="83" t="s">
        <v>52</v>
      </c>
      <c r="D53" s="5"/>
      <c r="E53" s="5"/>
      <c r="F53" s="81"/>
      <c r="G53" s="5"/>
      <c r="H53" s="5"/>
      <c r="I53" s="82"/>
      <c r="J53" s="82"/>
    </row>
    <row r="54" spans="3:11">
      <c r="C54" s="84" t="s">
        <v>53</v>
      </c>
      <c r="D54" s="5">
        <v>469</v>
      </c>
      <c r="E54" s="5">
        <v>442</v>
      </c>
      <c r="F54" s="81">
        <v>446</v>
      </c>
      <c r="G54" s="5">
        <v>458</v>
      </c>
      <c r="H54" s="5">
        <v>468</v>
      </c>
      <c r="I54" s="82"/>
      <c r="J54" s="91">
        <f>G54/$G$52</f>
        <v>0.69817073170731703</v>
      </c>
    </row>
    <row r="55" spans="3:11">
      <c r="C55" s="84" t="s">
        <v>54</v>
      </c>
      <c r="D55" s="5">
        <v>85</v>
      </c>
      <c r="E55" s="5">
        <v>91</v>
      </c>
      <c r="F55" s="81">
        <v>92</v>
      </c>
      <c r="G55" s="5">
        <v>93</v>
      </c>
      <c r="H55" s="5">
        <v>93</v>
      </c>
      <c r="I55" s="82"/>
      <c r="J55" s="91">
        <f t="shared" ref="J55:J58" si="3">G55/$G$52</f>
        <v>0.14176829268292682</v>
      </c>
    </row>
    <row r="56" spans="3:11">
      <c r="C56" s="84" t="s">
        <v>55</v>
      </c>
      <c r="D56" s="5">
        <v>42</v>
      </c>
      <c r="E56" s="5">
        <v>42</v>
      </c>
      <c r="F56" s="81">
        <v>39</v>
      </c>
      <c r="G56" s="5">
        <v>38</v>
      </c>
      <c r="H56" s="5">
        <v>38</v>
      </c>
      <c r="I56" s="82"/>
      <c r="J56" s="91">
        <f t="shared" si="3"/>
        <v>5.7926829268292686E-2</v>
      </c>
    </row>
    <row r="57" spans="3:11">
      <c r="C57" s="84" t="s">
        <v>63</v>
      </c>
      <c r="D57" s="5">
        <v>60</v>
      </c>
      <c r="E57" s="5">
        <v>58</v>
      </c>
      <c r="F57" s="81">
        <v>57</v>
      </c>
      <c r="G57" s="5">
        <v>56</v>
      </c>
      <c r="H57" s="5">
        <v>56</v>
      </c>
      <c r="I57" s="82"/>
      <c r="J57" s="91">
        <f t="shared" si="3"/>
        <v>8.5365853658536592E-2</v>
      </c>
      <c r="K57">
        <f>G57*TWhtoPJ*1000</f>
        <v>201600</v>
      </c>
    </row>
    <row r="58" spans="3:11">
      <c r="C58" s="84" t="s">
        <v>56</v>
      </c>
      <c r="D58" s="5">
        <v>13</v>
      </c>
      <c r="E58" s="5">
        <v>13</v>
      </c>
      <c r="F58" s="81">
        <v>11</v>
      </c>
      <c r="G58" s="5">
        <v>11</v>
      </c>
      <c r="H58" s="5">
        <v>10</v>
      </c>
      <c r="I58" s="82"/>
      <c r="J58" s="91">
        <f t="shared" si="3"/>
        <v>1.676829268292683E-2</v>
      </c>
      <c r="K58">
        <f>G58*TWhtoPJ*1000</f>
        <v>39600</v>
      </c>
    </row>
    <row r="59" spans="3:11" ht="17" thickBot="1">
      <c r="C59" t="s">
        <v>51</v>
      </c>
      <c r="D59" s="89">
        <v>669</v>
      </c>
      <c r="E59" s="89">
        <v>646</v>
      </c>
      <c r="F59" s="90">
        <v>644</v>
      </c>
      <c r="G59" s="89">
        <v>656</v>
      </c>
      <c r="H59" s="89">
        <v>665</v>
      </c>
      <c r="I59" s="82"/>
      <c r="J59" s="82"/>
    </row>
    <row r="60" spans="3:11" ht="17" thickTop="1">
      <c r="C60" s="83" t="s">
        <v>57</v>
      </c>
      <c r="D60" s="5"/>
      <c r="E60" s="5"/>
      <c r="F60" s="81"/>
      <c r="G60" s="5"/>
      <c r="H60" s="5"/>
      <c r="I60" s="82"/>
      <c r="J60" s="82"/>
    </row>
    <row r="61" spans="3:11">
      <c r="C61" t="s">
        <v>58</v>
      </c>
      <c r="D61" s="5">
        <v>732</v>
      </c>
      <c r="E61" s="5">
        <v>666</v>
      </c>
      <c r="F61" s="81">
        <v>599</v>
      </c>
      <c r="G61" s="5">
        <v>631</v>
      </c>
      <c r="H61" s="5">
        <v>648</v>
      </c>
      <c r="I61" s="82"/>
      <c r="J61" s="82"/>
    </row>
    <row r="62" spans="3:11">
      <c r="C62" t="s">
        <v>59</v>
      </c>
      <c r="D62" s="5">
        <v>16594</v>
      </c>
      <c r="E62" s="5">
        <v>16260</v>
      </c>
      <c r="F62" s="81">
        <v>16012</v>
      </c>
      <c r="G62" s="5">
        <v>16088</v>
      </c>
      <c r="H62" s="5">
        <v>16245</v>
      </c>
      <c r="I62" s="82"/>
      <c r="J62" s="82"/>
    </row>
    <row r="63" spans="3:11">
      <c r="C63" t="s">
        <v>64</v>
      </c>
      <c r="E63"/>
      <c r="F63" s="4"/>
      <c r="H63"/>
      <c r="J63" s="72"/>
    </row>
    <row r="65" spans="3:3">
      <c r="C65" t="s">
        <v>62</v>
      </c>
    </row>
    <row r="67" spans="3:3">
      <c r="C67" s="92" t="s">
        <v>65</v>
      </c>
    </row>
    <row r="68" spans="3:3">
      <c r="C68" s="92" t="s">
        <v>66</v>
      </c>
    </row>
    <row r="69" spans="3:3">
      <c r="C69" s="71" t="s">
        <v>67</v>
      </c>
    </row>
    <row r="70" spans="3:3">
      <c r="C70" s="71" t="s">
        <v>68</v>
      </c>
    </row>
    <row r="71" spans="3:3">
      <c r="C71" s="71" t="s">
        <v>69</v>
      </c>
    </row>
    <row r="72" spans="3:3">
      <c r="C72" s="71" t="s">
        <v>70</v>
      </c>
    </row>
    <row r="73" spans="3:3">
      <c r="C73" s="71" t="s">
        <v>71</v>
      </c>
    </row>
  </sheetData>
  <autoFilter ref="J54:K58" xr:uid="{273F7295-4209-5B42-80FF-D08ADF83B83D}"/>
  <mergeCells count="2">
    <mergeCell ref="C41:C42"/>
    <mergeCell ref="D42:H42"/>
  </mergeCells>
  <dataValidations count="1">
    <dataValidation type="decimal" operator="greaterThanOrEqual" allowBlank="1" showInputMessage="1" showErrorMessage="1" errorTitle="Number Range" error="You may only enter positive numbers here. " sqref="E8:E13 E29:F34" xr:uid="{4C46D800-F1B3-9E42-9AEE-A7780135EA35}">
      <formula1>0</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Dashboard</vt:lpstr>
      <vt:lpstr>Final demand per energy carrier</vt:lpstr>
      <vt:lpstr>HRE 4 Source</vt:lpstr>
      <vt:lpstr>Application split old</vt:lpstr>
      <vt:lpstr>'Application split old'!Fussnote2</vt:lpstr>
      <vt:lpstr>'Application split old'!Fussnote3</vt:lpstr>
      <vt:lpstr>TWhtoPJ</vt:lpstr>
    </vt:vector>
  </TitlesOfParts>
  <Company>Quintel Intelligence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Joris Berkhout</dc:creator>
  <cp:lastModifiedBy>Alexander Wirtz</cp:lastModifiedBy>
  <dcterms:created xsi:type="dcterms:W3CDTF">2014-06-19T16:24:04Z</dcterms:created>
  <dcterms:modified xsi:type="dcterms:W3CDTF">2018-08-09T08:28:37Z</dcterms:modified>
</cp:coreProperties>
</file>