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4D4C8426-0DB5-214A-839F-508A8352E20F}" xr6:coauthVersionLast="47" xr6:coauthVersionMax="47" xr10:uidLastSave="{00000000-0000-0000-0000-000000000000}"/>
  <bookViews>
    <workbookView xWindow="0" yWindow="500" windowWidth="51200" windowHeight="27120" tabRatio="835" xr2:uid="{00000000-000D-0000-FFFF-FFFF00000000}"/>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per carrier per tech" sheetId="83" r:id="rId11"/>
    <sheet name="Shares per burner per tech" sheetId="84" r:id="rId12"/>
    <sheet name="Trans cons factors" sheetId="86" r:id="rId13"/>
    <sheet name="Steel and alu demand" sheetId="75" r:id="rId14"/>
    <sheet name="Steel and alu prod" sheetId="64" r:id="rId15"/>
    <sheet name="Steel and alu eff" sheetId="74" r:id="rId16"/>
    <sheet name="Cokes demand" sheetId="82" r:id="rId17"/>
    <sheet name="Cokes eff" sheetId="81" r:id="rId18"/>
    <sheet name="Other energy use" sheetId="77" r:id="rId19"/>
    <sheet name="Fuel aggregation" sheetId="59" r:id="rId20"/>
    <sheet name="csv_export_to_industry_analysis" sheetId="96" r:id="rId21"/>
    <sheet name="csv_metals_coal_parent_share" sheetId="109" r:id="rId22"/>
    <sheet name="csv_metals_electricity_parent" sheetId="88" r:id="rId23"/>
    <sheet name="csv_metals_network_gas_parent" sheetId="91" r:id="rId24"/>
    <sheet name="csv_metals_steam_hot_water_pare" sheetId="89" r:id="rId25"/>
    <sheet name="csv_industry_burner_aluminium_p" sheetId="94" r:id="rId26"/>
    <sheet name="csv_industry_burner_blastfurnac" sheetId="95" r:id="rId27"/>
    <sheet name="csv_blast_curr_cons_efficiency" sheetId="106" r:id="rId28"/>
    <sheet name="csv_blast_bat_cons_efficiency" sheetId="107" r:id="rId29"/>
    <sheet name="csv_blast_curr_trans_efficiency" sheetId="102" r:id="rId30"/>
    <sheet name="csv_blast_bat_trans_efficiency" sheetId="103" r:id="rId31"/>
    <sheet name="csv_cokesoven_cons_coal_gas" sheetId="104" r:id="rId32"/>
    <sheet name="csv_cokesoven_cons_trans_coal" sheetId="105" r:id="rId33"/>
    <sheet name="csv_metal_demands" sheetId="108" r:id="rId34"/>
  </sheets>
  <externalReferences>
    <externalReference r:id="rId35"/>
  </externalReferences>
  <definedNames>
    <definedName name="aluminium_production">Dashboard!$E$41</definedName>
    <definedName name="base_year">Dashboard!$E$14</definedName>
    <definedName name="country">Dashboard!$E$13</definedName>
    <definedName name="Eff_Airco" localSheetId="9">'Final demand'!#REF!</definedName>
    <definedName name="Eff_Airco" localSheetId="19">'[1]Technological specifications'!$F$25</definedName>
    <definedName name="Eff_Biomass_Heater" localSheetId="9">'Final demand'!#REF!</definedName>
    <definedName name="Eff_Biomass_Heater" localSheetId="19">'[1]Technological specifications'!$F$19</definedName>
    <definedName name="Eff_Centralized_Heater" localSheetId="4">#REF!</definedName>
    <definedName name="Eff_Centralized_Heater" localSheetId="9">'Final demand'!#REF!</definedName>
    <definedName name="Eff_Centralized_Heater" localSheetId="19">'[1]Technological specifications'!#REF!</definedName>
    <definedName name="Eff_Coal_Heater" localSheetId="9">'Final demand'!#REF!</definedName>
    <definedName name="Eff_Coal_Heater" localSheetId="19">'[1]Technological specifications'!$F$17</definedName>
    <definedName name="Eff_Distr_Heater" localSheetId="9">'Final demand'!#REF!</definedName>
    <definedName name="Eff_Distr_Heater" localSheetId="19">'[1]Technological specifications'!$F$20</definedName>
    <definedName name="Eff_Elec_Cold_Pump" localSheetId="9">'Final demand'!#REF!</definedName>
    <definedName name="Eff_Elec_Cold_Pump" localSheetId="19">'[1]Technological specifications'!$F$24</definedName>
    <definedName name="Eff_Elec_Heat_Pump" localSheetId="9">'Final demand'!#REF!</definedName>
    <definedName name="Eff_Elec_Heat_Pump" localSheetId="19">'[1]Technological specifications'!$F$14</definedName>
    <definedName name="Eff_Elec_Heater" localSheetId="9">'Final demand'!#REF!</definedName>
    <definedName name="Eff_Elec_Heater" localSheetId="19">'[1]Technological specifications'!$F$15</definedName>
    <definedName name="Eff_Fluo_Lamp" localSheetId="9">'Final demand'!#REF!</definedName>
    <definedName name="Eff_Fluo_Lamp" localSheetId="19">'[1]Technological specifications'!$F$29</definedName>
    <definedName name="Eff_Fluo_Tube" localSheetId="9">'Final demand'!#REF!</definedName>
    <definedName name="Eff_Fluo_Tube" localSheetId="19">'[1]Technological specifications'!$F$30</definedName>
    <definedName name="Eff_Gas_Cold_Pump" localSheetId="9">'Final demand'!#REF!</definedName>
    <definedName name="Eff_Gas_Cold_Pump" localSheetId="19">'[1]Technological specifications'!$F$23</definedName>
    <definedName name="Eff_Gas_Heat_Pump" localSheetId="9">'Final demand'!$E$12</definedName>
    <definedName name="Eff_Gas_Heat_Pump" localSheetId="19">'[1]Technological specifications'!$F$13</definedName>
    <definedName name="Eff_Gas_Heater" localSheetId="9">'Final demand'!$E$11</definedName>
    <definedName name="Eff_Gas_Heater" localSheetId="19">'[1]Technological specifications'!$F$12</definedName>
    <definedName name="Eff_Geothermal_Heater" localSheetId="4">#REF!</definedName>
    <definedName name="Eff_Geothermal_Heater" localSheetId="9">'Final demand'!#REF!</definedName>
    <definedName name="Eff_Geothermal_Heater" localSheetId="19">'[1]Technological specifications'!#REF!</definedName>
    <definedName name="Eff_Incan_Lamp" localSheetId="9">'Final demand'!$E$17</definedName>
    <definedName name="Eff_Incan_Lamp" localSheetId="19">'[1]Technological specifications'!$F$28</definedName>
    <definedName name="Eff_LED_Lamp" localSheetId="9">'Final demand'!#REF!</definedName>
    <definedName name="Eff_LED_Lamp" localSheetId="19">'[1]Technological specifications'!$F$31</definedName>
    <definedName name="Eff_Oil_Heater" localSheetId="9">'Final demand'!#REF!</definedName>
    <definedName name="Eff_Oil_Heater" localSheetId="19">'[1]Technological specifications'!$F$18</definedName>
    <definedName name="Eff_Solar_Heater" localSheetId="9">'Final demand'!#REF!</definedName>
    <definedName name="Eff_Solar_Heater" localSheetId="19">'[1]Technological specifications'!$F$16</definedName>
    <definedName name="Final_Demand_Comm_and_Publ_Services" localSheetId="19">'[1]Corrected energy balance'!$BN$84</definedName>
    <definedName name="Final_Demand_Electrical_Appliances" localSheetId="19">'[1]Final demand per energy carrier'!$F$41</definedName>
    <definedName name="Final_Demand_Lighting" localSheetId="19">[1]Dashboard!$D$26</definedName>
    <definedName name="Final_Demand_Other_Appliances" localSheetId="19">[1]Dashboard!$D$29</definedName>
    <definedName name="Final_Demand_Space_Cooling" localSheetId="19">[1]Dashboard!$D$25</definedName>
    <definedName name="Final_demand_Space_Heating" localSheetId="19">[1]Dashboard!$D$24</definedName>
    <definedName name="GWh_to_TJ" localSheetId="9">[1]Assumptions!$C$131</definedName>
    <definedName name="GWh_to_TJ" localSheetId="19">[1]Assumptions!$C$131</definedName>
    <definedName name="GWh_to_TJ" localSheetId="8">[1]Assumptions!$C$131</definedName>
    <definedName name="Heat_eff_Biogas_CHP" localSheetId="4">#REF!</definedName>
    <definedName name="Heat_eff_Biogas_CHP" localSheetId="9">'Final demand'!#REF!</definedName>
    <definedName name="Heat_eff_Biogas_CHP" localSheetId="19">'[1]Technological specifications'!#REF!</definedName>
    <definedName name="Heat_Eff_Biomass_CHP" localSheetId="4">#REF!</definedName>
    <definedName name="Heat_Eff_Biomass_CHP" localSheetId="9">'Final demand'!#REF!</definedName>
    <definedName name="Heat_Eff_Biomass_CHP" localSheetId="19">'[1]Technological specifications'!#REF!</definedName>
    <definedName name="Heat_Eff_Gas_CHP" localSheetId="4">#REF!</definedName>
    <definedName name="Heat_Eff_Gas_CHP" localSheetId="9">'Final demand'!#REF!</definedName>
    <definedName name="Heat_Eff_Gas_CHP" localSheetId="19">'[1]Technological specifications'!#REF!</definedName>
    <definedName name="Perc_Final_Demand_Lighting_Fluo_Lamps" localSheetId="19">'[1]Technology split of final deman'!$G$31</definedName>
    <definedName name="Perc_Final_Demand_Lighting_Fluo_Tubes" localSheetId="19">'[1]Technology split of final deman'!$G$32</definedName>
    <definedName name="Perc_Final_Demand_Lighting_Incan_Lamps" localSheetId="19">'[1]Technology split of final deman'!$G$30</definedName>
    <definedName name="Perc_Final_Demand_Lighting_LED_Lamps" localSheetId="19">'[1]Technology split of final deman'!$G$33</definedName>
    <definedName name="Perc_Final_Demand_Space_Cooling_Airco" localSheetId="19">'[1]Technology split of final deman'!$G$25</definedName>
    <definedName name="Perc_Final_Demand_Space_Cooling_Elec_Heat_Pump" localSheetId="19">'[1]Technology split of final deman'!$G$24</definedName>
    <definedName name="Perc_Final_Demand_Space_Cooling_Gas_Heat_Pump" localSheetId="19">'[1]Technology split of final deman'!$G$23</definedName>
    <definedName name="Perc_Final_Demand_Space_Heating_Biomass_Heater" localSheetId="19">'[1]Technology split of final deman'!$G$17</definedName>
    <definedName name="Perc_Final_Demand_Space_Heating_Coal_Heater" localSheetId="19">'[1]Technology split of final deman'!$G$13</definedName>
    <definedName name="Perc_Final_Demand_Space_Heating_District_Heating" localSheetId="19">'[1]Technology split of final deman'!$G$16</definedName>
    <definedName name="Perc_Final_Demand_Space_Heating_Elec_Heat_Pump" localSheetId="19">'[1]Technology split of final deman'!$G$11</definedName>
    <definedName name="Perc_Final_Demand_Space_Heating_Elec_Heater" localSheetId="19">'[1]Technology split of final deman'!$G$12</definedName>
    <definedName name="Perc_Final_Demand_Space_Heating_Gas_Heat_Pump" localSheetId="19">'[1]Technology split of final deman'!$G$10</definedName>
    <definedName name="Perc_Final_Demand_Space_Heating_Gas_Heater" localSheetId="19">'[1]Technology split of final deman'!$G$9</definedName>
    <definedName name="Perc_Final_Demand_Space_Heating_Oil_Heater" localSheetId="19">'[1]Technology split of final deman'!$G$14</definedName>
    <definedName name="Perc_Final_Demand_Space_Heating_Solar_Heater" localSheetId="19">'[1]Technology split of final deman'!$G$18</definedName>
    <definedName name="Perc_Heat_Delivered_Biomass_Heater" localSheetId="19">'[1]Tech split of useful demand'!$G$17</definedName>
    <definedName name="Perc_Heat_Delivered_District_Heat" localSheetId="19">'[1]Tech split of useful demand'!$G$16</definedName>
    <definedName name="Perc_Heat_Delivered_Solar_Thermal" localSheetId="19">'[1]Tech split of useful demand'!$G$18</definedName>
    <definedName name="Perc_Roof_for_PV" localSheetId="19">'[1]PV solar area and production'!$E$22</definedName>
    <definedName name="share_aluminium_carbothermal_reduction">Dashboard!$E$45</definedName>
    <definedName name="share_aluminium_electrolysis_bat">Dashboard!$E$43</definedName>
    <definedName name="share_aluminium_electrolysis_current">Dashboard!$E$42</definedName>
    <definedName name="share_aluminium_melting_oven">Dashboard!$E$44</definedName>
    <definedName name="share_blast_furnace_burner_coal">Dashboard!$E$24</definedName>
    <definedName name="share_blast_furnace_burner_coal_gas">Dashboard!$E$25</definedName>
    <definedName name="share_blast_furnace_burner_network_gas">Dashboard!$E$26</definedName>
    <definedName name="Share_Lighting_Fluorescent_Lamp" localSheetId="19">'[1]Shares per tech per carrier'!$E$22</definedName>
    <definedName name="Share_Lighting_Fluorescent_Tube" localSheetId="19">'[1]Shares per tech per carrier'!$E$23</definedName>
    <definedName name="Share_Lighting_Incandescent_Lamp" localSheetId="19">'[1]Shares per tech per carrier'!$E$21</definedName>
    <definedName name="Share_Lighting_LED" localSheetId="19">'[1]Shares per tech per carrier'!$E$24</definedName>
    <definedName name="Share_Space_Cooling_Electric_Airco" localSheetId="19">'[1]Shares per tech per carrier'!$E$18</definedName>
    <definedName name="Share_Space_Cooling_Electric_Heat_Pump" localSheetId="19">'[1]Shares per tech per carrier'!$E$17</definedName>
    <definedName name="Share_Space_Heating_Electric_Heat_Pump" localSheetId="19">'[1]Shares per tech per carrier'!$E$13</definedName>
    <definedName name="Share_Space_Heating_Electric_Heater" localSheetId="19">'[1]Shares per tech per carrier'!$E$14</definedName>
    <definedName name="Share_Space_Heating_Network_Gas_Heat_Pump" localSheetId="19">'[1]Shares per tech per carrier'!$E$10</definedName>
    <definedName name="Share_Space_Heating_Network_Gas_Heater" localSheetId="19">'[1]Shares per tech per carrier'!$E$9</definedName>
    <definedName name="share_steel_blast_furnace_bat">Dashboard!$E$19</definedName>
    <definedName name="share_steel_blast_furnace_current">Dashboard!$E$18</definedName>
    <definedName name="share_steel_cyclone">Dashboard!$E$20</definedName>
    <definedName name="share_steel_electric">Dashboard!$E$21</definedName>
    <definedName name="Solar_PV_Roof_CaPS" localSheetId="19">'[1]PV solar area and production'!$E$13</definedName>
    <definedName name="Solar_PV_Roof_Residential" localSheetId="19">'[1]IEA autoproducer prod.'!$AO$10</definedName>
    <definedName name="Solar_PV_Roof_Total" localSheetId="19">'[1]Corrected energy balance'!$BG$95</definedName>
    <definedName name="solver_adj" localSheetId="6" hidden="1">Dashboard!$E$18:$E$21</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Dashboard!$L$18</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Dashboard!$G$22</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Dashboard!$E$17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34" l="1"/>
  <c r="D17" i="82"/>
  <c r="D12" i="82"/>
  <c r="D11" i="64"/>
  <c r="E11" i="64" s="1"/>
  <c r="D13" i="64"/>
  <c r="E13" i="64" s="1"/>
  <c r="L24" i="28"/>
  <c r="P24" i="28"/>
  <c r="L48" i="28"/>
  <c r="P48" i="28" s="1"/>
  <c r="T58" i="63"/>
  <c r="D58" i="63" s="1"/>
  <c r="E16" i="74" s="1"/>
  <c r="T57" i="63"/>
  <c r="D57" i="63" s="1"/>
  <c r="T93" i="63"/>
  <c r="T92" i="63"/>
  <c r="T88" i="63"/>
  <c r="D88" i="63" s="1"/>
  <c r="E21" i="74" s="1"/>
  <c r="T87" i="63"/>
  <c r="D87" i="63" s="1"/>
  <c r="T83" i="63"/>
  <c r="T82" i="63"/>
  <c r="T78" i="63"/>
  <c r="T77" i="63"/>
  <c r="D77" i="63" s="1"/>
  <c r="T49" i="63"/>
  <c r="T52" i="63" s="1"/>
  <c r="D52" i="63" s="1"/>
  <c r="T48" i="63"/>
  <c r="T51" i="63" s="1"/>
  <c r="T29" i="63"/>
  <c r="T30" i="63"/>
  <c r="T40" i="63" s="1"/>
  <c r="D40" i="63" s="1"/>
  <c r="E14" i="74" s="1"/>
  <c r="D21" i="63"/>
  <c r="D18" i="63"/>
  <c r="D14" i="63"/>
  <c r="D15" i="63"/>
  <c r="D12" i="64"/>
  <c r="E12" i="64" s="1"/>
  <c r="D25" i="75" s="1"/>
  <c r="D29" i="63"/>
  <c r="E12" i="75"/>
  <c r="T39" i="63"/>
  <c r="D39" i="63"/>
  <c r="D14" i="74" s="1"/>
  <c r="D48" i="63"/>
  <c r="E14" i="75" s="1"/>
  <c r="D49" i="63"/>
  <c r="E15" i="74" s="1"/>
  <c r="D14" i="64"/>
  <c r="E14" i="64" s="1"/>
  <c r="D15" i="75" s="1"/>
  <c r="D17" i="64"/>
  <c r="E17" i="64" s="1"/>
  <c r="D36" i="75" s="1"/>
  <c r="D78" i="63"/>
  <c r="D18" i="64"/>
  <c r="E18" i="64" s="1"/>
  <c r="D37" i="75" s="1"/>
  <c r="F37" i="75" s="1"/>
  <c r="D82" i="63"/>
  <c r="E37" i="75" s="1"/>
  <c r="D83" i="63"/>
  <c r="E20" i="74" s="1"/>
  <c r="D19" i="64"/>
  <c r="E19" i="64" s="1"/>
  <c r="D38" i="75" s="1"/>
  <c r="D20" i="64"/>
  <c r="E20" i="64" s="1"/>
  <c r="D39" i="75" s="1"/>
  <c r="F39" i="75" s="1"/>
  <c r="D92" i="63"/>
  <c r="D93" i="63"/>
  <c r="E39" i="75"/>
  <c r="D22" i="74"/>
  <c r="D15" i="74"/>
  <c r="L42" i="28"/>
  <c r="P42" i="28" s="1"/>
  <c r="L18" i="28"/>
  <c r="P18" i="28" s="1"/>
  <c r="M24" i="28"/>
  <c r="E11" i="59"/>
  <c r="U32" i="63" s="1"/>
  <c r="F11" i="59"/>
  <c r="U33" i="63" s="1"/>
  <c r="D12" i="86"/>
  <c r="D11" i="86"/>
  <c r="E12" i="59"/>
  <c r="U68" i="63" s="1"/>
  <c r="D68" i="63" s="1"/>
  <c r="F12" i="59"/>
  <c r="G17" i="59"/>
  <c r="U65" i="63" s="1"/>
  <c r="D65" i="63" s="1"/>
  <c r="G12" i="59"/>
  <c r="U70" i="63" s="1"/>
  <c r="D70" i="63" s="1"/>
  <c r="I11" i="81" s="1"/>
  <c r="B3" i="105" s="1"/>
  <c r="L17" i="59"/>
  <c r="U66" i="63" s="1"/>
  <c r="D66" i="63" s="1"/>
  <c r="G11" i="59"/>
  <c r="F14" i="74"/>
  <c r="D13" i="86"/>
  <c r="E19" i="74"/>
  <c r="E22" i="74"/>
  <c r="I22" i="77"/>
  <c r="C7" i="96"/>
  <c r="C8" i="96"/>
  <c r="C10" i="96"/>
  <c r="C11" i="96"/>
  <c r="C12" i="96"/>
  <c r="B8" i="96"/>
  <c r="D8" i="96"/>
  <c r="E8" i="96"/>
  <c r="F8" i="96"/>
  <c r="G8" i="96"/>
  <c r="H8" i="96"/>
  <c r="I8" i="96"/>
  <c r="J8" i="96"/>
  <c r="E21" i="59"/>
  <c r="D11" i="77"/>
  <c r="E22" i="59"/>
  <c r="D15" i="77"/>
  <c r="D12" i="96"/>
  <c r="H21" i="59"/>
  <c r="G11" i="77" s="1"/>
  <c r="H22" i="59"/>
  <c r="G15" i="77" s="1"/>
  <c r="I21" i="59"/>
  <c r="H11" i="77" s="1"/>
  <c r="H13" i="77" s="1"/>
  <c r="H20" i="77" s="1"/>
  <c r="I22" i="59"/>
  <c r="H15" i="77" s="1"/>
  <c r="H17" i="77" s="1"/>
  <c r="H21" i="77" s="1"/>
  <c r="H21" i="67"/>
  <c r="G12" i="96"/>
  <c r="K21" i="59"/>
  <c r="J11" i="77"/>
  <c r="K22" i="59"/>
  <c r="J15" i="77"/>
  <c r="L21" i="59"/>
  <c r="K11" i="77"/>
  <c r="L22" i="59"/>
  <c r="K15" i="77"/>
  <c r="M21" i="59"/>
  <c r="L11" i="77"/>
  <c r="L13" i="77" s="1"/>
  <c r="L20" i="77" s="1"/>
  <c r="M22" i="59"/>
  <c r="L15" i="77"/>
  <c r="A5" i="96"/>
  <c r="A6" i="96"/>
  <c r="A7" i="96"/>
  <c r="A8" i="96"/>
  <c r="A9" i="96"/>
  <c r="A10" i="96"/>
  <c r="A11" i="96"/>
  <c r="A12" i="96"/>
  <c r="C8" i="34"/>
  <c r="I44" i="75"/>
  <c r="F16" i="77" s="1"/>
  <c r="E20" i="67" s="1"/>
  <c r="D11" i="96" s="1"/>
  <c r="G20" i="59"/>
  <c r="G15" i="59"/>
  <c r="C6" i="34"/>
  <c r="C7" i="34"/>
  <c r="K21" i="75"/>
  <c r="H12" i="77"/>
  <c r="G19" i="67" s="1"/>
  <c r="F10" i="96" s="1"/>
  <c r="L21" i="75"/>
  <c r="I12" i="77" s="1"/>
  <c r="H19" i="67" s="1"/>
  <c r="G10" i="96" s="1"/>
  <c r="O21" i="75"/>
  <c r="L12" i="77"/>
  <c r="K19" i="67" s="1"/>
  <c r="J10" i="96" s="1"/>
  <c r="K44" i="75"/>
  <c r="H16" i="77" s="1"/>
  <c r="G20" i="67" s="1"/>
  <c r="F11" i="96" s="1"/>
  <c r="L44" i="75"/>
  <c r="I16" i="77"/>
  <c r="H20" i="67" s="1"/>
  <c r="G11" i="96" s="1"/>
  <c r="O44" i="75"/>
  <c r="L16" i="77" s="1"/>
  <c r="K20" i="67" s="1"/>
  <c r="J11" i="96" s="1"/>
  <c r="I15" i="67"/>
  <c r="H7" i="96" s="1"/>
  <c r="J28" i="75"/>
  <c r="F11" i="67" s="1"/>
  <c r="E4" i="96" s="1"/>
  <c r="K28" i="75"/>
  <c r="G11" i="67" s="1"/>
  <c r="F4" i="96" s="1"/>
  <c r="N28" i="75"/>
  <c r="J11" i="67" s="1"/>
  <c r="I4" i="96" s="1"/>
  <c r="O28" i="75"/>
  <c r="K11" i="67" s="1"/>
  <c r="J4" i="96" s="1"/>
  <c r="H12" i="67"/>
  <c r="G5" i="96" s="1"/>
  <c r="H21" i="75"/>
  <c r="E12" i="77" s="1"/>
  <c r="H44" i="75"/>
  <c r="E16" i="77" s="1"/>
  <c r="G44" i="75"/>
  <c r="D16" i="77" s="1"/>
  <c r="C20" i="67" s="1"/>
  <c r="B11" i="96" s="1"/>
  <c r="M25" i="59"/>
  <c r="M20" i="59"/>
  <c r="M17" i="59"/>
  <c r="M16" i="59"/>
  <c r="M15" i="59"/>
  <c r="M12" i="59"/>
  <c r="M11" i="59"/>
  <c r="G25" i="59"/>
  <c r="G22" i="59"/>
  <c r="G21" i="59"/>
  <c r="E37" i="28" s="1"/>
  <c r="G16" i="59"/>
  <c r="E35" i="28" s="1"/>
  <c r="H25" i="59"/>
  <c r="H20" i="59"/>
  <c r="H17" i="59"/>
  <c r="H16" i="59"/>
  <c r="H15" i="59"/>
  <c r="H12" i="59"/>
  <c r="H11" i="59"/>
  <c r="J21" i="59"/>
  <c r="I11" i="77"/>
  <c r="J22" i="59"/>
  <c r="I15" i="77"/>
  <c r="L15" i="59"/>
  <c r="K15" i="59"/>
  <c r="J15" i="59"/>
  <c r="I15" i="59"/>
  <c r="E15" i="59"/>
  <c r="E25" i="59"/>
  <c r="E20" i="59"/>
  <c r="E17" i="59"/>
  <c r="E16" i="59"/>
  <c r="E15" i="77"/>
  <c r="F15" i="77"/>
  <c r="E11" i="77"/>
  <c r="J14" i="82"/>
  <c r="F15" i="67" s="1"/>
  <c r="E7" i="96" s="1"/>
  <c r="K14" i="82"/>
  <c r="G15" i="67" s="1"/>
  <c r="F7" i="96" s="1"/>
  <c r="L14" i="82"/>
  <c r="H15" i="67" s="1"/>
  <c r="G7" i="96" s="1"/>
  <c r="M14" i="82"/>
  <c r="O14" i="82"/>
  <c r="K15" i="67" s="1"/>
  <c r="J7" i="96" s="1"/>
  <c r="G14" i="82"/>
  <c r="C15" i="67"/>
  <c r="B7" i="96" s="1"/>
  <c r="J19" i="82"/>
  <c r="F12" i="67" s="1"/>
  <c r="E5" i="96" s="1"/>
  <c r="K19" i="82"/>
  <c r="G12" i="67" s="1"/>
  <c r="F5" i="96" s="1"/>
  <c r="L19" i="82"/>
  <c r="M19" i="82"/>
  <c r="I12" i="67" s="1"/>
  <c r="H5" i="96" s="1"/>
  <c r="N19" i="82"/>
  <c r="J12" i="67" s="1"/>
  <c r="I5" i="96" s="1"/>
  <c r="O19" i="82"/>
  <c r="K12" i="67" s="1"/>
  <c r="J5" i="96" s="1"/>
  <c r="A3" i="96"/>
  <c r="A4" i="96"/>
  <c r="H14" i="82"/>
  <c r="F16" i="74"/>
  <c r="F15" i="74"/>
  <c r="F19" i="74"/>
  <c r="G19" i="74" s="1"/>
  <c r="F20" i="74"/>
  <c r="F21" i="74"/>
  <c r="F22" i="74"/>
  <c r="B2" i="96"/>
  <c r="C2" i="96"/>
  <c r="D2" i="96"/>
  <c r="E2" i="96"/>
  <c r="F2" i="96"/>
  <c r="G2" i="96"/>
  <c r="H2" i="96"/>
  <c r="I2" i="96"/>
  <c r="J2" i="96"/>
  <c r="G20" i="74"/>
  <c r="G21" i="74"/>
  <c r="G22" i="74"/>
  <c r="G16" i="74"/>
  <c r="G15" i="74"/>
  <c r="G14" i="74"/>
  <c r="L25" i="59"/>
  <c r="K25" i="59"/>
  <c r="J25" i="59"/>
  <c r="I25" i="59"/>
  <c r="L20" i="59"/>
  <c r="K20" i="59"/>
  <c r="J20" i="59"/>
  <c r="I20" i="59"/>
  <c r="K17" i="59"/>
  <c r="J17" i="59"/>
  <c r="I17" i="59"/>
  <c r="L16" i="59"/>
  <c r="K16" i="59"/>
  <c r="J16" i="59"/>
  <c r="I16" i="59"/>
  <c r="L12" i="59"/>
  <c r="K12" i="59"/>
  <c r="J12" i="59"/>
  <c r="I12" i="59"/>
  <c r="L11" i="59"/>
  <c r="K11" i="59"/>
  <c r="J11" i="59"/>
  <c r="I11" i="59"/>
  <c r="H22" i="77" l="1"/>
  <c r="D17" i="77"/>
  <c r="D21" i="77" s="1"/>
  <c r="E12" i="82"/>
  <c r="E11" i="81"/>
  <c r="B4" i="104" s="1"/>
  <c r="D16" i="86"/>
  <c r="L17" i="77"/>
  <c r="L21" i="77" s="1"/>
  <c r="L22" i="77" s="1"/>
  <c r="N37" i="75"/>
  <c r="D16" i="83" s="1"/>
  <c r="M37" i="75"/>
  <c r="D16" i="84" s="1"/>
  <c r="E33" i="28"/>
  <c r="U34" i="63"/>
  <c r="U69" i="63"/>
  <c r="D69" i="63" s="1"/>
  <c r="H11" i="81" s="1"/>
  <c r="J15" i="74"/>
  <c r="D32" i="63"/>
  <c r="U42" i="63"/>
  <c r="D42" i="63" s="1"/>
  <c r="E17" i="82"/>
  <c r="E16" i="86"/>
  <c r="G11" i="81"/>
  <c r="M39" i="75"/>
  <c r="D18" i="84" s="1"/>
  <c r="N39" i="75"/>
  <c r="D18" i="83" s="1"/>
  <c r="D19" i="74"/>
  <c r="E36" i="75"/>
  <c r="F36" i="75" s="1"/>
  <c r="D21" i="74"/>
  <c r="E38" i="75"/>
  <c r="E15" i="75"/>
  <c r="D16" i="74"/>
  <c r="F11" i="77"/>
  <c r="D11" i="81"/>
  <c r="B3" i="104" s="1"/>
  <c r="U43" i="63"/>
  <c r="D43" i="63" s="1"/>
  <c r="D33" i="63"/>
  <c r="I13" i="74" s="1"/>
  <c r="B4" i="102" s="1"/>
  <c r="D14" i="75"/>
  <c r="F14" i="75" s="1"/>
  <c r="D26" i="75"/>
  <c r="F38" i="75"/>
  <c r="F15" i="75"/>
  <c r="T53" i="63"/>
  <c r="D53" i="63" s="1"/>
  <c r="D51" i="63"/>
  <c r="D12" i="75"/>
  <c r="F12" i="75" s="1"/>
  <c r="D24" i="75"/>
  <c r="M42" i="28"/>
  <c r="M18" i="28"/>
  <c r="D20" i="74"/>
  <c r="E13" i="75"/>
  <c r="D30" i="63"/>
  <c r="E29" i="28"/>
  <c r="D13" i="75"/>
  <c r="E31" i="28"/>
  <c r="M48" i="28"/>
  <c r="U35" i="63"/>
  <c r="D35" i="63" s="1"/>
  <c r="I14" i="74" l="1"/>
  <c r="B4" i="103" s="1"/>
  <c r="K21" i="67"/>
  <c r="J12" i="96" s="1"/>
  <c r="M36" i="75"/>
  <c r="N36" i="75"/>
  <c r="F13" i="75"/>
  <c r="F26" i="75"/>
  <c r="D34" i="63"/>
  <c r="K13" i="74" s="1"/>
  <c r="U44" i="63"/>
  <c r="D44" i="63" s="1"/>
  <c r="K14" i="74" s="1"/>
  <c r="N15" i="75"/>
  <c r="D14" i="83" s="1"/>
  <c r="M15" i="75"/>
  <c r="F19" i="75" s="1"/>
  <c r="E26" i="75"/>
  <c r="E13" i="86"/>
  <c r="F13" i="86" s="1"/>
  <c r="H15" i="74"/>
  <c r="F16" i="86"/>
  <c r="B5" i="104" s="1"/>
  <c r="H14" i="74"/>
  <c r="B3" i="103" s="1"/>
  <c r="E25" i="75"/>
  <c r="F25" i="75" s="1"/>
  <c r="E12" i="86"/>
  <c r="F12" i="86" s="1"/>
  <c r="B3" i="107" s="1"/>
  <c r="J11" i="81"/>
  <c r="B4" i="105"/>
  <c r="N12" i="75"/>
  <c r="N14" i="75"/>
  <c r="D13" i="83" s="1"/>
  <c r="M14" i="75"/>
  <c r="D38" i="83" s="1"/>
  <c r="E52" i="28"/>
  <c r="L52" i="28" s="1"/>
  <c r="P52" i="28" s="1"/>
  <c r="G21" i="67"/>
  <c r="F12" i="96" s="1"/>
  <c r="D35" i="83"/>
  <c r="E35" i="83" s="1"/>
  <c r="N38" i="75"/>
  <c r="D17" i="83" s="1"/>
  <c r="M38" i="75"/>
  <c r="D17" i="84" s="1"/>
  <c r="E13" i="74"/>
  <c r="M12" i="75" s="1"/>
  <c r="D13" i="74"/>
  <c r="F13" i="74"/>
  <c r="G13" i="74" s="1"/>
  <c r="L15" i="74"/>
  <c r="M15" i="74" s="1"/>
  <c r="H13" i="74"/>
  <c r="B3" i="102" s="1"/>
  <c r="E24" i="75"/>
  <c r="F24" i="75" s="1"/>
  <c r="E11" i="86"/>
  <c r="F11" i="86" s="1"/>
  <c r="B3" i="106" s="1"/>
  <c r="B3" i="108" l="1"/>
  <c r="G24" i="75"/>
  <c r="G28" i="75" s="1"/>
  <c r="C11" i="67" s="1"/>
  <c r="I24" i="75"/>
  <c r="I28" i="75" s="1"/>
  <c r="E11" i="67" s="1"/>
  <c r="H24" i="75"/>
  <c r="H28" i="75" s="1"/>
  <c r="M21" i="75"/>
  <c r="J12" i="77" s="1"/>
  <c r="D11" i="84"/>
  <c r="E11" i="84" s="1"/>
  <c r="B3" i="95" s="1"/>
  <c r="F18" i="75"/>
  <c r="N21" i="75"/>
  <c r="K12" i="77" s="1"/>
  <c r="D11" i="83"/>
  <c r="M13" i="74"/>
  <c r="B5" i="102"/>
  <c r="N44" i="75"/>
  <c r="K16" i="77" s="1"/>
  <c r="D15" i="83"/>
  <c r="E15" i="83" s="1"/>
  <c r="B7" i="88" s="1"/>
  <c r="J19" i="75"/>
  <c r="D30" i="83" s="1"/>
  <c r="M19" i="75"/>
  <c r="G26" i="75"/>
  <c r="L26" i="75"/>
  <c r="L28" i="75" s="1"/>
  <c r="H11" i="67" s="1"/>
  <c r="G4" i="96" s="1"/>
  <c r="B5" i="108"/>
  <c r="M26" i="75"/>
  <c r="M28" i="75" s="1"/>
  <c r="I11" i="67" s="1"/>
  <c r="H4" i="96" s="1"/>
  <c r="D15" i="84"/>
  <c r="F42" i="75"/>
  <c r="M44" i="75"/>
  <c r="J16" i="77" s="1"/>
  <c r="E17" i="83"/>
  <c r="B9" i="88" s="1"/>
  <c r="I25" i="75"/>
  <c r="B4" i="108"/>
  <c r="H25" i="75"/>
  <c r="G25" i="75"/>
  <c r="E14" i="83"/>
  <c r="B6" i="88" s="1"/>
  <c r="E39" i="83"/>
  <c r="B4" i="89" s="1"/>
  <c r="E38" i="83"/>
  <c r="B3" i="89" s="1"/>
  <c r="E13" i="83"/>
  <c r="B5" i="88" s="1"/>
  <c r="B5" i="103"/>
  <c r="M14" i="74"/>
  <c r="M13" i="75"/>
  <c r="D12" i="84" s="1"/>
  <c r="E12" i="84" s="1"/>
  <c r="B4" i="95" s="1"/>
  <c r="N13" i="75"/>
  <c r="D12" i="83" s="1"/>
  <c r="E12" i="83" s="1"/>
  <c r="B4" i="88" s="1"/>
  <c r="E15" i="84" l="1"/>
  <c r="B3" i="94" s="1"/>
  <c r="E16" i="84"/>
  <c r="B4" i="94" s="1"/>
  <c r="E17" i="84"/>
  <c r="B5" i="94" s="1"/>
  <c r="E18" i="84"/>
  <c r="B6" i="94" s="1"/>
  <c r="J20" i="67"/>
  <c r="I11" i="96" s="1"/>
  <c r="K17" i="77"/>
  <c r="K21" i="77" s="1"/>
  <c r="J19" i="67"/>
  <c r="I10" i="96" s="1"/>
  <c r="K13" i="77"/>
  <c r="K20" i="77" s="1"/>
  <c r="K22" i="77" s="1"/>
  <c r="F17" i="82"/>
  <c r="F12" i="82"/>
  <c r="D11" i="67"/>
  <c r="I18" i="75"/>
  <c r="M18" i="75"/>
  <c r="G18" i="75"/>
  <c r="J18" i="75"/>
  <c r="D4" i="96"/>
  <c r="E34" i="28"/>
  <c r="L34" i="28" s="1"/>
  <c r="M34" i="28" s="1"/>
  <c r="I20" i="67"/>
  <c r="H11" i="96" s="1"/>
  <c r="J17" i="77"/>
  <c r="J21" i="77" s="1"/>
  <c r="B4" i="96"/>
  <c r="E30" i="28"/>
  <c r="J42" i="75"/>
  <c r="M42" i="75"/>
  <c r="E11" i="83"/>
  <c r="B3" i="88" s="1"/>
  <c r="E16" i="83"/>
  <c r="B8" i="88" s="1"/>
  <c r="E18" i="83"/>
  <c r="B10" i="88" s="1"/>
  <c r="I19" i="67"/>
  <c r="H10" i="96" s="1"/>
  <c r="J13" i="77"/>
  <c r="J20" i="77" s="1"/>
  <c r="J22" i="77" s="1"/>
  <c r="E54" i="28" l="1"/>
  <c r="L54" i="28" s="1"/>
  <c r="P54" i="28" s="1"/>
  <c r="J21" i="67"/>
  <c r="I12" i="96" s="1"/>
  <c r="D19" i="83"/>
  <c r="E19" i="83" s="1"/>
  <c r="B11" i="88" s="1"/>
  <c r="J44" i="75"/>
  <c r="G16" i="77" s="1"/>
  <c r="D31" i="83"/>
  <c r="J21" i="75"/>
  <c r="G12" i="77" s="1"/>
  <c r="D29" i="83"/>
  <c r="C4" i="96"/>
  <c r="E32" i="28"/>
  <c r="L32" i="28" s="1"/>
  <c r="M32" i="28" s="1"/>
  <c r="D39" i="83"/>
  <c r="E55" i="28"/>
  <c r="L55" i="28" s="1"/>
  <c r="P55" i="28" s="1"/>
  <c r="I21" i="67"/>
  <c r="H12" i="96" s="1"/>
  <c r="G17" i="82"/>
  <c r="G19" i="82" s="1"/>
  <c r="C12" i="67" s="1"/>
  <c r="B5" i="96" s="1"/>
  <c r="H17" i="82"/>
  <c r="H19" i="82" s="1"/>
  <c r="D12" i="67" s="1"/>
  <c r="C5" i="96" s="1"/>
  <c r="I17" i="82"/>
  <c r="I19" i="82" s="1"/>
  <c r="E12" i="67" s="1"/>
  <c r="D5" i="96" s="1"/>
  <c r="I21" i="75"/>
  <c r="F12" i="77" s="1"/>
  <c r="E19" i="67" s="1"/>
  <c r="D26" i="83"/>
  <c r="E26" i="83" s="1"/>
  <c r="L30" i="28"/>
  <c r="M30" i="28" s="1"/>
  <c r="D22" i="83"/>
  <c r="E22" i="83" s="1"/>
  <c r="B3" i="109" s="1"/>
  <c r="G21" i="75"/>
  <c r="D12" i="77" s="1"/>
  <c r="I12" i="82"/>
  <c r="I14" i="82" s="1"/>
  <c r="E15" i="67" s="1"/>
  <c r="N12" i="82"/>
  <c r="N14" i="82" s="1"/>
  <c r="J15" i="67" s="1"/>
  <c r="I7" i="96" s="1"/>
  <c r="B6" i="108"/>
  <c r="E29" i="83" l="1"/>
  <c r="B3" i="91" s="1"/>
  <c r="E30" i="83"/>
  <c r="B4" i="91" s="1"/>
  <c r="F19" i="67"/>
  <c r="E10" i="96" s="1"/>
  <c r="G13" i="77"/>
  <c r="G20" i="77" s="1"/>
  <c r="G22" i="77" s="1"/>
  <c r="C19" i="67"/>
  <c r="B10" i="96" s="1"/>
  <c r="D13" i="77"/>
  <c r="D20" i="77" s="1"/>
  <c r="D22" i="77" s="1"/>
  <c r="D10" i="96"/>
  <c r="E38" i="28"/>
  <c r="L38" i="28" s="1"/>
  <c r="M38" i="28" s="1"/>
  <c r="F20" i="67"/>
  <c r="E11" i="96" s="1"/>
  <c r="G17" i="77"/>
  <c r="G21" i="77" s="1"/>
  <c r="D7" i="96"/>
  <c r="E36" i="28"/>
  <c r="E31" i="83"/>
  <c r="B5" i="91" s="1"/>
  <c r="D23" i="83" l="1"/>
  <c r="E23" i="83" s="1"/>
  <c r="B4" i="109" s="1"/>
  <c r="E51" i="28"/>
  <c r="L51" i="28" s="1"/>
  <c r="P51" i="28" s="1"/>
  <c r="C21" i="67"/>
  <c r="B12" i="96" s="1"/>
  <c r="L57" i="28"/>
  <c r="M57" i="28" s="1"/>
  <c r="L36" i="28"/>
  <c r="M36" i="28" s="1"/>
  <c r="L14" i="28"/>
  <c r="E53" i="28"/>
  <c r="L53" i="28" s="1"/>
  <c r="P53" i="28" s="1"/>
  <c r="F21" i="67"/>
  <c r="E12" i="96" s="1"/>
  <c r="D32" i="83"/>
  <c r="E32" i="83" s="1"/>
  <c r="B6" i="91" s="1"/>
  <c r="P14" i="28" l="1"/>
  <c r="L13" i="28" s="1"/>
  <c r="M13" i="28" s="1"/>
  <c r="M1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<sst xmlns="http://schemas.openxmlformats.org/spreadsheetml/2006/main" count="1132" uniqueCount="626">
  <si>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</si>
  <si>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</si>
  <si>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</si>
  <si>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</si>
  <si>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</si>
  <si>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</si>
  <si>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</si>
  <si>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</si>
  <si>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</si>
  <si>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</si>
  <si>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</si>
  <si>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</si>
  <si>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</si>
  <si>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</si>
  <si>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</si>
  <si>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</si>
  <si>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</si>
  <si>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</si>
  <si>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</si>
  <si>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</si>
  <si>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</si>
  <si>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</si>
  <si>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</si>
  <si>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</si>
  <si>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</si>
  <si>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</si>
  <si>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</si>
  <si>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</si>
  <si>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</si>
  <si>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</si>
  <si>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</si>
  <si>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</si>
  <si>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</si>
  <si>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</si>
  <si>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</si>
  <si>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</si>
  <si>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</si>
  <si>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</si>
  <si>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</si>
  <si>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</si>
  <si>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</si>
  <si>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</si>
  <si>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</si>
  <si>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</si>
  <si>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</si>
  <si>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</si>
  <si>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</si>
  <si>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</si>
  <si>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</si>
  <si>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</si>
  <si>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</si>
  <si>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</si>
  <si>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</si>
  <si>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</si>
  <si>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</si>
  <si>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</si>
  <si>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</si>
  <si>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</si>
  <si>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</si>
  <si>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</si>
  <si>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</si>
  <si>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</si>
  <si>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</si>
  <si>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</si>
  <si>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</si>
  <si>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</si>
  <si>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</si>
  <si>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</si>
  <si>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</si>
  <si>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</si>
  <si>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</si>
  <si>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</si>
  <si>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</si>
  <si>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</si>
  <si>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</si>
  <si>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</si>
  <si>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</si>
  <si>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</si>
  <si>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</si>
  <si>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</si>
  <si>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</si>
  <si>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</si>
  <si>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</si>
  <si>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</si>
  <si>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</si>
  <si>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</si>
  <si>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</si>
  <si>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</si>
  <si>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</si>
  <si>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</si>
  <si>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</si>
  <si>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</si>
  <si>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</si>
  <si>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</si>
  <si>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</si>
  <si>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</si>
  <si>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</si>
  <si>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</si>
  <si>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</si>
  <si>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</si>
  <si>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</si>
  <si>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</si>
  <si>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</si>
  <si>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</si>
  <si>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</si>
  <si>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</si>
  <si>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</si>
  <si>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</si>
  <si>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</si>
  <si>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</si>
  <si>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</si>
  <si>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</si>
  <si>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</si>
  <si>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</si>
  <si>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</si>
  <si>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</si>
  <si>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</si>
  <si>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</si>
  <si>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</si>
  <si>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</si>
  <si>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</si>
  <si>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</si>
  <si>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</si>
  <si>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</si>
  <si>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</si>
  <si>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</si>
  <si>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</si>
  <si>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</si>
  <si>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</si>
  <si>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</si>
  <si>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</si>
  <si>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</si>
  <si>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</si>
  <si>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</si>
  <si>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</si>
  <si>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</si>
  <si>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</si>
  <si>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</si>
  <si>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</si>
  <si>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</si>
  <si>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</si>
  <si>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</si>
  <si>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</si>
  <si>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</si>
  <si>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</si>
  <si>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</si>
  <si>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</si>
  <si>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</si>
  <si>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</si>
  <si>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</si>
  <si>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</si>
  <si>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</si>
  <si>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</si>
  <si>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</si>
  <si>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</si>
  <si>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</si>
  <si>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</si>
  <si>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</si>
  <si>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</si>
  <si>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</si>
  <si>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</si>
  <si>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</si>
  <si>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</si>
  <si>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</si>
  <si>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</si>
  <si>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</si>
  <si>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</si>
  <si>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</si>
  <si>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</si>
  <si>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</si>
  <si>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</si>
  <si>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</si>
  <si>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</si>
  <si>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</si>
  <si>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</si>
  <si>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</si>
  <si>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</si>
  <si>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</si>
  <si>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</si>
  <si>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</si>
  <si>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</si>
  <si>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</si>
  <si>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</si>
  <si>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</si>
  <si>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Percentages add up to 100%</t>
  </si>
  <si>
    <t>Analysis inputs</t>
  </si>
  <si>
    <t>Analysis calculations</t>
  </si>
  <si>
    <t>Analysis ouputs</t>
  </si>
  <si>
    <t>A visualization of the dataflow in this analysis</t>
  </si>
  <si>
    <t>Cover Sheet</t>
  </si>
  <si>
    <t>Dataflow</t>
  </si>
  <si>
    <t>Steps to perform this analysis</t>
  </si>
  <si>
    <t>Proposed source</t>
  </si>
  <si>
    <t>Fuels</t>
  </si>
  <si>
    <t>Coal</t>
  </si>
  <si>
    <t>Natural gas</t>
  </si>
  <si>
    <t>Wood pellets</t>
  </si>
  <si>
    <t>Solar PV</t>
  </si>
  <si>
    <t>All critical checks are positive</t>
  </si>
  <si>
    <t>All assumptions are filled</t>
  </si>
  <si>
    <t>Introductory</t>
  </si>
  <si>
    <t>Main calculations</t>
  </si>
  <si>
    <t>GWh to TJ conversion</t>
  </si>
  <si>
    <t xml:space="preserve">If you think that there is an other technology that is being used in your country please pick the most similar technology. </t>
  </si>
  <si>
    <t>Fuel Aggregation</t>
  </si>
  <si>
    <t>Cokes</t>
  </si>
  <si>
    <t>Coal gas</t>
  </si>
  <si>
    <t>Conversions</t>
  </si>
  <si>
    <t>Transformation</t>
  </si>
  <si>
    <t>Steel production</t>
  </si>
  <si>
    <t>MT</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</si>
  <si>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</si>
  <si>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</si>
  <si>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</si>
  <si>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</si>
  <si>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Blast furnace with current technology</t>
  </si>
  <si>
    <t>Electricity input</t>
  </si>
  <si>
    <t>Heat input</t>
  </si>
  <si>
    <t>Blast furnace with BAT technology</t>
  </si>
  <si>
    <t>Cyclone furnace</t>
  </si>
  <si>
    <t>Electric furnace</t>
  </si>
  <si>
    <t>Cokes oven</t>
  </si>
  <si>
    <t>Percentage of aluminium by electrolysis with current technology</t>
  </si>
  <si>
    <t>Percentage of aluminium by electrolysis with BAT technology</t>
  </si>
  <si>
    <t>Percentage of aluminium in a melting oven</t>
  </si>
  <si>
    <t>Percentage of aluminium by carbothermal reduction</t>
  </si>
  <si>
    <t>Aluminium production</t>
  </si>
  <si>
    <t>Electrolysis with current technology</t>
  </si>
  <si>
    <t>Electrolysis with BAT technology</t>
  </si>
  <si>
    <t>Melting oven</t>
  </si>
  <si>
    <t>Carbothermal reduction</t>
  </si>
  <si>
    <t>Final demand network gas</t>
  </si>
  <si>
    <t>Final demand electricity</t>
  </si>
  <si>
    <t>Final demand heat</t>
  </si>
  <si>
    <t>Technological specifications</t>
  </si>
  <si>
    <t>Technology</t>
  </si>
  <si>
    <t>Efficiency (%)</t>
  </si>
  <si>
    <t>Blast furnace burner</t>
  </si>
  <si>
    <t>Percentage of input from coal gas</t>
  </si>
  <si>
    <t>Percentage of input from network gas</t>
  </si>
  <si>
    <t>Steel</t>
  </si>
  <si>
    <t>Electric furnace burner</t>
  </si>
  <si>
    <t>Aluminium</t>
  </si>
  <si>
    <t>Aluminium heater</t>
  </si>
  <si>
    <t>Other metals burner</t>
  </si>
  <si>
    <t>Production (MT)</t>
  </si>
  <si>
    <t>Steel and aluminium production</t>
  </si>
  <si>
    <t>Country</t>
  </si>
  <si>
    <t>Year data</t>
  </si>
  <si>
    <t>Share (%)</t>
  </si>
  <si>
    <t>Created from Industry analysis</t>
  </si>
  <si>
    <t>Design worksheets</t>
  </si>
  <si>
    <t>Consumption</t>
  </si>
  <si>
    <t>Metal</t>
  </si>
  <si>
    <t>Loss</t>
  </si>
  <si>
    <t>Torriefied biomass</t>
  </si>
  <si>
    <t>Steel and aluminium efficiencies</t>
  </si>
  <si>
    <t>Steel and aluminium final demand</t>
  </si>
  <si>
    <t>Final demand</t>
  </si>
  <si>
    <t>Iron and steel on Energy Balance</t>
  </si>
  <si>
    <t>Fuel aggregation</t>
  </si>
  <si>
    <t>Steel and alu prod</t>
  </si>
  <si>
    <t>Steel and alu eff</t>
  </si>
  <si>
    <t>Steel and alu demand</t>
  </si>
  <si>
    <t>Burners</t>
  </si>
  <si>
    <t>Total consumption</t>
  </si>
  <si>
    <t>Total transformation</t>
  </si>
  <si>
    <t>Cokes efficiencies</t>
  </si>
  <si>
    <t>Shares per carrier per technology</t>
  </si>
  <si>
    <t>Network gas</t>
  </si>
  <si>
    <t>Other metals</t>
  </si>
  <si>
    <t>Aluminium burner</t>
  </si>
  <si>
    <t>Blast furnace current</t>
  </si>
  <si>
    <t>Blast furnace BAT</t>
  </si>
  <si>
    <t>Electrolysis current</t>
  </si>
  <si>
    <t>Electrolysis BAT</t>
  </si>
  <si>
    <t>Cokes eff</t>
  </si>
  <si>
    <t>Shares per carrier per tech</t>
  </si>
  <si>
    <t>Shares per burner per tech</t>
  </si>
  <si>
    <t>Documentation of the changes to this analysis</t>
  </si>
  <si>
    <t>Visualization of the dataflow in this analysis</t>
  </si>
  <si>
    <t>Description of the modeling and country-specific assumptions for this analysis</t>
  </si>
  <si>
    <t>Transformation/consumption factors</t>
  </si>
  <si>
    <t>Trans cons factors</t>
  </si>
  <si>
    <t>Transformation/consumption factor</t>
  </si>
  <si>
    <t>Industry - Other metals</t>
  </si>
  <si>
    <t>Industry - Steel</t>
  </si>
  <si>
    <t>Industry - Aluminium</t>
  </si>
  <si>
    <t>Design worksheets and perform calculations</t>
  </si>
  <si>
    <t>Created output csv</t>
  </si>
  <si>
    <t>share</t>
  </si>
  <si>
    <t>Cokes demand</t>
  </si>
  <si>
    <t>Information about this document and a legend to sheet and cell formatting</t>
  </si>
  <si>
    <t>Sheet</t>
  </si>
  <si>
    <t>Sheets</t>
  </si>
  <si>
    <t>Industry/tranformation/energy</t>
  </si>
  <si>
    <t>key</t>
  </si>
  <si>
    <t>Update "Dataflow", minor layout changes in "Dashboard, update units, column names and row names in various sheets</t>
  </si>
  <si>
    <t>CSV-file containing the split of heat from the aluminium burner over several applications</t>
  </si>
  <si>
    <t>CSV-file containing the split of heat from the blast furnace burner over the current and BAT blast furnace</t>
  </si>
  <si>
    <t>Calculation of physical steel and aluminium production per technology based on the country specific assumptions on the dashboard</t>
  </si>
  <si>
    <t>Aggregation of the carriers in the IEA energy balance into the carriers in the ETM</t>
  </si>
  <si>
    <t>On the dashboard the country-specific assumptions can be changed manually. It also shows the most important checks</t>
  </si>
  <si>
    <t>Calculation of the demand for various carriers based on the physical steel and aluminium production per technology and the corresponding conversion factors</t>
  </si>
  <si>
    <t>Calculation of the conversion factors of cokes production based on the production characteristics</t>
  </si>
  <si>
    <t>Calculation of the conversion factors of the different steel and aluminium production technologies based on the production characteristics</t>
  </si>
  <si>
    <t>Calculation of the demand for various carriers based on the physical cokes production and the conversion factors</t>
  </si>
  <si>
    <t>Other energy use in Metal industry</t>
  </si>
  <si>
    <t>Calculation of Other energy use in Metal industry from data from the energy balance and modelled steel and aluminium production</t>
  </si>
  <si>
    <t>Split of final demand over the several applications for sevaral carriers. This data is exported using the purple sheets.</t>
  </si>
  <si>
    <t>Split of heat from burner over the several applications. This data is exported using the purple sheets.</t>
  </si>
  <si>
    <t>REFERENCE | Calculation of transformation and consumption factors defining the relation between the consumption and transformation parts of blast furnaces, hisarna furnaces and coke ovens.</t>
  </si>
  <si>
    <t>Expert estimation</t>
  </si>
  <si>
    <t>Percentage of coal gas input in blastfurnace burner</t>
  </si>
  <si>
    <t>Percentage of network gas input in blastfurnace burner</t>
  </si>
  <si>
    <t>Steel production and aluminium production only includes the actual production in the furnace. Further processing steps and the production of other metals are combined in the Other energy use in Metal industry categorie.</t>
  </si>
  <si>
    <t>Energy use for Steel and Aluminium production can be calculated using production charateristics for various technologies</t>
  </si>
  <si>
    <t>Technological specifications of the technologies are the same for all countries</t>
  </si>
  <si>
    <t>The only technologies available for steel and aluminium production are the ones listed on the dashboard. These technologies are those that are used in the ETM.</t>
  </si>
  <si>
    <t>Update "Contents", "Introduction", "Assumptions" and notes on various worksheets</t>
  </si>
  <si>
    <t>In this sheet the physical steel and aluminium production per technology are calculated based on the total steel and aluminium production and the shares that are defined as country specific assumptions on the dashboard.</t>
  </si>
  <si>
    <t>On this sheet the demand for various carriers is calculated based on the physical steel and aluminium production per technology and the corresponding conversion factors.</t>
  </si>
  <si>
    <t>On this sheet the demand for various carriers is calculated based on the cokes production and the corresponding conversion factors.</t>
  </si>
  <si>
    <t>On this sheet the shares per carriers per technology are calculated based on the final demand per carrier per terchnology from Steel and aluminium demand and Other energy use in Metal industry.</t>
  </si>
  <si>
    <t>Introduce "Final demand" sheet, remove "Transformation" sheet, remove "industry_transformation_demand" sheet, calculate cokes production from EB, update dataflow, include production efficiency in "Steel and aluminium demand" and "Cokes demand"</t>
  </si>
  <si>
    <t>Calculations in TJ</t>
  </si>
  <si>
    <t>Demand (TJ)</t>
  </si>
  <si>
    <t>Coal (TJ)</t>
  </si>
  <si>
    <t>Cokes (TJ)</t>
  </si>
  <si>
    <t>Coal gas (TJ)</t>
  </si>
  <si>
    <t>Heat (TJ)</t>
  </si>
  <si>
    <t>Electricity (TJ)</t>
  </si>
  <si>
    <t>Other (TJ)</t>
  </si>
  <si>
    <t>Production efficiency (TJ/MT)</t>
  </si>
  <si>
    <t>Production efficiency (TJ/TJ)</t>
  </si>
  <si>
    <t>Production (TJ)</t>
  </si>
  <si>
    <t>-</t>
  </si>
  <si>
    <t>+</t>
  </si>
  <si>
    <t>TJ</t>
  </si>
  <si>
    <t>Other energy use</t>
  </si>
  <si>
    <t>Final demand coal</t>
  </si>
  <si>
    <t>Fit error &lt; 1%</t>
  </si>
  <si>
    <t>CSV-file containing the energy data that is needed for the industry analysis</t>
  </si>
  <si>
    <t>Add checks for fit errors, include cokes in coal except for transformation, created shares_to_industry_analysis, …</t>
  </si>
  <si>
    <t>Non-ferrous metals on Energy Balance</t>
  </si>
  <si>
    <t>IEA carriers in that are aggregated in the category Other are not considered in this analysis.</t>
  </si>
  <si>
    <t>Source analysis 'Metal production' / e.g. based on World Steel Association (http://www.worldsteel.org/statistics/statistics-archive/)</t>
  </si>
  <si>
    <t>Source analysis 'Metal production' / e.g. primary aluminium production can be based on http://minerals.usgs.gov/minerals/pubs/country/</t>
  </si>
  <si>
    <t>Shares per burner per technology</t>
  </si>
  <si>
    <t>On this sheet the shares per burner per technology are calculated based on the final demand per carrier per terchnology from Steel and aluminium demand.</t>
  </si>
  <si>
    <t>Overview of transformation, own use and final consumption in the Metal industry. This data is exported to the Industry analysis using the purple export_to_industry_analysis sheet</t>
  </si>
  <si>
    <t>Remove "shares_to_industry_analysis", update "export_to_industry_analysis", minor layout changes</t>
  </si>
  <si>
    <t>Update fuel aggregation to correct for own use in electricity, CHP and heat plants</t>
  </si>
  <si>
    <t>Energy industry own use (excl. electricity, CHP and heat plants)</t>
  </si>
  <si>
    <t>industry_steel_blastfurnace_current_consumption_useable_heat</t>
  </si>
  <si>
    <t>industry_steel_blastfurnace_bat_consumption_useable_heat</t>
  </si>
  <si>
    <t>industry_steel_hisarna_consumption_useable_heat</t>
  </si>
  <si>
    <t>industry_aluminium_carbothermalreduction_electricity</t>
  </si>
  <si>
    <t>industry_other_metals_process_electricity</t>
  </si>
  <si>
    <t>industry_final_demand_for_metal_electricity_parent_share</t>
  </si>
  <si>
    <t>industry_final_demand_for_metal_network_gas_parent_share</t>
  </si>
  <si>
    <t>industry_steel_electricfurnace_burner_network_gas</t>
  </si>
  <si>
    <t>industry_steel_blastfurnace_burner_coal_gas</t>
  </si>
  <si>
    <t>industry_aluminium_burner_network_gas</t>
  </si>
  <si>
    <t>industry_other_metals_burner_network_gas</t>
  </si>
  <si>
    <t>industry_other_metals_process_heat_useable_heat</t>
  </si>
  <si>
    <t>industry_aluminium_burner_network_gas_parent_share</t>
  </si>
  <si>
    <t>industry_final_demand_for_metal_steam_hot_water_parent_share</t>
  </si>
  <si>
    <t>industry_steel_blastfurnace_burner_coal_gas_parent_share</t>
  </si>
  <si>
    <t>industry_aluminium_electrolysis_current_electricity</t>
  </si>
  <si>
    <t>industry_aluminium_electrolysis_bat_electricity</t>
  </si>
  <si>
    <t>industry_aluminium_smeltoven_electricity</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</si>
  <si>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</si>
  <si>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</si>
  <si>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</si>
  <si>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</si>
  <si>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</si>
  <si>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</si>
  <si>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</si>
  <si>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</si>
  <si>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</si>
  <si>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</si>
  <si>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</si>
  <si>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</si>
  <si>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</si>
  <si>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</si>
  <si>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</si>
  <si>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</si>
  <si>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Updated energy balance</t>
  </si>
  <si>
    <t>Updated efficiencies (higher significance)</t>
  </si>
  <si>
    <t>Update csv to resemble updated graph structure</t>
  </si>
  <si>
    <t>CSV-file containing the split of metal sector final demand for electricity over the different technologies</t>
  </si>
  <si>
    <t>CSV-file containing the split of metal sector final demand for network gas over the different technologies</t>
  </si>
  <si>
    <t>CSV-file containing the split of metal sector final demand for heat over the different technologies</t>
  </si>
  <si>
    <t>export_to_industry_analysis</t>
  </si>
  <si>
    <t>industry_steel_electricfurnace_electricity</t>
  </si>
  <si>
    <t>Index with description of all the sheets in this analysis</t>
  </si>
  <si>
    <t>Introduction to the Energy Transition Model (ETM) and the Metal industry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</si>
  <si>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</si>
  <si>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</si>
  <si>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2. Look over all the assumptions and checks on the Assumptions sheet and the Dashboard sheet. Consult the documentation for additional information.</t>
  </si>
  <si>
    <r>
      <t>Coke oven coke (</t>
    </r>
    <r>
      <rPr>
        <i/>
        <sz val="12"/>
        <rFont val="Calibri"/>
        <family val="2"/>
        <scheme val="minor"/>
      </rPr>
      <t>except in transformation</t>
    </r>
    <r>
      <rPr>
        <sz val="12"/>
        <rFont val="Calibri"/>
        <family val="2"/>
        <scheme val="minor"/>
      </rPr>
      <t>)</t>
    </r>
  </si>
  <si>
    <t xml:space="preserve">On this sheet the Other energy use in the Metal industry is calculated.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sub-sectors. </t>
  </si>
  <si>
    <t>Other energy use in Metal sub-sector</t>
  </si>
  <si>
    <t>Energy use for other purposes in Iron and steel sub-sector</t>
  </si>
  <si>
    <t>Steel production from technological data</t>
  </si>
  <si>
    <t>Aluminium production from technological data</t>
  </si>
  <si>
    <t>Energy use for other purposes in Non-ferrous metals sub-sector</t>
  </si>
  <si>
    <t>Minor layout changes, updated "Introduction", updated notes, updated calculation formatting</t>
  </si>
  <si>
    <t>4. Keep in mind the checks on the Dashboard. If a check fails, try to understand what goes wrong and adjust your assumptions as long as you feel it is still realistic.</t>
  </si>
  <si>
    <t>5. If you encounter other problems please contact Quintel Intelligence.</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</si>
  <si>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</si>
  <si>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</si>
  <si>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r>
      <t xml:space="preserve">Coke oven coke </t>
    </r>
    <r>
      <rPr>
        <i/>
        <sz val="12"/>
        <rFont val="Calibri"/>
        <family val="2"/>
        <scheme val="minor"/>
      </rPr>
      <t>(in case of transformation)</t>
    </r>
  </si>
  <si>
    <t>IEA carrier</t>
  </si>
  <si>
    <t>Improve checks on "Dashboard"</t>
  </si>
  <si>
    <t>Final demand of coal in Other energy use in Metal sub-sector is non-negative</t>
  </si>
  <si>
    <t>Final demand of network gas in Other energy use in Metal sub-sector is non-negative</t>
  </si>
  <si>
    <t>Final demand of electricity in Other energy use in Metal sub-sector is non-negative</t>
  </si>
  <si>
    <t>Final demand of heat in Other energy use in Metal sub-sector is non-negative</t>
  </si>
  <si>
    <t>Final demand of other carrier should not exceed 0.5% of final demand</t>
  </si>
  <si>
    <t>Adding "Coal gas analysis" and corresponding output csv's from Industry analysis'; updating "Contents" and "Dataflow"</t>
  </si>
  <si>
    <t>energy_steel_blastfurnace_bat_transformation_cokes</t>
  </si>
  <si>
    <t>energy_steel_blastfurnace_current_transformation_cokes</t>
  </si>
  <si>
    <t>Share</t>
  </si>
  <si>
    <t>Coal gas analysis</t>
  </si>
  <si>
    <t>energy_cokesoven_consumption_coal_gas</t>
  </si>
  <si>
    <t>Calculation of data for transformation sub-graph</t>
  </si>
  <si>
    <t>Updating energy balance to 20130729 version</t>
  </si>
  <si>
    <t>Improving carrier naming to resemble carrier names in ETM</t>
  </si>
  <si>
    <t>Final demand crude oil</t>
  </si>
  <si>
    <t>Final demand of crude oil in Other energy use in Metal sub-sector is non-negative</t>
  </si>
  <si>
    <t>Network gas (TJ)</t>
  </si>
  <si>
    <t>Wood pellets (TJ)</t>
  </si>
  <si>
    <t>Crude oil (TJ)</t>
  </si>
  <si>
    <t>Update fuel aggregation</t>
  </si>
  <si>
    <t>Update fuel aggregation: include gas work gas and other recovered gases in coal gas</t>
  </si>
  <si>
    <t>Improve "coal gas analysis" to avoid negative shares (only in combination with adapted efficiencies, v1.23)</t>
  </si>
  <si>
    <t>Efficiency (TJ/MT)</t>
  </si>
  <si>
    <t>Other recovered</t>
  </si>
  <si>
    <t>Calculate steel production efficiencies from energy balance, update fuel aggregation: exclude gas work gas from coal gas; added efficiencies export</t>
  </si>
  <si>
    <t>output.not_defined</t>
  </si>
  <si>
    <t>output.coal_gas</t>
  </si>
  <si>
    <t>output.cokes</t>
  </si>
  <si>
    <t>Adapt "Contents" and "Dataflow"</t>
  </si>
  <si>
    <t>Update csv naming</t>
  </si>
  <si>
    <t>csv_export_to_industry_analysis</t>
  </si>
  <si>
    <t>csv_metals_electricity_parent_share</t>
  </si>
  <si>
    <t>csv_metals_steam_hot_water_parent_share</t>
  </si>
  <si>
    <t>csv_industry_burner_aluminium_parent_share</t>
  </si>
  <si>
    <t>csv_industry_burner_blastfurnace_parent_share</t>
  </si>
  <si>
    <t>csv_metals_network_gas_parent_share</t>
  </si>
  <si>
    <t>Update "csv_metal_efficiencies"</t>
  </si>
  <si>
    <t>input.coal</t>
  </si>
  <si>
    <t>input.cokes</t>
  </si>
  <si>
    <t>input.coal_gas</t>
  </si>
  <si>
    <t>input.electricity</t>
  </si>
  <si>
    <t>Analysis cannot handle the cyclone oven at the moment. The formatting is adapted to show that a manual input is not possible on the Dashboard.</t>
  </si>
  <si>
    <t>Layout changes, include names</t>
  </si>
  <si>
    <t>Coal transformation not modelled</t>
  </si>
  <si>
    <t>Cokes transformation not modelled</t>
  </si>
  <si>
    <t>Coal gas transformation not modelled</t>
  </si>
  <si>
    <t>Coal gas own use not modelled</t>
  </si>
  <si>
    <t>Coal gas final consumption not modelled</t>
  </si>
  <si>
    <t>In the table below the energy balance is imported and will be used in the analysis.</t>
  </si>
  <si>
    <t>3. Fill in the assumptions on the Dashboard sheet using reliable sources and/or use the source analysis mentioned in the comments. Please document your sources.</t>
  </si>
  <si>
    <t>6. Export the csv files using the export button on the Dashboard sheet.</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</si>
  <si>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</si>
  <si>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On this sheet the conversion factors or input and output efficiencies (non-dimensional) are calculated from the production efficiencies (PJ/MT) from the technological specifications.</t>
  </si>
  <si>
    <t>On this sheet the conversion factors or input and output efficiencies (non-dimensional) are calculated from the production efficiencies (PJ/MT) from the technological specifications. See "Steel and alu eff" sheet for more information.</t>
  </si>
  <si>
    <t>The Energy Transition Model</t>
  </si>
  <si>
    <t>Steel and aluminium production by various technologies</t>
  </si>
  <si>
    <t>Input and output efficiencies</t>
  </si>
  <si>
    <t>Steel demand</t>
  </si>
  <si>
    <t>Aluminium demand</t>
  </si>
  <si>
    <t>Transformation and consumption factors</t>
  </si>
  <si>
    <t>Layout changes, add country and year to "Dashboard"</t>
  </si>
  <si>
    <t>Base year for this analysis</t>
  </si>
  <si>
    <t>Layout changes, update "Dashboard"</t>
  </si>
  <si>
    <t>country</t>
  </si>
  <si>
    <t>base_year</t>
  </si>
  <si>
    <t>metal_steel_production</t>
  </si>
  <si>
    <t>metal_steel_share_blast_furnace_current</t>
  </si>
  <si>
    <t>metal_steel_share_blast_furnace_bat</t>
  </si>
  <si>
    <t>metal_steel_share_cyclone</t>
  </si>
  <si>
    <t>metal_steel_share_electric</t>
  </si>
  <si>
    <t>metal_steel_burner_share_coal_gas</t>
  </si>
  <si>
    <t>metal_steel_burner_share_network_gas</t>
  </si>
  <si>
    <t>metal_aluminium_production</t>
  </si>
  <si>
    <t>metal_aluminium_share_electrolysis_current</t>
  </si>
  <si>
    <t>metal_aluminium_share_electrolysis_bat</t>
  </si>
  <si>
    <t>metal_aluminium_share_melting_oven</t>
  </si>
  <si>
    <t>metal_aluminium_share_carbothermal_reduction</t>
  </si>
  <si>
    <t>Efficiency (TJ/TJ)</t>
  </si>
  <si>
    <t>Burner efficiencies</t>
  </si>
  <si>
    <t>Steel production efficiencies</t>
  </si>
  <si>
    <t>Cokes production efficiencies</t>
  </si>
  <si>
    <t>Aluminium production efficiencies</t>
  </si>
  <si>
    <t>Energy balance</t>
  </si>
  <si>
    <t>Transformation output</t>
  </si>
  <si>
    <t>Transformation input</t>
  </si>
  <si>
    <t>Consumption output</t>
  </si>
  <si>
    <t>Consumption input</t>
  </si>
  <si>
    <t>Key</t>
  </si>
  <si>
    <t>Critical check</t>
  </si>
  <si>
    <t>Final demand (TJ)</t>
  </si>
  <si>
    <t>Carrier</t>
  </si>
  <si>
    <t>aluminium_production</t>
  </si>
  <si>
    <t>steel_production</t>
  </si>
  <si>
    <t>share_steel_blast_furnace_current</t>
  </si>
  <si>
    <t>share_steel_blast_furnace_bat</t>
  </si>
  <si>
    <t>share_steel_cyclone</t>
  </si>
  <si>
    <t>share_steel_electric</t>
  </si>
  <si>
    <t>share_blast_furnace_burner_coal_gas</t>
  </si>
  <si>
    <t>share_blast_furnace_burner_network_gas</t>
  </si>
  <si>
    <t>share_aluminium_electrolysis_current</t>
  </si>
  <si>
    <t>share_aluminium_electrolysis_bat</t>
  </si>
  <si>
    <t>share_aluminium_melting_oven</t>
  </si>
  <si>
    <t>share_aluminium_carbothermal_reduction</t>
  </si>
  <si>
    <t>input.useable_heat</t>
  </si>
  <si>
    <t>Changes in efficiencies output</t>
  </si>
  <si>
    <t>Automatically import/export analysis data</t>
  </si>
  <si>
    <t>Corrected energy balance step 2</t>
  </si>
  <si>
    <t>Corrected energy balance step 2 for your country and year.</t>
  </si>
  <si>
    <t>Renamed corrected energy balance</t>
  </si>
  <si>
    <t>1. Import the corrected energy balance step 2 using the import button on the Dashboard sheet.</t>
  </si>
  <si>
    <t>Adapt "Final demand" and "csv_export_to_industry_analysis" to calculate the final demand of the metal sector solely from the energetic consumption</t>
  </si>
  <si>
    <t>Update "Contents", correct for "-" in woodpellets to avoid error (#VALUE); clean up "Technological specification"</t>
  </si>
  <si>
    <t>Consumption input (TJ)</t>
  </si>
  <si>
    <t>Transformation input (TJ)</t>
  </si>
  <si>
    <t>Name</t>
  </si>
  <si>
    <t>energy_cokesoven_transformation_coal_efficiency</t>
  </si>
  <si>
    <t>energy_cokesoven_consumption_coal_gas_efficiency</t>
  </si>
  <si>
    <t>energy_steel_blastfurnace_bat_transformation_cokes_efficiency</t>
  </si>
  <si>
    <t>energy_steel_blastfurnace_current_transformation_cokes_efficiency</t>
  </si>
  <si>
    <t>input.coupling_carrier</t>
  </si>
  <si>
    <t>industry_steel_blastfurnace_current_consumption_useable_heat_efficiency</t>
  </si>
  <si>
    <t>industry_steel_blastfurnace_bat_consumption_useable_heat_efficiency</t>
  </si>
  <si>
    <t>converter key</t>
  </si>
  <si>
    <t>converter attribute</t>
  </si>
  <si>
    <t>output.useable_heat</t>
  </si>
  <si>
    <t>industry_steel_blastfurnace_burner_coal_gas.converter</t>
  </si>
  <si>
    <t>industry_steel_electricfurnace_burner_network_gas.converter</t>
  </si>
  <si>
    <t>industry_aluminium_burner_network_gas.converter</t>
  </si>
  <si>
    <t>industry_other_metals_burner_network_gas.converter</t>
  </si>
  <si>
    <t>Imported from Etsource with VBA script</t>
  </si>
  <si>
    <t>Calculated from energy balance</t>
  </si>
  <si>
    <t>If a check is red or orange, please follow these instructions</t>
  </si>
  <si>
    <t>Add data validation to make sure that the steel and aluminium production is above 0. Describe importance of correct values for steel and aluminium production in Introduction and on the Dashboard.</t>
  </si>
  <si>
    <t>The goal of this analysis is to calculate the energy use in the Metal industry sub-sector, based on the physical metal production and corresponding production characteristics. Energy use in transformation, own use and consumption is calculated for the production of steel and aluminium.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 The efficiencies of various production technologies are country dependent. In this analysis the assumed steel production is used in combination with data from the Energy Balance to calculate these efficiencies. Correct values for the annual production of steel  is therefore important!</t>
  </si>
  <si>
    <t>metal_demands</t>
  </si>
  <si>
    <t>demand</t>
  </si>
  <si>
    <t>energy_steel_hisarna_transformation_coal</t>
  </si>
  <si>
    <t>Add csv of transformation converter demands.</t>
  </si>
  <si>
    <t>csv_metal_demands</t>
  </si>
  <si>
    <t>It is now possible to define a non-zero technology share for the cyclone oven. Adapted Dashboard, Introduction and Assumptions.</t>
  </si>
  <si>
    <t>Added buttons on Dashboard</t>
  </si>
  <si>
    <t>Improve checks and description on the Dashboard. Include information about energy use on the energy balance for comparison.</t>
  </si>
  <si>
    <t>Fix calculation of efficiencies when there is a non-zero technology share of the blastfurnace BAT technology.</t>
  </si>
  <si>
    <t>Add some extra efficiencies as reference in metal efficiencies</t>
  </si>
  <si>
    <t>Enable import of all static efficiencies in technical_specs</t>
  </si>
  <si>
    <t>input.torrified_biomass_pellets</t>
  </si>
  <si>
    <t>output.loss</t>
  </si>
  <si>
    <t>industry_steel_blastfurnace_current_consumption_useable_heat.converter</t>
  </si>
  <si>
    <t>energy_steel_blastfurnace_current_transformation_cokes.converter</t>
  </si>
  <si>
    <t>industry_steel_blastfurnace_bat_consumption_useable_heat.converter</t>
  </si>
  <si>
    <t>energy_steel_blastfurnace_bat_transformation_cokes.converter</t>
  </si>
  <si>
    <t>energy_steel_hisarna_transformation_coal.converter</t>
  </si>
  <si>
    <t>industry_steel_electricfurnace_electricity.converter</t>
  </si>
  <si>
    <t>energy_cokesoven_consumption_coal_gas.converter</t>
  </si>
  <si>
    <t>energy_cokesoven_transformation_coal.converter</t>
  </si>
  <si>
    <t>industry_aluminium_electrolysis_current_electricity.converter</t>
  </si>
  <si>
    <t>industry_aluminium_electrolysis_bat_electricity.converter</t>
  </si>
  <si>
    <t>industry_aluminium_smeltoven_electricity.converter</t>
  </si>
  <si>
    <t>industry_aluminium_carbothermalreduction_electricity.converter</t>
  </si>
  <si>
    <t>industry_steel_hisarna_consumption_useable_heat.converter</t>
  </si>
  <si>
    <t>output.coupling_carrier</t>
  </si>
  <si>
    <t>Coal input</t>
  </si>
  <si>
    <t>Cokes input</t>
  </si>
  <si>
    <t>Coal gas output</t>
  </si>
  <si>
    <t>Application</t>
  </si>
  <si>
    <t>Specification</t>
  </si>
  <si>
    <t>Torriefied biomass pellets input</t>
  </si>
  <si>
    <t>Coal gas input</t>
  </si>
  <si>
    <t>Calculated from factors</t>
  </si>
  <si>
    <t>output.steam_hot_water</t>
  </si>
  <si>
    <t>This sheet contains technical specifications (efficiencies) used in the ETM. At the moment, part of the effeciencies are calculated based on the energy balance. Other values are automatically queried (VBA script from analysis_manager). Some efficiencies are currently hard-coded in this analysis.</t>
  </si>
  <si>
    <t>Update texts</t>
  </si>
  <si>
    <t>Metals industry analysis</t>
  </si>
  <si>
    <t>Other energy use in Metal industry sub-sector</t>
  </si>
  <si>
    <t>Dataflow Metal industry analysis</t>
  </si>
  <si>
    <t>On this sheet you can fill the country specific assumptions for your country. Please mind the checks, if one or more become red it means that with the information you provided we cannot run the ETM. Concerning your assumptions please provide sources. The steel production assumption is used for the calculation of country specific efficiencies. Accurate values are therefore key for the correct modelling of the Metal industry sub-sector. Figures on the use of coal, cokes and coal gas on the energy balance are reported for review. Energy use in the Metal industry sub-sector that is not used for steel or aluminium production will be aggregated as other metals production.</t>
  </si>
  <si>
    <t>Coal transformation in Metal industry sub-sector on energy balance</t>
  </si>
  <si>
    <t>Cokes transformation in Metal industry sub-sector on energy balance</t>
  </si>
  <si>
    <t>Coal gas transformation in Metal industry sub-sector on energy balance</t>
  </si>
  <si>
    <t>Coal gas own use in Metal industry sub-sector on energy balance</t>
  </si>
  <si>
    <t>Coal gas final consumption in Metal industry sub-sector on energy balance</t>
  </si>
  <si>
    <t>Removed technical specs</t>
  </si>
  <si>
    <t>Calculation of transformation and consumption factors defining the relation between the consumption and transformation parts of blast furnaces, hisarna furnaces and coke ovens.</t>
  </si>
  <si>
    <t>csv_blast_curr_cons_efficiency</t>
  </si>
  <si>
    <t>CSV-file containing the efficiency of the blastfurnace current consumption converter</t>
  </si>
  <si>
    <t>csv_blast_bat_cons_efficiency</t>
  </si>
  <si>
    <t>CSV-file containing the efficiency of the blastfurnace BAT consumption converter</t>
  </si>
  <si>
    <t>csv_blast_curr_trans_efficiency</t>
  </si>
  <si>
    <t>CSV-file containing the efficiency of the blastfurnace current transformation converter</t>
  </si>
  <si>
    <t>csv_blast_bat_trans_efficiency</t>
  </si>
  <si>
    <t>CSV-file containing the efficiency of the blastfurnace BAT transformation converter</t>
  </si>
  <si>
    <t>CSV-file containing the efficiency of the cokesoven consumption converter</t>
  </si>
  <si>
    <t>CSV-file containing the efficiency of the cokesoven transformation converter</t>
  </si>
  <si>
    <t>CSV-file containing demands of the cokesoven consumption converter and the steel production transformation converters</t>
  </si>
  <si>
    <t>csv_cokesoven_cons_efficiency</t>
  </si>
  <si>
    <t>csv_cokesoven_trans_efficiency</t>
  </si>
  <si>
    <t>Cokes production is now demand driven. The coal_gas parent shares are not needed anymore and are removed. See also …</t>
  </si>
  <si>
    <t>Cokes production</t>
  </si>
  <si>
    <t>Minor layout improvements. Improved dataflow. Improved checks if steel production = 0 or when there is no cokes production.</t>
  </si>
  <si>
    <t>Updated cokes demand sheet to make sure that the calculated cokes production is based on the cokes demand for steel production</t>
  </si>
  <si>
    <t>Percentage of input from coal (and cokes)</t>
  </si>
  <si>
    <t>share_blast_furnace_burner_coal</t>
  </si>
  <si>
    <t>metal_steel_burner_share_coal</t>
  </si>
  <si>
    <t>industry_final_demand_for_metal_coal_parent_share</t>
  </si>
  <si>
    <t>May 28, 2014</t>
  </si>
  <si>
    <t>Enabled the coal (i.e. cokes) consumption in the blast furnace burner, because several countries does have a substantial final demand of coke oven coke in the iron and steel sector. Added aditional assumption on dashboard, made changes to the Steel and alu demand and Shares per carrier per tech sheet. Added csv_metals_coal_parent_share sheet. See also https://github.com/quintel/etdataset/issues/490)</t>
  </si>
  <si>
    <t>Percentage of coal input in blastfurnace burner</t>
  </si>
  <si>
    <t>Optimize share to minimize not modelled final coal gas consumption</t>
  </si>
  <si>
    <t>Mathijs Bijkerk</t>
  </si>
  <si>
    <t>Changed the cokes oven production in the cokes demand sheet, from the cokes production necessary for steel production, to the actual cokes production in a country dataset, by reading the production directly from the energy balance (the fuel aggregation sheet). See also https://github.com/quintel/etdataset/issues/438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</si>
</sst>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409]mmmm\ d\,\ yyyy;@"/>
    <numFmt numFmtId="167" formatCode="0.000"/>
    <numFmt numFmtId="168" formatCode="0.00000000"/>
    <numFmt numFmtId="169" formatCode="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sz val="8"/>
      <name val="Calibri"/>
      <family val="2"/>
      <scheme val="minor"/>
    </font>
    <font>
      <u/>
      <sz val="12"/>
      <color rgb="FFFF0000"/>
      <name val="Calibri"/>
      <family val="2"/>
      <scheme val="minor"/>
    </font>
    <font>
      <b/>
      <sz val="12"/>
      <color rgb="FFFF0000"/>
      <name val="Calibri"/>
      <family val="2"/>
      <scheme val="minor"/>
    </font>
    <font>
      <i/>
      <sz val="12"/>
      <name val="Calibri"/>
      <family val="2"/>
      <scheme val="minor"/>
    </font>
    <font>
      <b/>
      <sz val="12"/>
      <color rgb="FF000000"/>
      <name val="Calibri"/>
      <family val="2"/>
      <scheme val="minor"/>
    </font>
    <font>
      <b/>
      <u/>
      <sz val="12"/>
      <name val="Calibri"/>
      <family val="2"/>
      <scheme val="minor"/>
    </font>
    <font>
      <i/>
      <sz val="12"/>
      <color rgb="FFFF0000"/>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u/>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s>
  <borders count="6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bottom style="double">
        <color auto="1"/>
      </bottom>
      <diagonal/>
    </border>
  </borders>
  <cellStyleXfs count="1573">
    <xf numFmtId="0" fontId="0" fillId="0" borderId="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6">
    <xf numFmtId="0" fontId="0" fillId="0" borderId="0" xfId="0"/>
    <xf numFmtId="0" fontId="0" fillId="2" borderId="0" xfId="0" applyFill="1"/>
    <xf numFmtId="0" fontId="8" fillId="2" borderId="0" xfId="0" applyFont="1" applyFill="1"/>
    <xf numFmtId="0" fontId="7" fillId="2" borderId="1" xfId="0" applyFont="1" applyFill="1" applyBorder="1"/>
    <xf numFmtId="0" fontId="0" fillId="2" borderId="2" xfId="0" applyFill="1" applyBorder="1"/>
    <xf numFmtId="0" fontId="0" fillId="2" borderId="3" xfId="0" applyFill="1" applyBorder="1"/>
    <xf numFmtId="0" fontId="9"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9" fillId="3" borderId="1" xfId="0" applyFont="1" applyFill="1" applyBorder="1" applyAlignment="1">
      <alignment vertical="center"/>
    </xf>
    <xf numFmtId="0" fontId="7" fillId="2" borderId="2" xfId="0" applyFont="1" applyFill="1" applyBorder="1"/>
    <xf numFmtId="0" fontId="7" fillId="2" borderId="0"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7"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7" fillId="2" borderId="10" xfId="0" applyFont="1" applyFill="1" applyBorder="1"/>
    <xf numFmtId="0" fontId="7"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7" fillId="2" borderId="15" xfId="0" applyFont="1" applyFill="1" applyBorder="1"/>
    <xf numFmtId="0" fontId="7" fillId="2" borderId="13" xfId="0" applyFont="1" applyFill="1" applyBorder="1"/>
    <xf numFmtId="0" fontId="7" fillId="2" borderId="14" xfId="0" applyFont="1" applyFill="1" applyBorder="1"/>
    <xf numFmtId="0" fontId="12" fillId="2" borderId="13" xfId="0" applyFont="1" applyFill="1" applyBorder="1"/>
    <xf numFmtId="0" fontId="0" fillId="0" borderId="14" xfId="0" applyFill="1" applyBorder="1"/>
    <xf numFmtId="0" fontId="0" fillId="2" borderId="15" xfId="0" applyFill="1" applyBorder="1"/>
    <xf numFmtId="0" fontId="0" fillId="2" borderId="17" xfId="0" applyFill="1" applyBorder="1"/>
    <xf numFmtId="0" fontId="14" fillId="2" borderId="13" xfId="0" applyFont="1" applyFill="1" applyBorder="1"/>
    <xf numFmtId="0" fontId="7" fillId="0" borderId="1" xfId="0" applyFont="1" applyBorder="1"/>
    <xf numFmtId="0" fontId="0" fillId="2" borderId="11" xfId="0" applyFill="1" applyBorder="1"/>
    <xf numFmtId="0" fontId="7" fillId="2" borderId="21" xfId="0" applyFont="1" applyFill="1" applyBorder="1"/>
    <xf numFmtId="0" fontId="0" fillId="2" borderId="22" xfId="0" applyFill="1" applyBorder="1"/>
    <xf numFmtId="0" fontId="0" fillId="2" borderId="21" xfId="0" applyFill="1" applyBorder="1"/>
    <xf numFmtId="0" fontId="7" fillId="2" borderId="22" xfId="0" applyFont="1" applyFill="1" applyBorder="1"/>
    <xf numFmtId="0" fontId="0" fillId="2" borderId="22" xfId="0" applyFont="1" applyFill="1" applyBorder="1"/>
    <xf numFmtId="0" fontId="17" fillId="2" borderId="1" xfId="0" applyFont="1" applyFill="1" applyBorder="1"/>
    <xf numFmtId="0" fontId="11" fillId="2" borderId="7"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7" fillId="2" borderId="0" xfId="0" applyFont="1" applyFill="1"/>
    <xf numFmtId="0" fontId="7" fillId="2" borderId="44" xfId="0" applyFont="1" applyFill="1" applyBorder="1"/>
    <xf numFmtId="0" fontId="18" fillId="2" borderId="0" xfId="0" applyFont="1" applyFill="1" applyAlignment="1">
      <alignment vertical="center"/>
    </xf>
    <xf numFmtId="0" fontId="18" fillId="2" borderId="0" xfId="0" applyFont="1" applyFill="1" applyAlignment="1">
      <alignment horizontal="center" vertical="center"/>
    </xf>
    <xf numFmtId="0" fontId="0" fillId="2" borderId="0" xfId="0" applyFont="1" applyFill="1" applyAlignment="1">
      <alignment horizontal="left" vertical="center"/>
    </xf>
    <xf numFmtId="0" fontId="8" fillId="2" borderId="0" xfId="0" applyFont="1" applyFill="1" applyAlignment="1">
      <alignment vertical="center"/>
    </xf>
    <xf numFmtId="0" fontId="7"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0" fillId="2" borderId="6" xfId="0" applyFont="1" applyFill="1" applyBorder="1" applyAlignment="1">
      <alignment horizontal="left" vertical="top"/>
    </xf>
    <xf numFmtId="0" fontId="18" fillId="2" borderId="7" xfId="0" applyFont="1" applyFill="1" applyBorder="1" applyAlignment="1">
      <alignment vertical="center"/>
    </xf>
    <xf numFmtId="0" fontId="18" fillId="2" borderId="8" xfId="0" applyFont="1" applyFill="1" applyBorder="1" applyAlignment="1">
      <alignment vertical="center"/>
    </xf>
    <xf numFmtId="0" fontId="0" fillId="7" borderId="0" xfId="0" applyFill="1" applyBorder="1"/>
    <xf numFmtId="0" fontId="11" fillId="0" borderId="0" xfId="0" applyFont="1" applyBorder="1" applyAlignment="1">
      <alignment horizontal="left" vertical="top" wrapText="1"/>
    </xf>
    <xf numFmtId="0" fontId="17" fillId="2" borderId="44" xfId="0" applyFont="1" applyFill="1" applyBorder="1"/>
    <xf numFmtId="0" fontId="17" fillId="2" borderId="22" xfId="0" applyFont="1" applyFill="1" applyBorder="1"/>
    <xf numFmtId="0" fontId="19" fillId="2" borderId="0" xfId="0" applyFont="1" applyFill="1" applyAlignment="1">
      <alignment horizontal="left" vertical="center"/>
    </xf>
    <xf numFmtId="0" fontId="7" fillId="2" borderId="16" xfId="0" applyFont="1" applyFill="1" applyBorder="1"/>
    <xf numFmtId="0" fontId="11" fillId="0" borderId="14" xfId="0" applyFont="1" applyFill="1" applyBorder="1"/>
    <xf numFmtId="0" fontId="7" fillId="2" borderId="42" xfId="0" applyFont="1" applyFill="1" applyBorder="1"/>
    <xf numFmtId="0" fontId="0" fillId="11" borderId="0" xfId="0" applyFill="1" applyBorder="1"/>
    <xf numFmtId="0" fontId="0" fillId="9" borderId="0" xfId="0" applyFill="1" applyBorder="1"/>
    <xf numFmtId="0" fontId="0" fillId="6" borderId="0" xfId="0" applyFill="1" applyBorder="1"/>
    <xf numFmtId="0" fontId="0" fillId="12"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3" fillId="0" borderId="4" xfId="0" applyNumberFormat="1" applyFont="1" applyFill="1" applyBorder="1" applyAlignment="1">
      <alignment horizontal="left" vertical="center"/>
    </xf>
    <xf numFmtId="0" fontId="11" fillId="11" borderId="24" xfId="0" applyFont="1" applyFill="1" applyBorder="1" applyAlignment="1">
      <alignment vertical="center"/>
    </xf>
    <xf numFmtId="0" fontId="11" fillId="4" borderId="24" xfId="0" applyFont="1" applyFill="1" applyBorder="1" applyAlignment="1">
      <alignment vertical="center"/>
    </xf>
    <xf numFmtId="0" fontId="11" fillId="9" borderId="24" xfId="0" applyFont="1" applyFill="1" applyBorder="1" applyAlignment="1">
      <alignment vertical="center"/>
    </xf>
    <xf numFmtId="0" fontId="8" fillId="2" borderId="0" xfId="0" applyFont="1" applyFill="1" applyBorder="1"/>
    <xf numFmtId="0" fontId="11" fillId="2" borderId="0" xfId="0" applyFont="1" applyFill="1"/>
    <xf numFmtId="0" fontId="7" fillId="2" borderId="45" xfId="0" applyFont="1" applyFill="1" applyBorder="1"/>
    <xf numFmtId="0" fontId="7" fillId="0" borderId="7" xfId="0" applyFont="1" applyFill="1" applyBorder="1" applyAlignment="1">
      <alignment vertical="top" wrapText="1"/>
    </xf>
    <xf numFmtId="0" fontId="7" fillId="0" borderId="16" xfId="0" applyFont="1" applyFill="1" applyBorder="1" applyAlignment="1">
      <alignment vertical="top" wrapText="1"/>
    </xf>
    <xf numFmtId="0" fontId="6" fillId="2" borderId="17" xfId="0" applyFont="1" applyFill="1" applyBorder="1"/>
    <xf numFmtId="0" fontId="0" fillId="0" borderId="22" xfId="0" applyBorder="1"/>
    <xf numFmtId="0" fontId="6" fillId="2" borderId="0" xfId="0" applyFont="1" applyFill="1"/>
    <xf numFmtId="2" fontId="0" fillId="2" borderId="0" xfId="0" applyNumberFormat="1" applyFill="1"/>
    <xf numFmtId="0" fontId="7" fillId="2" borderId="15" xfId="0" applyFont="1" applyFill="1" applyBorder="1" applyAlignment="1">
      <alignment vertical="top" wrapText="1"/>
    </xf>
    <xf numFmtId="0" fontId="7" fillId="2" borderId="7" xfId="0" applyFont="1" applyFill="1" applyBorder="1" applyAlignment="1">
      <alignment vertical="top" wrapText="1"/>
    </xf>
    <xf numFmtId="2" fontId="7" fillId="2" borderId="16" xfId="0" applyNumberFormat="1" applyFont="1" applyFill="1" applyBorder="1" applyAlignment="1">
      <alignment vertical="top" wrapText="1"/>
    </xf>
    <xf numFmtId="165" fontId="0" fillId="2" borderId="18" xfId="1" applyNumberFormat="1" applyFont="1" applyFill="1" applyBorder="1"/>
    <xf numFmtId="0" fontId="11" fillId="2" borderId="0" xfId="0" applyFont="1" applyFill="1" applyBorder="1"/>
    <xf numFmtId="0" fontId="11" fillId="2" borderId="13" xfId="0" applyFont="1" applyFill="1" applyBorder="1"/>
    <xf numFmtId="0" fontId="11" fillId="2" borderId="2" xfId="0" applyFont="1" applyFill="1" applyBorder="1"/>
    <xf numFmtId="0" fontId="11" fillId="2" borderId="17" xfId="0" applyFont="1" applyFill="1" applyBorder="1"/>
    <xf numFmtId="0" fontId="11" fillId="2" borderId="18" xfId="0" applyFont="1" applyFill="1" applyBorder="1"/>
    <xf numFmtId="0" fontId="0" fillId="2" borderId="0" xfId="0" applyNumberFormat="1" applyFill="1" applyBorder="1" applyAlignment="1">
      <alignment horizontal="left"/>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ill="1" applyBorder="1"/>
    <xf numFmtId="2" fontId="7" fillId="2" borderId="14" xfId="0" applyNumberFormat="1" applyFont="1" applyFill="1" applyBorder="1" applyAlignment="1">
      <alignment vertical="top" wrapText="1"/>
    </xf>
    <xf numFmtId="2" fontId="7" fillId="2" borderId="19" xfId="0" applyNumberFormat="1" applyFont="1" applyFill="1" applyBorder="1" applyAlignment="1">
      <alignment vertical="top" wrapText="1"/>
    </xf>
    <xf numFmtId="165" fontId="7" fillId="2" borderId="0" xfId="0" applyNumberFormat="1" applyFont="1" applyFill="1" applyBorder="1" applyAlignment="1">
      <alignment vertical="top" wrapText="1"/>
    </xf>
    <xf numFmtId="165" fontId="7" fillId="2" borderId="18" xfId="0" applyNumberFormat="1" applyFont="1" applyFill="1" applyBorder="1" applyAlignment="1">
      <alignment vertical="top" wrapText="1"/>
    </xf>
    <xf numFmtId="0" fontId="17" fillId="2" borderId="11" xfId="0" applyNumberFormat="1" applyFont="1" applyFill="1" applyBorder="1"/>
    <xf numFmtId="0" fontId="17" fillId="2" borderId="0" xfId="0" applyNumberFormat="1" applyFont="1" applyFill="1" applyBorder="1"/>
    <xf numFmtId="0" fontId="17" fillId="2" borderId="4" xfId="0" applyNumberFormat="1" applyFont="1" applyFill="1" applyBorder="1"/>
    <xf numFmtId="0" fontId="17" fillId="0" borderId="7" xfId="0" applyNumberFormat="1" applyFont="1" applyFill="1" applyBorder="1" applyAlignment="1">
      <alignment vertical="top" wrapText="1"/>
    </xf>
    <xf numFmtId="0" fontId="17" fillId="0" borderId="6" xfId="0" applyNumberFormat="1" applyFont="1" applyFill="1" applyBorder="1" applyAlignment="1">
      <alignment vertical="top" wrapText="1"/>
    </xf>
    <xf numFmtId="2" fontId="17" fillId="2" borderId="0" xfId="0" applyNumberFormat="1" applyFont="1" applyFill="1" applyBorder="1" applyAlignment="1">
      <alignment vertical="top" wrapText="1"/>
    </xf>
    <xf numFmtId="2" fontId="17" fillId="2" borderId="4" xfId="0" applyNumberFormat="1" applyFont="1" applyFill="1" applyBorder="1" applyAlignment="1">
      <alignment vertical="top" wrapText="1"/>
    </xf>
    <xf numFmtId="2" fontId="11" fillId="0"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2" fontId="11" fillId="2" borderId="4" xfId="0" applyNumberFormat="1" applyFont="1" applyFill="1" applyBorder="1" applyAlignment="1">
      <alignment vertical="top" wrapText="1"/>
    </xf>
    <xf numFmtId="2" fontId="17" fillId="2" borderId="18" xfId="0" applyNumberFormat="1" applyFont="1" applyFill="1" applyBorder="1" applyAlignment="1">
      <alignment vertical="top" wrapText="1"/>
    </xf>
    <xf numFmtId="2" fontId="17" fillId="2" borderId="46" xfId="0" applyNumberFormat="1" applyFont="1" applyFill="1" applyBorder="1" applyAlignment="1">
      <alignment vertical="top" wrapText="1"/>
    </xf>
    <xf numFmtId="0" fontId="11" fillId="2" borderId="3" xfId="0" applyFont="1" applyFill="1" applyBorder="1"/>
    <xf numFmtId="0" fontId="17" fillId="2" borderId="11" xfId="0" applyFont="1" applyFill="1" applyBorder="1"/>
    <xf numFmtId="0" fontId="17" fillId="2" borderId="12" xfId="0" applyFont="1" applyFill="1" applyBorder="1"/>
    <xf numFmtId="0" fontId="17" fillId="2" borderId="4" xfId="0" applyFont="1" applyFill="1" applyBorder="1"/>
    <xf numFmtId="0" fontId="17" fillId="2" borderId="0" xfId="0" applyFont="1" applyFill="1" applyBorder="1"/>
    <xf numFmtId="0" fontId="17" fillId="2" borderId="14" xfId="0" applyFont="1" applyFill="1" applyBorder="1"/>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16" xfId="0" applyFont="1" applyFill="1" applyBorder="1" applyAlignment="1">
      <alignment vertical="top" wrapText="1"/>
    </xf>
    <xf numFmtId="2" fontId="17" fillId="2" borderId="14" xfId="0" applyNumberFormat="1" applyFont="1" applyFill="1" applyBorder="1" applyAlignment="1">
      <alignment vertical="top" wrapText="1"/>
    </xf>
    <xf numFmtId="2" fontId="11" fillId="2" borderId="14" xfId="0" applyNumberFormat="1" applyFont="1" applyFill="1" applyBorder="1" applyAlignment="1">
      <alignment vertical="top" wrapText="1"/>
    </xf>
    <xf numFmtId="2" fontId="11" fillId="2" borderId="4" xfId="0" applyNumberFormat="1" applyFont="1" applyFill="1" applyBorder="1"/>
    <xf numFmtId="2" fontId="11" fillId="2" borderId="0" xfId="0" applyNumberFormat="1" applyFont="1" applyFill="1" applyBorder="1"/>
    <xf numFmtId="2" fontId="17" fillId="2" borderId="19" xfId="0" applyNumberFormat="1" applyFont="1" applyFill="1" applyBorder="1" applyAlignment="1">
      <alignment vertical="top" wrapText="1"/>
    </xf>
    <xf numFmtId="0" fontId="11" fillId="2" borderId="0" xfId="0" applyNumberFormat="1" applyFont="1" applyFill="1" applyBorder="1"/>
    <xf numFmtId="0" fontId="11" fillId="2" borderId="0" xfId="0" applyNumberFormat="1" applyFont="1" applyFill="1"/>
    <xf numFmtId="0" fontId="17" fillId="2" borderId="1" xfId="0" applyNumberFormat="1" applyFont="1" applyFill="1" applyBorder="1"/>
    <xf numFmtId="0" fontId="11" fillId="2" borderId="2" xfId="0" applyNumberFormat="1" applyFont="1" applyFill="1" applyBorder="1"/>
    <xf numFmtId="0" fontId="11" fillId="2" borderId="3" xfId="0" applyNumberFormat="1" applyFont="1" applyFill="1" applyBorder="1"/>
    <xf numFmtId="0" fontId="11" fillId="12" borderId="24" xfId="0" applyFont="1" applyFill="1" applyBorder="1" applyAlignment="1">
      <alignment vertical="center"/>
    </xf>
    <xf numFmtId="0" fontId="11" fillId="6" borderId="24" xfId="0" applyFont="1" applyFill="1" applyBorder="1" applyAlignment="1">
      <alignment vertical="center"/>
    </xf>
    <xf numFmtId="0" fontId="11" fillId="5" borderId="24" xfId="0" applyFont="1" applyFill="1" applyBorder="1" applyAlignment="1">
      <alignment vertical="center"/>
    </xf>
    <xf numFmtId="0" fontId="11" fillId="7" borderId="24" xfId="0" applyFont="1" applyFill="1" applyBorder="1" applyAlignment="1">
      <alignment vertical="center"/>
    </xf>
    <xf numFmtId="2" fontId="11" fillId="2" borderId="0" xfId="0" applyNumberFormat="1" applyFont="1" applyFill="1"/>
    <xf numFmtId="2" fontId="17" fillId="2" borderId="11" xfId="0" applyNumberFormat="1" applyFont="1" applyFill="1" applyBorder="1"/>
    <xf numFmtId="2" fontId="17" fillId="2" borderId="0" xfId="0" applyNumberFormat="1" applyFont="1" applyFill="1" applyBorder="1"/>
    <xf numFmtId="2" fontId="11" fillId="2" borderId="13" xfId="0" applyNumberFormat="1" applyFont="1" applyFill="1" applyBorder="1" applyAlignment="1">
      <alignment horizontal="left" wrapText="1" indent="1"/>
    </xf>
    <xf numFmtId="2" fontId="17" fillId="2" borderId="10" xfId="0" applyNumberFormat="1" applyFont="1" applyFill="1" applyBorder="1"/>
    <xf numFmtId="2" fontId="11" fillId="2" borderId="13" xfId="0" applyNumberFormat="1" applyFont="1" applyFill="1" applyBorder="1"/>
    <xf numFmtId="2" fontId="17" fillId="2" borderId="13" xfId="0" applyNumberFormat="1" applyFont="1" applyFill="1" applyBorder="1" applyAlignment="1">
      <alignment vertical="top" wrapText="1"/>
    </xf>
    <xf numFmtId="2" fontId="11" fillId="2" borderId="47" xfId="0" applyNumberFormat="1" applyFont="1" applyFill="1" applyBorder="1" applyAlignment="1">
      <alignment horizontal="left" wrapText="1"/>
    </xf>
    <xf numFmtId="2" fontId="11" fillId="2" borderId="30" xfId="0" applyNumberFormat="1" applyFont="1" applyFill="1" applyBorder="1" applyAlignment="1">
      <alignment vertical="top" wrapText="1"/>
    </xf>
    <xf numFmtId="0" fontId="11" fillId="2" borderId="13" xfId="0" applyFont="1" applyFill="1" applyBorder="1" applyAlignment="1">
      <alignment wrapText="1"/>
    </xf>
    <xf numFmtId="2" fontId="11" fillId="2" borderId="17" xfId="0" applyNumberFormat="1" applyFont="1" applyFill="1" applyBorder="1" applyAlignment="1">
      <alignment horizontal="left" wrapText="1" indent="1"/>
    </xf>
    <xf numFmtId="2" fontId="11" fillId="2" borderId="18" xfId="0" applyNumberFormat="1" applyFont="1" applyFill="1" applyBorder="1" applyAlignment="1">
      <alignment vertical="top" wrapText="1"/>
    </xf>
    <xf numFmtId="2" fontId="11" fillId="2" borderId="17" xfId="0" applyNumberFormat="1" applyFont="1" applyFill="1" applyBorder="1"/>
    <xf numFmtId="2" fontId="11" fillId="2" borderId="18" xfId="0" applyNumberFormat="1" applyFont="1" applyFill="1" applyBorder="1"/>
    <xf numFmtId="164" fontId="17" fillId="2" borderId="18" xfId="0" applyNumberFormat="1" applyFont="1" applyFill="1" applyBorder="1" applyAlignment="1">
      <alignment vertical="top" wrapText="1"/>
    </xf>
    <xf numFmtId="164" fontId="17" fillId="2" borderId="19" xfId="0" applyNumberFormat="1" applyFont="1" applyFill="1" applyBorder="1" applyAlignment="1">
      <alignment vertical="top" wrapText="1"/>
    </xf>
    <xf numFmtId="0" fontId="7" fillId="2" borderId="49" xfId="0" applyFont="1" applyFill="1" applyBorder="1"/>
    <xf numFmtId="0" fontId="25" fillId="8" borderId="3" xfId="0" applyFont="1" applyFill="1" applyBorder="1"/>
    <xf numFmtId="0" fontId="0" fillId="2" borderId="43" xfId="0" applyFill="1" applyBorder="1"/>
    <xf numFmtId="0" fontId="25" fillId="8" borderId="13" xfId="0" applyFont="1" applyFill="1" applyBorder="1"/>
    <xf numFmtId="0" fontId="0" fillId="2" borderId="50" xfId="0" applyFill="1" applyBorder="1"/>
    <xf numFmtId="2" fontId="13" fillId="2" borderId="19" xfId="0" applyNumberFormat="1" applyFont="1" applyFill="1" applyBorder="1"/>
    <xf numFmtId="2" fontId="11" fillId="0" borderId="5" xfId="0" applyNumberFormat="1" applyFont="1" applyFill="1" applyBorder="1" applyAlignment="1">
      <alignment horizontal="left" wrapText="1"/>
    </xf>
    <xf numFmtId="0" fontId="0" fillId="0" borderId="5" xfId="0" applyFill="1" applyBorder="1" applyAlignment="1">
      <alignment wrapText="1"/>
    </xf>
    <xf numFmtId="0" fontId="0" fillId="2" borderId="5" xfId="0" applyFont="1" applyFill="1" applyBorder="1"/>
    <xf numFmtId="0" fontId="13" fillId="8" borderId="3" xfId="0" applyFont="1" applyFill="1" applyBorder="1"/>
    <xf numFmtId="0" fontId="13" fillId="8" borderId="5" xfId="0" applyFont="1" applyFill="1" applyBorder="1"/>
    <xf numFmtId="0" fontId="0" fillId="0" borderId="5" xfId="0" applyFont="1" applyFill="1" applyBorder="1"/>
    <xf numFmtId="0" fontId="8" fillId="2" borderId="0" xfId="0" applyNumberFormat="1" applyFont="1" applyFill="1" applyBorder="1"/>
    <xf numFmtId="2" fontId="0" fillId="0" borderId="0" xfId="0" applyNumberFormat="1" applyFont="1" applyFill="1" applyBorder="1" applyAlignment="1">
      <alignment vertical="top" wrapText="1"/>
    </xf>
    <xf numFmtId="2" fontId="0" fillId="2" borderId="0" xfId="0" applyNumberFormat="1" applyFont="1" applyFill="1" applyBorder="1" applyAlignment="1">
      <alignment vertical="top" wrapText="1"/>
    </xf>
    <xf numFmtId="164" fontId="7" fillId="2" borderId="45" xfId="0" applyNumberFormat="1" applyFont="1" applyFill="1" applyBorder="1"/>
    <xf numFmtId="164" fontId="7" fillId="2" borderId="11" xfId="0" applyNumberFormat="1" applyFont="1" applyFill="1" applyBorder="1"/>
    <xf numFmtId="164" fontId="0" fillId="2" borderId="11" xfId="0" applyNumberFormat="1" applyFill="1" applyBorder="1"/>
    <xf numFmtId="164" fontId="0" fillId="2" borderId="36" xfId="0" applyNumberFormat="1" applyFill="1" applyBorder="1"/>
    <xf numFmtId="164" fontId="0" fillId="2" borderId="0" xfId="0" applyNumberFormat="1" applyFill="1" applyBorder="1"/>
    <xf numFmtId="164" fontId="14" fillId="2" borderId="36" xfId="0" applyNumberFormat="1" applyFont="1" applyFill="1" applyBorder="1"/>
    <xf numFmtId="164" fontId="11" fillId="2" borderId="36" xfId="0" applyNumberFormat="1" applyFont="1" applyFill="1" applyBorder="1" applyAlignment="1">
      <alignment wrapText="1"/>
    </xf>
    <xf numFmtId="164" fontId="14" fillId="2" borderId="36" xfId="0" applyNumberFormat="1" applyFont="1" applyFill="1" applyBorder="1" applyAlignment="1">
      <alignment wrapText="1"/>
    </xf>
    <xf numFmtId="164" fontId="17" fillId="2" borderId="11" xfId="0" applyNumberFormat="1" applyFont="1" applyFill="1" applyBorder="1"/>
    <xf numFmtId="164" fontId="11" fillId="2" borderId="11" xfId="0" applyNumberFormat="1" applyFont="1" applyFill="1" applyBorder="1"/>
    <xf numFmtId="164" fontId="11" fillId="2" borderId="12" xfId="0" applyNumberFormat="1" applyFont="1" applyFill="1" applyBorder="1"/>
    <xf numFmtId="164" fontId="11" fillId="2" borderId="0" xfId="0" applyNumberFormat="1" applyFont="1" applyFill="1" applyBorder="1"/>
    <xf numFmtId="164" fontId="11" fillId="2" borderId="14" xfId="0" applyNumberFormat="1" applyFont="1" applyFill="1" applyBorder="1"/>
    <xf numFmtId="164" fontId="17" fillId="0" borderId="7" xfId="0" applyNumberFormat="1" applyFont="1" applyFill="1" applyBorder="1" applyAlignment="1">
      <alignment vertical="top" wrapText="1"/>
    </xf>
    <xf numFmtId="164" fontId="17" fillId="2" borderId="0" xfId="0" applyNumberFormat="1" applyFont="1" applyFill="1" applyBorder="1" applyAlignment="1">
      <alignment vertical="top" wrapText="1"/>
    </xf>
    <xf numFmtId="164" fontId="11" fillId="2" borderId="41" xfId="0" applyNumberFormat="1" applyFont="1" applyFill="1" applyBorder="1"/>
    <xf numFmtId="164" fontId="23" fillId="2" borderId="28" xfId="0" applyNumberFormat="1" applyFont="1" applyFill="1" applyBorder="1" applyAlignment="1">
      <alignment vertical="top" wrapText="1"/>
    </xf>
    <xf numFmtId="2" fontId="0" fillId="0" borderId="0" xfId="0" applyNumberFormat="1"/>
    <xf numFmtId="0" fontId="0" fillId="0" borderId="0" xfId="0" applyFill="1"/>
    <xf numFmtId="0" fontId="0" fillId="2" borderId="0" xfId="0" applyFill="1" applyAlignment="1">
      <alignment vertical="center"/>
    </xf>
    <xf numFmtId="0" fontId="7" fillId="2" borderId="3" xfId="0" applyFont="1" applyFill="1" applyBorder="1" applyAlignment="1">
      <alignment vertical="center"/>
    </xf>
    <xf numFmtId="165" fontId="3" fillId="2" borderId="9" xfId="1" applyNumberFormat="1"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11" fillId="2" borderId="22" xfId="0" applyFont="1" applyFill="1" applyBorder="1"/>
    <xf numFmtId="0" fontId="11" fillId="2" borderId="22"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22" xfId="0" applyFont="1" applyFill="1" applyBorder="1" applyAlignment="1">
      <alignment vertical="top" wrapText="1"/>
    </xf>
    <xf numFmtId="0" fontId="11" fillId="2" borderId="21" xfId="0" applyFont="1" applyFill="1" applyBorder="1" applyAlignment="1">
      <alignment vertical="top" wrapText="1"/>
    </xf>
    <xf numFmtId="0" fontId="0" fillId="0" borderId="0" xfId="0" applyFont="1" applyFill="1" applyBorder="1" applyAlignment="1">
      <alignment vertical="center" wrapText="1"/>
    </xf>
    <xf numFmtId="0" fontId="7"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11" fillId="2" borderId="0" xfId="0" applyFont="1" applyFill="1" applyAlignment="1">
      <alignment wrapText="1"/>
    </xf>
    <xf numFmtId="0" fontId="17" fillId="2" borderId="10" xfId="0" applyFont="1" applyFill="1" applyBorder="1"/>
    <xf numFmtId="0" fontId="11" fillId="2" borderId="14" xfId="0" applyFont="1" applyFill="1" applyBorder="1"/>
    <xf numFmtId="2" fontId="11" fillId="0" borderId="0" xfId="0" quotePrefix="1" applyNumberFormat="1" applyFont="1" applyFill="1" applyBorder="1" applyAlignment="1">
      <alignment vertical="top" wrapText="1"/>
    </xf>
    <xf numFmtId="0" fontId="7" fillId="2" borderId="11" xfId="0" applyNumberFormat="1" applyFont="1" applyFill="1" applyBorder="1"/>
    <xf numFmtId="0" fontId="0" fillId="2" borderId="11" xfId="0" applyNumberFormat="1" applyFill="1" applyBorder="1"/>
    <xf numFmtId="0" fontId="11" fillId="2" borderId="0" xfId="0" applyFont="1" applyFill="1" applyAlignment="1">
      <alignment horizontal="right"/>
    </xf>
    <xf numFmtId="1" fontId="7" fillId="2" borderId="0" xfId="1" applyNumberFormat="1" applyFont="1" applyFill="1" applyBorder="1"/>
    <xf numFmtId="0" fontId="0" fillId="2" borderId="26" xfId="1" applyNumberFormat="1" applyFont="1" applyFill="1" applyBorder="1"/>
    <xf numFmtId="0" fontId="0" fillId="2" borderId="16" xfId="0" applyFill="1" applyBorder="1"/>
    <xf numFmtId="1" fontId="17" fillId="2" borderId="0" xfId="1" applyNumberFormat="1" applyFont="1" applyFill="1" applyBorder="1"/>
    <xf numFmtId="0" fontId="3" fillId="2" borderId="9" xfId="1" applyNumberFormat="1" applyFont="1" applyFill="1" applyBorder="1"/>
    <xf numFmtId="0" fontId="26" fillId="2" borderId="11" xfId="0" applyNumberFormat="1" applyFont="1" applyFill="1" applyBorder="1"/>
    <xf numFmtId="2" fontId="0" fillId="0" borderId="5" xfId="0" applyNumberFormat="1" applyFill="1" applyBorder="1" applyAlignment="1">
      <alignment vertical="center"/>
    </xf>
    <xf numFmtId="164" fontId="17" fillId="0" borderId="16" xfId="0" applyNumberFormat="1" applyFont="1" applyFill="1" applyBorder="1" applyAlignment="1">
      <alignment vertical="top" wrapText="1"/>
    </xf>
    <xf numFmtId="164" fontId="17" fillId="2" borderId="14" xfId="0" applyNumberFormat="1" applyFont="1" applyFill="1" applyBorder="1" applyAlignment="1">
      <alignment vertical="top" wrapText="1"/>
    </xf>
    <xf numFmtId="0" fontId="11" fillId="2" borderId="12" xfId="0" applyNumberFormat="1" applyFont="1" applyFill="1" applyBorder="1"/>
    <xf numFmtId="0" fontId="17" fillId="0" borderId="7" xfId="0" applyFont="1" applyFill="1" applyBorder="1" applyAlignment="1">
      <alignment vertical="top"/>
    </xf>
    <xf numFmtId="0" fontId="25" fillId="3" borderId="17" xfId="0" applyFont="1" applyFill="1" applyBorder="1"/>
    <xf numFmtId="0" fontId="0" fillId="2" borderId="50" xfId="0" applyFont="1" applyFill="1" applyBorder="1"/>
    <xf numFmtId="0" fontId="12" fillId="0" borderId="0" xfId="0" applyFont="1"/>
    <xf numFmtId="2" fontId="0" fillId="2" borderId="0" xfId="1" applyNumberFormat="1" applyFont="1" applyFill="1" applyBorder="1"/>
    <xf numFmtId="1" fontId="0" fillId="2" borderId="0" xfId="0" applyNumberFormat="1" applyFill="1" applyBorder="1"/>
    <xf numFmtId="0" fontId="13" fillId="0" borderId="0" xfId="0" applyFont="1"/>
    <xf numFmtId="2" fontId="11" fillId="2" borderId="0" xfId="0" applyNumberFormat="1" applyFont="1" applyFill="1" applyAlignment="1">
      <alignment vertical="top"/>
    </xf>
    <xf numFmtId="0" fontId="7" fillId="2" borderId="10" xfId="0" applyFont="1" applyFill="1" applyBorder="1" applyAlignment="1">
      <alignment vertical="top"/>
    </xf>
    <xf numFmtId="0" fontId="7" fillId="2" borderId="49" xfId="0" applyFont="1" applyFill="1" applyBorder="1" applyAlignment="1">
      <alignment vertical="top"/>
    </xf>
    <xf numFmtId="0" fontId="0" fillId="2" borderId="0" xfId="0" applyFill="1" applyAlignment="1">
      <alignment vertical="top"/>
    </xf>
    <xf numFmtId="2" fontId="17" fillId="0" borderId="0" xfId="0" applyNumberFormat="1" applyFont="1" applyFill="1" applyBorder="1" applyAlignment="1">
      <alignment vertical="top" wrapText="1"/>
    </xf>
    <xf numFmtId="2" fontId="17" fillId="0" borderId="4" xfId="0" applyNumberFormat="1" applyFont="1" applyFill="1" applyBorder="1" applyAlignment="1">
      <alignment vertical="top" wrapText="1"/>
    </xf>
    <xf numFmtId="2" fontId="17" fillId="0" borderId="14" xfId="0" applyNumberFormat="1" applyFont="1" applyFill="1" applyBorder="1" applyAlignment="1">
      <alignment vertical="top" wrapText="1"/>
    </xf>
    <xf numFmtId="2" fontId="17" fillId="0" borderId="0" xfId="0" applyNumberFormat="1" applyFont="1" applyFill="1" applyBorder="1"/>
    <xf numFmtId="2" fontId="17" fillId="0" borderId="4" xfId="0" applyNumberFormat="1" applyFont="1" applyFill="1" applyBorder="1"/>
    <xf numFmtId="2" fontId="7" fillId="0" borderId="14" xfId="0" applyNumberFormat="1" applyFont="1" applyFill="1" applyBorder="1" applyAlignment="1">
      <alignment vertical="top" wrapText="1"/>
    </xf>
    <xf numFmtId="164" fontId="11" fillId="2" borderId="13" xfId="0" applyNumberFormat="1" applyFont="1" applyFill="1" applyBorder="1"/>
    <xf numFmtId="164" fontId="17" fillId="2" borderId="15" xfId="0" applyNumberFormat="1" applyFont="1" applyFill="1" applyBorder="1" applyAlignment="1">
      <alignment vertical="top" wrapText="1"/>
    </xf>
    <xf numFmtId="164" fontId="14" fillId="2" borderId="13" xfId="0" applyNumberFormat="1" applyFont="1" applyFill="1" applyBorder="1"/>
    <xf numFmtId="164" fontId="11" fillId="2" borderId="13" xfId="0" applyNumberFormat="1" applyFont="1" applyFill="1" applyBorder="1" applyAlignment="1">
      <alignment wrapText="1"/>
    </xf>
    <xf numFmtId="164" fontId="14" fillId="2" borderId="13" xfId="0" applyNumberFormat="1" applyFont="1" applyFill="1" applyBorder="1" applyAlignment="1">
      <alignment wrapText="1"/>
    </xf>
    <xf numFmtId="164" fontId="11" fillId="2" borderId="13" xfId="0" applyNumberFormat="1" applyFont="1" applyFill="1" applyBorder="1" applyAlignment="1">
      <alignment horizontal="left" wrapText="1" indent="1"/>
    </xf>
    <xf numFmtId="164" fontId="11" fillId="2" borderId="17" xfId="0" applyNumberFormat="1" applyFont="1" applyFill="1" applyBorder="1"/>
    <xf numFmtId="164" fontId="17" fillId="2" borderId="10" xfId="0" applyNumberFormat="1" applyFont="1" applyFill="1" applyBorder="1"/>
    <xf numFmtId="164" fontId="17" fillId="2" borderId="49" xfId="0" applyNumberFormat="1" applyFont="1" applyFill="1" applyBorder="1"/>
    <xf numFmtId="164" fontId="11" fillId="2" borderId="5" xfId="0" applyNumberFormat="1" applyFont="1" applyFill="1" applyBorder="1"/>
    <xf numFmtId="164" fontId="17" fillId="2" borderId="8" xfId="0" applyNumberFormat="1" applyFont="1" applyFill="1" applyBorder="1" applyAlignment="1">
      <alignment vertical="top" wrapText="1"/>
    </xf>
    <xf numFmtId="164" fontId="14" fillId="2" borderId="5" xfId="0" applyNumberFormat="1" applyFont="1" applyFill="1" applyBorder="1"/>
    <xf numFmtId="164" fontId="11" fillId="2" borderId="5" xfId="0" applyNumberFormat="1" applyFont="1" applyFill="1" applyBorder="1" applyAlignment="1">
      <alignment wrapText="1"/>
    </xf>
    <xf numFmtId="164" fontId="14" fillId="2" borderId="5" xfId="0" applyNumberFormat="1" applyFont="1" applyFill="1" applyBorder="1" applyAlignment="1">
      <alignment wrapText="1"/>
    </xf>
    <xf numFmtId="164" fontId="11" fillId="2" borderId="5" xfId="0" applyNumberFormat="1" applyFont="1" applyFill="1" applyBorder="1" applyAlignment="1">
      <alignment horizontal="left" wrapText="1" indent="1"/>
    </xf>
    <xf numFmtId="164" fontId="11" fillId="2" borderId="50" xfId="0" applyNumberFormat="1" applyFont="1" applyFill="1" applyBorder="1"/>
    <xf numFmtId="0" fontId="6" fillId="2" borderId="13" xfId="0" applyFont="1" applyFill="1" applyBorder="1"/>
    <xf numFmtId="0" fontId="11" fillId="2" borderId="15" xfId="0" applyFont="1" applyFill="1" applyBorder="1" applyAlignment="1">
      <alignment wrapText="1"/>
    </xf>
    <xf numFmtId="0" fontId="8" fillId="2" borderId="0" xfId="0" applyFont="1" applyFill="1" applyBorder="1" applyAlignment="1">
      <alignment horizontal="center"/>
    </xf>
    <xf numFmtId="0" fontId="7" fillId="2" borderId="2" xfId="0" applyFont="1" applyFill="1" applyBorder="1" applyAlignment="1">
      <alignment horizontal="center" vertical="center"/>
    </xf>
    <xf numFmtId="0" fontId="7" fillId="2" borderId="49" xfId="0" applyFont="1" applyFill="1" applyBorder="1" applyAlignment="1">
      <alignment horizontal="center"/>
    </xf>
    <xf numFmtId="0" fontId="7" fillId="2" borderId="8" xfId="0" applyFont="1" applyFill="1" applyBorder="1" applyAlignment="1">
      <alignment horizontal="center" vertical="top" wrapText="1"/>
    </xf>
    <xf numFmtId="2" fontId="17" fillId="0" borderId="4" xfId="0" applyNumberFormat="1" applyFont="1" applyBorder="1"/>
    <xf numFmtId="2" fontId="17" fillId="0" borderId="0" xfId="0" applyNumberFormat="1" applyFont="1" applyBorder="1"/>
    <xf numFmtId="2" fontId="17" fillId="0" borderId="14" xfId="0" applyNumberFormat="1" applyFont="1" applyBorder="1"/>
    <xf numFmtId="2" fontId="25" fillId="0" borderId="14" xfId="0" applyNumberFormat="1" applyFont="1" applyFill="1" applyBorder="1"/>
    <xf numFmtId="2" fontId="7" fillId="2" borderId="14" xfId="0" applyNumberFormat="1" applyFont="1" applyFill="1" applyBorder="1"/>
    <xf numFmtId="2" fontId="7" fillId="2" borderId="43" xfId="0" applyNumberFormat="1" applyFont="1" applyFill="1" applyBorder="1"/>
    <xf numFmtId="2" fontId="25" fillId="2" borderId="14" xfId="0" applyNumberFormat="1" applyFont="1" applyFill="1" applyBorder="1"/>
    <xf numFmtId="2" fontId="7" fillId="0" borderId="14" xfId="0" applyNumberFormat="1" applyFont="1" applyFill="1" applyBorder="1"/>
    <xf numFmtId="0" fontId="7" fillId="2" borderId="0" xfId="0" applyFont="1" applyFill="1" applyAlignment="1">
      <alignment horizontal="center"/>
    </xf>
    <xf numFmtId="0" fontId="17" fillId="2" borderId="0" xfId="0" applyFont="1" applyFill="1" applyAlignment="1">
      <alignment horizontal="center"/>
    </xf>
    <xf numFmtId="0" fontId="7" fillId="2" borderId="5" xfId="0" applyFont="1" applyFill="1" applyBorder="1" applyAlignment="1">
      <alignment horizontal="center"/>
    </xf>
    <xf numFmtId="0" fontId="23" fillId="2" borderId="5" xfId="0" applyFont="1" applyFill="1" applyBorder="1" applyAlignment="1">
      <alignment horizontal="center"/>
    </xf>
    <xf numFmtId="0" fontId="17" fillId="2" borderId="5" xfId="0" applyFont="1" applyFill="1" applyBorder="1" applyAlignment="1">
      <alignment horizontal="center" wrapText="1"/>
    </xf>
    <xf numFmtId="0" fontId="17" fillId="2" borderId="8" xfId="0" applyFont="1" applyFill="1" applyBorder="1" applyAlignment="1">
      <alignment horizontal="center" wrapText="1"/>
    </xf>
    <xf numFmtId="0" fontId="23" fillId="2" borderId="50" xfId="0" applyFont="1" applyFill="1" applyBorder="1" applyAlignment="1">
      <alignment horizontal="center"/>
    </xf>
    <xf numFmtId="0" fontId="11" fillId="0" borderId="24" xfId="0" applyFont="1" applyFill="1" applyBorder="1" applyAlignment="1">
      <alignment vertical="center" wrapText="1"/>
    </xf>
    <xf numFmtId="0" fontId="11" fillId="0" borderId="5" xfId="0" applyFont="1" applyFill="1" applyBorder="1" applyAlignment="1">
      <alignment vertical="center" wrapText="1"/>
    </xf>
    <xf numFmtId="0" fontId="0" fillId="0" borderId="24" xfId="0" applyFill="1" applyBorder="1" applyAlignment="1">
      <alignment vertical="center" wrapText="1"/>
    </xf>
    <xf numFmtId="0" fontId="11" fillId="0" borderId="24" xfId="0" applyFont="1" applyFill="1" applyBorder="1" applyAlignment="1">
      <alignment horizontal="left" vertical="center" wrapText="1"/>
    </xf>
    <xf numFmtId="0" fontId="0" fillId="2" borderId="0" xfId="0" applyFill="1" applyBorder="1" applyAlignment="1">
      <alignment horizontal="left" vertical="top" wrapText="1"/>
    </xf>
    <xf numFmtId="0" fontId="11" fillId="0" borderId="24" xfId="0" applyFont="1" applyFill="1" applyBorder="1" applyAlignment="1">
      <alignment vertical="center"/>
    </xf>
    <xf numFmtId="0" fontId="11" fillId="7" borderId="24" xfId="0" applyFont="1" applyFill="1" applyBorder="1" applyAlignment="1">
      <alignment horizontal="left" vertical="center"/>
    </xf>
    <xf numFmtId="0" fontId="11" fillId="0" borderId="24" xfId="0" applyFont="1" applyBorder="1" applyAlignment="1">
      <alignment vertical="center"/>
    </xf>
    <xf numFmtId="2" fontId="7" fillId="2" borderId="3" xfId="0" applyNumberFormat="1" applyFont="1" applyFill="1" applyBorder="1"/>
    <xf numFmtId="2" fontId="7" fillId="2" borderId="5" xfId="0" applyNumberFormat="1" applyFont="1" applyFill="1" applyBorder="1"/>
    <xf numFmtId="2" fontId="0" fillId="2" borderId="8" xfId="0" applyNumberFormat="1" applyFill="1" applyBorder="1"/>
    <xf numFmtId="164" fontId="17" fillId="0" borderId="7" xfId="0" applyNumberFormat="1" applyFont="1" applyBorder="1" applyAlignment="1">
      <alignment vertical="top" wrapText="1"/>
    </xf>
    <xf numFmtId="164" fontId="17" fillId="0" borderId="16" xfId="0" applyNumberFormat="1" applyFont="1" applyBorder="1" applyAlignment="1">
      <alignment vertical="top" wrapText="1"/>
    </xf>
    <xf numFmtId="2" fontId="13" fillId="0" borderId="0" xfId="0" applyNumberFormat="1" applyFont="1"/>
    <xf numFmtId="165" fontId="3" fillId="2" borderId="0" xfId="1" applyNumberFormat="1" applyFont="1" applyFill="1" applyBorder="1"/>
    <xf numFmtId="0" fontId="7" fillId="2" borderId="0" xfId="0" applyFon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6" fillId="2" borderId="0" xfId="0" applyFont="1" applyFill="1" applyBorder="1"/>
    <xf numFmtId="9" fontId="0" fillId="2" borderId="18" xfId="1" applyFont="1" applyFill="1" applyBorder="1"/>
    <xf numFmtId="0" fontId="0" fillId="2" borderId="0" xfId="0" applyFont="1" applyFill="1" applyBorder="1"/>
    <xf numFmtId="10" fontId="3" fillId="2" borderId="0" xfId="1" applyNumberFormat="1" applyFont="1" applyFill="1" applyBorder="1"/>
    <xf numFmtId="9" fontId="0" fillId="2" borderId="0" xfId="1" applyFont="1" applyFill="1" applyBorder="1"/>
    <xf numFmtId="0" fontId="0" fillId="2" borderId="0" xfId="0" applyFont="1" applyFill="1"/>
    <xf numFmtId="0" fontId="0" fillId="2" borderId="0" xfId="0" applyFont="1" applyFill="1" applyBorder="1" applyAlignment="1">
      <alignment horizontal="center"/>
    </xf>
    <xf numFmtId="9" fontId="2" fillId="2" borderId="18" xfId="1" applyFont="1" applyFill="1" applyBorder="1"/>
    <xf numFmtId="1" fontId="0" fillId="2" borderId="7" xfId="1" applyNumberFormat="1" applyFont="1" applyFill="1" applyBorder="1"/>
    <xf numFmtId="0" fontId="6" fillId="2" borderId="21" xfId="0" applyFont="1" applyFill="1" applyBorder="1"/>
    <xf numFmtId="0" fontId="0" fillId="2" borderId="4" xfId="0" applyFill="1" applyBorder="1" applyAlignment="1">
      <alignment vertical="top"/>
    </xf>
    <xf numFmtId="0" fontId="0" fillId="2" borderId="46" xfId="0" applyFill="1" applyBorder="1"/>
    <xf numFmtId="0" fontId="0" fillId="0" borderId="22" xfId="0" applyFont="1" applyBorder="1"/>
    <xf numFmtId="0" fontId="11" fillId="2" borderId="0" xfId="0" applyFont="1" applyFill="1" applyBorder="1" applyAlignment="1">
      <alignment horizontal="left" vertical="center" wrapText="1"/>
    </xf>
    <xf numFmtId="2" fontId="17" fillId="2" borderId="15" xfId="0" applyNumberFormat="1" applyFont="1" applyFill="1" applyBorder="1" applyAlignment="1">
      <alignment vertical="top" wrapText="1"/>
    </xf>
    <xf numFmtId="2" fontId="17" fillId="2" borderId="7" xfId="0" applyNumberFormat="1" applyFont="1" applyFill="1" applyBorder="1" applyAlignment="1">
      <alignment vertical="top" wrapText="1"/>
    </xf>
    <xf numFmtId="165" fontId="13" fillId="8" borderId="9" xfId="0" applyNumberFormat="1" applyFont="1" applyFill="1" applyBorder="1"/>
    <xf numFmtId="165" fontId="3" fillId="2" borderId="25" xfId="1" applyNumberFormat="1" applyFont="1" applyFill="1" applyBorder="1"/>
    <xf numFmtId="3" fontId="11" fillId="0" borderId="0" xfId="0" applyNumberFormat="1" applyFont="1" applyFill="1" applyBorder="1" applyAlignment="1">
      <alignment vertical="top" wrapText="1"/>
    </xf>
    <xf numFmtId="3" fontId="11" fillId="0" borderId="14" xfId="0" applyNumberFormat="1" applyFont="1" applyFill="1" applyBorder="1" applyAlignment="1">
      <alignment vertical="top" wrapText="1"/>
    </xf>
    <xf numFmtId="3" fontId="11" fillId="2" borderId="0" xfId="0" applyNumberFormat="1" applyFont="1" applyFill="1" applyBorder="1" applyAlignment="1">
      <alignment vertical="top" wrapText="1"/>
    </xf>
    <xf numFmtId="3" fontId="11" fillId="2" borderId="14" xfId="0" applyNumberFormat="1" applyFont="1" applyFill="1" applyBorder="1" applyAlignment="1">
      <alignment vertical="top" wrapText="1"/>
    </xf>
    <xf numFmtId="3" fontId="17" fillId="2" borderId="11" xfId="0" applyNumberFormat="1" applyFont="1" applyFill="1" applyBorder="1"/>
    <xf numFmtId="3" fontId="17" fillId="2" borderId="42" xfId="0" applyNumberFormat="1" applyFont="1" applyFill="1" applyBorder="1"/>
    <xf numFmtId="3" fontId="11" fillId="2" borderId="11" xfId="0" applyNumberFormat="1" applyFont="1" applyFill="1" applyBorder="1"/>
    <xf numFmtId="3" fontId="11" fillId="2" borderId="12" xfId="0" applyNumberFormat="1" applyFont="1" applyFill="1" applyBorder="1"/>
    <xf numFmtId="3" fontId="17" fillId="2" borderId="0" xfId="0" applyNumberFormat="1" applyFont="1" applyFill="1" applyBorder="1"/>
    <xf numFmtId="3" fontId="17" fillId="2" borderId="4" xfId="0" applyNumberFormat="1" applyFont="1" applyFill="1" applyBorder="1"/>
    <xf numFmtId="3" fontId="11" fillId="2" borderId="0" xfId="0" applyNumberFormat="1" applyFont="1" applyFill="1" applyBorder="1"/>
    <xf numFmtId="3" fontId="11" fillId="2" borderId="14" xfId="0" applyNumberFormat="1" applyFont="1" applyFill="1" applyBorder="1"/>
    <xf numFmtId="3" fontId="17" fillId="2" borderId="7" xfId="0" applyNumberFormat="1" applyFont="1" applyFill="1" applyBorder="1" applyAlignment="1">
      <alignment vertical="top" wrapText="1"/>
    </xf>
    <xf numFmtId="3" fontId="17" fillId="2" borderId="6" xfId="0" applyNumberFormat="1" applyFont="1" applyFill="1" applyBorder="1" applyAlignment="1">
      <alignment vertical="top" wrapText="1"/>
    </xf>
    <xf numFmtId="3" fontId="17" fillId="0" borderId="16" xfId="0" applyNumberFormat="1" applyFont="1" applyFill="1" applyBorder="1" applyAlignment="1">
      <alignment vertical="top" wrapText="1"/>
    </xf>
    <xf numFmtId="3" fontId="17" fillId="2" borderId="0" xfId="0" applyNumberFormat="1" applyFont="1" applyFill="1" applyBorder="1" applyAlignment="1">
      <alignment vertical="top" wrapText="1"/>
    </xf>
    <xf numFmtId="3" fontId="17" fillId="2" borderId="4" xfId="0" applyNumberFormat="1" applyFont="1" applyFill="1" applyBorder="1" applyAlignment="1">
      <alignment vertical="top" wrapText="1"/>
    </xf>
    <xf numFmtId="3" fontId="17" fillId="2" borderId="14" xfId="0" applyNumberFormat="1" applyFont="1" applyFill="1" applyBorder="1" applyAlignment="1">
      <alignment vertical="top" wrapText="1"/>
    </xf>
    <xf numFmtId="3" fontId="24" fillId="0" borderId="0" xfId="0" applyNumberFormat="1" applyFont="1" applyFill="1" applyBorder="1" applyAlignment="1">
      <alignment vertical="top" wrapText="1"/>
    </xf>
    <xf numFmtId="3" fontId="24" fillId="0" borderId="4" xfId="0" applyNumberFormat="1" applyFont="1" applyFill="1" applyBorder="1"/>
    <xf numFmtId="3" fontId="24" fillId="0" borderId="0" xfId="0" applyNumberFormat="1" applyFont="1" applyFill="1" applyBorder="1"/>
    <xf numFmtId="3" fontId="24" fillId="0" borderId="14" xfId="0" applyNumberFormat="1" applyFont="1" applyFill="1" applyBorder="1"/>
    <xf numFmtId="3" fontId="11" fillId="2" borderId="4" xfId="0" applyNumberFormat="1" applyFont="1" applyFill="1" applyBorder="1" applyAlignment="1">
      <alignment vertical="top" wrapText="1"/>
    </xf>
    <xf numFmtId="3" fontId="24" fillId="0" borderId="4" xfId="0" applyNumberFormat="1" applyFont="1" applyFill="1" applyBorder="1" applyAlignment="1">
      <alignment vertical="top" wrapText="1"/>
    </xf>
    <xf numFmtId="3" fontId="11" fillId="2" borderId="30" xfId="0" applyNumberFormat="1" applyFont="1" applyFill="1" applyBorder="1" applyAlignment="1">
      <alignment vertical="top" wrapText="1"/>
    </xf>
    <xf numFmtId="3" fontId="17" fillId="0" borderId="48" xfId="0" applyNumberFormat="1" applyFont="1" applyFill="1" applyBorder="1" applyAlignment="1">
      <alignment vertical="top" wrapText="1"/>
    </xf>
    <xf numFmtId="3" fontId="17" fillId="0" borderId="30" xfId="0" applyNumberFormat="1" applyFont="1" applyFill="1" applyBorder="1" applyAlignment="1">
      <alignment vertical="top" wrapText="1"/>
    </xf>
    <xf numFmtId="3" fontId="17" fillId="0" borderId="35" xfId="0" applyNumberFormat="1" applyFont="1" applyFill="1" applyBorder="1" applyAlignment="1">
      <alignment vertical="top" wrapText="1"/>
    </xf>
    <xf numFmtId="3" fontId="11" fillId="2" borderId="18" xfId="0" applyNumberFormat="1" applyFont="1" applyFill="1" applyBorder="1"/>
    <xf numFmtId="3" fontId="11" fillId="2" borderId="46" xfId="0" applyNumberFormat="1" applyFont="1" applyFill="1" applyBorder="1"/>
    <xf numFmtId="3" fontId="11" fillId="2" borderId="19" xfId="0" applyNumberFormat="1" applyFont="1" applyFill="1" applyBorder="1"/>
    <xf numFmtId="3" fontId="17" fillId="2" borderId="16" xfId="0" applyNumberFormat="1" applyFont="1" applyFill="1" applyBorder="1" applyAlignment="1">
      <alignment vertical="top" wrapText="1"/>
    </xf>
    <xf numFmtId="3" fontId="11" fillId="2" borderId="18" xfId="0" applyNumberFormat="1" applyFont="1" applyFill="1" applyBorder="1" applyAlignment="1">
      <alignment vertical="top" wrapText="1"/>
    </xf>
    <xf numFmtId="3" fontId="11" fillId="2" borderId="46" xfId="0" applyNumberFormat="1" applyFont="1" applyFill="1" applyBorder="1" applyAlignment="1">
      <alignment vertical="top" wrapText="1"/>
    </xf>
    <xf numFmtId="3" fontId="11" fillId="2" borderId="0" xfId="0" applyNumberFormat="1" applyFont="1" applyFill="1" applyBorder="1" applyAlignment="1">
      <alignment vertical="top"/>
    </xf>
    <xf numFmtId="3" fontId="11" fillId="2" borderId="14" xfId="0" applyNumberFormat="1" applyFont="1" applyFill="1" applyBorder="1" applyAlignment="1">
      <alignment vertical="top"/>
    </xf>
    <xf numFmtId="3" fontId="0" fillId="2" borderId="2" xfId="0" applyNumberFormat="1" applyFill="1" applyBorder="1"/>
    <xf numFmtId="3" fontId="0" fillId="0" borderId="0" xfId="1" applyNumberFormat="1" applyFont="1" applyFill="1" applyBorder="1"/>
    <xf numFmtId="3" fontId="0"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3" fontId="17" fillId="0" borderId="7" xfId="0" applyNumberFormat="1" applyFont="1" applyFill="1" applyBorder="1" applyAlignment="1">
      <alignment vertical="top" wrapText="1"/>
    </xf>
    <xf numFmtId="3" fontId="7" fillId="2" borderId="0" xfId="0" applyNumberFormat="1" applyFont="1" applyFill="1" applyBorder="1" applyAlignment="1">
      <alignment vertical="top" wrapText="1"/>
    </xf>
    <xf numFmtId="3" fontId="11" fillId="0" borderId="7" xfId="0" applyNumberFormat="1" applyFont="1" applyFill="1" applyBorder="1" applyAlignment="1">
      <alignment vertical="top" wrapText="1"/>
    </xf>
    <xf numFmtId="3" fontId="11" fillId="0" borderId="16" xfId="0" applyNumberFormat="1" applyFont="1" applyFill="1" applyBorder="1" applyAlignment="1">
      <alignment vertical="top" wrapText="1"/>
    </xf>
    <xf numFmtId="3" fontId="24" fillId="0" borderId="14" xfId="0" applyNumberFormat="1" applyFont="1" applyFill="1" applyBorder="1" applyAlignment="1">
      <alignment vertical="top" wrapText="1"/>
    </xf>
    <xf numFmtId="3" fontId="6" fillId="2" borderId="0" xfId="0" applyNumberFormat="1" applyFont="1" applyFill="1" applyBorder="1" applyAlignment="1">
      <alignment vertical="top" wrapText="1"/>
    </xf>
    <xf numFmtId="3" fontId="24" fillId="2" borderId="0" xfId="0" applyNumberFormat="1" applyFont="1" applyFill="1" applyBorder="1" applyAlignment="1">
      <alignment vertical="top" wrapText="1"/>
    </xf>
    <xf numFmtId="3" fontId="27" fillId="2" borderId="0" xfId="0" applyNumberFormat="1" applyFont="1" applyFill="1" applyBorder="1" applyAlignment="1">
      <alignment vertical="top" wrapText="1"/>
    </xf>
    <xf numFmtId="3" fontId="24" fillId="2" borderId="14" xfId="0" applyNumberFormat="1" applyFont="1" applyFill="1" applyBorder="1" applyAlignment="1">
      <alignment vertical="top" wrapText="1"/>
    </xf>
    <xf numFmtId="3" fontId="17" fillId="0" borderId="0" xfId="0" applyNumberFormat="1" applyFont="1" applyFill="1" applyBorder="1" applyAlignment="1">
      <alignment vertical="top" wrapText="1"/>
    </xf>
    <xf numFmtId="3" fontId="17" fillId="0" borderId="14" xfId="0" applyNumberFormat="1" applyFont="1" applyFill="1" applyBorder="1" applyAlignment="1">
      <alignment vertical="top" wrapText="1"/>
    </xf>
    <xf numFmtId="3" fontId="17" fillId="2" borderId="18" xfId="0" applyNumberFormat="1" applyFont="1" applyFill="1" applyBorder="1" applyAlignment="1">
      <alignment vertical="top" wrapText="1"/>
    </xf>
    <xf numFmtId="3" fontId="17"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0" fillId="0" borderId="0" xfId="0" applyNumberFormat="1" applyFont="1" applyBorder="1"/>
    <xf numFmtId="3" fontId="11" fillId="0" borderId="14" xfId="0" applyNumberFormat="1" applyFont="1" applyBorder="1"/>
    <xf numFmtId="3" fontId="7" fillId="2" borderId="18" xfId="0" applyNumberFormat="1" applyFont="1" applyFill="1" applyBorder="1" applyAlignment="1">
      <alignment vertical="top" wrapText="1"/>
    </xf>
    <xf numFmtId="0" fontId="11" fillId="2" borderId="4" xfId="0" applyFont="1" applyFill="1" applyBorder="1"/>
    <xf numFmtId="3" fontId="0" fillId="0" borderId="31" xfId="0" applyNumberFormat="1" applyFill="1" applyBorder="1"/>
    <xf numFmtId="3" fontId="0" fillId="0" borderId="32" xfId="0" applyNumberFormat="1" applyFill="1" applyBorder="1" applyAlignment="1">
      <alignment vertical="top" wrapText="1"/>
    </xf>
    <xf numFmtId="3" fontId="0" fillId="0" borderId="33" xfId="0" applyNumberFormat="1" applyFill="1" applyBorder="1" applyAlignment="1">
      <alignment vertical="top" wrapText="1"/>
    </xf>
    <xf numFmtId="3" fontId="0" fillId="0" borderId="34" xfId="0" applyNumberFormat="1" applyFill="1" applyBorder="1" applyAlignment="1">
      <alignment vertical="top" wrapText="1"/>
    </xf>
    <xf numFmtId="3" fontId="0" fillId="0" borderId="29" xfId="0" applyNumberFormat="1" applyFill="1" applyBorder="1"/>
    <xf numFmtId="3" fontId="0" fillId="0" borderId="30" xfId="0" applyNumberFormat="1" applyFill="1" applyBorder="1"/>
    <xf numFmtId="3" fontId="0" fillId="0" borderId="24" xfId="0" applyNumberFormat="1" applyFill="1" applyBorder="1"/>
    <xf numFmtId="3" fontId="0" fillId="0" borderId="35" xfId="0" applyNumberFormat="1" applyFill="1" applyBorder="1"/>
    <xf numFmtId="3" fontId="0" fillId="0" borderId="36"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7" xfId="0" applyNumberFormat="1" applyFill="1" applyBorder="1"/>
    <xf numFmtId="3" fontId="0" fillId="0" borderId="38" xfId="0" applyNumberFormat="1" applyFill="1" applyBorder="1"/>
    <xf numFmtId="3" fontId="0" fillId="0" borderId="39" xfId="0" applyNumberFormat="1" applyFill="1" applyBorder="1"/>
    <xf numFmtId="3" fontId="0" fillId="0" borderId="40" xfId="0" applyNumberFormat="1" applyFill="1" applyBorder="1"/>
    <xf numFmtId="3" fontId="0" fillId="0" borderId="28"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41" xfId="0" applyNumberFormat="1" applyFill="1" applyBorder="1"/>
    <xf numFmtId="3" fontId="0" fillId="0" borderId="18" xfId="0" applyNumberFormat="1" applyFill="1" applyBorder="1"/>
    <xf numFmtId="3" fontId="0" fillId="0" borderId="27" xfId="0" applyNumberFormat="1" applyFill="1" applyBorder="1"/>
    <xf numFmtId="3" fontId="0" fillId="0" borderId="19" xfId="0" applyNumberFormat="1" applyFill="1" applyBorder="1"/>
    <xf numFmtId="165" fontId="1" fillId="2" borderId="22" xfId="1" applyNumberFormat="1" applyFont="1" applyFill="1" applyBorder="1"/>
    <xf numFmtId="165" fontId="0" fillId="2" borderId="22" xfId="0" applyNumberFormat="1" applyFont="1" applyFill="1" applyBorder="1"/>
    <xf numFmtId="165" fontId="0" fillId="2" borderId="21" xfId="0" applyNumberFormat="1" applyFont="1" applyFill="1" applyBorder="1"/>
    <xf numFmtId="0" fontId="0" fillId="2" borderId="21" xfId="0" applyFont="1" applyFill="1" applyBorder="1"/>
    <xf numFmtId="1" fontId="0" fillId="2" borderId="22" xfId="0" applyNumberFormat="1" applyFont="1" applyFill="1" applyBorder="1"/>
    <xf numFmtId="165" fontId="0" fillId="2" borderId="27" xfId="0" applyNumberFormat="1" applyFont="1" applyFill="1" applyBorder="1"/>
    <xf numFmtId="0" fontId="3" fillId="2" borderId="0" xfId="1" applyNumberFormat="1" applyFont="1" applyFill="1" applyBorder="1"/>
    <xf numFmtId="165" fontId="13" fillId="8" borderId="0" xfId="0" applyNumberFormat="1" applyFont="1" applyFill="1" applyBorder="1"/>
    <xf numFmtId="9" fontId="2" fillId="2" borderId="0" xfId="1" applyFont="1" applyFill="1" applyBorder="1"/>
    <xf numFmtId="0" fontId="0" fillId="2" borderId="0" xfId="1" applyNumberFormat="1" applyFont="1" applyFill="1" applyBorder="1"/>
    <xf numFmtId="0" fontId="0" fillId="2" borderId="0" xfId="0" applyFill="1" applyBorder="1" applyAlignment="1">
      <alignment horizontal="left"/>
    </xf>
    <xf numFmtId="1" fontId="0" fillId="2" borderId="0" xfId="0" applyNumberFormat="1" applyFill="1" applyBorder="1" applyAlignment="1">
      <alignment horizontal="left"/>
    </xf>
    <xf numFmtId="0" fontId="0" fillId="2" borderId="7" xfId="0" applyFill="1" applyBorder="1" applyAlignment="1">
      <alignment horizontal="left"/>
    </xf>
    <xf numFmtId="0" fontId="0" fillId="2" borderId="0" xfId="0" applyFont="1" applyFill="1" applyBorder="1" applyAlignment="1">
      <alignment horizontal="left"/>
    </xf>
    <xf numFmtId="0" fontId="10" fillId="2" borderId="0" xfId="0" applyFont="1" applyFill="1" applyBorder="1" applyAlignment="1">
      <alignment horizontal="left"/>
    </xf>
    <xf numFmtId="0" fontId="0" fillId="2" borderId="0" xfId="0" applyFont="1" applyFill="1" applyBorder="1" applyAlignment="1">
      <alignment wrapText="1"/>
    </xf>
    <xf numFmtId="0" fontId="29" fillId="2" borderId="0" xfId="0" applyFont="1" applyFill="1"/>
    <xf numFmtId="0" fontId="29" fillId="2" borderId="1" xfId="0" applyFont="1" applyFill="1" applyBorder="1"/>
    <xf numFmtId="0" fontId="29" fillId="2" borderId="3" xfId="0" applyFont="1" applyFill="1" applyBorder="1"/>
    <xf numFmtId="0" fontId="29" fillId="2" borderId="4" xfId="0" applyFont="1" applyFill="1" applyBorder="1"/>
    <xf numFmtId="0" fontId="29" fillId="2" borderId="5" xfId="0" applyFont="1" applyFill="1" applyBorder="1"/>
    <xf numFmtId="1" fontId="29" fillId="2" borderId="5" xfId="0" applyNumberFormat="1" applyFont="1" applyFill="1" applyBorder="1"/>
    <xf numFmtId="0" fontId="29" fillId="2" borderId="4" xfId="0" applyFont="1" applyFill="1" applyBorder="1" applyAlignment="1">
      <alignment wrapText="1"/>
    </xf>
    <xf numFmtId="0" fontId="29" fillId="2" borderId="6" xfId="0" applyFont="1" applyFill="1" applyBorder="1"/>
    <xf numFmtId="1" fontId="29" fillId="2" borderId="8" xfId="0" applyNumberFormat="1" applyFont="1" applyFill="1" applyBorder="1"/>
    <xf numFmtId="0" fontId="30" fillId="2" borderId="6" xfId="0" applyFont="1" applyFill="1" applyBorder="1"/>
    <xf numFmtId="0" fontId="30" fillId="2" borderId="8" xfId="0" applyFont="1" applyFill="1" applyBorder="1"/>
    <xf numFmtId="0" fontId="11" fillId="0" borderId="0" xfId="0" applyFont="1" applyFill="1" applyBorder="1"/>
    <xf numFmtId="0" fontId="17" fillId="2" borderId="13" xfId="0" applyFont="1" applyFill="1" applyBorder="1"/>
    <xf numFmtId="0" fontId="17" fillId="2" borderId="15" xfId="0" applyFont="1" applyFill="1" applyBorder="1"/>
    <xf numFmtId="0" fontId="17" fillId="2" borderId="7" xfId="0" applyFont="1" applyFill="1" applyBorder="1"/>
    <xf numFmtId="0" fontId="14" fillId="2" borderId="20" xfId="0" applyFont="1" applyFill="1" applyBorder="1"/>
    <xf numFmtId="0" fontId="14" fillId="2" borderId="15" xfId="0" applyFont="1" applyFill="1" applyBorder="1"/>
    <xf numFmtId="0" fontId="14" fillId="2" borderId="17" xfId="0" applyFont="1" applyFill="1" applyBorder="1"/>
    <xf numFmtId="0" fontId="17" fillId="2" borderId="6" xfId="0" applyFont="1" applyFill="1" applyBorder="1"/>
    <xf numFmtId="165" fontId="11" fillId="2" borderId="4" xfId="1" applyNumberFormat="1" applyFont="1" applyFill="1" applyBorder="1"/>
    <xf numFmtId="165" fontId="17" fillId="2" borderId="6" xfId="1" applyNumberFormat="1" applyFont="1" applyFill="1" applyBorder="1"/>
    <xf numFmtId="3" fontId="11" fillId="2" borderId="0" xfId="0" applyNumberFormat="1" applyFont="1" applyFill="1" applyBorder="1" applyAlignment="1">
      <alignment horizontal="right" vertical="top" wrapText="1"/>
    </xf>
    <xf numFmtId="164" fontId="11" fillId="2" borderId="15" xfId="0" applyNumberFormat="1" applyFont="1" applyFill="1" applyBorder="1" applyAlignment="1">
      <alignment wrapText="1"/>
    </xf>
    <xf numFmtId="164" fontId="11" fillId="2" borderId="8" xfId="0" applyNumberFormat="1" applyFont="1" applyFill="1" applyBorder="1" applyAlignment="1">
      <alignment wrapText="1"/>
    </xf>
    <xf numFmtId="3" fontId="11" fillId="2" borderId="7" xfId="0" applyNumberFormat="1" applyFont="1" applyFill="1" applyBorder="1" applyAlignment="1">
      <alignment vertical="top" wrapText="1"/>
    </xf>
    <xf numFmtId="3" fontId="11" fillId="2" borderId="16" xfId="0" applyNumberFormat="1" applyFont="1" applyFill="1" applyBorder="1" applyAlignment="1">
      <alignment vertical="top" wrapText="1"/>
    </xf>
    <xf numFmtId="3" fontId="11" fillId="2" borderId="7" xfId="0" applyNumberFormat="1" applyFont="1" applyFill="1" applyBorder="1" applyAlignment="1">
      <alignment horizontal="right" vertical="top" wrapText="1"/>
    </xf>
    <xf numFmtId="3" fontId="11" fillId="0" borderId="0" xfId="0" applyNumberFormat="1" applyFont="1" applyFill="1" applyBorder="1" applyAlignment="1">
      <alignment horizontal="right" vertical="top" wrapText="1"/>
    </xf>
    <xf numFmtId="3" fontId="11" fillId="0" borderId="7" xfId="0" applyNumberFormat="1" applyFont="1" applyFill="1" applyBorder="1" applyAlignment="1">
      <alignment horizontal="right" vertical="top" wrapText="1"/>
    </xf>
    <xf numFmtId="164" fontId="17" fillId="2" borderId="7" xfId="0" applyNumberFormat="1" applyFont="1" applyFill="1" applyBorder="1" applyAlignment="1">
      <alignment vertical="top" wrapText="1"/>
    </xf>
    <xf numFmtId="164" fontId="14" fillId="2" borderId="0" xfId="0" applyNumberFormat="1" applyFont="1" applyFill="1" applyBorder="1"/>
    <xf numFmtId="164" fontId="11" fillId="2" borderId="7" xfId="0" applyNumberFormat="1" applyFont="1" applyFill="1" applyBorder="1" applyAlignment="1">
      <alignment wrapText="1"/>
    </xf>
    <xf numFmtId="164" fontId="14" fillId="2" borderId="0" xfId="0" applyNumberFormat="1" applyFont="1" applyFill="1" applyBorder="1" applyAlignment="1">
      <alignment wrapText="1"/>
    </xf>
    <xf numFmtId="164" fontId="11" fillId="2" borderId="18" xfId="0" applyNumberFormat="1" applyFont="1" applyFill="1" applyBorder="1"/>
    <xf numFmtId="0" fontId="23" fillId="2" borderId="15" xfId="0" applyFont="1" applyFill="1" applyBorder="1" applyAlignment="1">
      <alignment vertical="top" wrapText="1"/>
    </xf>
    <xf numFmtId="0" fontId="11" fillId="2" borderId="13" xfId="0" applyFont="1" applyFill="1" applyBorder="1" applyAlignment="1">
      <alignment horizontal="left" wrapText="1" indent="1"/>
    </xf>
    <xf numFmtId="0" fontId="14" fillId="2" borderId="13" xfId="0" applyFont="1" applyFill="1" applyBorder="1" applyAlignment="1">
      <alignment wrapText="1"/>
    </xf>
    <xf numFmtId="0" fontId="23" fillId="2" borderId="8" xfId="0" applyFont="1" applyFill="1" applyBorder="1" applyAlignment="1">
      <alignment vertical="top" wrapText="1"/>
    </xf>
    <xf numFmtId="0" fontId="14" fillId="2" borderId="5" xfId="0" applyFont="1" applyFill="1" applyBorder="1"/>
    <xf numFmtId="0" fontId="14" fillId="2" borderId="5" xfId="0" applyFont="1" applyFill="1" applyBorder="1" applyAlignment="1">
      <alignment wrapText="1"/>
    </xf>
    <xf numFmtId="0" fontId="6" fillId="2" borderId="50" xfId="0" applyFont="1" applyFill="1" applyBorder="1"/>
    <xf numFmtId="0" fontId="11" fillId="2" borderId="5" xfId="0" applyFont="1" applyFill="1" applyBorder="1" applyAlignment="1">
      <alignment horizontal="left" wrapText="1"/>
    </xf>
    <xf numFmtId="0" fontId="14" fillId="2" borderId="5" xfId="0" applyFont="1" applyFill="1" applyBorder="1" applyAlignment="1">
      <alignment horizontal="left" wrapText="1"/>
    </xf>
    <xf numFmtId="0" fontId="6" fillId="2" borderId="50" xfId="0" applyFont="1" applyFill="1" applyBorder="1" applyAlignment="1">
      <alignment horizontal="left"/>
    </xf>
    <xf numFmtId="164" fontId="11" fillId="0" borderId="0" xfId="0" applyNumberFormat="1" applyFont="1" applyFill="1" applyBorder="1" applyAlignment="1">
      <alignment wrapText="1"/>
    </xf>
    <xf numFmtId="164" fontId="11" fillId="0" borderId="0" xfId="0" applyNumberFormat="1" applyFont="1" applyFill="1" applyBorder="1" applyAlignment="1">
      <alignment horizontal="left" wrapText="1" indent="1"/>
    </xf>
    <xf numFmtId="0" fontId="17" fillId="2" borderId="7" xfId="0" applyFont="1" applyFill="1" applyBorder="1" applyAlignment="1">
      <alignment vertical="top" wrapText="1"/>
    </xf>
    <xf numFmtId="0" fontId="17" fillId="2" borderId="15" xfId="0" applyFont="1" applyFill="1" applyBorder="1" applyAlignment="1">
      <alignment vertical="top" wrapText="1"/>
    </xf>
    <xf numFmtId="0" fontId="17" fillId="2" borderId="49" xfId="0" applyFont="1" applyFill="1" applyBorder="1"/>
    <xf numFmtId="0" fontId="11" fillId="2" borderId="5" xfId="0" applyFont="1" applyFill="1" applyBorder="1"/>
    <xf numFmtId="0" fontId="17" fillId="2" borderId="8" xfId="0" applyFont="1" applyFill="1" applyBorder="1" applyAlignment="1">
      <alignment vertical="top" wrapText="1"/>
    </xf>
    <xf numFmtId="0" fontId="11" fillId="2" borderId="50" xfId="0" applyFont="1" applyFill="1" applyBorder="1"/>
    <xf numFmtId="2" fontId="17" fillId="0" borderId="0" xfId="0" applyNumberFormat="1" applyFont="1" applyFill="1" applyBorder="1" applyAlignment="1">
      <alignment horizontal="right" vertical="top" wrapText="1"/>
    </xf>
    <xf numFmtId="2" fontId="17" fillId="0" borderId="4" xfId="0" applyNumberFormat="1" applyFont="1" applyFill="1" applyBorder="1" applyAlignment="1">
      <alignment horizontal="right" vertical="top" wrapText="1"/>
    </xf>
    <xf numFmtId="2" fontId="17" fillId="0" borderId="14" xfId="0" applyNumberFormat="1" applyFont="1" applyFill="1" applyBorder="1" applyAlignment="1">
      <alignment horizontal="right" vertical="top" wrapText="1"/>
    </xf>
    <xf numFmtId="0" fontId="11" fillId="2" borderId="8" xfId="0" applyFont="1" applyFill="1" applyBorder="1" applyAlignment="1">
      <alignment wrapText="1"/>
    </xf>
    <xf numFmtId="2" fontId="11" fillId="2" borderId="7" xfId="0" applyNumberFormat="1" applyFont="1" applyFill="1" applyBorder="1" applyAlignment="1">
      <alignment vertical="top" wrapText="1"/>
    </xf>
    <xf numFmtId="2" fontId="11" fillId="2" borderId="6" xfId="0" applyNumberFormat="1" applyFont="1" applyFill="1" applyBorder="1" applyAlignment="1">
      <alignment vertical="top" wrapText="1"/>
    </xf>
    <xf numFmtId="2" fontId="11" fillId="2" borderId="16" xfId="0" applyNumberFormat="1" applyFont="1" applyFill="1" applyBorder="1" applyAlignment="1">
      <alignment vertical="top" wrapText="1"/>
    </xf>
    <xf numFmtId="0" fontId="26" fillId="2" borderId="11" xfId="0" applyFont="1" applyFill="1" applyBorder="1"/>
    <xf numFmtId="0" fontId="11" fillId="2" borderId="13" xfId="0" applyFont="1" applyFill="1" applyBorder="1" applyAlignment="1">
      <alignment horizontal="left" wrapText="1"/>
    </xf>
    <xf numFmtId="0" fontId="17" fillId="2" borderId="7" xfId="0" applyNumberFormat="1" applyFont="1" applyFill="1" applyBorder="1" applyAlignment="1">
      <alignment vertical="top" wrapText="1"/>
    </xf>
    <xf numFmtId="0" fontId="17" fillId="2" borderId="6" xfId="0" applyNumberFormat="1" applyFont="1" applyFill="1" applyBorder="1" applyAlignment="1">
      <alignment vertical="top" wrapText="1"/>
    </xf>
    <xf numFmtId="0" fontId="17" fillId="2" borderId="6" xfId="0" applyFont="1" applyFill="1" applyBorder="1" applyAlignment="1">
      <alignment vertical="top" wrapText="1"/>
    </xf>
    <xf numFmtId="0" fontId="17" fillId="2" borderId="16" xfId="0" applyFont="1" applyFill="1" applyBorder="1" applyAlignment="1">
      <alignment vertical="top" wrapText="1"/>
    </xf>
    <xf numFmtId="3" fontId="17" fillId="0" borderId="0" xfId="0" applyNumberFormat="1" applyFont="1" applyFill="1" applyBorder="1" applyAlignment="1">
      <alignment horizontal="right" vertical="top" wrapText="1"/>
    </xf>
    <xf numFmtId="3" fontId="24" fillId="0" borderId="0" xfId="0" applyNumberFormat="1" applyFont="1" applyFill="1" applyBorder="1" applyAlignment="1">
      <alignment horizontal="right" vertical="top" wrapText="1"/>
    </xf>
    <xf numFmtId="0" fontId="31" fillId="8" borderId="20" xfId="0" applyFont="1" applyFill="1" applyBorder="1"/>
    <xf numFmtId="0" fontId="31" fillId="8" borderId="13" xfId="0" applyFont="1" applyFill="1" applyBorder="1"/>
    <xf numFmtId="0" fontId="31" fillId="3" borderId="13" xfId="0" applyFont="1" applyFill="1" applyBorder="1"/>
    <xf numFmtId="0" fontId="31" fillId="8" borderId="17" xfId="0" applyFont="1" applyFill="1" applyBorder="1"/>
    <xf numFmtId="2" fontId="0" fillId="2" borderId="7" xfId="0" applyNumberFormat="1" applyFont="1" applyFill="1" applyBorder="1" applyAlignment="1">
      <alignment vertical="top" wrapText="1"/>
    </xf>
    <xf numFmtId="0" fontId="11" fillId="2" borderId="15" xfId="0" applyFont="1" applyFill="1" applyBorder="1" applyAlignment="1">
      <alignment horizontal="left" wrapText="1" indent="1"/>
    </xf>
    <xf numFmtId="0" fontId="11" fillId="2" borderId="8" xfId="0" applyFont="1" applyFill="1" applyBorder="1" applyAlignment="1">
      <alignment horizontal="left" wrapText="1" indent="1"/>
    </xf>
    <xf numFmtId="164" fontId="11" fillId="2" borderId="28" xfId="0" applyNumberFormat="1" applyFont="1" applyFill="1" applyBorder="1" applyAlignment="1">
      <alignment wrapText="1"/>
    </xf>
    <xf numFmtId="3" fontId="0" fillId="2" borderId="7" xfId="0" applyNumberFormat="1" applyFont="1" applyFill="1" applyBorder="1" applyAlignment="1">
      <alignment vertical="top" wrapText="1"/>
    </xf>
    <xf numFmtId="3" fontId="11" fillId="0" borderId="0" xfId="0" applyNumberFormat="1" applyFont="1" applyFill="1" applyBorder="1" applyAlignment="1">
      <alignment horizontal="right"/>
    </xf>
    <xf numFmtId="3" fontId="0" fillId="0" borderId="0" xfId="0" applyNumberFormat="1" applyFont="1" applyBorder="1" applyAlignment="1">
      <alignment horizontal="right"/>
    </xf>
    <xf numFmtId="0" fontId="7" fillId="2" borderId="44" xfId="0" applyFont="1" applyFill="1" applyBorder="1" applyAlignment="1">
      <alignment vertical="center"/>
    </xf>
    <xf numFmtId="0" fontId="7" fillId="2" borderId="13" xfId="0" applyFont="1" applyFill="1" applyBorder="1" applyAlignment="1">
      <alignment vertical="top"/>
    </xf>
    <xf numFmtId="0" fontId="7" fillId="2" borderId="5" xfId="0" applyFont="1" applyFill="1" applyBorder="1" applyAlignment="1">
      <alignment vertical="top"/>
    </xf>
    <xf numFmtId="3" fontId="7" fillId="0" borderId="0" xfId="0" applyNumberFormat="1" applyFont="1" applyFill="1" applyBorder="1" applyAlignment="1">
      <alignment vertical="top" wrapText="1"/>
    </xf>
    <xf numFmtId="0" fontId="7" fillId="0" borderId="14" xfId="0" applyFont="1" applyFill="1" applyBorder="1" applyAlignment="1">
      <alignment vertical="top" wrapText="1"/>
    </xf>
    <xf numFmtId="3" fontId="7" fillId="2" borderId="11" xfId="0" applyNumberFormat="1" applyFont="1" applyFill="1" applyBorder="1" applyAlignment="1">
      <alignment vertical="top" wrapText="1"/>
    </xf>
    <xf numFmtId="0" fontId="7" fillId="2" borderId="12" xfId="0" applyFont="1" applyFill="1" applyBorder="1" applyAlignment="1">
      <alignment vertical="top" wrapText="1"/>
    </xf>
    <xf numFmtId="0" fontId="7" fillId="2" borderId="14" xfId="0" applyFont="1" applyFill="1" applyBorder="1" applyAlignment="1">
      <alignment vertical="top" wrapText="1"/>
    </xf>
    <xf numFmtId="0" fontId="7" fillId="2" borderId="5" xfId="0" applyFont="1" applyFill="1" applyBorder="1"/>
    <xf numFmtId="0" fontId="17" fillId="2" borderId="2" xfId="0" applyNumberFormat="1" applyFont="1" applyFill="1" applyBorder="1"/>
    <xf numFmtId="2" fontId="11" fillId="2" borderId="0" xfId="0" applyNumberFormat="1" applyFont="1" applyFill="1" applyBorder="1" applyAlignment="1">
      <alignment horizontal="left" wrapText="1" indent="1"/>
    </xf>
    <xf numFmtId="2" fontId="11" fillId="2" borderId="0" xfId="0" applyNumberFormat="1" applyFont="1" applyFill="1" applyBorder="1" applyAlignment="1">
      <alignment wrapText="1"/>
    </xf>
    <xf numFmtId="2" fontId="11" fillId="2" borderId="30" xfId="0" applyNumberFormat="1" applyFont="1" applyFill="1" applyBorder="1" applyAlignment="1">
      <alignment horizontal="left" wrapText="1"/>
    </xf>
    <xf numFmtId="2" fontId="11" fillId="2" borderId="18" xfId="0" applyNumberFormat="1" applyFont="1" applyFill="1" applyBorder="1" applyAlignment="1">
      <alignment horizontal="left" wrapText="1" indent="1"/>
    </xf>
    <xf numFmtId="2" fontId="11" fillId="2" borderId="0" xfId="0" applyNumberFormat="1" applyFont="1" applyFill="1" applyBorder="1" applyAlignment="1">
      <alignment horizontal="left" wrapText="1"/>
    </xf>
    <xf numFmtId="2" fontId="14" fillId="2" borderId="13" xfId="0" applyNumberFormat="1" applyFont="1" applyFill="1" applyBorder="1" applyAlignment="1">
      <alignment vertical="top" wrapText="1"/>
    </xf>
    <xf numFmtId="2" fontId="14" fillId="2" borderId="13" xfId="0" applyNumberFormat="1" applyFont="1" applyFill="1" applyBorder="1" applyAlignment="1">
      <alignment horizontal="left" wrapText="1" indent="1"/>
    </xf>
    <xf numFmtId="2" fontId="14" fillId="2" borderId="13" xfId="0" applyNumberFormat="1" applyFont="1" applyFill="1" applyBorder="1" applyAlignment="1">
      <alignment wrapText="1"/>
    </xf>
    <xf numFmtId="2" fontId="14" fillId="2" borderId="0" xfId="0" applyNumberFormat="1" applyFont="1" applyFill="1" applyBorder="1" applyAlignment="1">
      <alignment vertical="top" wrapText="1"/>
    </xf>
    <xf numFmtId="168" fontId="0" fillId="0" borderId="0" xfId="0" applyNumberFormat="1"/>
    <xf numFmtId="168" fontId="0" fillId="0" borderId="0" xfId="0" applyNumberFormat="1" applyFill="1"/>
    <xf numFmtId="0" fontId="7" fillId="2" borderId="1" xfId="0" applyFont="1" applyFill="1" applyBorder="1" applyAlignment="1">
      <alignment vertical="top"/>
    </xf>
    <xf numFmtId="0" fontId="29" fillId="2" borderId="6" xfId="0" applyFont="1" applyFill="1" applyBorder="1" applyAlignment="1">
      <alignment vertical="top"/>
    </xf>
    <xf numFmtId="169" fontId="7" fillId="0" borderId="14" xfId="0" applyNumberFormat="1" applyFont="1" applyFill="1" applyBorder="1" applyAlignment="1">
      <alignment vertical="top" wrapText="1"/>
    </xf>
    <xf numFmtId="0" fontId="11" fillId="6" borderId="24" xfId="0" applyFont="1" applyFill="1" applyBorder="1" applyAlignment="1">
      <alignment horizontal="left" vertical="center"/>
    </xf>
    <xf numFmtId="3" fontId="0" fillId="0" borderId="0" xfId="0" applyNumberFormat="1" applyFont="1" applyFill="1" applyBorder="1" applyAlignment="1">
      <alignment horizontal="right" vertical="top" wrapText="1"/>
    </xf>
    <xf numFmtId="3" fontId="11" fillId="0" borderId="14" xfId="0" applyNumberFormat="1" applyFont="1" applyFill="1" applyBorder="1" applyAlignment="1">
      <alignment horizontal="right" vertical="top" wrapText="1"/>
    </xf>
    <xf numFmtId="0" fontId="0" fillId="0" borderId="0" xfId="0" applyAlignment="1">
      <alignment horizontal="right"/>
    </xf>
    <xf numFmtId="0" fontId="29" fillId="2" borderId="4" xfId="0" applyFont="1" applyFill="1" applyBorder="1" applyAlignment="1">
      <alignment vertical="top"/>
    </xf>
    <xf numFmtId="3" fontId="11" fillId="2" borderId="4" xfId="1" applyNumberFormat="1" applyFont="1" applyFill="1" applyBorder="1"/>
    <xf numFmtId="3" fontId="0" fillId="0" borderId="4" xfId="0" applyNumberFormat="1" applyFill="1" applyBorder="1"/>
    <xf numFmtId="3" fontId="11" fillId="2" borderId="6" xfId="1" applyNumberFormat="1" applyFont="1" applyFill="1" applyBorder="1"/>
    <xf numFmtId="3" fontId="17" fillId="2" borderId="6" xfId="1" applyNumberFormat="1" applyFont="1" applyFill="1" applyBorder="1"/>
    <xf numFmtId="3" fontId="17" fillId="2" borderId="46" xfId="1" applyNumberFormat="1" applyFont="1" applyFill="1" applyBorder="1"/>
    <xf numFmtId="166" fontId="0" fillId="0" borderId="4" xfId="0" applyNumberFormat="1" applyFill="1" applyBorder="1" applyAlignment="1">
      <alignment horizontal="left" vertical="top"/>
    </xf>
    <xf numFmtId="0" fontId="0" fillId="0" borderId="0" xfId="0" applyFill="1" applyBorder="1" applyAlignment="1">
      <alignment wrapText="1"/>
    </xf>
    <xf numFmtId="0" fontId="6" fillId="2" borderId="15" xfId="0" applyFont="1" applyFill="1" applyBorder="1"/>
    <xf numFmtId="0" fontId="6" fillId="2" borderId="7" xfId="0" applyFont="1" applyFill="1" applyBorder="1"/>
    <xf numFmtId="0" fontId="6" fillId="2" borderId="7" xfId="0" applyFont="1" applyFill="1" applyBorder="1" applyAlignment="1">
      <alignment horizontal="center"/>
    </xf>
    <xf numFmtId="9" fontId="6" fillId="2" borderId="7" xfId="1" applyFont="1" applyFill="1" applyBorder="1"/>
    <xf numFmtId="0" fontId="0" fillId="2" borderId="0" xfId="0" applyFill="1" applyBorder="1" applyAlignment="1">
      <alignment horizontal="left" wrapText="1"/>
    </xf>
    <xf numFmtId="0" fontId="7" fillId="2" borderId="51" xfId="0" applyFont="1" applyFill="1" applyBorder="1"/>
    <xf numFmtId="0" fontId="7" fillId="2" borderId="32" xfId="0" applyFont="1" applyFill="1" applyBorder="1"/>
    <xf numFmtId="0" fontId="7" fillId="2" borderId="52" xfId="0" applyFont="1" applyFill="1" applyBorder="1"/>
    <xf numFmtId="0" fontId="17" fillId="2" borderId="32" xfId="0" quotePrefix="1" applyFont="1" applyFill="1" applyBorder="1"/>
    <xf numFmtId="0" fontId="17" fillId="2" borderId="32" xfId="0" applyFont="1" applyFill="1" applyBorder="1"/>
    <xf numFmtId="0" fontId="11" fillId="2" borderId="0" xfId="0" applyFont="1" applyFill="1" applyBorder="1" applyAlignment="1">
      <alignment horizontal="left"/>
    </xf>
    <xf numFmtId="0" fontId="7" fillId="2" borderId="7" xfId="0" applyFont="1" applyFill="1" applyBorder="1"/>
    <xf numFmtId="0" fontId="7" fillId="2" borderId="34" xfId="0" applyFont="1" applyFill="1" applyBorder="1"/>
    <xf numFmtId="0" fontId="11" fillId="0" borderId="4" xfId="0" applyFont="1" applyFill="1" applyBorder="1"/>
    <xf numFmtId="0" fontId="11" fillId="2" borderId="46" xfId="0" applyFont="1" applyFill="1" applyBorder="1"/>
    <xf numFmtId="0" fontId="14" fillId="2" borderId="53" xfId="0" applyFont="1" applyFill="1" applyBorder="1"/>
    <xf numFmtId="0" fontId="0" fillId="2" borderId="54" xfId="0" applyFill="1" applyBorder="1"/>
    <xf numFmtId="0" fontId="0" fillId="2" borderId="56" xfId="0" applyFill="1" applyBorder="1"/>
    <xf numFmtId="0" fontId="11" fillId="2" borderId="54" xfId="0" applyFont="1" applyFill="1" applyBorder="1"/>
    <xf numFmtId="3" fontId="11" fillId="2" borderId="55" xfId="1" applyNumberFormat="1" applyFont="1" applyFill="1" applyBorder="1"/>
    <xf numFmtId="0" fontId="11" fillId="2" borderId="53" xfId="0" applyFont="1" applyFill="1" applyBorder="1"/>
    <xf numFmtId="165" fontId="11" fillId="2" borderId="55" xfId="0" applyNumberFormat="1" applyFont="1" applyFill="1" applyBorder="1"/>
    <xf numFmtId="0" fontId="0" fillId="2" borderId="7" xfId="0" applyFont="1" applyFill="1" applyBorder="1" applyAlignment="1">
      <alignment vertical="top" wrapText="1"/>
    </xf>
    <xf numFmtId="0" fontId="11" fillId="0" borderId="0" xfId="0" applyFont="1" applyFill="1" applyBorder="1" applyAlignment="1">
      <alignment horizontal="left"/>
    </xf>
    <xf numFmtId="0" fontId="7" fillId="2" borderId="21" xfId="0" applyFont="1" applyFill="1" applyBorder="1" applyAlignment="1">
      <alignment vertical="top" wrapText="1"/>
    </xf>
    <xf numFmtId="0" fontId="24" fillId="2" borderId="22" xfId="0" applyFont="1" applyFill="1" applyBorder="1"/>
    <xf numFmtId="9" fontId="11" fillId="0" borderId="22" xfId="772" applyFont="1" applyFill="1" applyBorder="1"/>
    <xf numFmtId="9" fontId="11" fillId="2" borderId="22" xfId="772" applyFont="1" applyFill="1" applyBorder="1"/>
    <xf numFmtId="9" fontId="11" fillId="2" borderId="44" xfId="772" applyFont="1" applyFill="1" applyBorder="1"/>
    <xf numFmtId="9" fontId="11" fillId="2" borderId="21" xfId="772" applyFont="1" applyFill="1" applyBorder="1"/>
    <xf numFmtId="9" fontId="11" fillId="2" borderId="57" xfId="772" applyFont="1" applyFill="1" applyBorder="1"/>
    <xf numFmtId="9" fontId="11" fillId="2" borderId="0" xfId="0" applyNumberFormat="1" applyFont="1" applyFill="1" applyBorder="1" applyAlignment="1">
      <alignment horizontal="right"/>
    </xf>
    <xf numFmtId="167" fontId="0" fillId="0" borderId="14" xfId="0" applyNumberFormat="1" applyFill="1" applyBorder="1"/>
    <xf numFmtId="0" fontId="0" fillId="2" borderId="16" xfId="0" applyFont="1" applyFill="1" applyBorder="1" applyAlignment="1">
      <alignment vertical="top" wrapText="1"/>
    </xf>
    <xf numFmtId="0" fontId="11" fillId="2" borderId="43" xfId="0" applyFont="1" applyFill="1" applyBorder="1"/>
    <xf numFmtId="0" fontId="11" fillId="2" borderId="16" xfId="0" applyFont="1" applyFill="1" applyBorder="1"/>
    <xf numFmtId="0" fontId="11" fillId="2" borderId="6" xfId="0" applyFont="1" applyFill="1" applyBorder="1"/>
    <xf numFmtId="0" fontId="11" fillId="2" borderId="55" xfId="0" applyFont="1" applyFill="1" applyBorder="1"/>
    <xf numFmtId="0" fontId="11" fillId="2" borderId="56" xfId="0" applyFont="1" applyFill="1" applyBorder="1"/>
    <xf numFmtId="167" fontId="0" fillId="0" borderId="22" xfId="0" applyNumberFormat="1" applyFill="1" applyBorder="1"/>
    <xf numFmtId="0" fontId="0" fillId="10" borderId="22" xfId="0" applyFill="1" applyBorder="1" applyAlignment="1">
      <alignment horizontal="center"/>
    </xf>
    <xf numFmtId="9" fontId="0" fillId="10" borderId="22" xfId="1" applyFont="1" applyFill="1" applyBorder="1" applyAlignment="1">
      <alignment horizontal="center"/>
    </xf>
    <xf numFmtId="0" fontId="7" fillId="2" borderId="23" xfId="0" applyFont="1" applyFill="1" applyBorder="1"/>
    <xf numFmtId="0" fontId="6" fillId="2" borderId="59" xfId="0" applyFont="1" applyFill="1" applyBorder="1"/>
    <xf numFmtId="0" fontId="0" fillId="2" borderId="23" xfId="0" applyFill="1" applyBorder="1"/>
    <xf numFmtId="0" fontId="0" fillId="2" borderId="23" xfId="0" applyFill="1" applyBorder="1" applyAlignment="1">
      <alignment horizontal="left" vertical="top"/>
    </xf>
    <xf numFmtId="0" fontId="6" fillId="2" borderId="23" xfId="0" applyFont="1" applyFill="1" applyBorder="1" applyAlignment="1">
      <alignment horizontal="left" vertical="top"/>
    </xf>
    <xf numFmtId="0" fontId="0" fillId="2" borderId="23" xfId="0" applyFont="1" applyFill="1" applyBorder="1" applyAlignment="1">
      <alignment horizontal="left" vertical="top"/>
    </xf>
    <xf numFmtId="0" fontId="0" fillId="2" borderId="59" xfId="0" applyFill="1" applyBorder="1" applyAlignment="1">
      <alignment horizontal="left" vertical="top"/>
    </xf>
    <xf numFmtId="0" fontId="0" fillId="2" borderId="23" xfId="0" applyFont="1" applyFill="1" applyBorder="1" applyAlignment="1">
      <alignment horizontal="left" vertical="top" wrapText="1"/>
    </xf>
    <xf numFmtId="0" fontId="0" fillId="2" borderId="58" xfId="0" applyFill="1" applyBorder="1" applyAlignment="1">
      <alignment horizontal="left" vertical="top"/>
    </xf>
    <xf numFmtId="0" fontId="0" fillId="13" borderId="22" xfId="0" applyNumberFormat="1" applyFill="1" applyBorder="1" applyAlignment="1">
      <alignment horizontal="center"/>
    </xf>
    <xf numFmtId="0" fontId="7" fillId="2" borderId="59" xfId="0" applyFont="1" applyFill="1" applyBorder="1"/>
    <xf numFmtId="0" fontId="0" fillId="2" borderId="0" xfId="0" applyFill="1" applyBorder="1" applyAlignment="1">
      <alignment horizontal="left" indent="1"/>
    </xf>
    <xf numFmtId="0" fontId="0" fillId="2" borderId="22" xfId="0" applyNumberFormat="1" applyFill="1" applyBorder="1" applyAlignment="1">
      <alignment horizontal="center"/>
    </xf>
    <xf numFmtId="0" fontId="7" fillId="2" borderId="60" xfId="0" applyFont="1" applyFill="1" applyBorder="1"/>
    <xf numFmtId="0" fontId="7" fillId="2" borderId="6" xfId="0" applyFont="1" applyFill="1" applyBorder="1"/>
    <xf numFmtId="9" fontId="0" fillId="2" borderId="4" xfId="0" applyNumberFormat="1" applyFill="1" applyBorder="1" applyAlignment="1">
      <alignment horizontal="right"/>
    </xf>
    <xf numFmtId="0" fontId="0" fillId="2" borderId="6" xfId="0" applyFont="1" applyFill="1" applyBorder="1" applyAlignment="1">
      <alignment vertical="top" wrapText="1"/>
    </xf>
    <xf numFmtId="0" fontId="11" fillId="2" borderId="1" xfId="0" applyFont="1" applyFill="1" applyBorder="1"/>
    <xf numFmtId="0" fontId="0" fillId="2" borderId="55" xfId="0" applyFill="1" applyBorder="1"/>
    <xf numFmtId="0" fontId="0" fillId="0" borderId="4" xfId="0" applyFill="1" applyBorder="1"/>
    <xf numFmtId="167" fontId="0" fillId="0" borderId="4" xfId="0" applyNumberFormat="1" applyFill="1" applyBorder="1"/>
    <xf numFmtId="0" fontId="11" fillId="0" borderId="0" xfId="0" applyFont="1" applyFill="1" applyBorder="1" applyAlignment="1">
      <alignment horizontal="left" indent="1"/>
    </xf>
    <xf numFmtId="0" fontId="7" fillId="2" borderId="53" xfId="0" applyFont="1" applyFill="1" applyBorder="1"/>
    <xf numFmtId="0" fontId="7" fillId="2" borderId="54" xfId="0" applyFont="1" applyFill="1" applyBorder="1"/>
    <xf numFmtId="0" fontId="7" fillId="2" borderId="61" xfId="0" applyFont="1" applyFill="1" applyBorder="1"/>
    <xf numFmtId="0" fontId="17" fillId="2" borderId="54" xfId="0" applyFont="1" applyFill="1" applyBorder="1"/>
    <xf numFmtId="0" fontId="11" fillId="2" borderId="54" xfId="0" applyFont="1" applyFill="1" applyBorder="1" applyAlignment="1">
      <alignment horizontal="left"/>
    </xf>
    <xf numFmtId="0" fontId="7" fillId="2" borderId="55" xfId="0" applyFont="1" applyFill="1" applyBorder="1"/>
    <xf numFmtId="0" fontId="7" fillId="2" borderId="56" xfId="0" applyFont="1" applyFill="1" applyBorder="1"/>
    <xf numFmtId="3" fontId="11" fillId="0" borderId="4" xfId="1" applyNumberFormat="1" applyFont="1" applyFill="1" applyBorder="1"/>
    <xf numFmtId="165" fontId="11" fillId="0" borderId="4" xfId="1" applyNumberFormat="1" applyFont="1" applyFill="1" applyBorder="1"/>
    <xf numFmtId="0" fontId="11" fillId="2" borderId="0" xfId="0" applyNumberFormat="1" applyFont="1" applyFill="1" applyBorder="1" applyAlignment="1">
      <alignment vertical="center" wrapText="1"/>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3" xfId="0" applyFill="1" applyBorder="1" applyAlignment="1">
      <alignment vertical="center"/>
    </xf>
    <xf numFmtId="0" fontId="7" fillId="2" borderId="10" xfId="0" applyFont="1" applyFill="1" applyBorder="1" applyAlignment="1">
      <alignment vertical="center"/>
    </xf>
    <xf numFmtId="0" fontId="7" fillId="2" borderId="12" xfId="0" applyFont="1"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7" fillId="2" borderId="15" xfId="0" applyFont="1" applyFill="1" applyBorder="1" applyAlignment="1">
      <alignment vertical="center"/>
    </xf>
    <xf numFmtId="0" fontId="7" fillId="0" borderId="16" xfId="0" applyFont="1" applyFill="1" applyBorder="1" applyAlignment="1">
      <alignment vertical="center"/>
    </xf>
    <xf numFmtId="0" fontId="0" fillId="2" borderId="13" xfId="0" applyFont="1" applyFill="1" applyBorder="1" applyAlignment="1">
      <alignment vertical="center"/>
    </xf>
    <xf numFmtId="0" fontId="7" fillId="2" borderId="14" xfId="0" applyFont="1" applyFill="1" applyBorder="1" applyAlignment="1">
      <alignment vertical="center"/>
    </xf>
    <xf numFmtId="0" fontId="11" fillId="0" borderId="14" xfId="0" applyFont="1" applyFill="1" applyBorder="1" applyAlignment="1">
      <alignment vertical="center" wrapText="1"/>
    </xf>
    <xf numFmtId="0" fontId="0" fillId="2" borderId="17" xfId="0" applyFill="1" applyBorder="1" applyAlignment="1">
      <alignment vertical="center"/>
    </xf>
    <xf numFmtId="0" fontId="0" fillId="2" borderId="19" xfId="0" applyFill="1" applyBorder="1" applyAlignment="1">
      <alignment vertical="center"/>
    </xf>
    <xf numFmtId="0" fontId="0" fillId="2" borderId="0" xfId="0" applyFill="1" applyBorder="1" applyAlignment="1">
      <alignment vertical="center"/>
    </xf>
    <xf numFmtId="0" fontId="0" fillId="2" borderId="0" xfId="0" applyFill="1" applyBorder="1" applyAlignment="1">
      <alignment vertical="center" wrapText="1"/>
    </xf>
    <xf numFmtId="0" fontId="7" fillId="2" borderId="11" xfId="0" applyFont="1" applyFill="1" applyBorder="1" applyAlignment="1">
      <alignment vertical="center"/>
    </xf>
    <xf numFmtId="0" fontId="0" fillId="2" borderId="12" xfId="0" applyFill="1" applyBorder="1" applyAlignment="1">
      <alignment vertical="center"/>
    </xf>
    <xf numFmtId="0" fontId="7" fillId="0" borderId="7" xfId="0" applyFont="1" applyFill="1" applyBorder="1" applyAlignment="1">
      <alignment vertical="center"/>
    </xf>
    <xf numFmtId="0" fontId="14" fillId="2" borderId="13" xfId="0" applyFont="1" applyFill="1" applyBorder="1" applyAlignment="1">
      <alignment vertical="center"/>
    </xf>
    <xf numFmtId="0" fontId="23" fillId="2" borderId="0" xfId="0" applyFont="1" applyFill="1" applyBorder="1" applyAlignment="1">
      <alignment vertical="center"/>
    </xf>
    <xf numFmtId="0" fontId="23" fillId="2" borderId="14" xfId="0" applyFont="1" applyFill="1" applyBorder="1" applyAlignment="1">
      <alignment vertical="center"/>
    </xf>
    <xf numFmtId="0" fontId="11" fillId="2" borderId="14" xfId="0" applyFont="1" applyFill="1" applyBorder="1" applyAlignment="1">
      <alignment vertical="center" wrapText="1"/>
    </xf>
    <xf numFmtId="0" fontId="13" fillId="8" borderId="0" xfId="0" applyFont="1" applyFill="1" applyBorder="1" applyAlignment="1">
      <alignment vertical="center" wrapText="1"/>
    </xf>
    <xf numFmtId="0" fontId="22" fillId="2" borderId="13" xfId="0" applyFont="1" applyFill="1" applyBorder="1" applyAlignment="1">
      <alignment vertical="center"/>
    </xf>
    <xf numFmtId="0" fontId="6" fillId="2" borderId="13" xfId="0" applyFont="1" applyFill="1" applyBorder="1" applyAlignment="1">
      <alignment vertical="center"/>
    </xf>
    <xf numFmtId="0" fontId="6" fillId="2" borderId="0" xfId="0" applyFont="1" applyFill="1" applyBorder="1" applyAlignment="1">
      <alignment vertical="center"/>
    </xf>
    <xf numFmtId="0" fontId="6" fillId="2" borderId="14" xfId="0" applyFont="1" applyFill="1" applyBorder="1" applyAlignment="1">
      <alignment vertical="center"/>
    </xf>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9" xfId="0" applyFont="1" applyFill="1" applyBorder="1" applyAlignment="1">
      <alignment vertical="center"/>
    </xf>
    <xf numFmtId="0" fontId="7" fillId="2" borderId="16" xfId="0" applyFont="1" applyFill="1" applyBorder="1" applyAlignment="1">
      <alignment vertical="center"/>
    </xf>
    <xf numFmtId="0" fontId="12" fillId="2" borderId="13" xfId="0" applyFont="1" applyFill="1" applyBorder="1" applyAlignment="1">
      <alignment vertical="center"/>
    </xf>
    <xf numFmtId="0" fontId="0" fillId="0" borderId="14" xfId="0" applyFill="1" applyBorder="1" applyAlignment="1">
      <alignment vertical="center"/>
    </xf>
    <xf numFmtId="0" fontId="11" fillId="0" borderId="14" xfId="0" applyFont="1" applyFill="1" applyBorder="1" applyAlignment="1">
      <alignment vertical="center"/>
    </xf>
    <xf numFmtId="0" fontId="12" fillId="2" borderId="20" xfId="0" applyFont="1" applyFill="1" applyBorder="1" applyAlignment="1">
      <alignment vertical="center"/>
    </xf>
    <xf numFmtId="0" fontId="11" fillId="0" borderId="43" xfId="0" applyFont="1" applyFill="1" applyBorder="1" applyAlignment="1">
      <alignment vertical="center"/>
    </xf>
    <xf numFmtId="0" fontId="12" fillId="2" borderId="15" xfId="0" applyFont="1" applyFill="1" applyBorder="1" applyAlignment="1">
      <alignment vertical="center"/>
    </xf>
    <xf numFmtId="0" fontId="0" fillId="0" borderId="16" xfId="0" applyFill="1" applyBorder="1" applyAlignment="1">
      <alignment vertical="center"/>
    </xf>
    <xf numFmtId="0" fontId="0" fillId="2" borderId="15" xfId="0" applyFill="1" applyBorder="1" applyAlignment="1">
      <alignment vertical="center"/>
    </xf>
    <xf numFmtId="0" fontId="0" fillId="0" borderId="43" xfId="0" applyFill="1" applyBorder="1" applyAlignment="1">
      <alignment vertical="center"/>
    </xf>
    <xf numFmtId="0" fontId="0" fillId="0" borderId="14" xfId="0" applyFill="1" applyBorder="1" applyAlignment="1">
      <alignment vertical="center" wrapText="1"/>
    </xf>
    <xf numFmtId="0" fontId="0" fillId="0" borderId="19" xfId="0" applyFill="1" applyBorder="1" applyAlignment="1">
      <alignment vertical="center"/>
    </xf>
    <xf numFmtId="0" fontId="7" fillId="2" borderId="0" xfId="0" applyFont="1" applyFill="1" applyBorder="1" applyAlignment="1">
      <alignment vertical="center"/>
    </xf>
    <xf numFmtId="0" fontId="7" fillId="2" borderId="13" xfId="0" applyFont="1" applyFill="1" applyBorder="1" applyAlignment="1">
      <alignment vertical="center"/>
    </xf>
    <xf numFmtId="0" fontId="0" fillId="10" borderId="22" xfId="0" applyFont="1" applyFill="1" applyBorder="1"/>
    <xf numFmtId="0" fontId="13" fillId="0" borderId="5" xfId="0" applyFont="1" applyFill="1" applyBorder="1"/>
    <xf numFmtId="0" fontId="0" fillId="2" borderId="6"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11" fillId="2" borderId="6" xfId="0" applyFont="1" applyFill="1" applyBorder="1" applyAlignment="1">
      <alignment horizontal="left" wrapText="1"/>
    </xf>
    <xf numFmtId="0" fontId="11" fillId="2" borderId="7" xfId="0" applyFont="1" applyFill="1" applyBorder="1" applyAlignment="1">
      <alignment horizontal="left" wrapText="1"/>
    </xf>
    <xf numFmtId="0" fontId="11" fillId="0" borderId="8" xfId="0" applyFont="1" applyBorder="1" applyAlignment="1">
      <alignment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2" borderId="7" xfId="0" applyFill="1" applyBorder="1" applyAlignment="1">
      <alignment horizontal="left" vertical="center" wrapText="1"/>
    </xf>
    <xf numFmtId="0" fontId="11" fillId="2" borderId="6" xfId="0" applyNumberFormat="1" applyFont="1" applyFill="1" applyBorder="1" applyAlignment="1">
      <alignment horizontal="left" vertical="center" wrapText="1"/>
    </xf>
    <xf numFmtId="0" fontId="11" fillId="2" borderId="7" xfId="0" applyNumberFormat="1" applyFont="1" applyFill="1" applyBorder="1" applyAlignment="1">
      <alignment horizontal="left" vertical="center" wrapText="1"/>
    </xf>
    <xf numFmtId="0" fontId="11" fillId="2" borderId="8" xfId="0" applyNumberFormat="1"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cellXfs>
  <cellStyles count="157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Normal" xfId="0" builtinId="0"/>
    <cellStyle name="Per cent" xfId="1" builtinId="5"/>
    <cellStyle name="Percent 2" xfId="772" xr:uid="{00000000-0005-0000-0000-000024060000}"/>
  </cellStyles>
  <dxfs count="23">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a:extLst>
            <a:ext uri="{FF2B5EF4-FFF2-40B4-BE49-F238E27FC236}">
              <a16:creationId xmlns:a16="http://schemas.microsoft.com/office/drawing/2014/main" id="{00000000-0008-0000-0400-00009D000000}"/>
            </a:ext>
          </a:extLst>
        </xdr:cNvPr>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a:extLst>
            <a:ext uri="{FF2B5EF4-FFF2-40B4-BE49-F238E27FC236}">
              <a16:creationId xmlns:a16="http://schemas.microsoft.com/office/drawing/2014/main" id="{00000000-0008-0000-0400-00005D000000}"/>
            </a:ext>
          </a:extLst>
        </xdr:cNvPr>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11</xdr:row>
      <xdr:rowOff>0</xdr:rowOff>
    </xdr:from>
    <xdr:to>
      <xdr:col>8</xdr:col>
      <xdr:colOff>0</xdr:colOff>
      <xdr:row>14</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318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127000</xdr:colOff>
      <xdr:row>28</xdr:row>
      <xdr:rowOff>25400</xdr:rowOff>
    </xdr:from>
    <xdr:to>
      <xdr:col>17</xdr:col>
      <xdr:colOff>127000</xdr:colOff>
      <xdr:row>31</xdr:row>
      <xdr:rowOff>25400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5019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 production</a:t>
          </a:r>
          <a:endParaRPr lang="en-US"/>
        </a:p>
      </xdr:txBody>
    </xdr:sp>
    <xdr:clientData/>
  </xdr:twoCellAnchor>
  <xdr:twoCellAnchor>
    <xdr:from>
      <xdr:col>17</xdr:col>
      <xdr:colOff>127000</xdr:colOff>
      <xdr:row>29</xdr:row>
      <xdr:rowOff>120650</xdr:rowOff>
    </xdr:from>
    <xdr:to>
      <xdr:col>26</xdr:col>
      <xdr:colOff>0</xdr:colOff>
      <xdr:row>32</xdr:row>
      <xdr:rowOff>0</xdr:rowOff>
    </xdr:to>
    <xdr:cxnSp macro="">
      <xdr:nvCxnSpPr>
        <xdr:cNvPr id="21" name="Elbow Connector 195">
          <a:extLst>
            <a:ext uri="{FF2B5EF4-FFF2-40B4-BE49-F238E27FC236}">
              <a16:creationId xmlns:a16="http://schemas.microsoft.com/office/drawing/2014/main" id="{00000000-0008-0000-0400-000015000000}"/>
            </a:ext>
          </a:extLst>
        </xdr:cNvPr>
        <xdr:cNvCxnSpPr>
          <a:stCxn id="19" idx="3"/>
          <a:endCxn id="101" idx="1"/>
        </xdr:cNvCxnSpPr>
      </xdr:nvCxnSpPr>
      <xdr:spPr>
        <a:xfrm>
          <a:off x="3797300" y="5810250"/>
          <a:ext cx="1816100" cy="4508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12</xdr:row>
      <xdr:rowOff>95250</xdr:rowOff>
    </xdr:from>
    <xdr:to>
      <xdr:col>26</xdr:col>
      <xdr:colOff>0</xdr:colOff>
      <xdr:row>12</xdr:row>
      <xdr:rowOff>95250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39" idx="1"/>
        </xdr:cNvCxnSpPr>
      </xdr:nvCxnSpPr>
      <xdr:spPr>
        <a:xfrm>
          <a:off x="1727200" y="2546350"/>
          <a:ext cx="38862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431800" y="3022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16</xdr:row>
      <xdr:rowOff>95250</xdr:rowOff>
    </xdr:from>
    <xdr:to>
      <xdr:col>40</xdr:col>
      <xdr:colOff>0</xdr:colOff>
      <xdr:row>29</xdr:row>
      <xdr:rowOff>0</xdr:rowOff>
    </xdr:to>
    <xdr:cxnSp macro="">
      <xdr:nvCxnSpPr>
        <xdr:cNvPr id="32" name="Elbow Connector 31">
          <a:extLst>
            <a:ext uri="{FF2B5EF4-FFF2-40B4-BE49-F238E27FC236}">
              <a16:creationId xmlns:a16="http://schemas.microsoft.com/office/drawing/2014/main" id="{00000000-0008-0000-0400-000020000000}"/>
            </a:ext>
          </a:extLst>
        </xdr:cNvPr>
        <xdr:cNvCxnSpPr>
          <a:stCxn id="31" idx="3"/>
          <a:endCxn id="133" idx="1"/>
        </xdr:cNvCxnSpPr>
      </xdr:nvCxnSpPr>
      <xdr:spPr>
        <a:xfrm>
          <a:off x="1727200" y="3308350"/>
          <a:ext cx="6908800" cy="2381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26</xdr:col>
      <xdr:colOff>0</xdr:colOff>
      <xdr:row>11</xdr:row>
      <xdr:rowOff>0</xdr:rowOff>
    </xdr:from>
    <xdr:to>
      <xdr:col>32</xdr:col>
      <xdr:colOff>0</xdr:colOff>
      <xdr:row>14</xdr:row>
      <xdr:rowOff>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56134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11</xdr:col>
      <xdr:colOff>114300</xdr:colOff>
      <xdr:row>32</xdr:row>
      <xdr:rowOff>25400</xdr:rowOff>
    </xdr:from>
    <xdr:to>
      <xdr:col>17</xdr:col>
      <xdr:colOff>114300</xdr:colOff>
      <xdr:row>36</xdr:row>
      <xdr:rowOff>25400</xdr:rowOff>
    </xdr:to>
    <xdr:sp macro="" textlink="">
      <xdr:nvSpPr>
        <xdr:cNvPr id="99" name="Rectangle 98">
          <a:extLst>
            <a:ext uri="{FF2B5EF4-FFF2-40B4-BE49-F238E27FC236}">
              <a16:creationId xmlns:a16="http://schemas.microsoft.com/office/drawing/2014/main" id="{00000000-0008-0000-0400-000063000000}"/>
            </a:ext>
          </a:extLst>
        </xdr:cNvPr>
        <xdr:cNvSpPr/>
      </xdr:nvSpPr>
      <xdr:spPr>
        <a:xfrm>
          <a:off x="2489200" y="6286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for steel and aluminium production</a:t>
          </a:r>
        </a:p>
      </xdr:txBody>
    </xdr:sp>
    <xdr:clientData/>
  </xdr:twoCellAnchor>
  <xdr:twoCellAnchor>
    <xdr:from>
      <xdr:col>26</xdr:col>
      <xdr:colOff>0</xdr:colOff>
      <xdr:row>30</xdr:row>
      <xdr:rowOff>0</xdr:rowOff>
    </xdr:from>
    <xdr:to>
      <xdr:col>32</xdr:col>
      <xdr:colOff>0</xdr:colOff>
      <xdr:row>34</xdr:row>
      <xdr:rowOff>0</xdr:rowOff>
    </xdr:to>
    <xdr:sp macro="" textlink="">
      <xdr:nvSpPr>
        <xdr:cNvPr id="101" name="Rectangle 100">
          <a:extLst>
            <a:ext uri="{FF2B5EF4-FFF2-40B4-BE49-F238E27FC236}">
              <a16:creationId xmlns:a16="http://schemas.microsoft.com/office/drawing/2014/main" id="{00000000-0008-0000-0400-000065000000}"/>
            </a:ext>
          </a:extLst>
        </xdr:cNvPr>
        <xdr:cNvSpPr/>
      </xdr:nvSpPr>
      <xdr:spPr>
        <a:xfrm>
          <a:off x="5613400" y="5880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steel and aluminium production</a:t>
          </a:r>
        </a:p>
      </xdr:txBody>
    </xdr:sp>
    <xdr:clientData/>
  </xdr:twoCellAnchor>
  <xdr:twoCellAnchor>
    <xdr:from>
      <xdr:col>17</xdr:col>
      <xdr:colOff>114300</xdr:colOff>
      <xdr:row>32</xdr:row>
      <xdr:rowOff>0</xdr:rowOff>
    </xdr:from>
    <xdr:to>
      <xdr:col>26</xdr:col>
      <xdr:colOff>0</xdr:colOff>
      <xdr:row>34</xdr:row>
      <xdr:rowOff>25400</xdr:rowOff>
    </xdr:to>
    <xdr:cxnSp macro="">
      <xdr:nvCxnSpPr>
        <xdr:cNvPr id="116" name="Elbow Connector 195">
          <a:extLst>
            <a:ext uri="{FF2B5EF4-FFF2-40B4-BE49-F238E27FC236}">
              <a16:creationId xmlns:a16="http://schemas.microsoft.com/office/drawing/2014/main" id="{00000000-0008-0000-0400-000074000000}"/>
            </a:ext>
          </a:extLst>
        </xdr:cNvPr>
        <xdr:cNvCxnSpPr>
          <a:stCxn id="99" idx="3"/>
          <a:endCxn id="101" idx="1"/>
        </xdr:cNvCxnSpPr>
      </xdr:nvCxnSpPr>
      <xdr:spPr>
        <a:xfrm flipV="1">
          <a:off x="3784600" y="6261100"/>
          <a:ext cx="1828800" cy="4064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0</xdr:colOff>
      <xdr:row>41</xdr:row>
      <xdr:rowOff>0</xdr:rowOff>
    </xdr:from>
    <xdr:to>
      <xdr:col>32</xdr:col>
      <xdr:colOff>0</xdr:colOff>
      <xdr:row>44</xdr:row>
      <xdr:rowOff>0</xdr:rowOff>
    </xdr:to>
    <xdr:sp macro="" textlink="">
      <xdr:nvSpPr>
        <xdr:cNvPr id="125" name="Rectangle 124">
          <a:extLst>
            <a:ext uri="{FF2B5EF4-FFF2-40B4-BE49-F238E27FC236}">
              <a16:creationId xmlns:a16="http://schemas.microsoft.com/office/drawing/2014/main" id="{00000000-0008-0000-0400-00007D000000}"/>
            </a:ext>
          </a:extLst>
        </xdr:cNvPr>
        <xdr:cNvSpPr/>
      </xdr:nvSpPr>
      <xdr:spPr>
        <a:xfrm>
          <a:off x="5613400" y="797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Cokes conversion factors</a:t>
          </a:r>
        </a:p>
      </xdr:txBody>
    </xdr:sp>
    <xdr:clientData/>
  </xdr:twoCellAnchor>
  <xdr:twoCellAnchor>
    <xdr:from>
      <xdr:col>40</xdr:col>
      <xdr:colOff>0</xdr:colOff>
      <xdr:row>27</xdr:row>
      <xdr:rowOff>0</xdr:rowOff>
    </xdr:from>
    <xdr:to>
      <xdr:col>46</xdr:col>
      <xdr:colOff>0</xdr:colOff>
      <xdr:row>31</xdr:row>
      <xdr:rowOff>0</xdr:rowOff>
    </xdr:to>
    <xdr:sp macro="" textlink="">
      <xdr:nvSpPr>
        <xdr:cNvPr id="133" name="Rectangle 132">
          <a:extLst>
            <a:ext uri="{FF2B5EF4-FFF2-40B4-BE49-F238E27FC236}">
              <a16:creationId xmlns:a16="http://schemas.microsoft.com/office/drawing/2014/main" id="{00000000-0008-0000-0400-000085000000}"/>
            </a:ext>
          </a:extLst>
        </xdr:cNvPr>
        <xdr:cNvSpPr/>
      </xdr:nvSpPr>
      <xdr:spPr>
        <a:xfrm>
          <a:off x="8636000" y="5435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Demand of steel</a:t>
          </a:r>
          <a:r>
            <a:rPr lang="en-US" baseline="0"/>
            <a:t> and aluminium production</a:t>
          </a:r>
          <a:endParaRPr lang="en-US"/>
        </a:p>
      </xdr:txBody>
    </xdr:sp>
    <xdr:clientData/>
  </xdr:twoCellAnchor>
  <xdr:twoCellAnchor>
    <xdr:from>
      <xdr:col>32</xdr:col>
      <xdr:colOff>0</xdr:colOff>
      <xdr:row>29</xdr:row>
      <xdr:rowOff>0</xdr:rowOff>
    </xdr:from>
    <xdr:to>
      <xdr:col>40</xdr:col>
      <xdr:colOff>0</xdr:colOff>
      <xdr:row>32</xdr:row>
      <xdr:rowOff>0</xdr:rowOff>
    </xdr:to>
    <xdr:cxnSp macro="">
      <xdr:nvCxnSpPr>
        <xdr:cNvPr id="134" name="Elbow Connector 195">
          <a:extLst>
            <a:ext uri="{FF2B5EF4-FFF2-40B4-BE49-F238E27FC236}">
              <a16:creationId xmlns:a16="http://schemas.microsoft.com/office/drawing/2014/main" id="{00000000-0008-0000-0400-000086000000}"/>
            </a:ext>
          </a:extLst>
        </xdr:cNvPr>
        <xdr:cNvCxnSpPr>
          <a:stCxn id="101" idx="3"/>
          <a:endCxn id="133" idx="1"/>
        </xdr:cNvCxnSpPr>
      </xdr:nvCxnSpPr>
      <xdr:spPr>
        <a:xfrm flipV="1">
          <a:off x="6908800" y="5689600"/>
          <a:ext cx="1727200" cy="5715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39</xdr:row>
      <xdr:rowOff>0</xdr:rowOff>
    </xdr:from>
    <xdr:to>
      <xdr:col>40</xdr:col>
      <xdr:colOff>0</xdr:colOff>
      <xdr:row>42</xdr:row>
      <xdr:rowOff>95250</xdr:rowOff>
    </xdr:to>
    <xdr:cxnSp macro="">
      <xdr:nvCxnSpPr>
        <xdr:cNvPr id="137" name="Elbow Connector 195">
          <a:extLst>
            <a:ext uri="{FF2B5EF4-FFF2-40B4-BE49-F238E27FC236}">
              <a16:creationId xmlns:a16="http://schemas.microsoft.com/office/drawing/2014/main" id="{00000000-0008-0000-0400-000089000000}"/>
            </a:ext>
          </a:extLst>
        </xdr:cNvPr>
        <xdr:cNvCxnSpPr>
          <a:stCxn id="125" idx="3"/>
          <a:endCxn id="324" idx="1"/>
        </xdr:cNvCxnSpPr>
      </xdr:nvCxnSpPr>
      <xdr:spPr>
        <a:xfrm flipV="1">
          <a:off x="6908800" y="7594600"/>
          <a:ext cx="1727200" cy="666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0</xdr:colOff>
      <xdr:row>23</xdr:row>
      <xdr:rowOff>0</xdr:rowOff>
    </xdr:from>
    <xdr:to>
      <xdr:col>43</xdr:col>
      <xdr:colOff>0</xdr:colOff>
      <xdr:row>27</xdr:row>
      <xdr:rowOff>0</xdr:rowOff>
    </xdr:to>
    <xdr:cxnSp macro="">
      <xdr:nvCxnSpPr>
        <xdr:cNvPr id="146" name="Straight Arrow Connector 278">
          <a:extLst>
            <a:ext uri="{FF2B5EF4-FFF2-40B4-BE49-F238E27FC236}">
              <a16:creationId xmlns:a16="http://schemas.microsoft.com/office/drawing/2014/main" id="{00000000-0008-0000-0400-000092000000}"/>
            </a:ext>
          </a:extLst>
        </xdr:cNvPr>
        <xdr:cNvCxnSpPr>
          <a:stCxn id="133" idx="0"/>
          <a:endCxn id="149" idx="2"/>
        </xdr:cNvCxnSpPr>
      </xdr:nvCxnSpPr>
      <xdr:spPr>
        <a:xfrm flipV="1">
          <a:off x="9283700" y="4673600"/>
          <a:ext cx="0" cy="7620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40</xdr:col>
      <xdr:colOff>0</xdr:colOff>
      <xdr:row>20</xdr:row>
      <xdr:rowOff>0</xdr:rowOff>
    </xdr:from>
    <xdr:to>
      <xdr:col>46</xdr:col>
      <xdr:colOff>0</xdr:colOff>
      <xdr:row>23</xdr:row>
      <xdr:rowOff>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8636000" y="410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for other metals production</a:t>
          </a:r>
          <a:endParaRPr lang="en-US"/>
        </a:p>
      </xdr:txBody>
    </xdr:sp>
    <xdr:clientData/>
  </xdr:twoCellAnchor>
  <xdr:twoCellAnchor>
    <xdr:from>
      <xdr:col>68</xdr:col>
      <xdr:colOff>0</xdr:colOff>
      <xdr:row>37</xdr:row>
      <xdr:rowOff>95250</xdr:rowOff>
    </xdr:from>
    <xdr:to>
      <xdr:col>74</xdr:col>
      <xdr:colOff>0</xdr:colOff>
      <xdr:row>40</xdr:row>
      <xdr:rowOff>95250</xdr:rowOff>
    </xdr:to>
    <xdr:sp macro="" textlink="">
      <xdr:nvSpPr>
        <xdr:cNvPr id="162" name="Rectangle 161">
          <a:extLst>
            <a:ext uri="{FF2B5EF4-FFF2-40B4-BE49-F238E27FC236}">
              <a16:creationId xmlns:a16="http://schemas.microsoft.com/office/drawing/2014/main" id="{00000000-0008-0000-0400-0000A2000000}"/>
            </a:ext>
          </a:extLst>
        </xdr:cNvPr>
        <xdr:cNvSpPr/>
      </xdr:nvSpPr>
      <xdr:spPr>
        <a:xfrm>
          <a:off x="14681200" y="730885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Transformation/consumption</a:t>
          </a:r>
          <a:r>
            <a:rPr lang="en-US" baseline="0"/>
            <a:t> factors</a:t>
          </a:r>
          <a:endParaRPr lang="en-US"/>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a:extLst>
            <a:ext uri="{FF2B5EF4-FFF2-40B4-BE49-F238E27FC236}">
              <a16:creationId xmlns:a16="http://schemas.microsoft.com/office/drawing/2014/main" id="{00000000-0008-0000-0400-0000B5000000}"/>
            </a:ext>
          </a:extLst>
        </xdr:cNvPr>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Metal industry</a:t>
          </a:r>
          <a:endParaRPr lang="en-US"/>
        </a:p>
      </xdr:txBody>
    </xdr:sp>
    <xdr:clientData/>
  </xdr:twoCellAnchor>
  <xdr:twoCellAnchor>
    <xdr:from>
      <xdr:col>46</xdr:col>
      <xdr:colOff>0</xdr:colOff>
      <xdr:row>13</xdr:row>
      <xdr:rowOff>95250</xdr:rowOff>
    </xdr:from>
    <xdr:to>
      <xdr:col>68</xdr:col>
      <xdr:colOff>0</xdr:colOff>
      <xdr:row>29</xdr:row>
      <xdr:rowOff>0</xdr:rowOff>
    </xdr:to>
    <xdr:cxnSp macro="">
      <xdr:nvCxnSpPr>
        <xdr:cNvPr id="187" name="Elbow Connector 186">
          <a:extLst>
            <a:ext uri="{FF2B5EF4-FFF2-40B4-BE49-F238E27FC236}">
              <a16:creationId xmlns:a16="http://schemas.microsoft.com/office/drawing/2014/main" id="{00000000-0008-0000-0400-0000BB000000}"/>
            </a:ext>
          </a:extLst>
        </xdr:cNvPr>
        <xdr:cNvCxnSpPr>
          <a:stCxn id="133" idx="3"/>
          <a:endCxn id="181" idx="1"/>
        </xdr:cNvCxnSpPr>
      </xdr:nvCxnSpPr>
      <xdr:spPr>
        <a:xfrm flipV="1">
          <a:off x="9931400" y="2736850"/>
          <a:ext cx="4749800" cy="2952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21</xdr:row>
      <xdr:rowOff>95250</xdr:rowOff>
    </xdr:to>
    <xdr:cxnSp macro="">
      <xdr:nvCxnSpPr>
        <xdr:cNvPr id="194" name="Elbow Connector 193">
          <a:extLst>
            <a:ext uri="{FF2B5EF4-FFF2-40B4-BE49-F238E27FC236}">
              <a16:creationId xmlns:a16="http://schemas.microsoft.com/office/drawing/2014/main" id="{00000000-0008-0000-0400-0000C2000000}"/>
            </a:ext>
          </a:extLst>
        </xdr:cNvPr>
        <xdr:cNvCxnSpPr>
          <a:stCxn id="149" idx="3"/>
          <a:endCxn id="181" idx="1"/>
        </xdr:cNvCxnSpPr>
      </xdr:nvCxnSpPr>
      <xdr:spPr>
        <a:xfrm flipV="1">
          <a:off x="9931400" y="2736850"/>
          <a:ext cx="4749800" cy="1524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37</xdr:row>
      <xdr:rowOff>0</xdr:rowOff>
    </xdr:from>
    <xdr:to>
      <xdr:col>46</xdr:col>
      <xdr:colOff>0</xdr:colOff>
      <xdr:row>41</xdr:row>
      <xdr:rowOff>0</xdr:rowOff>
    </xdr:to>
    <xdr:sp macro="" textlink="">
      <xdr:nvSpPr>
        <xdr:cNvPr id="324" name="Rectangle 323">
          <a:extLst>
            <a:ext uri="{FF2B5EF4-FFF2-40B4-BE49-F238E27FC236}">
              <a16:creationId xmlns:a16="http://schemas.microsoft.com/office/drawing/2014/main" id="{00000000-0008-0000-0400-000044010000}"/>
            </a:ext>
          </a:extLst>
        </xdr:cNvPr>
        <xdr:cNvSpPr/>
      </xdr:nvSpPr>
      <xdr:spPr>
        <a:xfrm>
          <a:off x="8636000" y="7213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of cokes</a:t>
          </a:r>
          <a:r>
            <a:rPr lang="en-US" baseline="0"/>
            <a:t> production</a:t>
          </a:r>
          <a:endParaRPr lang="en-US"/>
        </a:p>
      </xdr:txBody>
    </xdr:sp>
    <xdr:clientData/>
  </xdr:twoCellAnchor>
  <xdr:twoCellAnchor>
    <xdr:from>
      <xdr:col>32</xdr:col>
      <xdr:colOff>0</xdr:colOff>
      <xdr:row>26</xdr:row>
      <xdr:rowOff>95250</xdr:rowOff>
    </xdr:from>
    <xdr:to>
      <xdr:col>40</xdr:col>
      <xdr:colOff>0</xdr:colOff>
      <xdr:row>29</xdr:row>
      <xdr:rowOff>0</xdr:rowOff>
    </xdr:to>
    <xdr:cxnSp macro="">
      <xdr:nvCxnSpPr>
        <xdr:cNvPr id="331" name="Elbow Connector 195">
          <a:extLst>
            <a:ext uri="{FF2B5EF4-FFF2-40B4-BE49-F238E27FC236}">
              <a16:creationId xmlns:a16="http://schemas.microsoft.com/office/drawing/2014/main" id="{00000000-0008-0000-0400-00004B010000}"/>
            </a:ext>
          </a:extLst>
        </xdr:cNvPr>
        <xdr:cNvCxnSpPr>
          <a:stCxn id="572" idx="3"/>
          <a:endCxn id="133" idx="1"/>
        </xdr:cNvCxnSpPr>
      </xdr:nvCxnSpPr>
      <xdr:spPr>
        <a:xfrm>
          <a:off x="6908800" y="521335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a:extLst>
            <a:ext uri="{FF2B5EF4-FFF2-40B4-BE49-F238E27FC236}">
              <a16:creationId xmlns:a16="http://schemas.microsoft.com/office/drawing/2014/main" id="{00000000-0008-0000-0400-000066010000}"/>
            </a:ext>
          </a:extLst>
        </xdr:cNvPr>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a:extLst>
            <a:ext uri="{FF2B5EF4-FFF2-40B4-BE49-F238E27FC236}">
              <a16:creationId xmlns:a16="http://schemas.microsoft.com/office/drawing/2014/main" id="{00000000-0008-0000-0400-00006B010000}"/>
            </a:ext>
          </a:extLst>
        </xdr:cNvPr>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68</xdr:col>
      <xdr:colOff>0</xdr:colOff>
      <xdr:row>23</xdr:row>
      <xdr:rowOff>0</xdr:rowOff>
    </xdr:from>
    <xdr:to>
      <xdr:col>74</xdr:col>
      <xdr:colOff>0</xdr:colOff>
      <xdr:row>26</xdr:row>
      <xdr:rowOff>0</xdr:rowOff>
    </xdr:to>
    <xdr:sp macro="" textlink="">
      <xdr:nvSpPr>
        <xdr:cNvPr id="442" name="Rectangle 441">
          <a:extLst>
            <a:ext uri="{FF2B5EF4-FFF2-40B4-BE49-F238E27FC236}">
              <a16:creationId xmlns:a16="http://schemas.microsoft.com/office/drawing/2014/main" id="{00000000-0008-0000-0400-0000BA010000}"/>
            </a:ext>
          </a:extLst>
        </xdr:cNvPr>
        <xdr:cNvSpPr/>
      </xdr:nvSpPr>
      <xdr:spPr>
        <a:xfrm>
          <a:off x="14681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carrier per tech </a:t>
          </a:r>
          <a:endParaRPr lang="en-US"/>
        </a:p>
      </xdr:txBody>
    </xdr:sp>
    <xdr:clientData/>
  </xdr:twoCellAnchor>
  <xdr:twoCellAnchor>
    <xdr:from>
      <xdr:col>46</xdr:col>
      <xdr:colOff>0</xdr:colOff>
      <xdr:row>13</xdr:row>
      <xdr:rowOff>95250</xdr:rowOff>
    </xdr:from>
    <xdr:to>
      <xdr:col>68</xdr:col>
      <xdr:colOff>0</xdr:colOff>
      <xdr:row>39</xdr:row>
      <xdr:rowOff>0</xdr:rowOff>
    </xdr:to>
    <xdr:cxnSp macro="">
      <xdr:nvCxnSpPr>
        <xdr:cNvPr id="534" name="Elbow Connector 533">
          <a:extLst>
            <a:ext uri="{FF2B5EF4-FFF2-40B4-BE49-F238E27FC236}">
              <a16:creationId xmlns:a16="http://schemas.microsoft.com/office/drawing/2014/main" id="{00000000-0008-0000-0400-000016020000}"/>
            </a:ext>
          </a:extLst>
        </xdr:cNvPr>
        <xdr:cNvCxnSpPr>
          <a:stCxn id="324" idx="3"/>
          <a:endCxn id="181" idx="1"/>
        </xdr:cNvCxnSpPr>
      </xdr:nvCxnSpPr>
      <xdr:spPr>
        <a:xfrm flipV="1">
          <a:off x="9931400" y="2736850"/>
          <a:ext cx="4749800" cy="4857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25</xdr:row>
      <xdr:rowOff>0</xdr:rowOff>
    </xdr:from>
    <xdr:to>
      <xdr:col>32</xdr:col>
      <xdr:colOff>0</xdr:colOff>
      <xdr:row>28</xdr:row>
      <xdr:rowOff>0</xdr:rowOff>
    </xdr:to>
    <xdr:sp macro="" textlink="">
      <xdr:nvSpPr>
        <xdr:cNvPr id="572" name="Rectangle 571">
          <a:extLst>
            <a:ext uri="{FF2B5EF4-FFF2-40B4-BE49-F238E27FC236}">
              <a16:creationId xmlns:a16="http://schemas.microsoft.com/office/drawing/2014/main" id="{00000000-0008-0000-0400-00003C020000}"/>
            </a:ext>
          </a:extLst>
        </xdr:cNvPr>
        <xdr:cNvSpPr/>
      </xdr:nvSpPr>
      <xdr:spPr>
        <a:xfrm>
          <a:off x="5613400" y="492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a:t>
          </a:r>
          <a:r>
            <a:rPr lang="en-US"/>
            <a:t> conversion factors</a:t>
          </a:r>
        </a:p>
      </xdr:txBody>
    </xdr:sp>
    <xdr:clientData/>
  </xdr:twoCellAnchor>
  <xdr:twoCellAnchor>
    <xdr:from>
      <xdr:col>46</xdr:col>
      <xdr:colOff>0</xdr:colOff>
      <xdr:row>29</xdr:row>
      <xdr:rowOff>152400</xdr:rowOff>
    </xdr:from>
    <xdr:to>
      <xdr:col>68</xdr:col>
      <xdr:colOff>0</xdr:colOff>
      <xdr:row>34</xdr:row>
      <xdr:rowOff>95250</xdr:rowOff>
    </xdr:to>
    <xdr:cxnSp macro="">
      <xdr:nvCxnSpPr>
        <xdr:cNvPr id="607" name="Elbow Connector 606">
          <a:extLst>
            <a:ext uri="{FF2B5EF4-FFF2-40B4-BE49-F238E27FC236}">
              <a16:creationId xmlns:a16="http://schemas.microsoft.com/office/drawing/2014/main" id="{00000000-0008-0000-0400-00005F020000}"/>
            </a:ext>
          </a:extLst>
        </xdr:cNvPr>
        <xdr:cNvCxnSpPr>
          <a:endCxn id="68" idx="1"/>
        </xdr:cNvCxnSpPr>
      </xdr:nvCxnSpPr>
      <xdr:spPr>
        <a:xfrm>
          <a:off x="9931400" y="5842000"/>
          <a:ext cx="4749800" cy="895350"/>
        </a:xfrm>
        <a:prstGeom prst="bentConnector3">
          <a:avLst>
            <a:gd name="adj1" fmla="val 4384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0</xdr:colOff>
      <xdr:row>33</xdr:row>
      <xdr:rowOff>0</xdr:rowOff>
    </xdr:from>
    <xdr:to>
      <xdr:col>74</xdr:col>
      <xdr:colOff>0</xdr:colOff>
      <xdr:row>36</xdr:row>
      <xdr:rowOff>0</xdr:rowOff>
    </xdr:to>
    <xdr:sp macro="" textlink="">
      <xdr:nvSpPr>
        <xdr:cNvPr id="68" name="Rectangle 67">
          <a:extLst>
            <a:ext uri="{FF2B5EF4-FFF2-40B4-BE49-F238E27FC236}">
              <a16:creationId xmlns:a16="http://schemas.microsoft.com/office/drawing/2014/main" id="{00000000-0008-0000-0400-000044000000}"/>
            </a:ext>
          </a:extLst>
        </xdr:cNvPr>
        <xdr:cNvSpPr/>
      </xdr:nvSpPr>
      <xdr:spPr>
        <a:xfrm>
          <a:off x="14681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burner per tech </a:t>
          </a:r>
          <a:endParaRPr lang="en-US"/>
        </a:p>
      </xdr:txBody>
    </xdr:sp>
    <xdr:clientData/>
  </xdr:twoCellAnchor>
  <xdr:twoCellAnchor>
    <xdr:from>
      <xdr:col>46</xdr:col>
      <xdr:colOff>0</xdr:colOff>
      <xdr:row>39</xdr:row>
      <xdr:rowOff>0</xdr:rowOff>
    </xdr:from>
    <xdr:to>
      <xdr:col>68</xdr:col>
      <xdr:colOff>0</xdr:colOff>
      <xdr:row>39</xdr:row>
      <xdr:rowOff>12700</xdr:rowOff>
    </xdr:to>
    <xdr:cxnSp macro="">
      <xdr:nvCxnSpPr>
        <xdr:cNvPr id="69" name="Elbow Connector 68">
          <a:extLst>
            <a:ext uri="{FF2B5EF4-FFF2-40B4-BE49-F238E27FC236}">
              <a16:creationId xmlns:a16="http://schemas.microsoft.com/office/drawing/2014/main" id="{00000000-0008-0000-0400-000045000000}"/>
            </a:ext>
          </a:extLst>
        </xdr:cNvPr>
        <xdr:cNvCxnSpPr>
          <a:stCxn id="324" idx="3"/>
          <a:endCxn id="162" idx="1"/>
        </xdr:cNvCxnSpPr>
      </xdr:nvCxnSpPr>
      <xdr:spPr>
        <a:xfrm>
          <a:off x="9931400" y="7594600"/>
          <a:ext cx="4749800" cy="127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46</xdr:col>
      <xdr:colOff>12700</xdr:colOff>
      <xdr:row>24</xdr:row>
      <xdr:rowOff>95250</xdr:rowOff>
    </xdr:from>
    <xdr:to>
      <xdr:col>68</xdr:col>
      <xdr:colOff>0</xdr:colOff>
      <xdr:row>27</xdr:row>
      <xdr:rowOff>152400</xdr:rowOff>
    </xdr:to>
    <xdr:cxnSp macro="">
      <xdr:nvCxnSpPr>
        <xdr:cNvPr id="72" name="Elbow Connector 71">
          <a:extLst>
            <a:ext uri="{FF2B5EF4-FFF2-40B4-BE49-F238E27FC236}">
              <a16:creationId xmlns:a16="http://schemas.microsoft.com/office/drawing/2014/main" id="{00000000-0008-0000-0400-000048000000}"/>
            </a:ext>
          </a:extLst>
        </xdr:cNvPr>
        <xdr:cNvCxnSpPr>
          <a:endCxn id="442" idx="1"/>
        </xdr:cNvCxnSpPr>
      </xdr:nvCxnSpPr>
      <xdr:spPr>
        <a:xfrm flipV="1">
          <a:off x="9944100" y="4832350"/>
          <a:ext cx="4737100" cy="628650"/>
        </a:xfrm>
        <a:prstGeom prst="bentConnector3">
          <a:avLst>
            <a:gd name="adj1" fmla="val 43298"/>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46</xdr:col>
      <xdr:colOff>0</xdr:colOff>
      <xdr:row>30</xdr:row>
      <xdr:rowOff>114300</xdr:rowOff>
    </xdr:from>
    <xdr:to>
      <xdr:col>68</xdr:col>
      <xdr:colOff>0</xdr:colOff>
      <xdr:row>39</xdr:row>
      <xdr:rowOff>0</xdr:rowOff>
    </xdr:to>
    <xdr:cxnSp macro="">
      <xdr:nvCxnSpPr>
        <xdr:cNvPr id="106" name="Elbow Connector 105">
          <a:extLst>
            <a:ext uri="{FF2B5EF4-FFF2-40B4-BE49-F238E27FC236}">
              <a16:creationId xmlns:a16="http://schemas.microsoft.com/office/drawing/2014/main" id="{00000000-0008-0000-0400-00006A000000}"/>
            </a:ext>
          </a:extLst>
        </xdr:cNvPr>
        <xdr:cNvCxnSpPr>
          <a:endCxn id="162" idx="1"/>
        </xdr:cNvCxnSpPr>
      </xdr:nvCxnSpPr>
      <xdr:spPr>
        <a:xfrm>
          <a:off x="9931400" y="5994400"/>
          <a:ext cx="4749800" cy="1600200"/>
        </a:xfrm>
        <a:prstGeom prst="bentConnector3">
          <a:avLst>
            <a:gd name="adj1" fmla="val 39306"/>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95250</xdr:rowOff>
    </xdr:from>
    <xdr:to>
      <xdr:col>40</xdr:col>
      <xdr:colOff>0</xdr:colOff>
      <xdr:row>39</xdr:row>
      <xdr:rowOff>0</xdr:rowOff>
    </xdr:to>
    <xdr:cxnSp macro="">
      <xdr:nvCxnSpPr>
        <xdr:cNvPr id="74" name="Elbow Connector 73">
          <a:extLst>
            <a:ext uri="{FF2B5EF4-FFF2-40B4-BE49-F238E27FC236}">
              <a16:creationId xmlns:a16="http://schemas.microsoft.com/office/drawing/2014/main" id="{00000000-0008-0000-0400-00004A000000}"/>
            </a:ext>
          </a:extLst>
        </xdr:cNvPr>
        <xdr:cNvCxnSpPr>
          <a:stCxn id="31" idx="3"/>
          <a:endCxn id="324" idx="1"/>
        </xdr:cNvCxnSpPr>
      </xdr:nvCxnSpPr>
      <xdr:spPr>
        <a:xfrm>
          <a:off x="1727200" y="3308350"/>
          <a:ext cx="6908800" cy="4286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26</xdr:row>
      <xdr:rowOff>95250</xdr:rowOff>
    </xdr:to>
    <xdr:cxnSp macro="">
      <xdr:nvCxnSpPr>
        <xdr:cNvPr id="77" name="Elbow Connector 76">
          <a:extLst>
            <a:ext uri="{FF2B5EF4-FFF2-40B4-BE49-F238E27FC236}">
              <a16:creationId xmlns:a16="http://schemas.microsoft.com/office/drawing/2014/main" id="{00000000-0008-0000-0400-00004D000000}"/>
            </a:ext>
          </a:extLst>
        </xdr:cNvPr>
        <xdr:cNvCxnSpPr>
          <a:stCxn id="31" idx="3"/>
          <a:endCxn id="572" idx="1"/>
        </xdr:cNvCxnSpPr>
      </xdr:nvCxnSpPr>
      <xdr:spPr>
        <a:xfrm>
          <a:off x="1727200" y="3308350"/>
          <a:ext cx="3886200" cy="1905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42</xdr:row>
      <xdr:rowOff>95250</xdr:rowOff>
    </xdr:to>
    <xdr:cxnSp macro="">
      <xdr:nvCxnSpPr>
        <xdr:cNvPr id="80" name="Elbow Connector 79">
          <a:extLst>
            <a:ext uri="{FF2B5EF4-FFF2-40B4-BE49-F238E27FC236}">
              <a16:creationId xmlns:a16="http://schemas.microsoft.com/office/drawing/2014/main" id="{00000000-0008-0000-0400-000050000000}"/>
            </a:ext>
          </a:extLst>
        </xdr:cNvPr>
        <xdr:cNvCxnSpPr>
          <a:stCxn id="31" idx="3"/>
          <a:endCxn id="125" idx="1"/>
        </xdr:cNvCxnSpPr>
      </xdr:nvCxnSpPr>
      <xdr:spPr>
        <a:xfrm>
          <a:off x="1727200" y="3308350"/>
          <a:ext cx="3886200" cy="4953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a:extLst>
            <a:ext uri="{FF2B5EF4-FFF2-40B4-BE49-F238E27FC236}">
              <a16:creationId xmlns:a16="http://schemas.microsoft.com/office/drawing/2014/main" id="{00000000-0008-0000-0400-000088000000}"/>
            </a:ext>
          </a:extLst>
        </xdr:cNvPr>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 with final demand parent shares</a:t>
          </a:r>
        </a:p>
      </xdr:txBody>
    </xdr:sp>
    <xdr:clientData/>
  </xdr:twoCellAnchor>
  <xdr:twoCellAnchor>
    <xdr:from>
      <xdr:col>78</xdr:col>
      <xdr:colOff>0</xdr:colOff>
      <xdr:row>33</xdr:row>
      <xdr:rowOff>0</xdr:rowOff>
    </xdr:from>
    <xdr:to>
      <xdr:col>84</xdr:col>
      <xdr:colOff>0</xdr:colOff>
      <xdr:row>36</xdr:row>
      <xdr:rowOff>0</xdr:rowOff>
    </xdr:to>
    <xdr:sp macro="" textlink="">
      <xdr:nvSpPr>
        <xdr:cNvPr id="141" name="Rectangle 140">
          <a:extLst>
            <a:ext uri="{FF2B5EF4-FFF2-40B4-BE49-F238E27FC236}">
              <a16:creationId xmlns:a16="http://schemas.microsoft.com/office/drawing/2014/main" id="{00000000-0008-0000-0400-00008D000000}"/>
            </a:ext>
          </a:extLst>
        </xdr:cNvPr>
        <xdr:cNvSpPr/>
      </xdr:nvSpPr>
      <xdr:spPr>
        <a:xfrm>
          <a:off x="16840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a:t>
          </a:r>
          <a:r>
            <a:rPr lang="en-US"/>
            <a:t>burner</a:t>
          </a:r>
          <a:r>
            <a:rPr lang="en-US" baseline="0"/>
            <a:t> parent shares</a:t>
          </a:r>
          <a:endParaRPr lang="en-US"/>
        </a:p>
      </xdr:txBody>
    </xdr:sp>
    <xdr:clientData/>
  </xdr:twoCellAnchor>
  <xdr:twoCellAnchor>
    <xdr:from>
      <xdr:col>46</xdr:col>
      <xdr:colOff>0</xdr:colOff>
      <xdr:row>21</xdr:row>
      <xdr:rowOff>95250</xdr:rowOff>
    </xdr:from>
    <xdr:to>
      <xdr:col>68</xdr:col>
      <xdr:colOff>0</xdr:colOff>
      <xdr:row>24</xdr:row>
      <xdr:rowOff>95250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9" idx="3"/>
          <a:endCxn id="442" idx="1"/>
        </xdr:cNvCxnSpPr>
      </xdr:nvCxnSpPr>
      <xdr:spPr>
        <a:xfrm>
          <a:off x="9931400" y="4260850"/>
          <a:ext cx="4749800" cy="571500"/>
        </a:xfrm>
        <a:prstGeom prst="bentConnector3">
          <a:avLst>
            <a:gd name="adj1" fmla="val 4358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26</xdr:row>
      <xdr:rowOff>95250</xdr:rowOff>
    </xdr:from>
    <xdr:to>
      <xdr:col>78</xdr:col>
      <xdr:colOff>0</xdr:colOff>
      <xdr:row>42</xdr:row>
      <xdr:rowOff>88900</xdr:rowOff>
    </xdr:to>
    <xdr:cxnSp macro="">
      <xdr:nvCxnSpPr>
        <xdr:cNvPr id="76" name="Elbow Connector 75">
          <a:extLst>
            <a:ext uri="{FF2B5EF4-FFF2-40B4-BE49-F238E27FC236}">
              <a16:creationId xmlns:a16="http://schemas.microsoft.com/office/drawing/2014/main" id="{00000000-0008-0000-0400-00004C000000}"/>
            </a:ext>
          </a:extLst>
        </xdr:cNvPr>
        <xdr:cNvCxnSpPr>
          <a:stCxn id="572" idx="3"/>
          <a:endCxn id="82" idx="1"/>
        </xdr:cNvCxnSpPr>
      </xdr:nvCxnSpPr>
      <xdr:spPr>
        <a:xfrm>
          <a:off x="6908800" y="5213350"/>
          <a:ext cx="9931400" cy="3041650"/>
        </a:xfrm>
        <a:prstGeom prst="bentConnector3">
          <a:avLst>
            <a:gd name="adj1" fmla="val 4348"/>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42</xdr:row>
      <xdr:rowOff>88900</xdr:rowOff>
    </xdr:from>
    <xdr:to>
      <xdr:col>78</xdr:col>
      <xdr:colOff>0</xdr:colOff>
      <xdr:row>42</xdr:row>
      <xdr:rowOff>95250</xdr:rowOff>
    </xdr:to>
    <xdr:cxnSp macro="">
      <xdr:nvCxnSpPr>
        <xdr:cNvPr id="79" name="Elbow Connector 78">
          <a:extLst>
            <a:ext uri="{FF2B5EF4-FFF2-40B4-BE49-F238E27FC236}">
              <a16:creationId xmlns:a16="http://schemas.microsoft.com/office/drawing/2014/main" id="{00000000-0008-0000-0400-00004F000000}"/>
            </a:ext>
          </a:extLst>
        </xdr:cNvPr>
        <xdr:cNvCxnSpPr>
          <a:stCxn id="125" idx="3"/>
          <a:endCxn id="82" idx="1"/>
        </xdr:cNvCxnSpPr>
      </xdr:nvCxnSpPr>
      <xdr:spPr>
        <a:xfrm flipV="1">
          <a:off x="6908800" y="8255000"/>
          <a:ext cx="9931400" cy="63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a:extLst>
            <a:ext uri="{FF2B5EF4-FFF2-40B4-BE49-F238E27FC236}">
              <a16:creationId xmlns:a16="http://schemas.microsoft.com/office/drawing/2014/main" id="{00000000-0008-0000-0400-000064000000}"/>
            </a:ext>
          </a:extLst>
        </xdr:cNvPr>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a:extLst>
            <a:ext uri="{FF2B5EF4-FFF2-40B4-BE49-F238E27FC236}">
              <a16:creationId xmlns:a16="http://schemas.microsoft.com/office/drawing/2014/main" id="{00000000-0008-0000-0400-000066000000}"/>
            </a:ext>
          </a:extLst>
        </xdr:cNvPr>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a:extLst>
            <a:ext uri="{FF2B5EF4-FFF2-40B4-BE49-F238E27FC236}">
              <a16:creationId xmlns:a16="http://schemas.microsoft.com/office/drawing/2014/main" id="{00000000-0008-0000-0400-000032000000}"/>
            </a:ext>
          </a:extLst>
        </xdr:cNvPr>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a:extLst>
            <a:ext uri="{FF2B5EF4-FFF2-40B4-BE49-F238E27FC236}">
              <a16:creationId xmlns:a16="http://schemas.microsoft.com/office/drawing/2014/main" id="{00000000-0008-0000-0400-000072000000}"/>
            </a:ext>
          </a:extLst>
        </xdr:cNvPr>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24</xdr:row>
      <xdr:rowOff>95250</xdr:rowOff>
    </xdr:from>
    <xdr:to>
      <xdr:col>78</xdr:col>
      <xdr:colOff>0</xdr:colOff>
      <xdr:row>24</xdr:row>
      <xdr:rowOff>95250</xdr:rowOff>
    </xdr:to>
    <xdr:cxnSp macro="">
      <xdr:nvCxnSpPr>
        <xdr:cNvPr id="148" name="Straight Arrow Connector 147">
          <a:extLst>
            <a:ext uri="{FF2B5EF4-FFF2-40B4-BE49-F238E27FC236}">
              <a16:creationId xmlns:a16="http://schemas.microsoft.com/office/drawing/2014/main" id="{00000000-0008-0000-0400-000094000000}"/>
            </a:ext>
          </a:extLst>
        </xdr:cNvPr>
        <xdr:cNvCxnSpPr>
          <a:stCxn id="442" idx="3"/>
          <a:endCxn id="136" idx="1"/>
        </xdr:cNvCxnSpPr>
      </xdr:nvCxnSpPr>
      <xdr:spPr>
        <a:xfrm>
          <a:off x="159766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34</xdr:row>
      <xdr:rowOff>95250</xdr:rowOff>
    </xdr:from>
    <xdr:to>
      <xdr:col>78</xdr:col>
      <xdr:colOff>0</xdr:colOff>
      <xdr:row>34</xdr:row>
      <xdr:rowOff>95250</xdr:rowOff>
    </xdr:to>
    <xdr:cxnSp macro="">
      <xdr:nvCxnSpPr>
        <xdr:cNvPr id="169" name="Straight Arrow Connector 168">
          <a:extLst>
            <a:ext uri="{FF2B5EF4-FFF2-40B4-BE49-F238E27FC236}">
              <a16:creationId xmlns:a16="http://schemas.microsoft.com/office/drawing/2014/main" id="{00000000-0008-0000-0400-0000A9000000}"/>
            </a:ext>
          </a:extLst>
        </xdr:cNvPr>
        <xdr:cNvCxnSpPr>
          <a:stCxn id="68" idx="3"/>
          <a:endCxn id="141" idx="1"/>
        </xdr:cNvCxnSpPr>
      </xdr:nvCxnSpPr>
      <xdr:spPr>
        <a:xfrm>
          <a:off x="15976600" y="6737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12</xdr:row>
      <xdr:rowOff>95250</xdr:rowOff>
    </xdr:from>
    <xdr:to>
      <xdr:col>40</xdr:col>
      <xdr:colOff>0</xdr:colOff>
      <xdr:row>21</xdr:row>
      <xdr:rowOff>95250</xdr:rowOff>
    </xdr:to>
    <xdr:cxnSp macro="">
      <xdr:nvCxnSpPr>
        <xdr:cNvPr id="173" name="Elbow Connector 172">
          <a:extLst>
            <a:ext uri="{FF2B5EF4-FFF2-40B4-BE49-F238E27FC236}">
              <a16:creationId xmlns:a16="http://schemas.microsoft.com/office/drawing/2014/main" id="{00000000-0008-0000-0400-0000AD000000}"/>
            </a:ext>
          </a:extLst>
        </xdr:cNvPr>
        <xdr:cNvCxnSpPr>
          <a:stCxn id="39" idx="3"/>
          <a:endCxn id="149" idx="1"/>
        </xdr:cNvCxnSpPr>
      </xdr:nvCxnSpPr>
      <xdr:spPr>
        <a:xfrm>
          <a:off x="6908800" y="2546350"/>
          <a:ext cx="1727200" cy="171450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0</xdr:colOff>
      <xdr:row>12</xdr:row>
      <xdr:rowOff>95250</xdr:rowOff>
    </xdr:from>
    <xdr:to>
      <xdr:col>40</xdr:col>
      <xdr:colOff>0</xdr:colOff>
      <xdr:row>39</xdr:row>
      <xdr:rowOff>0</xdr:rowOff>
    </xdr:to>
    <xdr:cxnSp macro="">
      <xdr:nvCxnSpPr>
        <xdr:cNvPr id="188" name="Elbow Connector 187">
          <a:extLst>
            <a:ext uri="{FF2B5EF4-FFF2-40B4-BE49-F238E27FC236}">
              <a16:creationId xmlns:a16="http://schemas.microsoft.com/office/drawing/2014/main" id="{00000000-0008-0000-0400-0000BC000000}"/>
            </a:ext>
          </a:extLst>
        </xdr:cNvPr>
        <xdr:cNvCxnSpPr>
          <a:stCxn id="39" idx="3"/>
          <a:endCxn id="324" idx="1"/>
        </xdr:cNvCxnSpPr>
      </xdr:nvCxnSpPr>
      <xdr:spPr>
        <a:xfrm>
          <a:off x="6908800" y="2546350"/>
          <a:ext cx="1727200" cy="504825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78</xdr:col>
      <xdr:colOff>0</xdr:colOff>
      <xdr:row>40</xdr:row>
      <xdr:rowOff>139700</xdr:rowOff>
    </xdr:from>
    <xdr:to>
      <xdr:col>84</xdr:col>
      <xdr:colOff>0</xdr:colOff>
      <xdr:row>44</xdr:row>
      <xdr:rowOff>38100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6840200" y="7924800"/>
          <a:ext cx="1295400" cy="660400"/>
        </a:xfrm>
        <a:prstGeom prst="rect">
          <a:avLst/>
        </a:prstGeom>
        <a:ln>
          <a:prstDash val="solid"/>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 with efficiencies or</a:t>
          </a:r>
          <a:r>
            <a:rPr lang="en-US" u="none" baseline="0"/>
            <a:t> demands</a:t>
          </a:r>
          <a:endParaRPr lang="en-US" u="sng"/>
        </a:p>
      </xdr:txBody>
    </xdr:sp>
    <xdr:clientData/>
  </xdr:twoCellAnchor>
  <xdr:twoCellAnchor>
    <xdr:from>
      <xdr:col>74</xdr:col>
      <xdr:colOff>0</xdr:colOff>
      <xdr:row>39</xdr:row>
      <xdr:rowOff>0</xdr:rowOff>
    </xdr:from>
    <xdr:to>
      <xdr:col>78</xdr:col>
      <xdr:colOff>0</xdr:colOff>
      <xdr:row>42</xdr:row>
      <xdr:rowOff>88900</xdr:rowOff>
    </xdr:to>
    <xdr:cxnSp macro="">
      <xdr:nvCxnSpPr>
        <xdr:cNvPr id="83" name="Elbow Connector 82">
          <a:extLst>
            <a:ext uri="{FF2B5EF4-FFF2-40B4-BE49-F238E27FC236}">
              <a16:creationId xmlns:a16="http://schemas.microsoft.com/office/drawing/2014/main" id="{00000000-0008-0000-0400-000053000000}"/>
            </a:ext>
          </a:extLst>
        </xdr:cNvPr>
        <xdr:cNvCxnSpPr>
          <a:stCxn id="162" idx="3"/>
          <a:endCxn id="82" idx="1"/>
        </xdr:cNvCxnSpPr>
      </xdr:nvCxnSpPr>
      <xdr:spPr>
        <a:xfrm>
          <a:off x="15976600" y="7594600"/>
          <a:ext cx="863600" cy="6604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89" name="Elbow Connector 88">
          <a:extLst>
            <a:ext uri="{FF2B5EF4-FFF2-40B4-BE49-F238E27FC236}">
              <a16:creationId xmlns:a16="http://schemas.microsoft.com/office/drawing/2014/main" id="{00000000-0008-0000-0400-000059000000}"/>
            </a:ext>
          </a:extLst>
        </xdr:cNvPr>
        <xdr:cNvCxnSpPr>
          <a:stCxn id="133" idx="3"/>
          <a:endCxn id="82" idx="1"/>
        </xdr:cNvCxnSpPr>
      </xdr:nvCxnSpPr>
      <xdr:spPr>
        <a:xfrm>
          <a:off x="9931400" y="5689600"/>
          <a:ext cx="6908800" cy="2565400"/>
        </a:xfrm>
        <a:prstGeom prst="bentConnector3">
          <a:avLst>
            <a:gd name="adj1" fmla="val 7353"/>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94" name="Elbow Connector 93">
          <a:extLst>
            <a:ext uri="{FF2B5EF4-FFF2-40B4-BE49-F238E27FC236}">
              <a16:creationId xmlns:a16="http://schemas.microsoft.com/office/drawing/2014/main" id="{00000000-0008-0000-0400-00005E000000}"/>
            </a:ext>
          </a:extLst>
        </xdr:cNvPr>
        <xdr:cNvCxnSpPr>
          <a:stCxn id="133" idx="3"/>
          <a:endCxn id="82" idx="1"/>
        </xdr:cNvCxnSpPr>
      </xdr:nvCxnSpPr>
      <xdr:spPr>
        <a:xfrm>
          <a:off x="9931400" y="5689600"/>
          <a:ext cx="6908800" cy="2565400"/>
        </a:xfrm>
        <a:prstGeom prst="bentConnector3">
          <a:avLst>
            <a:gd name="adj1" fmla="val 753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2247900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dashboard values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5</xdr:row>
      <xdr:rowOff>165100</xdr:rowOff>
    </xdr:from>
    <xdr:to>
      <xdr:col>6</xdr:col>
      <xdr:colOff>125902</xdr:colOff>
      <xdr:row>7</xdr:row>
      <xdr:rowOff>149456</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635000" y="1371600"/>
          <a:ext cx="7314102" cy="2371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tabSelected="1" workbookViewId="0">
      <selection activeCell="I14" sqref="I14"/>
    </sheetView>
  </sheetViews>
  <sheetFormatPr baseColWidth="10" defaultRowHeight="16" x14ac:dyDescent="0.2"/>
  <cols>
    <col min="1" max="1" width="10.83203125" style="1"/>
    <col min="2" max="2" width="13.33203125" style="1" customWidth="1"/>
    <col min="3" max="3" width="44" style="1" customWidth="1"/>
    <col min="4" max="4" width="10.83203125" style="1" customWidth="1"/>
    <col min="5" max="16384" width="10.83203125" style="1"/>
  </cols>
  <sheetData>
    <row r="2" spans="2:4" ht="21" x14ac:dyDescent="0.25">
      <c r="B2" s="2" t="s">
        <v>189</v>
      </c>
    </row>
    <row r="4" spans="2:4" x14ac:dyDescent="0.2">
      <c r="B4" s="3" t="s">
        <v>1</v>
      </c>
      <c r="C4" s="4" t="s">
        <v>588</v>
      </c>
      <c r="D4" s="5"/>
    </row>
    <row r="5" spans="2:4" x14ac:dyDescent="0.2">
      <c r="B5" s="608" t="s">
        <v>2</v>
      </c>
      <c r="C5" s="23">
        <f>MAX(Changelog!D:D)</f>
        <v>1.48</v>
      </c>
      <c r="D5" s="7"/>
    </row>
    <row r="6" spans="2:4" x14ac:dyDescent="0.2">
      <c r="B6" s="608" t="s">
        <v>247</v>
      </c>
      <c r="C6" s="98">
        <f>country</f>
        <v>0</v>
      </c>
      <c r="D6" s="7"/>
    </row>
    <row r="7" spans="2:4" x14ac:dyDescent="0.2">
      <c r="B7" s="608" t="s">
        <v>248</v>
      </c>
      <c r="C7" s="98">
        <f>base_year</f>
        <v>0</v>
      </c>
      <c r="D7" s="7"/>
    </row>
    <row r="8" spans="2:4" x14ac:dyDescent="0.2">
      <c r="B8" s="608" t="s">
        <v>3</v>
      </c>
      <c r="C8" s="75">
        <f>MAX(Changelog!B:B)</f>
        <v>44369</v>
      </c>
      <c r="D8" s="7"/>
    </row>
    <row r="9" spans="2:4" x14ac:dyDescent="0.2">
      <c r="B9" s="608" t="s">
        <v>4</v>
      </c>
      <c r="C9" s="8" t="s">
        <v>624</v>
      </c>
      <c r="D9" s="7"/>
    </row>
    <row r="10" spans="2:4" x14ac:dyDescent="0.2">
      <c r="B10" s="609" t="s">
        <v>19</v>
      </c>
      <c r="C10" s="9" t="s">
        <v>5</v>
      </c>
      <c r="D10" s="10"/>
    </row>
    <row r="12" spans="2:4" x14ac:dyDescent="0.2">
      <c r="B12" s="3" t="s">
        <v>8</v>
      </c>
      <c r="C12" s="4"/>
      <c r="D12" s="5"/>
    </row>
    <row r="13" spans="2:4" x14ac:dyDescent="0.2">
      <c r="B13" s="18"/>
      <c r="C13" s="8"/>
      <c r="D13" s="7"/>
    </row>
    <row r="14" spans="2:4" x14ac:dyDescent="0.2">
      <c r="B14" s="18" t="s">
        <v>9</v>
      </c>
      <c r="C14" s="19" t="s">
        <v>10</v>
      </c>
      <c r="D14" s="7"/>
    </row>
    <row r="15" spans="2:4" ht="17" thickBot="1" x14ac:dyDescent="0.25">
      <c r="B15" s="18"/>
      <c r="C15" s="13" t="s">
        <v>11</v>
      </c>
      <c r="D15" s="7"/>
    </row>
    <row r="16" spans="2:4" ht="17" thickBot="1" x14ac:dyDescent="0.25">
      <c r="B16" s="18"/>
      <c r="C16" s="20" t="s">
        <v>12</v>
      </c>
      <c r="D16" s="7"/>
    </row>
    <row r="17" spans="2:4" x14ac:dyDescent="0.2">
      <c r="B17" s="18"/>
      <c r="C17" s="8" t="s">
        <v>13</v>
      </c>
      <c r="D17" s="7"/>
    </row>
    <row r="18" spans="2:4" x14ac:dyDescent="0.2">
      <c r="B18" s="18"/>
      <c r="C18" s="8"/>
      <c r="D18" s="7"/>
    </row>
    <row r="19" spans="2:4" x14ac:dyDescent="0.2">
      <c r="B19" s="18" t="s">
        <v>294</v>
      </c>
      <c r="C19" s="21" t="s">
        <v>200</v>
      </c>
      <c r="D19" s="7"/>
    </row>
    <row r="20" spans="2:4" x14ac:dyDescent="0.2">
      <c r="B20" s="18"/>
      <c r="C20" s="71" t="s">
        <v>24</v>
      </c>
      <c r="D20" s="7"/>
    </row>
    <row r="21" spans="2:4" x14ac:dyDescent="0.2">
      <c r="B21" s="18"/>
      <c r="C21" s="70" t="s">
        <v>16</v>
      </c>
      <c r="D21" s="7"/>
    </row>
    <row r="22" spans="2:4" x14ac:dyDescent="0.2">
      <c r="B22" s="16"/>
      <c r="C22" s="22" t="s">
        <v>14</v>
      </c>
      <c r="D22" s="7"/>
    </row>
    <row r="23" spans="2:4" x14ac:dyDescent="0.2">
      <c r="B23" s="16"/>
      <c r="C23" s="72" t="s">
        <v>201</v>
      </c>
      <c r="D23" s="7"/>
    </row>
    <row r="24" spans="2:4" x14ac:dyDescent="0.2">
      <c r="B24" s="16"/>
      <c r="C24" s="73" t="s">
        <v>15</v>
      </c>
      <c r="D24" s="7"/>
    </row>
    <row r="25" spans="2:4" x14ac:dyDescent="0.2">
      <c r="B25" s="16"/>
      <c r="C25" s="62" t="s">
        <v>17</v>
      </c>
      <c r="D25" s="7"/>
    </row>
    <row r="26" spans="2:4" x14ac:dyDescent="0.2">
      <c r="B26" s="17"/>
      <c r="C26" s="9"/>
      <c r="D26" s="10"/>
    </row>
    <row r="28" spans="2:4" x14ac:dyDescent="0.2">
      <c r="B28" s="3" t="s">
        <v>18</v>
      </c>
      <c r="C28" s="4"/>
      <c r="D28" s="5"/>
    </row>
    <row r="29" spans="2:4" x14ac:dyDescent="0.2">
      <c r="B29" s="16"/>
      <c r="C29" s="8"/>
      <c r="D29" s="7"/>
    </row>
    <row r="30" spans="2:4" x14ac:dyDescent="0.2">
      <c r="B30" s="16"/>
      <c r="C30" s="8"/>
      <c r="D30" s="7"/>
    </row>
    <row r="31" spans="2:4" x14ac:dyDescent="0.2">
      <c r="B31" s="16"/>
      <c r="C31" s="8"/>
      <c r="D31" s="7"/>
    </row>
    <row r="32" spans="2:4" x14ac:dyDescent="0.2">
      <c r="B32" s="16"/>
      <c r="C32" s="8"/>
      <c r="D32" s="7"/>
    </row>
    <row r="33" spans="2:4" x14ac:dyDescent="0.2">
      <c r="B33" s="16"/>
      <c r="C33" s="8"/>
      <c r="D33" s="7"/>
    </row>
    <row r="34" spans="2:4" x14ac:dyDescent="0.2">
      <c r="B34" s="16"/>
      <c r="C34" s="8"/>
      <c r="D34" s="7"/>
    </row>
    <row r="35" spans="2:4" x14ac:dyDescent="0.2">
      <c r="B35" s="16"/>
      <c r="C35" s="8"/>
      <c r="D35" s="7"/>
    </row>
    <row r="36" spans="2:4" x14ac:dyDescent="0.2">
      <c r="B36" s="16"/>
      <c r="C36" s="8"/>
      <c r="D36" s="7"/>
    </row>
    <row r="37" spans="2:4" x14ac:dyDescent="0.2">
      <c r="B37" s="16"/>
      <c r="C37" s="8"/>
      <c r="D37" s="7"/>
    </row>
    <row r="38" spans="2:4" x14ac:dyDescent="0.2">
      <c r="B38" s="17"/>
      <c r="C38" s="9"/>
      <c r="D38" s="10"/>
    </row>
  </sheetData>
  <pageMargins left="0.75" right="0.75" top="1" bottom="1" header="0.5" footer="0.5"/>
  <pageSetup paperSize="9" orientation="portrait" horizontalDpi="4294967292" verticalDpi="4294967292"/>
  <ignoredErrors>
    <ignoredError sqref="C6: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A1:Q39"/>
  <sheetViews>
    <sheetView workbookViewId="0"/>
  </sheetViews>
  <sheetFormatPr baseColWidth="10" defaultRowHeight="16" x14ac:dyDescent="0.2"/>
  <cols>
    <col min="1" max="1" width="10.83203125" style="1"/>
    <col min="2" max="2" width="21.6640625" style="1" customWidth="1"/>
    <col min="3" max="5" width="14.33203125" style="1" customWidth="1"/>
    <col min="6" max="6" width="14.33203125" style="88" customWidth="1"/>
    <col min="7" max="11" width="14.33203125" style="1" customWidth="1"/>
    <col min="12" max="16384" width="10.83203125" style="1"/>
  </cols>
  <sheetData>
    <row r="1" spans="1:17" x14ac:dyDescent="0.2">
      <c r="B1" s="81"/>
      <c r="C1" s="81"/>
      <c r="D1" s="81"/>
      <c r="E1" s="81"/>
      <c r="F1" s="81"/>
      <c r="G1" s="81"/>
      <c r="H1" s="81"/>
      <c r="I1" s="81"/>
      <c r="J1" s="81"/>
      <c r="K1" s="81"/>
      <c r="L1" s="81"/>
      <c r="M1" s="81"/>
      <c r="N1" s="81"/>
    </row>
    <row r="2" spans="1:17" ht="21" x14ac:dyDescent="0.25">
      <c r="A2" s="81"/>
      <c r="B2" s="80" t="s">
        <v>258</v>
      </c>
      <c r="C2" s="8"/>
      <c r="D2" s="8"/>
      <c r="E2" s="8"/>
      <c r="F2" s="8"/>
      <c r="G2" s="8"/>
      <c r="H2" s="81"/>
      <c r="I2" s="81"/>
      <c r="J2" s="81"/>
      <c r="K2" s="81"/>
      <c r="L2" s="81"/>
      <c r="M2" s="81"/>
      <c r="N2" s="81"/>
    </row>
    <row r="3" spans="1:17" x14ac:dyDescent="0.2">
      <c r="A3" s="81"/>
      <c r="C3" s="8"/>
      <c r="D3" s="8"/>
      <c r="E3" s="8"/>
      <c r="F3" s="8"/>
      <c r="G3" s="8"/>
      <c r="H3" s="81"/>
      <c r="I3" s="81"/>
      <c r="J3" s="81"/>
      <c r="K3" s="81"/>
      <c r="L3" s="81"/>
      <c r="M3" s="81"/>
      <c r="N3" s="81"/>
    </row>
    <row r="4" spans="1:17" x14ac:dyDescent="0.2">
      <c r="A4" s="81"/>
      <c r="B4" s="3" t="s">
        <v>83</v>
      </c>
      <c r="C4" s="4"/>
      <c r="D4" s="4"/>
      <c r="E4" s="4"/>
      <c r="F4" s="5"/>
      <c r="G4" s="81"/>
      <c r="H4" s="81"/>
      <c r="I4" s="81"/>
      <c r="J4" s="81"/>
      <c r="K4" s="81"/>
      <c r="L4" s="81"/>
      <c r="M4" s="81"/>
    </row>
    <row r="5" spans="1:17" ht="31" customHeight="1" x14ac:dyDescent="0.2">
      <c r="A5" s="81"/>
      <c r="B5" s="666" t="s">
        <v>350</v>
      </c>
      <c r="C5" s="667"/>
      <c r="D5" s="667"/>
      <c r="E5" s="667"/>
      <c r="F5" s="668"/>
      <c r="G5" s="81"/>
      <c r="H5" s="81"/>
      <c r="I5" s="81"/>
      <c r="J5" s="81"/>
      <c r="K5" s="81"/>
      <c r="L5" s="81"/>
      <c r="M5" s="81"/>
    </row>
    <row r="6" spans="1:17" ht="17" thickBot="1" x14ac:dyDescent="0.25">
      <c r="A6" s="81"/>
      <c r="B6" s="81"/>
      <c r="C6" s="81"/>
      <c r="D6" s="81"/>
      <c r="E6" s="81"/>
      <c r="F6" s="81"/>
      <c r="G6" s="81"/>
      <c r="H6" s="81"/>
      <c r="I6" s="81"/>
      <c r="J6" s="81"/>
      <c r="K6" s="81"/>
      <c r="L6" s="81"/>
      <c r="M6" s="81"/>
      <c r="N6" s="81"/>
    </row>
    <row r="7" spans="1:17" x14ac:dyDescent="0.2">
      <c r="A7" s="81"/>
      <c r="B7" s="172" t="s">
        <v>258</v>
      </c>
      <c r="C7" s="173"/>
      <c r="D7" s="174"/>
      <c r="E7" s="174"/>
      <c r="F7" s="174"/>
      <c r="G7" s="174"/>
      <c r="H7" s="174"/>
      <c r="I7" s="174"/>
      <c r="J7" s="174"/>
      <c r="K7" s="182"/>
      <c r="L7" s="81"/>
      <c r="M7" s="81"/>
      <c r="N7" s="81"/>
    </row>
    <row r="8" spans="1:17" x14ac:dyDescent="0.2">
      <c r="A8" s="81"/>
      <c r="B8" s="175"/>
      <c r="C8" s="176"/>
      <c r="D8" s="176"/>
      <c r="E8" s="176"/>
      <c r="F8" s="176"/>
      <c r="G8" s="176"/>
      <c r="H8" s="176"/>
      <c r="I8" s="176"/>
      <c r="J8" s="176"/>
      <c r="K8" s="184"/>
      <c r="L8" s="81"/>
      <c r="M8" s="81"/>
      <c r="N8" s="81"/>
    </row>
    <row r="9" spans="1:17" ht="34" x14ac:dyDescent="0.2">
      <c r="A9" s="81"/>
      <c r="B9" s="188"/>
      <c r="C9" s="290" t="s">
        <v>327</v>
      </c>
      <c r="D9" s="290" t="s">
        <v>328</v>
      </c>
      <c r="E9" s="290" t="s">
        <v>329</v>
      </c>
      <c r="F9" s="290" t="s">
        <v>432</v>
      </c>
      <c r="G9" s="290" t="s">
        <v>434</v>
      </c>
      <c r="H9" s="290" t="s">
        <v>433</v>
      </c>
      <c r="I9" s="290" t="s">
        <v>330</v>
      </c>
      <c r="J9" s="290" t="s">
        <v>331</v>
      </c>
      <c r="K9" s="291" t="s">
        <v>332</v>
      </c>
      <c r="L9" s="81"/>
      <c r="M9" s="81"/>
      <c r="N9" s="81"/>
      <c r="O9" s="81"/>
      <c r="P9" s="81"/>
      <c r="Q9" s="81"/>
    </row>
    <row r="10" spans="1:17" x14ac:dyDescent="0.2">
      <c r="A10" s="81"/>
      <c r="B10" s="177" t="s">
        <v>208</v>
      </c>
      <c r="C10" s="359"/>
      <c r="D10" s="359"/>
      <c r="E10" s="359"/>
      <c r="F10" s="359"/>
      <c r="G10" s="359"/>
      <c r="H10" s="359"/>
      <c r="I10" s="359"/>
      <c r="J10" s="359"/>
      <c r="K10" s="334"/>
      <c r="L10" s="81"/>
      <c r="M10" s="81"/>
      <c r="N10" s="81"/>
      <c r="O10" s="81"/>
      <c r="P10" s="81"/>
      <c r="Q10" s="81"/>
    </row>
    <row r="11" spans="1:17" ht="17" x14ac:dyDescent="0.2">
      <c r="A11" s="81"/>
      <c r="B11" s="178" t="s">
        <v>126</v>
      </c>
      <c r="C11" s="371" t="e">
        <f>'Steel and alu demand'!G28</f>
        <v>#DIV/0!</v>
      </c>
      <c r="D11" s="371" t="e">
        <f>'Steel and alu demand'!H28</f>
        <v>#DIV/0!</v>
      </c>
      <c r="E11" s="371" t="e">
        <f>'Steel and alu demand'!I28</f>
        <v>#DIV/0!</v>
      </c>
      <c r="F11" s="371">
        <f>'Steel and alu demand'!J28</f>
        <v>0</v>
      </c>
      <c r="G11" s="371">
        <f>'Steel and alu demand'!K28</f>
        <v>0</v>
      </c>
      <c r="H11" s="371" t="e">
        <f>'Steel and alu demand'!L28</f>
        <v>#DIV/0!</v>
      </c>
      <c r="I11" s="371" t="e">
        <f>'Steel and alu demand'!M28</f>
        <v>#DIV/0!</v>
      </c>
      <c r="J11" s="371">
        <f>'Steel and alu demand'!N28</f>
        <v>0</v>
      </c>
      <c r="K11" s="318">
        <f>'Steel and alu demand'!O28</f>
        <v>0</v>
      </c>
      <c r="L11" s="81"/>
      <c r="M11" s="81"/>
      <c r="N11" s="81"/>
      <c r="O11" s="81"/>
      <c r="P11" s="81"/>
      <c r="Q11" s="81"/>
    </row>
    <row r="12" spans="1:17" ht="17" x14ac:dyDescent="0.2">
      <c r="A12" s="81"/>
      <c r="B12" s="178" t="s">
        <v>127</v>
      </c>
      <c r="C12" s="371" t="e">
        <f>'Cokes demand'!G19</f>
        <v>#DIV/0!</v>
      </c>
      <c r="D12" s="371" t="e">
        <f>'Cokes demand'!H19</f>
        <v>#DIV/0!</v>
      </c>
      <c r="E12" s="371" t="e">
        <f>'Cokes demand'!I19</f>
        <v>#DIV/0!</v>
      </c>
      <c r="F12" s="371">
        <f>'Cokes demand'!J19</f>
        <v>0</v>
      </c>
      <c r="G12" s="371">
        <f>'Cokes demand'!K19</f>
        <v>0</v>
      </c>
      <c r="H12" s="371">
        <f>'Cokes demand'!L19</f>
        <v>0</v>
      </c>
      <c r="I12" s="371">
        <f>'Cokes demand'!M19</f>
        <v>0</v>
      </c>
      <c r="J12" s="371">
        <f>'Cokes demand'!N19</f>
        <v>0</v>
      </c>
      <c r="K12" s="318">
        <f>'Cokes demand'!O19</f>
        <v>0</v>
      </c>
      <c r="L12" s="81"/>
      <c r="M12" s="81"/>
      <c r="N12" s="81"/>
      <c r="O12" s="81"/>
      <c r="P12" s="81"/>
      <c r="Q12" s="81"/>
    </row>
    <row r="13" spans="1:17" x14ac:dyDescent="0.2">
      <c r="A13" s="81"/>
      <c r="B13" s="494"/>
      <c r="C13" s="495"/>
      <c r="D13" s="495"/>
      <c r="E13" s="495"/>
      <c r="F13" s="495"/>
      <c r="G13" s="495"/>
      <c r="H13" s="495"/>
      <c r="I13" s="495"/>
      <c r="J13" s="495"/>
      <c r="K13" s="445"/>
      <c r="L13" s="81"/>
      <c r="M13" s="81"/>
      <c r="N13" s="81"/>
      <c r="O13" s="81"/>
      <c r="P13" s="81"/>
      <c r="Q13" s="81"/>
    </row>
    <row r="14" spans="1:17" ht="17" x14ac:dyDescent="0.2">
      <c r="A14" s="81"/>
      <c r="B14" s="179" t="s">
        <v>132</v>
      </c>
      <c r="C14" s="372"/>
      <c r="D14" s="372"/>
      <c r="E14" s="372"/>
      <c r="F14" s="372"/>
      <c r="G14" s="372"/>
      <c r="H14" s="372"/>
      <c r="I14" s="372"/>
      <c r="J14" s="372"/>
      <c r="K14" s="320"/>
      <c r="L14" s="81"/>
      <c r="M14" s="81"/>
      <c r="N14" s="81"/>
      <c r="O14" s="81"/>
      <c r="P14" s="81"/>
      <c r="Q14" s="81"/>
    </row>
    <row r="15" spans="1:17" ht="17" x14ac:dyDescent="0.2">
      <c r="A15" s="81"/>
      <c r="B15" s="178" t="s">
        <v>127</v>
      </c>
      <c r="C15" s="371">
        <f>'Cokes demand'!G14</f>
        <v>0</v>
      </c>
      <c r="D15" s="447" t="s">
        <v>336</v>
      </c>
      <c r="E15" s="371" t="e">
        <f>'Cokes demand'!I14</f>
        <v>#DIV/0!</v>
      </c>
      <c r="F15" s="371">
        <f>'Cokes demand'!J14</f>
        <v>0</v>
      </c>
      <c r="G15" s="371">
        <f>'Cokes demand'!K14</f>
        <v>0</v>
      </c>
      <c r="H15" s="371">
        <f>'Cokes demand'!L14</f>
        <v>0</v>
      </c>
      <c r="I15" s="371">
        <f>'Cokes demand'!M14</f>
        <v>0</v>
      </c>
      <c r="J15" s="371" t="e">
        <f>'Cokes demand'!N14</f>
        <v>#DIV/0!</v>
      </c>
      <c r="K15" s="318">
        <f>'Cokes demand'!O14</f>
        <v>0</v>
      </c>
      <c r="L15" s="81"/>
      <c r="M15" s="81"/>
      <c r="N15" s="81"/>
      <c r="O15" s="81"/>
      <c r="P15" s="81"/>
      <c r="Q15" s="81"/>
    </row>
    <row r="16" spans="1:17" ht="17" x14ac:dyDescent="0.2">
      <c r="A16" s="81"/>
      <c r="B16" s="178" t="s">
        <v>126</v>
      </c>
      <c r="C16" s="523" t="s">
        <v>336</v>
      </c>
      <c r="D16" s="447" t="s">
        <v>336</v>
      </c>
      <c r="E16" s="523" t="s">
        <v>336</v>
      </c>
      <c r="F16" s="523" t="s">
        <v>336</v>
      </c>
      <c r="G16" s="523" t="s">
        <v>336</v>
      </c>
      <c r="H16" s="523" t="s">
        <v>336</v>
      </c>
      <c r="I16" s="523" t="s">
        <v>336</v>
      </c>
      <c r="J16" s="523" t="s">
        <v>336</v>
      </c>
      <c r="K16" s="524" t="s">
        <v>336</v>
      </c>
      <c r="L16" s="81"/>
      <c r="M16" s="81"/>
      <c r="N16" s="81"/>
      <c r="O16" s="81"/>
      <c r="P16" s="81"/>
      <c r="Q16" s="81"/>
    </row>
    <row r="17" spans="1:17" x14ac:dyDescent="0.2">
      <c r="A17" s="81"/>
      <c r="B17" s="494"/>
      <c r="C17" s="495"/>
      <c r="D17" s="495"/>
      <c r="E17" s="495"/>
      <c r="F17" s="495"/>
      <c r="G17" s="495"/>
      <c r="H17" s="495"/>
      <c r="I17" s="495"/>
      <c r="J17" s="495"/>
      <c r="K17" s="445"/>
      <c r="L17" s="81"/>
      <c r="M17" s="81"/>
      <c r="N17" s="81"/>
      <c r="O17" s="81"/>
      <c r="P17" s="81"/>
      <c r="Q17" s="81"/>
    </row>
    <row r="18" spans="1:17" ht="17" x14ac:dyDescent="0.2">
      <c r="A18" s="81"/>
      <c r="B18" s="179" t="s">
        <v>142</v>
      </c>
      <c r="C18" s="372"/>
      <c r="D18" s="372"/>
      <c r="E18" s="372"/>
      <c r="F18" s="372"/>
      <c r="G18" s="372"/>
      <c r="H18" s="372"/>
      <c r="I18" s="372"/>
      <c r="J18" s="372"/>
      <c r="K18" s="320"/>
      <c r="L18" s="81"/>
      <c r="M18" s="81"/>
      <c r="N18" s="81"/>
      <c r="O18" s="81"/>
      <c r="P18" s="81"/>
      <c r="Q18" s="81"/>
    </row>
    <row r="19" spans="1:17" ht="17" x14ac:dyDescent="0.2">
      <c r="A19" s="81"/>
      <c r="B19" s="178" t="s">
        <v>286</v>
      </c>
      <c r="C19" s="373" t="e">
        <f>'Other energy use'!D12</f>
        <v>#DIV/0!</v>
      </c>
      <c r="D19" s="497" t="s">
        <v>336</v>
      </c>
      <c r="E19" s="373" t="e">
        <f>'Other energy use'!F12</f>
        <v>#DIV/0!</v>
      </c>
      <c r="F19" s="373" t="e">
        <f>'Other energy use'!G12</f>
        <v>#DIV/0!</v>
      </c>
      <c r="G19" s="373">
        <f>'Other energy use'!H12</f>
        <v>0</v>
      </c>
      <c r="H19" s="373">
        <f>'Other energy use'!I12</f>
        <v>0</v>
      </c>
      <c r="I19" s="373" t="e">
        <f>'Other energy use'!J12</f>
        <v>#DIV/0!</v>
      </c>
      <c r="J19" s="373" t="e">
        <f>'Other energy use'!K12</f>
        <v>#DIV/0!</v>
      </c>
      <c r="K19" s="374">
        <f>'Other energy use'!L12</f>
        <v>0</v>
      </c>
      <c r="L19" s="81"/>
      <c r="M19" s="81"/>
      <c r="N19" s="81"/>
      <c r="O19" s="81"/>
      <c r="P19" s="81"/>
      <c r="Q19" s="81"/>
    </row>
    <row r="20" spans="1:17" ht="17" x14ac:dyDescent="0.2">
      <c r="A20" s="81"/>
      <c r="B20" s="178" t="s">
        <v>287</v>
      </c>
      <c r="C20" s="373">
        <f>'Other energy use'!D16</f>
        <v>0</v>
      </c>
      <c r="D20" s="496" t="s">
        <v>336</v>
      </c>
      <c r="E20" s="373">
        <f>'Other energy use'!F16</f>
        <v>0</v>
      </c>
      <c r="F20" s="373" t="e">
        <f>'Other energy use'!G16</f>
        <v>#DIV/0!</v>
      </c>
      <c r="G20" s="373">
        <f>'Other energy use'!H16</f>
        <v>0</v>
      </c>
      <c r="H20" s="373">
        <f>'Other energy use'!I16</f>
        <v>0</v>
      </c>
      <c r="I20" s="373" t="e">
        <f>'Other energy use'!J16</f>
        <v>#DIV/0!</v>
      </c>
      <c r="J20" s="373" t="e">
        <f>'Other energy use'!K16</f>
        <v>#DIV/0!</v>
      </c>
      <c r="K20" s="374">
        <f>'Other energy use'!L16</f>
        <v>0</v>
      </c>
      <c r="L20" s="81"/>
      <c r="M20" s="81"/>
      <c r="N20" s="81"/>
      <c r="O20" s="81"/>
      <c r="P20" s="81"/>
      <c r="Q20" s="81"/>
    </row>
    <row r="21" spans="1:17" ht="17" x14ac:dyDescent="0.2">
      <c r="A21" s="81"/>
      <c r="B21" s="178" t="s">
        <v>285</v>
      </c>
      <c r="C21" s="373" t="e">
        <f>'Other energy use'!D22</f>
        <v>#DIV/0!</v>
      </c>
      <c r="D21" s="496" t="s">
        <v>336</v>
      </c>
      <c r="E21" s="496" t="s">
        <v>336</v>
      </c>
      <c r="F21" s="373" t="e">
        <f>'Other energy use'!G22</f>
        <v>#DIV/0!</v>
      </c>
      <c r="G21" s="373">
        <f>'Other energy use'!H22</f>
        <v>0</v>
      </c>
      <c r="H21" s="497">
        <f>'Other energy use'!I22</f>
        <v>0</v>
      </c>
      <c r="I21" s="373" t="e">
        <f>'Other energy use'!J22</f>
        <v>#DIV/0!</v>
      </c>
      <c r="J21" s="373" t="e">
        <f>'Other energy use'!K22</f>
        <v>#DIV/0!</v>
      </c>
      <c r="K21" s="374">
        <f>'Other energy use'!L22</f>
        <v>0</v>
      </c>
      <c r="L21" s="81"/>
      <c r="M21" s="81"/>
      <c r="N21" s="81"/>
      <c r="O21" s="81"/>
      <c r="P21" s="81"/>
      <c r="Q21" s="81"/>
    </row>
    <row r="22" spans="1:17" ht="17" thickBot="1" x14ac:dyDescent="0.25">
      <c r="A22" s="81"/>
      <c r="B22" s="187"/>
      <c r="C22" s="375"/>
      <c r="D22" s="375"/>
      <c r="E22" s="375"/>
      <c r="F22" s="375"/>
      <c r="G22" s="375"/>
      <c r="H22" s="375"/>
      <c r="I22" s="375"/>
      <c r="J22" s="375"/>
      <c r="K22" s="370"/>
      <c r="L22" s="81"/>
      <c r="M22" s="81"/>
      <c r="N22" s="81"/>
      <c r="O22" s="81"/>
      <c r="P22" s="81"/>
      <c r="Q22" s="81"/>
    </row>
    <row r="23" spans="1:17" x14ac:dyDescent="0.2">
      <c r="A23" s="81"/>
      <c r="B23" s="81"/>
      <c r="C23" s="81"/>
      <c r="D23" s="81"/>
      <c r="E23" s="81"/>
      <c r="F23" s="81"/>
      <c r="G23" s="81"/>
      <c r="H23" s="81"/>
      <c r="I23" s="81"/>
      <c r="J23" s="81"/>
      <c r="K23" s="81"/>
      <c r="L23" s="81"/>
      <c r="M23" s="81"/>
      <c r="N23" s="81"/>
      <c r="O23" s="81"/>
      <c r="P23" s="81"/>
      <c r="Q23" s="81"/>
    </row>
    <row r="24" spans="1:17" x14ac:dyDescent="0.2">
      <c r="A24" s="81"/>
      <c r="B24" s="81"/>
      <c r="C24" s="81"/>
      <c r="D24" s="81"/>
      <c r="E24" s="81"/>
      <c r="F24" s="81"/>
      <c r="G24" s="81"/>
      <c r="H24" s="81"/>
      <c r="I24" s="81"/>
      <c r="J24" s="81"/>
      <c r="K24" s="81"/>
      <c r="L24" s="81"/>
      <c r="M24" s="81"/>
      <c r="N24" s="81"/>
      <c r="O24" s="81"/>
      <c r="P24" s="81"/>
      <c r="Q24" s="81"/>
    </row>
    <row r="25" spans="1:17" x14ac:dyDescent="0.2">
      <c r="A25" s="81"/>
      <c r="B25" s="81"/>
      <c r="C25" s="81"/>
      <c r="D25" s="81"/>
      <c r="E25" s="81"/>
      <c r="F25" s="81"/>
      <c r="G25" s="81"/>
      <c r="H25" s="81"/>
      <c r="I25" s="81"/>
      <c r="J25" s="81"/>
      <c r="K25" s="81"/>
      <c r="L25" s="81"/>
      <c r="M25" s="81"/>
      <c r="N25" s="81"/>
      <c r="O25" s="81"/>
      <c r="P25" s="81"/>
      <c r="Q25" s="81"/>
    </row>
    <row r="26" spans="1:17" x14ac:dyDescent="0.2">
      <c r="A26" s="81"/>
      <c r="B26" s="81"/>
      <c r="C26" s="81"/>
      <c r="D26" s="81"/>
      <c r="E26" s="81"/>
      <c r="F26" s="81"/>
      <c r="G26" s="81"/>
      <c r="H26" s="81"/>
      <c r="I26" s="81"/>
      <c r="J26" s="81"/>
      <c r="K26" s="81"/>
      <c r="L26" s="81"/>
      <c r="M26" s="81"/>
      <c r="N26" s="81"/>
      <c r="O26" s="81"/>
      <c r="P26" s="81"/>
      <c r="Q26" s="81"/>
    </row>
    <row r="27" spans="1:17" x14ac:dyDescent="0.2">
      <c r="A27" s="81"/>
      <c r="B27" s="81"/>
      <c r="C27" s="81"/>
      <c r="D27" s="81"/>
      <c r="E27" s="81"/>
      <c r="F27" s="81"/>
      <c r="G27" s="81"/>
      <c r="H27" s="81"/>
      <c r="I27" s="81"/>
      <c r="J27" s="81"/>
      <c r="K27" s="81"/>
      <c r="L27" s="81"/>
      <c r="M27" s="81"/>
      <c r="N27" s="81"/>
      <c r="O27" s="81"/>
      <c r="P27" s="81"/>
      <c r="Q27" s="81"/>
    </row>
    <row r="28" spans="1:17" x14ac:dyDescent="0.2">
      <c r="A28" s="81"/>
      <c r="B28" s="81"/>
      <c r="C28" s="81"/>
      <c r="D28" s="81"/>
      <c r="E28" s="81"/>
      <c r="F28" s="81"/>
      <c r="G28" s="81"/>
      <c r="H28" s="81"/>
      <c r="I28" s="81"/>
      <c r="J28" s="81"/>
      <c r="K28" s="81"/>
      <c r="L28" s="81"/>
      <c r="M28" s="81"/>
      <c r="N28" s="81"/>
      <c r="O28" s="81"/>
      <c r="P28" s="81"/>
      <c r="Q28" s="81"/>
    </row>
    <row r="29" spans="1:17" x14ac:dyDescent="0.2">
      <c r="A29" s="81"/>
      <c r="B29" s="81"/>
      <c r="C29" s="81"/>
      <c r="D29" s="81"/>
      <c r="E29" s="81"/>
      <c r="F29" s="81"/>
      <c r="G29" s="81"/>
      <c r="H29" s="81"/>
      <c r="I29" s="81"/>
      <c r="J29" s="81"/>
      <c r="K29" s="81"/>
      <c r="L29" s="81"/>
      <c r="M29" s="81"/>
      <c r="N29" s="81"/>
      <c r="O29" s="81"/>
      <c r="P29" s="81"/>
      <c r="Q29" s="81"/>
    </row>
    <row r="30" spans="1:17" x14ac:dyDescent="0.2">
      <c r="A30" s="81"/>
      <c r="B30" s="81"/>
      <c r="C30" s="81"/>
      <c r="D30" s="81"/>
      <c r="E30" s="81"/>
      <c r="F30" s="81"/>
      <c r="G30" s="81"/>
      <c r="H30" s="81"/>
      <c r="I30" s="81"/>
      <c r="J30" s="81"/>
      <c r="K30" s="81"/>
      <c r="L30" s="81"/>
      <c r="M30" s="81"/>
      <c r="N30" s="81"/>
      <c r="O30" s="81"/>
      <c r="P30" s="81"/>
      <c r="Q30" s="81"/>
    </row>
    <row r="31" spans="1:17" x14ac:dyDescent="0.2">
      <c r="A31" s="81"/>
      <c r="B31" s="81"/>
      <c r="C31" s="81"/>
      <c r="D31" s="81"/>
      <c r="E31" s="81"/>
      <c r="F31" s="81"/>
      <c r="G31" s="81"/>
      <c r="H31" s="81"/>
      <c r="I31" s="81"/>
      <c r="J31" s="81"/>
      <c r="K31" s="81"/>
      <c r="L31" s="81"/>
      <c r="M31" s="81"/>
      <c r="N31" s="81"/>
      <c r="O31" s="81"/>
      <c r="P31" s="81"/>
      <c r="Q31" s="81"/>
    </row>
    <row r="32" spans="1:17" x14ac:dyDescent="0.2">
      <c r="D32" s="81"/>
      <c r="E32" s="81"/>
      <c r="F32" s="81"/>
      <c r="G32" s="81"/>
      <c r="H32" s="81"/>
      <c r="I32" s="81"/>
      <c r="J32" s="81"/>
      <c r="K32" s="81"/>
      <c r="L32" s="81"/>
      <c r="M32" s="81"/>
      <c r="N32" s="81"/>
      <c r="O32" s="81"/>
      <c r="P32" s="81"/>
      <c r="Q32" s="81"/>
    </row>
    <row r="33" spans="4:17" x14ac:dyDescent="0.2">
      <c r="D33" s="81"/>
      <c r="E33" s="81"/>
      <c r="F33" s="81"/>
      <c r="G33" s="81"/>
      <c r="H33" s="81"/>
      <c r="I33" s="81"/>
      <c r="J33" s="81"/>
      <c r="K33" s="81"/>
      <c r="L33" s="81"/>
      <c r="M33" s="81"/>
      <c r="N33" s="81"/>
      <c r="O33" s="81"/>
      <c r="P33" s="81"/>
      <c r="Q33" s="81"/>
    </row>
    <row r="34" spans="4:17" x14ac:dyDescent="0.2">
      <c r="D34" s="81"/>
      <c r="E34" s="81"/>
      <c r="F34" s="81"/>
      <c r="G34" s="81"/>
      <c r="H34" s="81"/>
      <c r="I34" s="81"/>
      <c r="J34" s="81"/>
      <c r="K34" s="81"/>
      <c r="L34" s="81"/>
      <c r="M34" s="81"/>
      <c r="N34" s="81"/>
      <c r="O34" s="81"/>
      <c r="P34" s="81"/>
      <c r="Q34" s="81"/>
    </row>
    <row r="35" spans="4:17" x14ac:dyDescent="0.2">
      <c r="D35" s="81"/>
      <c r="E35" s="81"/>
      <c r="F35" s="81"/>
      <c r="G35" s="81"/>
      <c r="H35" s="81"/>
      <c r="I35" s="81"/>
      <c r="J35" s="81"/>
      <c r="K35" s="81"/>
      <c r="L35" s="81"/>
      <c r="M35" s="81"/>
      <c r="N35" s="81"/>
      <c r="O35" s="81"/>
      <c r="P35" s="81"/>
      <c r="Q35" s="81"/>
    </row>
    <row r="36" spans="4:17" x14ac:dyDescent="0.2">
      <c r="D36" s="81"/>
      <c r="E36" s="81"/>
      <c r="F36" s="81"/>
      <c r="G36" s="81"/>
      <c r="H36" s="81"/>
      <c r="I36" s="81"/>
      <c r="J36" s="81"/>
      <c r="K36" s="81"/>
      <c r="L36" s="81"/>
      <c r="M36" s="81"/>
      <c r="N36" s="81"/>
      <c r="O36" s="81"/>
      <c r="P36" s="81"/>
      <c r="Q36" s="81"/>
    </row>
    <row r="37" spans="4:17" x14ac:dyDescent="0.2">
      <c r="D37" s="81"/>
      <c r="E37" s="81"/>
      <c r="F37" s="81"/>
      <c r="G37" s="81"/>
      <c r="H37" s="81"/>
      <c r="I37" s="81"/>
      <c r="J37" s="81"/>
      <c r="K37" s="81"/>
      <c r="L37" s="81"/>
      <c r="M37" s="81"/>
      <c r="N37" s="81"/>
      <c r="O37" s="81"/>
      <c r="P37" s="81"/>
      <c r="Q37" s="81"/>
    </row>
    <row r="38" spans="4:17" x14ac:dyDescent="0.2">
      <c r="D38" s="81"/>
      <c r="E38" s="81"/>
      <c r="F38" s="81"/>
      <c r="G38" s="81"/>
      <c r="H38" s="81"/>
      <c r="I38" s="81"/>
      <c r="J38" s="81"/>
      <c r="K38" s="81"/>
      <c r="L38" s="81"/>
      <c r="M38" s="81"/>
      <c r="N38" s="81"/>
      <c r="O38" s="81"/>
      <c r="P38" s="81"/>
      <c r="Q38" s="81"/>
    </row>
    <row r="39" spans="4:17" x14ac:dyDescent="0.2">
      <c r="D39" s="81"/>
      <c r="E39" s="81"/>
      <c r="F39" s="81"/>
      <c r="G39" s="81"/>
      <c r="H39" s="81"/>
      <c r="I39" s="81"/>
      <c r="J39" s="81"/>
      <c r="K39" s="81"/>
      <c r="L39" s="81"/>
      <c r="M39" s="81"/>
      <c r="N39" s="81"/>
      <c r="O39" s="81"/>
      <c r="P39" s="81"/>
      <c r="Q39" s="81"/>
    </row>
  </sheetData>
  <mergeCells count="1">
    <mergeCell ref="B5:F5"/>
  </mergeCells>
  <conditionalFormatting sqref="G22:K22">
    <cfRule type="cellIs" dxfId="9" priority="1" operator="greaterThan">
      <formula>0</formula>
    </cfRule>
  </conditionalFormatting>
  <conditionalFormatting sqref="C22:F22">
    <cfRule type="cellIs" dxfId="8"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E40"/>
  <sheetViews>
    <sheetView workbookViewId="0"/>
  </sheetViews>
  <sheetFormatPr baseColWidth="10" defaultRowHeight="16" x14ac:dyDescent="0.2"/>
  <cols>
    <col min="1" max="1" width="10.83203125" style="1"/>
    <col min="2" max="5" width="20.83203125" style="1" customWidth="1"/>
    <col min="6" max="16384" width="10.83203125" style="1"/>
  </cols>
  <sheetData>
    <row r="2" spans="2:5" ht="21" x14ac:dyDescent="0.25">
      <c r="B2" s="2" t="s">
        <v>268</v>
      </c>
    </row>
    <row r="4" spans="2:5" x14ac:dyDescent="0.2">
      <c r="B4" s="3" t="s">
        <v>83</v>
      </c>
      <c r="C4" s="4"/>
      <c r="D4" s="4"/>
      <c r="E4" s="5"/>
    </row>
    <row r="5" spans="2:5" ht="30" customHeight="1" x14ac:dyDescent="0.2">
      <c r="B5" s="655" t="s">
        <v>323</v>
      </c>
      <c r="C5" s="669"/>
      <c r="D5" s="669"/>
      <c r="E5" s="656"/>
    </row>
    <row r="6" spans="2:5" ht="17" thickBot="1" x14ac:dyDescent="0.25"/>
    <row r="7" spans="2:5" s="235" customFormat="1" x14ac:dyDescent="0.2">
      <c r="B7" s="233" t="s">
        <v>268</v>
      </c>
      <c r="C7" s="234"/>
      <c r="D7" s="503"/>
      <c r="E7" s="504"/>
    </row>
    <row r="8" spans="2:5" s="235" customFormat="1" x14ac:dyDescent="0.2">
      <c r="B8" s="499"/>
      <c r="C8" s="500"/>
      <c r="D8" s="359"/>
      <c r="E8" s="505"/>
    </row>
    <row r="9" spans="2:5" s="235" customFormat="1" ht="17" x14ac:dyDescent="0.2">
      <c r="B9" s="499" t="s">
        <v>506</v>
      </c>
      <c r="C9" s="500"/>
      <c r="D9" s="501" t="s">
        <v>505</v>
      </c>
      <c r="E9" s="502" t="s">
        <v>424</v>
      </c>
    </row>
    <row r="10" spans="2:5" x14ac:dyDescent="0.2">
      <c r="B10" s="487" t="s">
        <v>103</v>
      </c>
      <c r="C10" s="158"/>
      <c r="D10" s="353"/>
      <c r="E10" s="159"/>
    </row>
    <row r="11" spans="2:5" ht="34" x14ac:dyDescent="0.2">
      <c r="B11" s="488"/>
      <c r="C11" s="163" t="s">
        <v>215</v>
      </c>
      <c r="D11" s="354" t="e">
        <f>'Steel and alu demand'!N12</f>
        <v>#DIV/0!</v>
      </c>
      <c r="E11" s="267" t="e">
        <f t="shared" ref="E11:E19" si="0">D11/SUM($D$11:$D$19)</f>
        <v>#DIV/0!</v>
      </c>
    </row>
    <row r="12" spans="2:5" ht="34" x14ac:dyDescent="0.2">
      <c r="B12" s="488"/>
      <c r="C12" s="163" t="s">
        <v>218</v>
      </c>
      <c r="D12" s="354" t="e">
        <f>'Steel and alu demand'!N13</f>
        <v>#DIV/0!</v>
      </c>
      <c r="E12" s="267" t="e">
        <f t="shared" si="0"/>
        <v>#DIV/0!</v>
      </c>
    </row>
    <row r="13" spans="2:5" ht="17" x14ac:dyDescent="0.2">
      <c r="B13" s="488"/>
      <c r="C13" s="163" t="s">
        <v>219</v>
      </c>
      <c r="D13" s="354" t="e">
        <f>'Steel and alu demand'!N14</f>
        <v>#DIV/0!</v>
      </c>
      <c r="E13" s="267" t="e">
        <f t="shared" si="0"/>
        <v>#DIV/0!</v>
      </c>
    </row>
    <row r="14" spans="2:5" ht="17" x14ac:dyDescent="0.2">
      <c r="B14" s="488"/>
      <c r="C14" s="163" t="s">
        <v>220</v>
      </c>
      <c r="D14" s="354" t="e">
        <f>'Steel and alu demand'!N15</f>
        <v>#DIV/0!</v>
      </c>
      <c r="E14" s="267" t="e">
        <f t="shared" si="0"/>
        <v>#DIV/0!</v>
      </c>
    </row>
    <row r="15" spans="2:5" ht="34" x14ac:dyDescent="0.2">
      <c r="B15" s="488"/>
      <c r="C15" s="164" t="s">
        <v>227</v>
      </c>
      <c r="D15" s="354" t="e">
        <f>'Steel and alu demand'!N36</f>
        <v>#DIV/0!</v>
      </c>
      <c r="E15" s="267" t="e">
        <f t="shared" si="0"/>
        <v>#DIV/0!</v>
      </c>
    </row>
    <row r="16" spans="2:5" ht="34" x14ac:dyDescent="0.2">
      <c r="B16" s="488"/>
      <c r="C16" s="164" t="s">
        <v>228</v>
      </c>
      <c r="D16" s="354" t="e">
        <f>'Steel and alu demand'!N37</f>
        <v>#DIV/0!</v>
      </c>
      <c r="E16" s="267" t="e">
        <f t="shared" si="0"/>
        <v>#DIV/0!</v>
      </c>
    </row>
    <row r="17" spans="2:5" ht="17" x14ac:dyDescent="0.2">
      <c r="B17" s="488"/>
      <c r="C17" s="164" t="s">
        <v>229</v>
      </c>
      <c r="D17" s="354" t="e">
        <f>'Steel and alu demand'!N38</f>
        <v>#DIV/0!</v>
      </c>
      <c r="E17" s="267" t="e">
        <f t="shared" si="0"/>
        <v>#DIV/0!</v>
      </c>
    </row>
    <row r="18" spans="2:5" x14ac:dyDescent="0.2">
      <c r="B18" s="488"/>
      <c r="C18" s="15" t="s">
        <v>230</v>
      </c>
      <c r="D18" s="354" t="e">
        <f>'Steel and alu demand'!N39</f>
        <v>#DIV/0!</v>
      </c>
      <c r="E18" s="267" t="e">
        <f t="shared" si="0"/>
        <v>#DIV/0!</v>
      </c>
    </row>
    <row r="19" spans="2:5" x14ac:dyDescent="0.2">
      <c r="B19" s="488"/>
      <c r="C19" s="15" t="s">
        <v>270</v>
      </c>
      <c r="D19" s="354" t="e">
        <f>'Other energy use'!K22</f>
        <v>#DIV/0!</v>
      </c>
      <c r="E19" s="267" t="e">
        <f t="shared" si="0"/>
        <v>#DIV/0!</v>
      </c>
    </row>
    <row r="20" spans="2:5" x14ac:dyDescent="0.2">
      <c r="B20" s="32"/>
      <c r="C20" s="7"/>
      <c r="D20" s="355"/>
      <c r="E20" s="268"/>
    </row>
    <row r="21" spans="2:5" x14ac:dyDescent="0.2">
      <c r="B21" s="487" t="s">
        <v>194</v>
      </c>
      <c r="C21" s="158"/>
      <c r="D21" s="356"/>
      <c r="E21" s="269"/>
    </row>
    <row r="22" spans="2:5" x14ac:dyDescent="0.2">
      <c r="B22" s="488"/>
      <c r="C22" s="654" t="s">
        <v>237</v>
      </c>
      <c r="D22" s="354" t="e">
        <f>'Steel and alu demand'!G18</f>
        <v>#DIV/0!</v>
      </c>
      <c r="E22" s="267" t="e">
        <f>D22/SUM($D$22:$D$23)</f>
        <v>#DIV/0!</v>
      </c>
    </row>
    <row r="23" spans="2:5" x14ac:dyDescent="0.2">
      <c r="B23" s="488"/>
      <c r="C23" s="15" t="s">
        <v>244</v>
      </c>
      <c r="D23" s="354" t="e">
        <f>'Other energy use'!D22</f>
        <v>#DIV/0!</v>
      </c>
      <c r="E23" s="267" t="e">
        <f>D23/SUM($D$22:$D$23)</f>
        <v>#DIV/0!</v>
      </c>
    </row>
    <row r="24" spans="2:5" x14ac:dyDescent="0.2">
      <c r="B24" s="489"/>
      <c r="C24" s="7"/>
      <c r="D24" s="355"/>
      <c r="E24" s="270"/>
    </row>
    <row r="25" spans="2:5" x14ac:dyDescent="0.2">
      <c r="B25" s="487" t="s">
        <v>206</v>
      </c>
      <c r="C25" s="158"/>
      <c r="D25" s="356"/>
      <c r="E25" s="269"/>
    </row>
    <row r="26" spans="2:5" x14ac:dyDescent="0.2">
      <c r="B26" s="488"/>
      <c r="C26" s="15" t="s">
        <v>237</v>
      </c>
      <c r="D26" s="354" t="e">
        <f>'Steel and alu demand'!I18</f>
        <v>#DIV/0!</v>
      </c>
      <c r="E26" s="267" t="e">
        <f>D26/SUM($D$26)</f>
        <v>#DIV/0!</v>
      </c>
    </row>
    <row r="27" spans="2:5" x14ac:dyDescent="0.2">
      <c r="B27" s="488"/>
      <c r="C27" s="7"/>
      <c r="D27" s="355"/>
      <c r="E27" s="270"/>
    </row>
    <row r="28" spans="2:5" x14ac:dyDescent="0.2">
      <c r="B28" s="487" t="s">
        <v>269</v>
      </c>
      <c r="C28" s="158"/>
      <c r="D28" s="356"/>
      <c r="E28" s="269"/>
    </row>
    <row r="29" spans="2:5" x14ac:dyDescent="0.2">
      <c r="B29" s="488"/>
      <c r="C29" s="15" t="s">
        <v>237</v>
      </c>
      <c r="D29" s="354" t="e">
        <f>'Steel and alu demand'!J18</f>
        <v>#DIV/0!</v>
      </c>
      <c r="E29" s="267" t="e">
        <f>D29/SUM($D$29:$D$32)</f>
        <v>#DIV/0!</v>
      </c>
    </row>
    <row r="30" spans="2:5" x14ac:dyDescent="0.2">
      <c r="B30" s="488"/>
      <c r="C30" s="15" t="s">
        <v>241</v>
      </c>
      <c r="D30" s="354" t="e">
        <f>'Steel and alu demand'!J19</f>
        <v>#DIV/0!</v>
      </c>
      <c r="E30" s="267" t="e">
        <f t="shared" ref="E30:E32" si="1">D30/SUM($D$29:$D$32)</f>
        <v>#DIV/0!</v>
      </c>
    </row>
    <row r="31" spans="2:5" x14ac:dyDescent="0.2">
      <c r="B31" s="488"/>
      <c r="C31" s="15" t="s">
        <v>243</v>
      </c>
      <c r="D31" s="354" t="e">
        <f>'Steel and alu demand'!J42</f>
        <v>#DIV/0!</v>
      </c>
      <c r="E31" s="267" t="e">
        <f t="shared" si="1"/>
        <v>#DIV/0!</v>
      </c>
    </row>
    <row r="32" spans="2:5" x14ac:dyDescent="0.2">
      <c r="B32" s="488"/>
      <c r="C32" s="15" t="s">
        <v>244</v>
      </c>
      <c r="D32" s="354" t="e">
        <f>'Other energy use'!G22</f>
        <v>#DIV/0!</v>
      </c>
      <c r="E32" s="267" t="e">
        <f t="shared" si="1"/>
        <v>#DIV/0!</v>
      </c>
    </row>
    <row r="33" spans="2:5" x14ac:dyDescent="0.2">
      <c r="B33" s="488"/>
      <c r="C33" s="7"/>
      <c r="D33" s="355"/>
      <c r="E33" s="270"/>
    </row>
    <row r="34" spans="2:5" x14ac:dyDescent="0.2">
      <c r="B34" s="487" t="s">
        <v>51</v>
      </c>
      <c r="C34" s="158"/>
      <c r="D34" s="356"/>
      <c r="E34" s="269"/>
    </row>
    <row r="35" spans="2:5" x14ac:dyDescent="0.2">
      <c r="B35" s="488"/>
      <c r="C35" s="15" t="s">
        <v>244</v>
      </c>
      <c r="D35" s="354">
        <f>'Other energy use'!H22</f>
        <v>0</v>
      </c>
      <c r="E35" s="267" t="e">
        <f>D35/SUM($D$35)</f>
        <v>#DIV/0!</v>
      </c>
    </row>
    <row r="36" spans="2:5" x14ac:dyDescent="0.2">
      <c r="B36" s="488"/>
      <c r="C36" s="7"/>
      <c r="D36" s="355"/>
      <c r="E36" s="270"/>
    </row>
    <row r="37" spans="2:5" x14ac:dyDescent="0.2">
      <c r="B37" s="487" t="s">
        <v>104</v>
      </c>
      <c r="C37" s="158"/>
      <c r="D37" s="356"/>
      <c r="E37" s="269"/>
    </row>
    <row r="38" spans="2:5" x14ac:dyDescent="0.2">
      <c r="B38" s="488"/>
      <c r="C38" s="15" t="s">
        <v>219</v>
      </c>
      <c r="D38" s="354" t="e">
        <f>'Steel and alu demand'!M14</f>
        <v>#DIV/0!</v>
      </c>
      <c r="E38" s="33" t="e">
        <f>IF(SUM($D$38:$D$39)=0,1,D38/SUM($D$38:$D$39))</f>
        <v>#DIV/0!</v>
      </c>
    </row>
    <row r="39" spans="2:5" x14ac:dyDescent="0.2">
      <c r="B39" s="488"/>
      <c r="C39" s="15" t="s">
        <v>270</v>
      </c>
      <c r="D39" s="354" t="e">
        <f>'Other energy use'!J22</f>
        <v>#DIV/0!</v>
      </c>
      <c r="E39" s="33" t="e">
        <f>IF(SUM($D$38:$D$39)=0,0,D39/SUM($D$38:$D$39))</f>
        <v>#DIV/0!</v>
      </c>
    </row>
    <row r="40" spans="2:5" ht="17" thickBot="1" x14ac:dyDescent="0.25">
      <c r="B40" s="490"/>
      <c r="C40" s="161"/>
      <c r="D40" s="357"/>
      <c r="E40"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E19"/>
  <sheetViews>
    <sheetView workbookViewId="0">
      <selection activeCell="E14" sqref="E14"/>
    </sheetView>
  </sheetViews>
  <sheetFormatPr baseColWidth="10" defaultRowHeight="16" x14ac:dyDescent="0.2"/>
  <cols>
    <col min="1" max="1" width="10.83203125" style="1"/>
    <col min="2" max="5" width="20.83203125" style="1" customWidth="1"/>
    <col min="6" max="16384" width="10.83203125" style="1"/>
  </cols>
  <sheetData>
    <row r="2" spans="2:5" ht="21" x14ac:dyDescent="0.25">
      <c r="B2" s="2" t="s">
        <v>348</v>
      </c>
    </row>
    <row r="4" spans="2:5" x14ac:dyDescent="0.2">
      <c r="B4" s="3" t="s">
        <v>83</v>
      </c>
      <c r="C4" s="4"/>
      <c r="D4" s="4"/>
      <c r="E4" s="5"/>
    </row>
    <row r="5" spans="2:5" ht="30" customHeight="1" x14ac:dyDescent="0.2">
      <c r="B5" s="655" t="s">
        <v>349</v>
      </c>
      <c r="C5" s="669"/>
      <c r="D5" s="669"/>
      <c r="E5" s="656"/>
    </row>
    <row r="6" spans="2:5" ht="17" thickBot="1" x14ac:dyDescent="0.25"/>
    <row r="7" spans="2:5" x14ac:dyDescent="0.2">
      <c r="B7" s="233" t="s">
        <v>348</v>
      </c>
      <c r="C7" s="157"/>
      <c r="D7" s="503"/>
      <c r="E7" s="504"/>
    </row>
    <row r="8" spans="2:5" x14ac:dyDescent="0.2">
      <c r="B8" s="499"/>
      <c r="C8" s="506"/>
      <c r="D8" s="359"/>
      <c r="E8" s="505"/>
    </row>
    <row r="9" spans="2:5" ht="17" x14ac:dyDescent="0.2">
      <c r="B9" s="499" t="s">
        <v>235</v>
      </c>
      <c r="C9" s="506"/>
      <c r="D9" s="501" t="s">
        <v>505</v>
      </c>
      <c r="E9" s="502" t="s">
        <v>424</v>
      </c>
    </row>
    <row r="10" spans="2:5" x14ac:dyDescent="0.2">
      <c r="B10" s="487" t="s">
        <v>237</v>
      </c>
      <c r="C10" s="158"/>
      <c r="D10" s="353"/>
      <c r="E10" s="159"/>
    </row>
    <row r="11" spans="2:5" ht="17" x14ac:dyDescent="0.2">
      <c r="B11" s="488"/>
      <c r="C11" s="163" t="s">
        <v>272</v>
      </c>
      <c r="D11" s="354" t="e">
        <f>'Steel and alu demand'!M12</f>
        <v>#DIV/0!</v>
      </c>
      <c r="E11" s="267" t="e">
        <f>D11/SUM($D$11:$D$12)</f>
        <v>#DIV/0!</v>
      </c>
    </row>
    <row r="12" spans="2:5" ht="17" x14ac:dyDescent="0.2">
      <c r="B12" s="488"/>
      <c r="C12" s="163" t="s">
        <v>273</v>
      </c>
      <c r="D12" s="354" t="e">
        <f>'Steel and alu demand'!M13</f>
        <v>#DIV/0!</v>
      </c>
      <c r="E12" s="267" t="e">
        <f>D12/SUM($D$11:$D$12)</f>
        <v>#DIV/0!</v>
      </c>
    </row>
    <row r="13" spans="2:5" x14ac:dyDescent="0.2">
      <c r="B13" s="32"/>
      <c r="C13" s="165"/>
      <c r="D13" s="355"/>
      <c r="E13" s="268"/>
    </row>
    <row r="14" spans="2:5" x14ac:dyDescent="0.2">
      <c r="B14" s="487" t="s">
        <v>271</v>
      </c>
      <c r="C14" s="166"/>
      <c r="D14" s="356"/>
      <c r="E14" s="269"/>
    </row>
    <row r="15" spans="2:5" x14ac:dyDescent="0.2">
      <c r="B15" s="488"/>
      <c r="C15" s="167" t="s">
        <v>274</v>
      </c>
      <c r="D15" s="354" t="e">
        <f>'Steel and alu demand'!M36</f>
        <v>#DIV/0!</v>
      </c>
      <c r="E15" s="271" t="e">
        <f>IF(SUM($D$15:$D$18)=0,1,D15/SUM($D$15:$D$18))</f>
        <v>#DIV/0!</v>
      </c>
    </row>
    <row r="16" spans="2:5" x14ac:dyDescent="0.2">
      <c r="B16" s="160"/>
      <c r="C16" s="167" t="s">
        <v>275</v>
      </c>
      <c r="D16" s="354" t="e">
        <f>'Steel and alu demand'!M37</f>
        <v>#DIV/0!</v>
      </c>
      <c r="E16" s="271" t="e">
        <f t="shared" ref="E16:E18" si="0">IF(SUM($D$15:$D$18)=0,0,D16/SUM($D$15:$D$18))</f>
        <v>#DIV/0!</v>
      </c>
    </row>
    <row r="17" spans="2:5" x14ac:dyDescent="0.2">
      <c r="B17" s="160"/>
      <c r="C17" s="167" t="s">
        <v>229</v>
      </c>
      <c r="D17" s="354" t="e">
        <f>'Steel and alu demand'!M38</f>
        <v>#DIV/0!</v>
      </c>
      <c r="E17" s="271" t="e">
        <f t="shared" si="0"/>
        <v>#DIV/0!</v>
      </c>
    </row>
    <row r="18" spans="2:5" x14ac:dyDescent="0.2">
      <c r="B18" s="160"/>
      <c r="C18" s="168" t="s">
        <v>230</v>
      </c>
      <c r="D18" s="354" t="e">
        <f>'Steel and alu demand'!M39</f>
        <v>#DIV/0!</v>
      </c>
      <c r="E18" s="271" t="e">
        <f t="shared" si="0"/>
        <v>#DIV/0!</v>
      </c>
    </row>
    <row r="19" spans="2:5" ht="17" thickBot="1" x14ac:dyDescent="0.25">
      <c r="B19" s="226"/>
      <c r="C19" s="227"/>
      <c r="D19" s="357"/>
      <c r="E19"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G17"/>
  <sheetViews>
    <sheetView workbookViewId="0"/>
  </sheetViews>
  <sheetFormatPr baseColWidth="10" defaultRowHeight="16" x14ac:dyDescent="0.2"/>
  <cols>
    <col min="1" max="1" width="10.83203125" style="81"/>
    <col min="2" max="2" width="15.83203125" style="81" customWidth="1"/>
    <col min="3" max="3" width="18.33203125" style="81" customWidth="1"/>
    <col min="4" max="11" width="21.6640625" style="81" customWidth="1"/>
    <col min="12" max="16384" width="10.83203125" style="81"/>
  </cols>
  <sheetData>
    <row r="2" spans="2:7" ht="21" x14ac:dyDescent="0.25">
      <c r="B2" s="80" t="s">
        <v>282</v>
      </c>
      <c r="C2" s="8"/>
      <c r="D2" s="8"/>
      <c r="E2" s="8"/>
      <c r="F2" s="8"/>
      <c r="G2" s="8"/>
    </row>
    <row r="3" spans="2:7" x14ac:dyDescent="0.2">
      <c r="B3" s="1"/>
      <c r="C3" s="8"/>
      <c r="D3" s="8"/>
      <c r="E3" s="8"/>
      <c r="F3" s="8"/>
      <c r="G3" s="8"/>
    </row>
    <row r="4" spans="2:7" x14ac:dyDescent="0.2">
      <c r="B4" s="3" t="s">
        <v>83</v>
      </c>
      <c r="C4" s="4"/>
      <c r="D4" s="4"/>
      <c r="E4" s="5"/>
    </row>
    <row r="5" spans="2:7" ht="30" customHeight="1" x14ac:dyDescent="0.2">
      <c r="B5" s="666" t="s">
        <v>311</v>
      </c>
      <c r="C5" s="667"/>
      <c r="D5" s="667"/>
      <c r="E5" s="668"/>
    </row>
    <row r="6" spans="2:7" ht="17" thickBot="1" x14ac:dyDescent="0.25"/>
    <row r="7" spans="2:7" x14ac:dyDescent="0.2">
      <c r="B7" s="24" t="s">
        <v>475</v>
      </c>
      <c r="C7" s="157"/>
      <c r="D7" s="69"/>
      <c r="E7" s="25"/>
      <c r="F7" s="26"/>
    </row>
    <row r="8" spans="2:7" x14ac:dyDescent="0.2">
      <c r="B8" s="27"/>
      <c r="C8" s="7"/>
      <c r="D8" s="8"/>
      <c r="E8" s="8"/>
      <c r="F8" s="28"/>
    </row>
    <row r="9" spans="2:7" ht="34" x14ac:dyDescent="0.2">
      <c r="B9" s="467" t="s">
        <v>235</v>
      </c>
      <c r="C9" s="457"/>
      <c r="D9" s="83" t="s">
        <v>528</v>
      </c>
      <c r="E9" s="83" t="s">
        <v>529</v>
      </c>
      <c r="F9" s="84" t="s">
        <v>284</v>
      </c>
    </row>
    <row r="10" spans="2:7" x14ac:dyDescent="0.2">
      <c r="B10" s="36" t="s">
        <v>240</v>
      </c>
      <c r="C10" s="458"/>
      <c r="D10" s="104"/>
      <c r="E10" s="104"/>
      <c r="F10" s="102"/>
    </row>
    <row r="11" spans="2:7" ht="34" x14ac:dyDescent="0.2">
      <c r="B11" s="455"/>
      <c r="C11" s="461" t="s">
        <v>272</v>
      </c>
      <c r="D11" s="371" t="e">
        <f>SUM(technical_specs!D29:D30)</f>
        <v>#DIV/0!</v>
      </c>
      <c r="E11" s="371" t="e">
        <f>SUM(technical_specs!D32:D33)</f>
        <v>#DIV/0!</v>
      </c>
      <c r="F11" s="241" t="e">
        <f>E11/D11</f>
        <v>#DIV/0!</v>
      </c>
    </row>
    <row r="12" spans="2:7" ht="17" x14ac:dyDescent="0.2">
      <c r="B12" s="455"/>
      <c r="C12" s="461" t="s">
        <v>273</v>
      </c>
      <c r="D12" s="371" t="e">
        <f>SUM(technical_specs!D39:D40)</f>
        <v>#DIV/0!</v>
      </c>
      <c r="E12" s="371" t="e">
        <f>SUM(technical_specs!D42:D43)</f>
        <v>#DIV/0!</v>
      </c>
      <c r="F12" s="241" t="e">
        <f>E12/D12</f>
        <v>#DIV/0!</v>
      </c>
    </row>
    <row r="13" spans="2:7" ht="17" x14ac:dyDescent="0.2">
      <c r="B13" s="455"/>
      <c r="C13" s="461" t="s">
        <v>219</v>
      </c>
      <c r="D13" s="371" t="e">
        <f>SUM(technical_specs!D48:D49)</f>
        <v>#DIV/0!</v>
      </c>
      <c r="E13" s="371" t="e">
        <f>SUM(technical_specs!D51:D52)</f>
        <v>#DIV/0!</v>
      </c>
      <c r="F13" s="241" t="e">
        <f>E13/D13</f>
        <v>#DIV/0!</v>
      </c>
    </row>
    <row r="14" spans="2:7" x14ac:dyDescent="0.2">
      <c r="B14" s="492"/>
      <c r="C14" s="493"/>
      <c r="D14" s="491"/>
      <c r="E14" s="491"/>
      <c r="F14" s="91"/>
    </row>
    <row r="15" spans="2:7" x14ac:dyDescent="0.2">
      <c r="B15" s="36" t="s">
        <v>205</v>
      </c>
      <c r="C15" s="458"/>
      <c r="D15" s="171"/>
      <c r="E15" s="171"/>
      <c r="F15" s="102"/>
    </row>
    <row r="16" spans="2:7" ht="17" x14ac:dyDescent="0.2">
      <c r="B16" s="455"/>
      <c r="C16" s="461" t="s">
        <v>221</v>
      </c>
      <c r="D16" s="170" t="e">
        <f>SUM(technical_specs!D65:D66)</f>
        <v>#DIV/0!</v>
      </c>
      <c r="E16" s="170" t="e">
        <f>SUM(technical_specs!D68)</f>
        <v>#DIV/0!</v>
      </c>
      <c r="F16" s="241" t="e">
        <f>E16/D16</f>
        <v>#DIV/0!</v>
      </c>
    </row>
    <row r="17" spans="2:6" ht="17" thickBot="1" x14ac:dyDescent="0.25">
      <c r="B17" s="85"/>
      <c r="C17" s="460"/>
      <c r="D17" s="105"/>
      <c r="E17" s="105"/>
      <c r="F17" s="103"/>
    </row>
  </sheetData>
  <mergeCells count="1">
    <mergeCell ref="B5:E5"/>
  </mergeCells>
  <conditionalFormatting sqref="D17:F17">
    <cfRule type="cellIs" dxfId="7" priority="1" operator="greaterThan">
      <formula>0</formula>
    </cfRule>
  </conditionalFormatting>
  <pageMargins left="0.75" right="0.75" top="1" bottom="1" header="0.5" footer="0.5"/>
  <pageSetup paperSize="9" orientation="portrait" horizontalDpi="4294967292" verticalDpi="4294967292"/>
  <ignoredErrors>
    <ignoredError sqref="D14:E15" formulaRange="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39997558519241921"/>
  </sheetPr>
  <dimension ref="B2:O47"/>
  <sheetViews>
    <sheetView workbookViewId="0">
      <selection activeCell="G19" sqref="G19"/>
    </sheetView>
  </sheetViews>
  <sheetFormatPr baseColWidth="10" defaultRowHeight="16" x14ac:dyDescent="0.2"/>
  <cols>
    <col min="1" max="1" width="10.83203125" style="133"/>
    <col min="2" max="2" width="25.83203125" style="133" customWidth="1"/>
    <col min="3" max="3" width="35.83203125" style="133" customWidth="1"/>
    <col min="4" max="4" width="15.83203125" style="133" customWidth="1"/>
    <col min="5" max="5" width="16.5" style="133" customWidth="1"/>
    <col min="6" max="15" width="15.83203125" style="133" customWidth="1"/>
    <col min="16" max="16384" width="10.83203125" style="133"/>
  </cols>
  <sheetData>
    <row r="2" spans="2:15" ht="21" x14ac:dyDescent="0.25">
      <c r="B2" s="169" t="s">
        <v>257</v>
      </c>
      <c r="C2" s="169"/>
      <c r="D2" s="132"/>
      <c r="E2" s="132"/>
    </row>
    <row r="3" spans="2:15" x14ac:dyDescent="0.2">
      <c r="D3" s="132"/>
      <c r="E3" s="132"/>
      <c r="F3" s="132"/>
      <c r="G3" s="132"/>
    </row>
    <row r="4" spans="2:15" x14ac:dyDescent="0.2">
      <c r="B4" s="134" t="s">
        <v>83</v>
      </c>
      <c r="C4" s="507"/>
      <c r="D4" s="135"/>
      <c r="E4" s="135"/>
      <c r="F4" s="135"/>
      <c r="G4" s="136"/>
    </row>
    <row r="5" spans="2:15" ht="29" customHeight="1" x14ac:dyDescent="0.2">
      <c r="B5" s="670" t="s">
        <v>321</v>
      </c>
      <c r="C5" s="671"/>
      <c r="D5" s="671"/>
      <c r="E5" s="671"/>
      <c r="F5" s="671"/>
      <c r="G5" s="672"/>
    </row>
    <row r="6" spans="2:15" ht="17" thickBot="1" x14ac:dyDescent="0.25"/>
    <row r="7" spans="2:15" s="141" customFormat="1" x14ac:dyDescent="0.2">
      <c r="B7" s="145" t="s">
        <v>473</v>
      </c>
      <c r="C7" s="142"/>
      <c r="D7" s="142"/>
      <c r="E7" s="321"/>
      <c r="F7" s="321"/>
      <c r="G7" s="322"/>
      <c r="H7" s="321"/>
      <c r="I7" s="323"/>
      <c r="J7" s="323"/>
      <c r="K7" s="323"/>
      <c r="L7" s="323"/>
      <c r="M7" s="323"/>
      <c r="N7" s="323"/>
      <c r="O7" s="324"/>
    </row>
    <row r="8" spans="2:15" s="141" customFormat="1" x14ac:dyDescent="0.2">
      <c r="B8" s="146"/>
      <c r="C8" s="130"/>
      <c r="D8" s="143"/>
      <c r="E8" s="325"/>
      <c r="F8" s="325"/>
      <c r="G8" s="326"/>
      <c r="H8" s="325"/>
      <c r="I8" s="327"/>
      <c r="J8" s="327"/>
      <c r="K8" s="327"/>
      <c r="L8" s="327"/>
      <c r="M8" s="327"/>
      <c r="N8" s="327"/>
      <c r="O8" s="328"/>
    </row>
    <row r="9" spans="2:15" s="141" customFormat="1" ht="34" x14ac:dyDescent="0.2">
      <c r="B9" s="313"/>
      <c r="C9" s="314"/>
      <c r="D9" s="314" t="s">
        <v>245</v>
      </c>
      <c r="E9" s="329" t="s">
        <v>333</v>
      </c>
      <c r="F9" s="329" t="s">
        <v>326</v>
      </c>
      <c r="G9" s="330" t="s">
        <v>327</v>
      </c>
      <c r="H9" s="329" t="s">
        <v>328</v>
      </c>
      <c r="I9" s="329" t="s">
        <v>329</v>
      </c>
      <c r="J9" s="329" t="s">
        <v>432</v>
      </c>
      <c r="K9" s="329" t="s">
        <v>434</v>
      </c>
      <c r="L9" s="329" t="s">
        <v>433</v>
      </c>
      <c r="M9" s="329" t="s">
        <v>330</v>
      </c>
      <c r="N9" s="329" t="s">
        <v>331</v>
      </c>
      <c r="O9" s="331" t="s">
        <v>332</v>
      </c>
    </row>
    <row r="10" spans="2:15" s="141" customFormat="1" x14ac:dyDescent="0.2">
      <c r="B10" s="147"/>
      <c r="C10" s="111"/>
      <c r="D10" s="111"/>
      <c r="E10" s="332"/>
      <c r="F10" s="332"/>
      <c r="G10" s="333"/>
      <c r="H10" s="332"/>
      <c r="I10" s="332"/>
      <c r="J10" s="332"/>
      <c r="K10" s="332"/>
      <c r="L10" s="332"/>
      <c r="M10" s="332"/>
      <c r="N10" s="332"/>
      <c r="O10" s="334"/>
    </row>
    <row r="11" spans="2:15" s="141" customFormat="1" ht="17" x14ac:dyDescent="0.2">
      <c r="B11" s="513" t="s">
        <v>252</v>
      </c>
      <c r="C11" s="111"/>
      <c r="D11" s="111"/>
      <c r="E11" s="332"/>
      <c r="F11" s="332"/>
      <c r="G11" s="333"/>
      <c r="H11" s="332"/>
      <c r="I11" s="332"/>
      <c r="J11" s="332"/>
      <c r="K11" s="332"/>
      <c r="L11" s="332"/>
      <c r="M11" s="332"/>
      <c r="N11" s="332"/>
      <c r="O11" s="334"/>
    </row>
    <row r="12" spans="2:15" s="141" customFormat="1" ht="17" x14ac:dyDescent="0.2">
      <c r="B12" s="514"/>
      <c r="C12" s="512" t="s">
        <v>215</v>
      </c>
      <c r="D12" s="113">
        <f>'Steel and alu prod'!E11</f>
        <v>0</v>
      </c>
      <c r="E12" s="317" t="e">
        <f>SUM(technical_specs!D29:D30)</f>
        <v>#DIV/0!</v>
      </c>
      <c r="F12" s="335" t="e">
        <f>D12*E12</f>
        <v>#DIV/0!</v>
      </c>
      <c r="G12" s="336"/>
      <c r="H12" s="337"/>
      <c r="I12" s="337"/>
      <c r="J12" s="337"/>
      <c r="K12" s="337"/>
      <c r="L12" s="337"/>
      <c r="M12" s="335" t="e">
        <f>$F12*'Steel and alu eff'!E13</f>
        <v>#DIV/0!</v>
      </c>
      <c r="N12" s="335" t="e">
        <f>$F12*'Steel and alu eff'!D13</f>
        <v>#DIV/0!</v>
      </c>
      <c r="O12" s="338"/>
    </row>
    <row r="13" spans="2:15" s="141" customFormat="1" ht="17" x14ac:dyDescent="0.2">
      <c r="B13" s="514"/>
      <c r="C13" s="512" t="s">
        <v>218</v>
      </c>
      <c r="D13" s="113">
        <f>'Steel and alu prod'!E12</f>
        <v>0</v>
      </c>
      <c r="E13" s="317" t="e">
        <f>SUM(technical_specs!D39:D40)</f>
        <v>#DIV/0!</v>
      </c>
      <c r="F13" s="335" t="e">
        <f t="shared" ref="F13:F15" si="0">D13*E13</f>
        <v>#DIV/0!</v>
      </c>
      <c r="G13" s="336"/>
      <c r="H13" s="337"/>
      <c r="I13" s="337"/>
      <c r="J13" s="337"/>
      <c r="K13" s="337"/>
      <c r="L13" s="337"/>
      <c r="M13" s="335" t="e">
        <f>$F13*'Steel and alu eff'!E14</f>
        <v>#DIV/0!</v>
      </c>
      <c r="N13" s="335" t="e">
        <f>$F13*'Steel and alu eff'!D14</f>
        <v>#DIV/0!</v>
      </c>
      <c r="O13" s="338"/>
    </row>
    <row r="14" spans="2:15" s="141" customFormat="1" ht="17" x14ac:dyDescent="0.2">
      <c r="B14" s="514"/>
      <c r="C14" s="512" t="s">
        <v>219</v>
      </c>
      <c r="D14" s="113">
        <f>'Steel and alu prod'!E13</f>
        <v>0</v>
      </c>
      <c r="E14" s="317" t="e">
        <f>SUM(technical_specs!D48:D49)</f>
        <v>#DIV/0!</v>
      </c>
      <c r="F14" s="335" t="e">
        <f t="shared" si="0"/>
        <v>#DIV/0!</v>
      </c>
      <c r="G14" s="336"/>
      <c r="H14" s="337"/>
      <c r="I14" s="337"/>
      <c r="J14" s="337"/>
      <c r="K14" s="337"/>
      <c r="L14" s="337"/>
      <c r="M14" s="335" t="e">
        <f>$F14*'Steel and alu eff'!E15</f>
        <v>#DIV/0!</v>
      </c>
      <c r="N14" s="335" t="e">
        <f>$F14*'Steel and alu eff'!D15</f>
        <v>#DIV/0!</v>
      </c>
      <c r="O14" s="338"/>
    </row>
    <row r="15" spans="2:15" s="141" customFormat="1" ht="17" x14ac:dyDescent="0.2">
      <c r="B15" s="514"/>
      <c r="C15" s="512" t="s">
        <v>220</v>
      </c>
      <c r="D15" s="113">
        <f>'Steel and alu prod'!E14</f>
        <v>0</v>
      </c>
      <c r="E15" s="317" t="e">
        <f>SUM(technical_specs!D57:D58)</f>
        <v>#DIV/0!</v>
      </c>
      <c r="F15" s="335" t="e">
        <f t="shared" si="0"/>
        <v>#DIV/0!</v>
      </c>
      <c r="G15" s="336"/>
      <c r="H15" s="337"/>
      <c r="I15" s="337"/>
      <c r="J15" s="337"/>
      <c r="K15" s="337"/>
      <c r="L15" s="337"/>
      <c r="M15" s="335" t="e">
        <f>$F15*'Steel and alu eff'!E16</f>
        <v>#DIV/0!</v>
      </c>
      <c r="N15" s="335" t="e">
        <f>$F15*'Steel and alu eff'!D16</f>
        <v>#DIV/0!</v>
      </c>
      <c r="O15" s="338"/>
    </row>
    <row r="16" spans="2:15" s="141" customFormat="1" x14ac:dyDescent="0.2">
      <c r="B16" s="515"/>
      <c r="C16" s="509"/>
      <c r="D16" s="114"/>
      <c r="E16" s="319"/>
      <c r="F16" s="319"/>
      <c r="G16" s="339"/>
      <c r="H16" s="319"/>
      <c r="I16" s="327"/>
      <c r="J16" s="327"/>
      <c r="K16" s="327"/>
      <c r="L16" s="327"/>
      <c r="M16" s="327"/>
      <c r="N16" s="327"/>
      <c r="O16" s="328"/>
    </row>
    <row r="17" spans="2:15" s="141" customFormat="1" ht="17" x14ac:dyDescent="0.2">
      <c r="B17" s="513" t="s">
        <v>264</v>
      </c>
      <c r="C17" s="111"/>
      <c r="D17" s="111"/>
      <c r="E17" s="332"/>
      <c r="F17" s="332"/>
      <c r="G17" s="333"/>
      <c r="H17" s="332"/>
      <c r="I17" s="327"/>
      <c r="J17" s="327"/>
      <c r="K17" s="327"/>
      <c r="L17" s="327"/>
      <c r="M17" s="327"/>
      <c r="N17" s="327"/>
      <c r="O17" s="328"/>
    </row>
    <row r="18" spans="2:15" s="141" customFormat="1" ht="17" x14ac:dyDescent="0.2">
      <c r="B18" s="514"/>
      <c r="C18" s="512" t="s">
        <v>237</v>
      </c>
      <c r="D18" s="114"/>
      <c r="E18" s="319"/>
      <c r="F18" s="335" t="e">
        <f>(SUM(M12:M13))/technical_specs!D14</f>
        <v>#DIV/0!</v>
      </c>
      <c r="G18" s="340" t="e">
        <f>F18*share_blast_furnace_burner_coal</f>
        <v>#DIV/0!</v>
      </c>
      <c r="H18" s="335"/>
      <c r="I18" s="337" t="e">
        <f>F18*share_blast_furnace_burner_coal_gas</f>
        <v>#DIV/0!</v>
      </c>
      <c r="J18" s="337" t="e">
        <f>F18*share_blast_furnace_burner_network_gas</f>
        <v>#DIV/0!</v>
      </c>
      <c r="K18" s="337"/>
      <c r="L18" s="337"/>
      <c r="M18" s="337" t="e">
        <f>-F18*technical_specs!D14</f>
        <v>#DIV/0!</v>
      </c>
      <c r="N18" s="337"/>
      <c r="O18" s="338"/>
    </row>
    <row r="19" spans="2:15" s="141" customFormat="1" ht="17" x14ac:dyDescent="0.2">
      <c r="B19" s="514"/>
      <c r="C19" s="512" t="s">
        <v>241</v>
      </c>
      <c r="D19" s="114"/>
      <c r="E19" s="319"/>
      <c r="F19" s="335" t="e">
        <f>M15/technical_specs!D15</f>
        <v>#DIV/0!</v>
      </c>
      <c r="G19" s="340"/>
      <c r="H19" s="335"/>
      <c r="I19" s="337"/>
      <c r="J19" s="337" t="e">
        <f>F19</f>
        <v>#DIV/0!</v>
      </c>
      <c r="K19" s="337"/>
      <c r="L19" s="337"/>
      <c r="M19" s="337" t="e">
        <f>-F19*technical_specs!D15</f>
        <v>#DIV/0!</v>
      </c>
      <c r="N19" s="337"/>
      <c r="O19" s="338"/>
    </row>
    <row r="20" spans="2:15" s="141" customFormat="1" x14ac:dyDescent="0.2">
      <c r="B20" s="144"/>
      <c r="C20" s="508"/>
      <c r="D20" s="114"/>
      <c r="E20" s="319"/>
      <c r="F20" s="319"/>
      <c r="G20" s="339"/>
      <c r="H20" s="319"/>
      <c r="I20" s="327"/>
      <c r="J20" s="327"/>
      <c r="K20" s="327"/>
      <c r="L20" s="327"/>
      <c r="M20" s="327"/>
      <c r="N20" s="327"/>
      <c r="O20" s="328"/>
    </row>
    <row r="21" spans="2:15" s="141" customFormat="1" ht="17" x14ac:dyDescent="0.2">
      <c r="B21" s="148" t="s">
        <v>265</v>
      </c>
      <c r="C21" s="510"/>
      <c r="D21" s="149"/>
      <c r="E21" s="341"/>
      <c r="F21" s="341"/>
      <c r="G21" s="342" t="e">
        <f t="shared" ref="G21:O21" si="1">SUM(G12:G20)</f>
        <v>#DIV/0!</v>
      </c>
      <c r="H21" s="343">
        <f t="shared" si="1"/>
        <v>0</v>
      </c>
      <c r="I21" s="343" t="e">
        <f t="shared" si="1"/>
        <v>#DIV/0!</v>
      </c>
      <c r="J21" s="343" t="e">
        <f t="shared" si="1"/>
        <v>#DIV/0!</v>
      </c>
      <c r="K21" s="343">
        <f t="shared" si="1"/>
        <v>0</v>
      </c>
      <c r="L21" s="343">
        <f t="shared" si="1"/>
        <v>0</v>
      </c>
      <c r="M21" s="343" t="e">
        <f t="shared" si="1"/>
        <v>#DIV/0!</v>
      </c>
      <c r="N21" s="343" t="e">
        <f t="shared" si="1"/>
        <v>#DIV/0!</v>
      </c>
      <c r="O21" s="344">
        <f t="shared" si="1"/>
        <v>0</v>
      </c>
    </row>
    <row r="22" spans="2:15" s="141" customFormat="1" x14ac:dyDescent="0.2">
      <c r="B22" s="144"/>
      <c r="C22" s="508"/>
      <c r="D22" s="114"/>
      <c r="E22" s="319"/>
      <c r="F22" s="319"/>
      <c r="G22" s="339"/>
      <c r="H22" s="319"/>
      <c r="I22" s="327"/>
      <c r="J22" s="327"/>
      <c r="K22" s="327"/>
      <c r="L22" s="327"/>
      <c r="M22" s="327"/>
      <c r="N22" s="327"/>
      <c r="O22" s="328"/>
    </row>
    <row r="23" spans="2:15" s="141" customFormat="1" ht="17" x14ac:dyDescent="0.2">
      <c r="B23" s="513" t="s">
        <v>208</v>
      </c>
      <c r="C23" s="111"/>
      <c r="D23" s="111"/>
      <c r="E23" s="332"/>
      <c r="F23" s="332"/>
      <c r="G23" s="333"/>
      <c r="H23" s="332"/>
      <c r="I23" s="327"/>
      <c r="J23" s="327"/>
      <c r="K23" s="327"/>
      <c r="L23" s="327"/>
      <c r="M23" s="327"/>
      <c r="N23" s="327"/>
      <c r="O23" s="328"/>
    </row>
    <row r="24" spans="2:15" s="141" customFormat="1" ht="17" x14ac:dyDescent="0.2">
      <c r="B24" s="144"/>
      <c r="C24" s="512" t="s">
        <v>215</v>
      </c>
      <c r="D24" s="113">
        <f>'Steel and alu prod'!E11</f>
        <v>0</v>
      </c>
      <c r="E24" s="317" t="e">
        <f>SUM(technical_specs!D32:D33)</f>
        <v>#DIV/0!</v>
      </c>
      <c r="F24" s="335" t="e">
        <f>D24*E24</f>
        <v>#DIV/0!</v>
      </c>
      <c r="G24" s="340" t="e">
        <f>-$F24*'Steel and alu eff'!H13</f>
        <v>#DIV/0!</v>
      </c>
      <c r="H24" s="335" t="e">
        <f>-$F24*'Steel and alu eff'!I13</f>
        <v>#DIV/0!</v>
      </c>
      <c r="I24" s="337" t="e">
        <f>F24*'Steel and alu eff'!K13</f>
        <v>#DIV/0!</v>
      </c>
      <c r="J24" s="337"/>
      <c r="K24" s="337"/>
      <c r="L24" s="337"/>
      <c r="M24" s="337"/>
      <c r="N24" s="337"/>
      <c r="O24" s="338"/>
    </row>
    <row r="25" spans="2:15" s="141" customFormat="1" ht="17" x14ac:dyDescent="0.2">
      <c r="B25" s="144"/>
      <c r="C25" s="512" t="s">
        <v>218</v>
      </c>
      <c r="D25" s="113">
        <f>'Steel and alu prod'!E12</f>
        <v>0</v>
      </c>
      <c r="E25" s="317" t="e">
        <f>SUM(technical_specs!D42:D43)</f>
        <v>#DIV/0!</v>
      </c>
      <c r="F25" s="335" t="e">
        <f t="shared" ref="F25:F26" si="2">D25*E25</f>
        <v>#DIV/0!</v>
      </c>
      <c r="G25" s="340" t="e">
        <f>-$F25*'Steel and alu eff'!H14</f>
        <v>#DIV/0!</v>
      </c>
      <c r="H25" s="335" t="e">
        <f>-$F25*'Steel and alu eff'!I14</f>
        <v>#DIV/0!</v>
      </c>
      <c r="I25" s="337" t="e">
        <f>F25*'Steel and alu eff'!K14</f>
        <v>#DIV/0!</v>
      </c>
      <c r="J25" s="337"/>
      <c r="K25" s="337"/>
      <c r="L25" s="337"/>
      <c r="M25" s="337"/>
      <c r="N25" s="337"/>
      <c r="O25" s="338"/>
    </row>
    <row r="26" spans="2:15" s="141" customFormat="1" ht="17" x14ac:dyDescent="0.2">
      <c r="B26" s="144"/>
      <c r="C26" s="512" t="s">
        <v>219</v>
      </c>
      <c r="D26" s="113">
        <f>'Steel and alu prod'!E13</f>
        <v>0</v>
      </c>
      <c r="E26" s="317" t="e">
        <f>SUM(technical_specs!D51:D52)</f>
        <v>#DIV/0!</v>
      </c>
      <c r="F26" s="335" t="e">
        <f t="shared" si="2"/>
        <v>#DIV/0!</v>
      </c>
      <c r="G26" s="340" t="e">
        <f>-$F26*'Steel and alu eff'!H15</f>
        <v>#DIV/0!</v>
      </c>
      <c r="H26" s="335"/>
      <c r="I26" s="337"/>
      <c r="J26" s="337"/>
      <c r="K26" s="337"/>
      <c r="L26" s="337" t="e">
        <f>-F26*'Steel and alu eff'!J15</f>
        <v>#DIV/0!</v>
      </c>
      <c r="M26" s="337" t="e">
        <f>F26*'Steel and alu eff'!L15</f>
        <v>#DIV/0!</v>
      </c>
      <c r="N26" s="337"/>
      <c r="O26" s="338"/>
    </row>
    <row r="27" spans="2:15" s="141" customFormat="1" x14ac:dyDescent="0.2">
      <c r="B27" s="144"/>
      <c r="C27" s="508"/>
      <c r="D27" s="114"/>
      <c r="E27" s="319"/>
      <c r="F27" s="319"/>
      <c r="G27" s="339"/>
      <c r="H27" s="319"/>
      <c r="I27" s="327"/>
      <c r="J27" s="327"/>
      <c r="K27" s="327"/>
      <c r="L27" s="327"/>
      <c r="M27" s="327"/>
      <c r="N27" s="327"/>
      <c r="O27" s="328"/>
    </row>
    <row r="28" spans="2:15" s="141" customFormat="1" ht="17" x14ac:dyDescent="0.2">
      <c r="B28" s="148" t="s">
        <v>266</v>
      </c>
      <c r="C28" s="510"/>
      <c r="D28" s="149"/>
      <c r="E28" s="341"/>
      <c r="F28" s="341"/>
      <c r="G28" s="342" t="e">
        <f t="shared" ref="G28:O28" si="3">SUM(G24:G27)</f>
        <v>#DIV/0!</v>
      </c>
      <c r="H28" s="343" t="e">
        <f t="shared" si="3"/>
        <v>#DIV/0!</v>
      </c>
      <c r="I28" s="343" t="e">
        <f t="shared" si="3"/>
        <v>#DIV/0!</v>
      </c>
      <c r="J28" s="343">
        <f t="shared" si="3"/>
        <v>0</v>
      </c>
      <c r="K28" s="343">
        <f t="shared" si="3"/>
        <v>0</v>
      </c>
      <c r="L28" s="343" t="e">
        <f t="shared" si="3"/>
        <v>#DIV/0!</v>
      </c>
      <c r="M28" s="343" t="e">
        <f t="shared" si="3"/>
        <v>#DIV/0!</v>
      </c>
      <c r="N28" s="343">
        <f t="shared" si="3"/>
        <v>0</v>
      </c>
      <c r="O28" s="344">
        <f t="shared" si="3"/>
        <v>0</v>
      </c>
    </row>
    <row r="29" spans="2:15" s="141" customFormat="1" ht="17" thickBot="1" x14ac:dyDescent="0.25">
      <c r="B29" s="153"/>
      <c r="C29" s="154"/>
      <c r="D29" s="154"/>
      <c r="E29" s="345"/>
      <c r="F29" s="345"/>
      <c r="G29" s="346"/>
      <c r="H29" s="345"/>
      <c r="I29" s="345"/>
      <c r="J29" s="345"/>
      <c r="K29" s="345"/>
      <c r="L29" s="345"/>
      <c r="M29" s="345"/>
      <c r="N29" s="345"/>
      <c r="O29" s="347"/>
    </row>
    <row r="30" spans="2:15" s="141" customFormat="1" ht="17" thickBot="1" x14ac:dyDescent="0.25">
      <c r="B30" s="130"/>
      <c r="C30" s="130"/>
      <c r="D30" s="130"/>
      <c r="E30" s="327"/>
      <c r="F30" s="327"/>
      <c r="G30" s="327"/>
      <c r="H30" s="327"/>
      <c r="I30" s="327"/>
      <c r="J30" s="327"/>
      <c r="K30" s="327"/>
      <c r="L30" s="327"/>
      <c r="M30" s="327"/>
      <c r="N30" s="327"/>
      <c r="O30" s="327"/>
    </row>
    <row r="31" spans="2:15" s="141" customFormat="1" x14ac:dyDescent="0.2">
      <c r="B31" s="145" t="s">
        <v>474</v>
      </c>
      <c r="C31" s="142"/>
      <c r="D31" s="142"/>
      <c r="E31" s="321"/>
      <c r="F31" s="321"/>
      <c r="G31" s="322"/>
      <c r="H31" s="321"/>
      <c r="I31" s="323"/>
      <c r="J31" s="323"/>
      <c r="K31" s="323"/>
      <c r="L31" s="323"/>
      <c r="M31" s="323"/>
      <c r="N31" s="323"/>
      <c r="O31" s="324"/>
    </row>
    <row r="32" spans="2:15" s="141" customFormat="1" x14ac:dyDescent="0.2">
      <c r="B32" s="146"/>
      <c r="C32" s="130"/>
      <c r="D32" s="143"/>
      <c r="E32" s="325"/>
      <c r="F32" s="325"/>
      <c r="G32" s="326"/>
      <c r="H32" s="325"/>
      <c r="I32" s="327"/>
      <c r="J32" s="327"/>
      <c r="K32" s="327"/>
      <c r="L32" s="327"/>
      <c r="M32" s="327"/>
      <c r="N32" s="327"/>
      <c r="O32" s="328"/>
    </row>
    <row r="33" spans="2:15" s="141" customFormat="1" ht="34" x14ac:dyDescent="0.2">
      <c r="B33" s="313"/>
      <c r="C33" s="314"/>
      <c r="D33" s="314" t="s">
        <v>245</v>
      </c>
      <c r="E33" s="329" t="s">
        <v>333</v>
      </c>
      <c r="F33" s="329" t="s">
        <v>326</v>
      </c>
      <c r="G33" s="330" t="s">
        <v>327</v>
      </c>
      <c r="H33" s="329" t="s">
        <v>328</v>
      </c>
      <c r="I33" s="329" t="s">
        <v>329</v>
      </c>
      <c r="J33" s="329" t="s">
        <v>432</v>
      </c>
      <c r="K33" s="329" t="s">
        <v>434</v>
      </c>
      <c r="L33" s="329" t="s">
        <v>433</v>
      </c>
      <c r="M33" s="329" t="s">
        <v>330</v>
      </c>
      <c r="N33" s="329" t="s">
        <v>331</v>
      </c>
      <c r="O33" s="348" t="s">
        <v>332</v>
      </c>
    </row>
    <row r="34" spans="2:15" s="141" customFormat="1" x14ac:dyDescent="0.2">
      <c r="B34" s="147"/>
      <c r="C34" s="111"/>
      <c r="D34" s="111"/>
      <c r="E34" s="332"/>
      <c r="F34" s="332"/>
      <c r="G34" s="333"/>
      <c r="H34" s="332"/>
      <c r="I34" s="332"/>
      <c r="J34" s="332"/>
      <c r="K34" s="332"/>
      <c r="L34" s="332"/>
      <c r="M34" s="332"/>
      <c r="N34" s="332"/>
      <c r="O34" s="334"/>
    </row>
    <row r="35" spans="2:15" s="141" customFormat="1" ht="17" x14ac:dyDescent="0.2">
      <c r="B35" s="513" t="s">
        <v>252</v>
      </c>
      <c r="C35" s="111"/>
      <c r="D35" s="111"/>
      <c r="E35" s="332"/>
      <c r="F35" s="332"/>
      <c r="G35" s="333"/>
      <c r="H35" s="332"/>
      <c r="I35" s="332"/>
      <c r="J35" s="332"/>
      <c r="K35" s="332"/>
      <c r="L35" s="332"/>
      <c r="M35" s="332"/>
      <c r="N35" s="332"/>
      <c r="O35" s="334"/>
    </row>
    <row r="36" spans="2:15" s="141" customFormat="1" ht="17" x14ac:dyDescent="0.2">
      <c r="B36" s="514"/>
      <c r="C36" s="512" t="s">
        <v>227</v>
      </c>
      <c r="D36" s="113">
        <f>'Steel and alu prod'!E17</f>
        <v>0</v>
      </c>
      <c r="E36" s="317" t="e">
        <f>SUM(technical_specs!D77:D78)</f>
        <v>#DIV/0!</v>
      </c>
      <c r="F36" s="335" t="e">
        <f>D36*E36</f>
        <v>#DIV/0!</v>
      </c>
      <c r="G36" s="336"/>
      <c r="H36" s="337"/>
      <c r="I36" s="337"/>
      <c r="J36" s="337"/>
      <c r="K36" s="337"/>
      <c r="L36" s="337"/>
      <c r="M36" s="335" t="e">
        <f>F36*'Steel and alu eff'!E19</f>
        <v>#DIV/0!</v>
      </c>
      <c r="N36" s="335" t="e">
        <f>F36*'Steel and alu eff'!D19</f>
        <v>#DIV/0!</v>
      </c>
      <c r="O36" s="338"/>
    </row>
    <row r="37" spans="2:15" s="141" customFormat="1" ht="17" x14ac:dyDescent="0.2">
      <c r="B37" s="514"/>
      <c r="C37" s="512" t="s">
        <v>228</v>
      </c>
      <c r="D37" s="113">
        <f>'Steel and alu prod'!E18</f>
        <v>0</v>
      </c>
      <c r="E37" s="317" t="e">
        <f>SUM(technical_specs!D82:D83)</f>
        <v>#DIV/0!</v>
      </c>
      <c r="F37" s="335" t="e">
        <f t="shared" ref="F37:F39" si="4">D37*E37</f>
        <v>#DIV/0!</v>
      </c>
      <c r="G37" s="336"/>
      <c r="H37" s="337"/>
      <c r="I37" s="337"/>
      <c r="J37" s="337"/>
      <c r="K37" s="337"/>
      <c r="L37" s="337"/>
      <c r="M37" s="335" t="e">
        <f>F37*'Steel and alu eff'!E20</f>
        <v>#DIV/0!</v>
      </c>
      <c r="N37" s="335" t="e">
        <f>F37*'Steel and alu eff'!D20</f>
        <v>#DIV/0!</v>
      </c>
      <c r="O37" s="338"/>
    </row>
    <row r="38" spans="2:15" s="141" customFormat="1" ht="17" x14ac:dyDescent="0.2">
      <c r="B38" s="514"/>
      <c r="C38" s="512" t="s">
        <v>229</v>
      </c>
      <c r="D38" s="113">
        <f>'Steel and alu prod'!E19</f>
        <v>0</v>
      </c>
      <c r="E38" s="317" t="e">
        <f>SUM(technical_specs!D87:D88)</f>
        <v>#DIV/0!</v>
      </c>
      <c r="F38" s="335" t="e">
        <f t="shared" si="4"/>
        <v>#DIV/0!</v>
      </c>
      <c r="G38" s="336"/>
      <c r="H38" s="337"/>
      <c r="I38" s="337"/>
      <c r="J38" s="337"/>
      <c r="K38" s="337"/>
      <c r="L38" s="337"/>
      <c r="M38" s="335" t="e">
        <f>F38*'Steel and alu eff'!E21</f>
        <v>#DIV/0!</v>
      </c>
      <c r="N38" s="335" t="e">
        <f>F38*'Steel and alu eff'!D21</f>
        <v>#DIV/0!</v>
      </c>
      <c r="O38" s="338"/>
    </row>
    <row r="39" spans="2:15" s="141" customFormat="1" ht="17" x14ac:dyDescent="0.2">
      <c r="B39" s="514"/>
      <c r="C39" s="512" t="s">
        <v>230</v>
      </c>
      <c r="D39" s="113">
        <f>'Steel and alu prod'!E20</f>
        <v>0</v>
      </c>
      <c r="E39" s="317" t="e">
        <f>SUM(technical_specs!D92:D93)</f>
        <v>#DIV/0!</v>
      </c>
      <c r="F39" s="335" t="e">
        <f t="shared" si="4"/>
        <v>#DIV/0!</v>
      </c>
      <c r="G39" s="336"/>
      <c r="H39" s="337"/>
      <c r="I39" s="337"/>
      <c r="J39" s="337"/>
      <c r="K39" s="337"/>
      <c r="L39" s="337"/>
      <c r="M39" s="335" t="e">
        <f>F39*'Steel and alu eff'!E22</f>
        <v>#DIV/0!</v>
      </c>
      <c r="N39" s="335" t="e">
        <f>F39*'Steel and alu eff'!D22</f>
        <v>#DIV/0!</v>
      </c>
      <c r="O39" s="338"/>
    </row>
    <row r="40" spans="2:15" s="141" customFormat="1" x14ac:dyDescent="0.2">
      <c r="B40" s="515"/>
      <c r="C40" s="509"/>
      <c r="D40" s="114"/>
      <c r="E40" s="319"/>
      <c r="F40" s="319"/>
      <c r="G40" s="339"/>
      <c r="H40" s="319"/>
      <c r="I40" s="327"/>
      <c r="J40" s="327"/>
      <c r="K40" s="327"/>
      <c r="L40" s="327"/>
      <c r="M40" s="327"/>
      <c r="N40" s="327"/>
      <c r="O40" s="328"/>
    </row>
    <row r="41" spans="2:15" s="141" customFormat="1" ht="17" x14ac:dyDescent="0.2">
      <c r="B41" s="513" t="s">
        <v>264</v>
      </c>
      <c r="C41" s="111"/>
      <c r="D41" s="111"/>
      <c r="E41" s="332"/>
      <c r="F41" s="332"/>
      <c r="G41" s="333"/>
      <c r="H41" s="332"/>
      <c r="I41" s="327"/>
      <c r="J41" s="327"/>
      <c r="K41" s="327"/>
      <c r="L41" s="327"/>
      <c r="M41" s="327"/>
      <c r="N41" s="327"/>
      <c r="O41" s="328"/>
    </row>
    <row r="42" spans="2:15" s="141" customFormat="1" ht="17" x14ac:dyDescent="0.2">
      <c r="B42" s="514"/>
      <c r="C42" s="512" t="s">
        <v>243</v>
      </c>
      <c r="D42" s="114"/>
      <c r="E42" s="319"/>
      <c r="F42" s="335" t="e">
        <f>SUM(M36:M39)/technical_specs!D18</f>
        <v>#DIV/0!</v>
      </c>
      <c r="G42" s="340"/>
      <c r="H42" s="335"/>
      <c r="I42" s="337"/>
      <c r="J42" s="337" t="e">
        <f>F42</f>
        <v>#DIV/0!</v>
      </c>
      <c r="K42" s="337"/>
      <c r="L42" s="337"/>
      <c r="M42" s="337" t="e">
        <f>-F42*technical_specs!D18</f>
        <v>#DIV/0!</v>
      </c>
      <c r="N42" s="337"/>
      <c r="O42" s="338"/>
    </row>
    <row r="43" spans="2:15" s="141" customFormat="1" x14ac:dyDescent="0.2">
      <c r="B43" s="514"/>
      <c r="C43" s="508"/>
      <c r="D43" s="114"/>
      <c r="E43" s="319"/>
      <c r="F43" s="319"/>
      <c r="G43" s="339"/>
      <c r="H43" s="319"/>
      <c r="I43" s="327"/>
      <c r="J43" s="327"/>
      <c r="K43" s="327"/>
      <c r="L43" s="327"/>
      <c r="M43" s="327"/>
      <c r="N43" s="327"/>
      <c r="O43" s="328"/>
    </row>
    <row r="44" spans="2:15" s="141" customFormat="1" ht="17" x14ac:dyDescent="0.2">
      <c r="B44" s="148" t="s">
        <v>265</v>
      </c>
      <c r="C44" s="510"/>
      <c r="D44" s="149"/>
      <c r="E44" s="341"/>
      <c r="F44" s="341"/>
      <c r="G44" s="342">
        <f t="shared" ref="G44:O44" si="5">SUM(G36:G43)</f>
        <v>0</v>
      </c>
      <c r="H44" s="343">
        <f t="shared" si="5"/>
        <v>0</v>
      </c>
      <c r="I44" s="343">
        <f t="shared" si="5"/>
        <v>0</v>
      </c>
      <c r="J44" s="343" t="e">
        <f t="shared" si="5"/>
        <v>#DIV/0!</v>
      </c>
      <c r="K44" s="343">
        <f t="shared" si="5"/>
        <v>0</v>
      </c>
      <c r="L44" s="343">
        <f t="shared" si="5"/>
        <v>0</v>
      </c>
      <c r="M44" s="343" t="e">
        <f t="shared" si="5"/>
        <v>#DIV/0!</v>
      </c>
      <c r="N44" s="343" t="e">
        <f t="shared" si="5"/>
        <v>#DIV/0!</v>
      </c>
      <c r="O44" s="344">
        <f t="shared" si="5"/>
        <v>0</v>
      </c>
    </row>
    <row r="45" spans="2:15" s="141" customFormat="1" ht="17" thickBot="1" x14ac:dyDescent="0.25">
      <c r="B45" s="151"/>
      <c r="C45" s="511"/>
      <c r="D45" s="152"/>
      <c r="E45" s="349"/>
      <c r="F45" s="349"/>
      <c r="G45" s="350"/>
      <c r="H45" s="349"/>
      <c r="I45" s="345"/>
      <c r="J45" s="345"/>
      <c r="K45" s="345"/>
      <c r="L45" s="345"/>
      <c r="M45" s="345"/>
      <c r="N45" s="345"/>
      <c r="O45" s="347"/>
    </row>
    <row r="46" spans="2:15" x14ac:dyDescent="0.2">
      <c r="B46" s="132"/>
      <c r="C46" s="132"/>
      <c r="D46" s="132"/>
      <c r="E46" s="132"/>
      <c r="F46" s="132"/>
      <c r="G46" s="132"/>
      <c r="H46" s="132"/>
      <c r="I46" s="132"/>
      <c r="J46" s="132"/>
      <c r="K46" s="132"/>
      <c r="L46" s="132"/>
      <c r="M46" s="132"/>
      <c r="N46" s="132"/>
    </row>
    <row r="47" spans="2:15" x14ac:dyDescent="0.2">
      <c r="B47" s="132"/>
      <c r="C47" s="132"/>
      <c r="D47" s="132"/>
      <c r="E47" s="132"/>
      <c r="F47" s="132"/>
      <c r="G47" s="132"/>
      <c r="H47" s="132"/>
      <c r="I47" s="132"/>
      <c r="J47" s="132"/>
      <c r="K47" s="132"/>
      <c r="L47" s="132"/>
      <c r="M47" s="132"/>
      <c r="N47" s="132"/>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E21"/>
  <sheetViews>
    <sheetView workbookViewId="0"/>
  </sheetViews>
  <sheetFormatPr baseColWidth="10" defaultRowHeight="16" x14ac:dyDescent="0.2"/>
  <cols>
    <col min="1" max="1" width="10.83203125" style="81"/>
    <col min="2" max="2" width="12.5" style="81" customWidth="1"/>
    <col min="3" max="3" width="35.83203125" style="81" customWidth="1"/>
    <col min="4" max="5" width="15.83203125" style="81" customWidth="1"/>
    <col min="6" max="9" width="21.6640625" style="81" customWidth="1"/>
    <col min="10" max="16384" width="10.83203125" style="81"/>
  </cols>
  <sheetData>
    <row r="2" spans="2:5" ht="21" x14ac:dyDescent="0.25">
      <c r="B2" s="80" t="s">
        <v>246</v>
      </c>
      <c r="C2" s="80"/>
      <c r="D2" s="8"/>
      <c r="E2" s="8"/>
    </row>
    <row r="3" spans="2:5" x14ac:dyDescent="0.2">
      <c r="B3" s="1"/>
      <c r="C3" s="1"/>
      <c r="D3" s="8"/>
      <c r="E3" s="8"/>
    </row>
    <row r="4" spans="2:5" x14ac:dyDescent="0.2">
      <c r="B4" s="3" t="s">
        <v>83</v>
      </c>
      <c r="C4" s="12"/>
      <c r="D4" s="4"/>
      <c r="E4" s="5"/>
    </row>
    <row r="5" spans="2:5" ht="47" customHeight="1" x14ac:dyDescent="0.2">
      <c r="B5" s="655" t="s">
        <v>320</v>
      </c>
      <c r="C5" s="669"/>
      <c r="D5" s="669"/>
      <c r="E5" s="656"/>
    </row>
    <row r="6" spans="2:5" ht="17" thickBot="1" x14ac:dyDescent="0.25"/>
    <row r="7" spans="2:5" x14ac:dyDescent="0.2">
      <c r="B7" s="82" t="s">
        <v>471</v>
      </c>
      <c r="C7" s="25"/>
      <c r="D7" s="69"/>
      <c r="E7" s="26"/>
    </row>
    <row r="8" spans="2:5" x14ac:dyDescent="0.2">
      <c r="B8" s="27"/>
      <c r="C8" s="7"/>
      <c r="D8" s="8"/>
      <c r="E8" s="28"/>
    </row>
    <row r="9" spans="2:5" ht="17" x14ac:dyDescent="0.2">
      <c r="B9" s="454"/>
      <c r="C9" s="457"/>
      <c r="D9" s="83" t="s">
        <v>249</v>
      </c>
      <c r="E9" s="84" t="s">
        <v>245</v>
      </c>
    </row>
    <row r="10" spans="2:5" x14ac:dyDescent="0.2">
      <c r="B10" s="36" t="s">
        <v>240</v>
      </c>
      <c r="C10" s="458"/>
      <c r="D10" s="104"/>
      <c r="E10" s="102"/>
    </row>
    <row r="11" spans="2:5" ht="17" x14ac:dyDescent="0.2">
      <c r="B11" s="455"/>
      <c r="C11" s="461" t="s">
        <v>215</v>
      </c>
      <c r="D11" s="99">
        <f>share_steel_blast_furnace_current</f>
        <v>0</v>
      </c>
      <c r="E11" s="241">
        <f>D11*steel_production</f>
        <v>0</v>
      </c>
    </row>
    <row r="12" spans="2:5" ht="17" x14ac:dyDescent="0.2">
      <c r="B12" s="455"/>
      <c r="C12" s="461" t="s">
        <v>218</v>
      </c>
      <c r="D12" s="99">
        <f>share_steel_blast_furnace_bat</f>
        <v>0</v>
      </c>
      <c r="E12" s="241">
        <f>D12*steel_production</f>
        <v>0</v>
      </c>
    </row>
    <row r="13" spans="2:5" ht="17" x14ac:dyDescent="0.2">
      <c r="B13" s="455"/>
      <c r="C13" s="461" t="s">
        <v>219</v>
      </c>
      <c r="D13" s="99">
        <f>share_steel_cyclone</f>
        <v>0</v>
      </c>
      <c r="E13" s="241">
        <f>D13*steel_production</f>
        <v>0</v>
      </c>
    </row>
    <row r="14" spans="2:5" ht="17" x14ac:dyDescent="0.2">
      <c r="B14" s="455"/>
      <c r="C14" s="461" t="s">
        <v>220</v>
      </c>
      <c r="D14" s="99">
        <f>share_steel_electric</f>
        <v>0</v>
      </c>
      <c r="E14" s="241">
        <f>D14*steel_production</f>
        <v>0</v>
      </c>
    </row>
    <row r="15" spans="2:5" x14ac:dyDescent="0.2">
      <c r="B15" s="150"/>
      <c r="C15" s="461"/>
      <c r="D15" s="100"/>
      <c r="E15" s="102"/>
    </row>
    <row r="16" spans="2:5" ht="17" x14ac:dyDescent="0.2">
      <c r="B16" s="456" t="s">
        <v>242</v>
      </c>
      <c r="C16" s="462"/>
      <c r="D16" s="100"/>
      <c r="E16" s="102"/>
    </row>
    <row r="17" spans="2:5" ht="17" x14ac:dyDescent="0.2">
      <c r="B17" s="455"/>
      <c r="C17" s="461" t="s">
        <v>227</v>
      </c>
      <c r="D17" s="99">
        <f>share_aluminium_electrolysis_current</f>
        <v>0</v>
      </c>
      <c r="E17" s="521">
        <f>D17*aluminium_production</f>
        <v>0</v>
      </c>
    </row>
    <row r="18" spans="2:5" ht="17" x14ac:dyDescent="0.2">
      <c r="B18" s="455"/>
      <c r="C18" s="461" t="s">
        <v>228</v>
      </c>
      <c r="D18" s="99">
        <f>share_aluminium_electrolysis_bat</f>
        <v>0</v>
      </c>
      <c r="E18" s="521">
        <f>D18*aluminium_production</f>
        <v>0</v>
      </c>
    </row>
    <row r="19" spans="2:5" ht="17" x14ac:dyDescent="0.2">
      <c r="B19" s="455"/>
      <c r="C19" s="461" t="s">
        <v>229</v>
      </c>
      <c r="D19" s="99">
        <f>share_aluminium_melting_oven</f>
        <v>0</v>
      </c>
      <c r="E19" s="521">
        <f>D19*aluminium_production</f>
        <v>0</v>
      </c>
    </row>
    <row r="20" spans="2:5" ht="17" x14ac:dyDescent="0.2">
      <c r="B20" s="455"/>
      <c r="C20" s="461" t="s">
        <v>230</v>
      </c>
      <c r="D20" s="101">
        <f>share_aluminium_carbothermal_reduction</f>
        <v>0</v>
      </c>
      <c r="E20" s="521">
        <f>D20*aluminium_production</f>
        <v>0</v>
      </c>
    </row>
    <row r="21" spans="2:5" ht="17" thickBot="1" x14ac:dyDescent="0.25">
      <c r="B21" s="85"/>
      <c r="C21" s="463"/>
      <c r="D21" s="105"/>
      <c r="E21" s="103"/>
    </row>
  </sheetData>
  <mergeCells count="1">
    <mergeCell ref="B5:E5"/>
  </mergeCells>
  <conditionalFormatting sqref="D21:E21">
    <cfRule type="cellIs" dxfId="6"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M23"/>
  <sheetViews>
    <sheetView workbookViewId="0"/>
  </sheetViews>
  <sheetFormatPr baseColWidth="10" defaultRowHeight="16" x14ac:dyDescent="0.2"/>
  <cols>
    <col min="1" max="1" width="10.83203125" style="81"/>
    <col min="2" max="2" width="12.5" style="81" customWidth="1"/>
    <col min="3" max="3" width="31.83203125" style="81" customWidth="1"/>
    <col min="4" max="13" width="15.83203125" style="81" customWidth="1"/>
    <col min="14" max="16384" width="10.83203125" style="81"/>
  </cols>
  <sheetData>
    <row r="2" spans="2:13" ht="21" x14ac:dyDescent="0.25">
      <c r="B2" s="80" t="s">
        <v>256</v>
      </c>
      <c r="C2" s="93"/>
      <c r="D2" s="93"/>
      <c r="E2" s="93"/>
      <c r="F2" s="93"/>
      <c r="G2" s="93"/>
    </row>
    <row r="3" spans="2:13" x14ac:dyDescent="0.2">
      <c r="C3" s="93"/>
      <c r="D3" s="93"/>
      <c r="E3" s="93"/>
      <c r="F3" s="93"/>
      <c r="G3" s="93"/>
    </row>
    <row r="4" spans="2:13" x14ac:dyDescent="0.2">
      <c r="B4" s="44" t="s">
        <v>83</v>
      </c>
      <c r="C4" s="95"/>
      <c r="D4" s="95"/>
      <c r="E4" s="95"/>
      <c r="F4" s="118"/>
    </row>
    <row r="5" spans="2:13" ht="30" customHeight="1" x14ac:dyDescent="0.2">
      <c r="B5" s="673" t="s">
        <v>468</v>
      </c>
      <c r="C5" s="674"/>
      <c r="D5" s="674"/>
      <c r="E5" s="674"/>
      <c r="F5" s="675"/>
    </row>
    <row r="6" spans="2:13" ht="15" customHeight="1" x14ac:dyDescent="0.2">
      <c r="B6" s="312"/>
      <c r="C6" s="312"/>
      <c r="D6" s="312"/>
      <c r="E6" s="312"/>
      <c r="F6" s="312"/>
    </row>
    <row r="7" spans="2:13" ht="173" customHeight="1" x14ac:dyDescent="0.2">
      <c r="B7" s="312"/>
      <c r="C7" s="312"/>
      <c r="D7" s="312"/>
      <c r="E7" s="312"/>
      <c r="F7" s="312"/>
    </row>
    <row r="8" spans="2:13" ht="17" thickBot="1" x14ac:dyDescent="0.25"/>
    <row r="9" spans="2:13" x14ac:dyDescent="0.2">
      <c r="B9" s="209" t="s">
        <v>472</v>
      </c>
      <c r="C9" s="468"/>
      <c r="D9" s="220"/>
      <c r="E9" s="106"/>
      <c r="F9" s="106"/>
      <c r="G9" s="106"/>
      <c r="H9" s="479"/>
      <c r="I9" s="119"/>
      <c r="J9" s="119"/>
      <c r="K9" s="119"/>
      <c r="L9" s="119"/>
      <c r="M9" s="120"/>
    </row>
    <row r="10" spans="2:13" x14ac:dyDescent="0.2">
      <c r="B10" s="94"/>
      <c r="C10" s="469"/>
      <c r="D10" s="107" t="s">
        <v>502</v>
      </c>
      <c r="E10" s="107"/>
      <c r="F10" s="108" t="s">
        <v>501</v>
      </c>
      <c r="G10" s="107"/>
      <c r="H10" s="121" t="s">
        <v>500</v>
      </c>
      <c r="I10" s="122"/>
      <c r="J10" s="122"/>
      <c r="K10" s="121" t="s">
        <v>499</v>
      </c>
      <c r="L10" s="122"/>
      <c r="M10" s="123"/>
    </row>
    <row r="11" spans="2:13" ht="17" x14ac:dyDescent="0.2">
      <c r="B11" s="467"/>
      <c r="C11" s="470"/>
      <c r="D11" s="109" t="s">
        <v>103</v>
      </c>
      <c r="E11" s="109" t="s">
        <v>104</v>
      </c>
      <c r="F11" s="110" t="s">
        <v>253</v>
      </c>
      <c r="G11" s="109" t="s">
        <v>254</v>
      </c>
      <c r="H11" s="124" t="s">
        <v>194</v>
      </c>
      <c r="I11" s="125" t="s">
        <v>205</v>
      </c>
      <c r="J11" s="225" t="s">
        <v>255</v>
      </c>
      <c r="K11" s="124" t="s">
        <v>206</v>
      </c>
      <c r="L11" s="125" t="s">
        <v>104</v>
      </c>
      <c r="M11" s="126" t="s">
        <v>254</v>
      </c>
    </row>
    <row r="12" spans="2:13" x14ac:dyDescent="0.2">
      <c r="B12" s="36" t="s">
        <v>240</v>
      </c>
      <c r="C12" s="458"/>
      <c r="D12" s="111"/>
      <c r="E12" s="111"/>
      <c r="F12" s="112"/>
      <c r="G12" s="111"/>
      <c r="H12" s="112"/>
      <c r="I12" s="111"/>
      <c r="J12" s="111"/>
      <c r="K12" s="112"/>
      <c r="L12" s="111"/>
      <c r="M12" s="127"/>
    </row>
    <row r="13" spans="2:13" ht="34" x14ac:dyDescent="0.2">
      <c r="B13" s="455"/>
      <c r="C13" s="461" t="s">
        <v>215</v>
      </c>
      <c r="D13" s="236" t="e">
        <f>technical_specs!D29/(technical_specs!D29+technical_specs!D30)</f>
        <v>#DIV/0!</v>
      </c>
      <c r="E13" s="236" t="e">
        <f>technical_specs!D30/(technical_specs!D29+technical_specs!D30)</f>
        <v>#DIV/0!</v>
      </c>
      <c r="F13" s="237" t="e">
        <f>1/(technical_specs!D29+technical_specs!D30)</f>
        <v>#DIV/0!</v>
      </c>
      <c r="G13" s="236" t="e">
        <f>1-F13</f>
        <v>#DIV/0!</v>
      </c>
      <c r="H13" s="237" t="e">
        <f>technical_specs!D32/(technical_specs!D32+technical_specs!D33)</f>
        <v>#DIV/0!</v>
      </c>
      <c r="I13" s="236" t="e">
        <f>technical_specs!D33/(technical_specs!D32+technical_specs!D33)</f>
        <v>#DIV/0!</v>
      </c>
      <c r="J13" s="472" t="s">
        <v>336</v>
      </c>
      <c r="K13" s="237" t="e">
        <f>technical_specs!D34/(technical_specs!D32+technical_specs!D33)</f>
        <v>#DIV/0!</v>
      </c>
      <c r="L13" s="472" t="s">
        <v>336</v>
      </c>
      <c r="M13" s="238" t="e">
        <f>1-K13</f>
        <v>#DIV/0!</v>
      </c>
    </row>
    <row r="14" spans="2:13" ht="17" x14ac:dyDescent="0.2">
      <c r="B14" s="455"/>
      <c r="C14" s="461" t="s">
        <v>218</v>
      </c>
      <c r="D14" s="236" t="e">
        <f>technical_specs!D39/(technical_specs!D39+technical_specs!D40)</f>
        <v>#DIV/0!</v>
      </c>
      <c r="E14" s="236" t="e">
        <f>technical_specs!D40/(technical_specs!D39+technical_specs!D40)</f>
        <v>#DIV/0!</v>
      </c>
      <c r="F14" s="237" t="e">
        <f>1/(technical_specs!D39+technical_specs!D40)</f>
        <v>#DIV/0!</v>
      </c>
      <c r="G14" s="236" t="e">
        <f>1-F14</f>
        <v>#DIV/0!</v>
      </c>
      <c r="H14" s="237" t="e">
        <f>technical_specs!D42/(technical_specs!D42+technical_specs!D43)</f>
        <v>#DIV/0!</v>
      </c>
      <c r="I14" s="236" t="e">
        <f>technical_specs!D43/(technical_specs!D42+technical_specs!D43)</f>
        <v>#DIV/0!</v>
      </c>
      <c r="J14" s="472" t="s">
        <v>336</v>
      </c>
      <c r="K14" s="237" t="e">
        <f>technical_specs!D44/(technical_specs!D42+technical_specs!D43)</f>
        <v>#DIV/0!</v>
      </c>
      <c r="L14" s="472" t="s">
        <v>336</v>
      </c>
      <c r="M14" s="238" t="e">
        <f>1-K14</f>
        <v>#DIV/0!</v>
      </c>
    </row>
    <row r="15" spans="2:13" ht="17" x14ac:dyDescent="0.2">
      <c r="B15" s="455"/>
      <c r="C15" s="461" t="s">
        <v>219</v>
      </c>
      <c r="D15" s="236" t="e">
        <f>technical_specs!D48/(technical_specs!D48+technical_specs!D49)</f>
        <v>#DIV/0!</v>
      </c>
      <c r="E15" s="236" t="e">
        <f>technical_specs!D49/(technical_specs!D48+technical_specs!D49)</f>
        <v>#DIV/0!</v>
      </c>
      <c r="F15" s="237" t="e">
        <f>1/(technical_specs!D48+technical_specs!D49)</f>
        <v>#DIV/0!</v>
      </c>
      <c r="G15" s="236" t="e">
        <f>1-F15</f>
        <v>#DIV/0!</v>
      </c>
      <c r="H15" s="237" t="e">
        <f>technical_specs!D51/(technical_specs!D51+technical_specs!D52)</f>
        <v>#DIV/0!</v>
      </c>
      <c r="I15" s="472" t="s">
        <v>336</v>
      </c>
      <c r="J15" s="236" t="e">
        <f>technical_specs!D52/(technical_specs!D51+technical_specs!D52)</f>
        <v>#DIV/0!</v>
      </c>
      <c r="K15" s="473" t="s">
        <v>336</v>
      </c>
      <c r="L15" s="236" t="e">
        <f>technical_specs!D53/(technical_specs!D51+technical_specs!D52)</f>
        <v>#DIV/0!</v>
      </c>
      <c r="M15" s="238" t="e">
        <f>1-L15</f>
        <v>#DIV/0!</v>
      </c>
    </row>
    <row r="16" spans="2:13" ht="17" x14ac:dyDescent="0.2">
      <c r="B16" s="455"/>
      <c r="C16" s="461" t="s">
        <v>220</v>
      </c>
      <c r="D16" s="236" t="e">
        <f>technical_specs!D57/(technical_specs!D57+technical_specs!D58)</f>
        <v>#DIV/0!</v>
      </c>
      <c r="E16" s="236" t="e">
        <f>technical_specs!D58/(technical_specs!D57+technical_specs!D58)</f>
        <v>#DIV/0!</v>
      </c>
      <c r="F16" s="237" t="e">
        <f>1/(technical_specs!D57+technical_specs!D58)</f>
        <v>#DIV/0!</v>
      </c>
      <c r="G16" s="236" t="e">
        <f>1-F16</f>
        <v>#DIV/0!</v>
      </c>
      <c r="H16" s="473" t="s">
        <v>336</v>
      </c>
      <c r="I16" s="472" t="s">
        <v>336</v>
      </c>
      <c r="J16" s="472" t="s">
        <v>336</v>
      </c>
      <c r="K16" s="473" t="s">
        <v>336</v>
      </c>
      <c r="L16" s="472" t="s">
        <v>336</v>
      </c>
      <c r="M16" s="474" t="s">
        <v>336</v>
      </c>
    </row>
    <row r="17" spans="2:13" x14ac:dyDescent="0.2">
      <c r="B17" s="259"/>
      <c r="C17" s="475"/>
      <c r="D17" s="476"/>
      <c r="E17" s="476"/>
      <c r="F17" s="477"/>
      <c r="G17" s="476"/>
      <c r="H17" s="477"/>
      <c r="I17" s="476"/>
      <c r="J17" s="476"/>
      <c r="K17" s="477"/>
      <c r="L17" s="476"/>
      <c r="M17" s="478"/>
    </row>
    <row r="18" spans="2:13" ht="17" x14ac:dyDescent="0.2">
      <c r="B18" s="456" t="s">
        <v>242</v>
      </c>
      <c r="C18" s="459"/>
      <c r="D18" s="114"/>
      <c r="E18" s="114"/>
      <c r="F18" s="115"/>
      <c r="G18" s="114"/>
      <c r="H18" s="115"/>
      <c r="I18" s="114"/>
      <c r="J18" s="114"/>
      <c r="K18" s="115"/>
      <c r="L18" s="114"/>
      <c r="M18" s="128"/>
    </row>
    <row r="19" spans="2:13" ht="17" x14ac:dyDescent="0.2">
      <c r="B19" s="455"/>
      <c r="C19" s="461" t="s">
        <v>227</v>
      </c>
      <c r="D19" s="236" t="e">
        <f>technical_specs!D77/(technical_specs!D77+technical_specs!D78)</f>
        <v>#DIV/0!</v>
      </c>
      <c r="E19" s="236" t="e">
        <f>technical_specs!D78/(technical_specs!D77+technical_specs!D78)</f>
        <v>#DIV/0!</v>
      </c>
      <c r="F19" s="237" t="e">
        <f>1/(technical_specs!D77+technical_specs!D78)</f>
        <v>#DIV/0!</v>
      </c>
      <c r="G19" s="236" t="e">
        <f>1-F19</f>
        <v>#DIV/0!</v>
      </c>
      <c r="H19" s="115"/>
      <c r="I19" s="114"/>
      <c r="J19" s="114"/>
      <c r="K19" s="115"/>
      <c r="L19" s="114"/>
      <c r="M19" s="128"/>
    </row>
    <row r="20" spans="2:13" ht="17" x14ac:dyDescent="0.2">
      <c r="B20" s="455"/>
      <c r="C20" s="461" t="s">
        <v>228</v>
      </c>
      <c r="D20" s="236" t="e">
        <f>technical_specs!D82/(technical_specs!D82+technical_specs!D83)</f>
        <v>#DIV/0!</v>
      </c>
      <c r="E20" s="236" t="e">
        <f>technical_specs!D83/(technical_specs!D82+technical_specs!D83)</f>
        <v>#DIV/0!</v>
      </c>
      <c r="F20" s="237" t="e">
        <f>1/(technical_specs!D82+technical_specs!D83)</f>
        <v>#DIV/0!</v>
      </c>
      <c r="G20" s="236" t="e">
        <f t="shared" ref="G20:G22" si="0">1-F20</f>
        <v>#DIV/0!</v>
      </c>
      <c r="H20" s="115"/>
      <c r="I20" s="114"/>
      <c r="J20" s="114"/>
      <c r="K20" s="115"/>
      <c r="L20" s="114"/>
      <c r="M20" s="128"/>
    </row>
    <row r="21" spans="2:13" ht="17" x14ac:dyDescent="0.2">
      <c r="B21" s="455"/>
      <c r="C21" s="461" t="s">
        <v>229</v>
      </c>
      <c r="D21" s="236" t="e">
        <f>technical_specs!D87/(technical_specs!D87+technical_specs!D88)</f>
        <v>#DIV/0!</v>
      </c>
      <c r="E21" s="236" t="e">
        <f>technical_specs!D88/(technical_specs!D87+technical_specs!D88)</f>
        <v>#DIV/0!</v>
      </c>
      <c r="F21" s="237" t="e">
        <f>1/(technical_specs!D87+technical_specs!D88)</f>
        <v>#DIV/0!</v>
      </c>
      <c r="G21" s="236" t="e">
        <f t="shared" si="0"/>
        <v>#DIV/0!</v>
      </c>
      <c r="H21" s="115"/>
      <c r="I21" s="114"/>
      <c r="J21" s="114"/>
      <c r="K21" s="115"/>
      <c r="L21" s="114"/>
      <c r="M21" s="128"/>
    </row>
    <row r="22" spans="2:13" ht="17" x14ac:dyDescent="0.2">
      <c r="B22" s="455"/>
      <c r="C22" s="461" t="s">
        <v>230</v>
      </c>
      <c r="D22" s="239" t="e">
        <f>technical_specs!D92/(technical_specs!D92+technical_specs!D93)</f>
        <v>#DIV/0!</v>
      </c>
      <c r="E22" s="239" t="e">
        <f>technical_specs!D93/(technical_specs!D92+technical_specs!D93)</f>
        <v>#DIV/0!</v>
      </c>
      <c r="F22" s="240" t="e">
        <f>1/(technical_specs!D92+technical_specs!D93)</f>
        <v>#DIV/0!</v>
      </c>
      <c r="G22" s="236" t="e">
        <f t="shared" si="0"/>
        <v>#DIV/0!</v>
      </c>
      <c r="H22" s="129"/>
      <c r="I22" s="130"/>
      <c r="J22" s="130"/>
      <c r="K22" s="129"/>
      <c r="L22" s="130"/>
      <c r="M22" s="128"/>
    </row>
    <row r="23" spans="2:13" ht="17" thickBot="1" x14ac:dyDescent="0.25">
      <c r="B23" s="96"/>
      <c r="C23" s="471"/>
      <c r="D23" s="116"/>
      <c r="E23" s="116"/>
      <c r="F23" s="117"/>
      <c r="G23" s="116"/>
      <c r="H23" s="117"/>
      <c r="I23" s="116"/>
      <c r="J23" s="116"/>
      <c r="K23" s="117"/>
      <c r="L23" s="116"/>
      <c r="M23" s="131"/>
    </row>
  </sheetData>
  <mergeCells count="1">
    <mergeCell ref="B5:F5"/>
  </mergeCells>
  <conditionalFormatting sqref="D23:M23">
    <cfRule type="cellIs" dxfId="5" priority="1" operator="greater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39997558519241921"/>
  </sheetPr>
  <dimension ref="B2:O22"/>
  <sheetViews>
    <sheetView workbookViewId="0">
      <selection activeCell="D18" sqref="D18"/>
    </sheetView>
  </sheetViews>
  <sheetFormatPr baseColWidth="10" defaultRowHeight="16" x14ac:dyDescent="0.2"/>
  <cols>
    <col min="1" max="1" width="10.83203125" style="133"/>
    <col min="2" max="3" width="25.83203125" style="133" customWidth="1"/>
    <col min="4" max="15" width="15.83203125" style="133" customWidth="1"/>
    <col min="16" max="16384" width="10.83203125" style="133"/>
  </cols>
  <sheetData>
    <row r="2" spans="2:15" ht="21" x14ac:dyDescent="0.25">
      <c r="B2" s="169" t="s">
        <v>291</v>
      </c>
      <c r="C2" s="169"/>
      <c r="D2" s="132"/>
      <c r="E2" s="132"/>
    </row>
    <row r="3" spans="2:15" x14ac:dyDescent="0.2">
      <c r="D3" s="132"/>
      <c r="E3" s="132"/>
      <c r="F3" s="132"/>
      <c r="G3" s="132"/>
      <c r="H3" s="132"/>
    </row>
    <row r="4" spans="2:15" x14ac:dyDescent="0.2">
      <c r="B4" s="134" t="s">
        <v>83</v>
      </c>
      <c r="C4" s="507"/>
      <c r="D4" s="135"/>
      <c r="E4" s="135"/>
      <c r="F4" s="136"/>
      <c r="G4" s="132"/>
    </row>
    <row r="5" spans="2:15" ht="30" customHeight="1" x14ac:dyDescent="0.2">
      <c r="B5" s="670" t="s">
        <v>322</v>
      </c>
      <c r="C5" s="671"/>
      <c r="D5" s="671"/>
      <c r="E5" s="671"/>
      <c r="F5" s="672"/>
      <c r="G5" s="607"/>
    </row>
    <row r="6" spans="2:15" ht="17" thickBot="1" x14ac:dyDescent="0.25"/>
    <row r="7" spans="2:15" s="141" customFormat="1" x14ac:dyDescent="0.2">
      <c r="B7" s="145" t="s">
        <v>291</v>
      </c>
      <c r="C7" s="142"/>
      <c r="D7" s="321"/>
      <c r="E7" s="142"/>
      <c r="F7" s="321"/>
      <c r="G7" s="322"/>
      <c r="H7" s="321"/>
      <c r="I7" s="323"/>
      <c r="J7" s="323"/>
      <c r="K7" s="323"/>
      <c r="L7" s="323"/>
      <c r="M7" s="323"/>
      <c r="N7" s="323"/>
      <c r="O7" s="324"/>
    </row>
    <row r="8" spans="2:15" s="141" customFormat="1" x14ac:dyDescent="0.2">
      <c r="B8" s="146"/>
      <c r="C8" s="130"/>
      <c r="D8" s="325"/>
      <c r="E8" s="143"/>
      <c r="F8" s="325"/>
      <c r="G8" s="326"/>
      <c r="H8" s="325"/>
      <c r="I8" s="327"/>
      <c r="J8" s="327"/>
      <c r="K8" s="327"/>
      <c r="L8" s="327"/>
      <c r="M8" s="327"/>
      <c r="N8" s="327"/>
      <c r="O8" s="328"/>
    </row>
    <row r="9" spans="2:15" s="232" customFormat="1" ht="34" x14ac:dyDescent="0.2">
      <c r="B9" s="313"/>
      <c r="C9" s="314"/>
      <c r="D9" s="329" t="s">
        <v>335</v>
      </c>
      <c r="E9" s="314" t="s">
        <v>334</v>
      </c>
      <c r="F9" s="329" t="s">
        <v>326</v>
      </c>
      <c r="G9" s="330" t="s">
        <v>327</v>
      </c>
      <c r="H9" s="329" t="s">
        <v>328</v>
      </c>
      <c r="I9" s="329" t="s">
        <v>329</v>
      </c>
      <c r="J9" s="329" t="s">
        <v>432</v>
      </c>
      <c r="K9" s="329" t="s">
        <v>434</v>
      </c>
      <c r="L9" s="329" t="s">
        <v>433</v>
      </c>
      <c r="M9" s="329" t="s">
        <v>330</v>
      </c>
      <c r="N9" s="329" t="s">
        <v>331</v>
      </c>
      <c r="O9" s="348" t="s">
        <v>332</v>
      </c>
    </row>
    <row r="10" spans="2:15" s="232" customFormat="1" x14ac:dyDescent="0.2">
      <c r="B10" s="147"/>
      <c r="C10" s="111"/>
      <c r="D10" s="332"/>
      <c r="E10" s="111"/>
      <c r="F10" s="332"/>
      <c r="G10" s="333"/>
      <c r="H10" s="332"/>
      <c r="I10" s="332"/>
      <c r="J10" s="332"/>
      <c r="K10" s="332"/>
      <c r="L10" s="332"/>
      <c r="M10" s="332"/>
      <c r="N10" s="332"/>
      <c r="O10" s="334"/>
    </row>
    <row r="11" spans="2:15" s="232" customFormat="1" ht="17" x14ac:dyDescent="0.2">
      <c r="B11" s="513" t="s">
        <v>252</v>
      </c>
      <c r="C11" s="516"/>
      <c r="D11" s="332"/>
      <c r="E11" s="111"/>
      <c r="F11" s="332"/>
      <c r="G11" s="333"/>
      <c r="H11" s="332"/>
      <c r="I11" s="332"/>
      <c r="J11" s="332"/>
      <c r="K11" s="332"/>
      <c r="L11" s="332"/>
      <c r="M11" s="332"/>
      <c r="N11" s="332"/>
      <c r="O11" s="334"/>
    </row>
    <row r="12" spans="2:15" s="141" customFormat="1" ht="17" x14ac:dyDescent="0.2">
      <c r="B12" s="144"/>
      <c r="C12" s="508" t="s">
        <v>221</v>
      </c>
      <c r="D12" s="317">
        <f>'Fuel aggregation'!F12</f>
        <v>0</v>
      </c>
      <c r="E12" s="113" t="e">
        <f>SUM(technical_specs!D65:D66)</f>
        <v>#DIV/0!</v>
      </c>
      <c r="F12" s="335" t="e">
        <f>D12*E12</f>
        <v>#DIV/0!</v>
      </c>
      <c r="G12" s="336"/>
      <c r="H12" s="337"/>
      <c r="I12" s="337" t="e">
        <f>F12*'Cokes eff'!E11</f>
        <v>#DIV/0!</v>
      </c>
      <c r="J12" s="337"/>
      <c r="K12" s="337"/>
      <c r="L12" s="337"/>
      <c r="M12" s="335"/>
      <c r="N12" s="335" t="e">
        <f>F12*'Cokes eff'!D11</f>
        <v>#DIV/0!</v>
      </c>
      <c r="O12" s="338"/>
    </row>
    <row r="13" spans="2:15" s="141" customFormat="1" x14ac:dyDescent="0.2">
      <c r="B13" s="144"/>
      <c r="C13" s="508"/>
      <c r="D13" s="319"/>
      <c r="E13" s="114"/>
      <c r="F13" s="319"/>
      <c r="G13" s="339"/>
      <c r="H13" s="319"/>
      <c r="I13" s="327"/>
      <c r="J13" s="327"/>
      <c r="K13" s="327"/>
      <c r="L13" s="327"/>
      <c r="M13" s="327"/>
      <c r="N13" s="327"/>
      <c r="O13" s="328"/>
    </row>
    <row r="14" spans="2:15" s="141" customFormat="1" ht="17" x14ac:dyDescent="0.2">
      <c r="B14" s="148" t="s">
        <v>265</v>
      </c>
      <c r="C14" s="510"/>
      <c r="D14" s="341"/>
      <c r="E14" s="149"/>
      <c r="F14" s="341"/>
      <c r="G14" s="342">
        <f t="shared" ref="G14:O14" si="0">SUM(G12:G13)</f>
        <v>0</v>
      </c>
      <c r="H14" s="343">
        <f t="shared" si="0"/>
        <v>0</v>
      </c>
      <c r="I14" s="343" t="e">
        <f t="shared" si="0"/>
        <v>#DIV/0!</v>
      </c>
      <c r="J14" s="343">
        <f t="shared" si="0"/>
        <v>0</v>
      </c>
      <c r="K14" s="343">
        <f t="shared" si="0"/>
        <v>0</v>
      </c>
      <c r="L14" s="343">
        <f t="shared" si="0"/>
        <v>0</v>
      </c>
      <c r="M14" s="343">
        <f t="shared" si="0"/>
        <v>0</v>
      </c>
      <c r="N14" s="343" t="e">
        <f t="shared" si="0"/>
        <v>#DIV/0!</v>
      </c>
      <c r="O14" s="344">
        <f t="shared" si="0"/>
        <v>0</v>
      </c>
    </row>
    <row r="15" spans="2:15" s="141" customFormat="1" x14ac:dyDescent="0.2">
      <c r="B15" s="144"/>
      <c r="C15" s="508"/>
      <c r="D15" s="319"/>
      <c r="E15" s="114"/>
      <c r="F15" s="319"/>
      <c r="G15" s="339"/>
      <c r="H15" s="319"/>
      <c r="I15" s="327"/>
      <c r="J15" s="327"/>
      <c r="K15" s="327"/>
      <c r="L15" s="327"/>
      <c r="M15" s="327"/>
      <c r="N15" s="327"/>
      <c r="O15" s="328"/>
    </row>
    <row r="16" spans="2:15" s="232" customFormat="1" ht="17" x14ac:dyDescent="0.2">
      <c r="B16" s="513" t="s">
        <v>208</v>
      </c>
      <c r="C16" s="516"/>
      <c r="D16" s="332"/>
      <c r="E16" s="111"/>
      <c r="F16" s="332"/>
      <c r="G16" s="333"/>
      <c r="H16" s="332"/>
      <c r="I16" s="351"/>
      <c r="J16" s="351"/>
      <c r="K16" s="351"/>
      <c r="L16" s="351"/>
      <c r="M16" s="351"/>
      <c r="N16" s="351"/>
      <c r="O16" s="352"/>
    </row>
    <row r="17" spans="2:15" s="141" customFormat="1" ht="17" x14ac:dyDescent="0.2">
      <c r="B17" s="144"/>
      <c r="C17" s="508" t="s">
        <v>221</v>
      </c>
      <c r="D17" s="317">
        <f>'Fuel aggregation'!F12</f>
        <v>0</v>
      </c>
      <c r="E17" s="211" t="e">
        <f>technical_specs!D68</f>
        <v>#DIV/0!</v>
      </c>
      <c r="F17" s="335" t="e">
        <f>D17*E17</f>
        <v>#DIV/0!</v>
      </c>
      <c r="G17" s="340" t="e">
        <f>-F17*'Cokes eff'!G11</f>
        <v>#DIV/0!</v>
      </c>
      <c r="H17" s="335" t="e">
        <f>F17*'Cokes eff'!H11</f>
        <v>#DIV/0!</v>
      </c>
      <c r="I17" s="337" t="e">
        <f>F17*'Cokes eff'!I11</f>
        <v>#DIV/0!</v>
      </c>
      <c r="J17" s="337"/>
      <c r="K17" s="337"/>
      <c r="L17" s="337"/>
      <c r="M17" s="337"/>
      <c r="N17" s="337"/>
      <c r="O17" s="338"/>
    </row>
    <row r="18" spans="2:15" s="141" customFormat="1" x14ac:dyDescent="0.2">
      <c r="B18" s="144"/>
      <c r="C18" s="508"/>
      <c r="D18" s="319"/>
      <c r="E18" s="114"/>
      <c r="F18" s="319"/>
      <c r="G18" s="339"/>
      <c r="H18" s="319"/>
      <c r="I18" s="327"/>
      <c r="J18" s="327"/>
      <c r="K18" s="327"/>
      <c r="L18" s="327"/>
      <c r="M18" s="327"/>
      <c r="N18" s="327"/>
      <c r="O18" s="328"/>
    </row>
    <row r="19" spans="2:15" s="141" customFormat="1" ht="17" x14ac:dyDescent="0.2">
      <c r="B19" s="148" t="s">
        <v>266</v>
      </c>
      <c r="C19" s="510"/>
      <c r="D19" s="341"/>
      <c r="E19" s="149"/>
      <c r="F19" s="341"/>
      <c r="G19" s="342" t="e">
        <f t="shared" ref="G19:O19" si="1">SUM(G17:G18)</f>
        <v>#DIV/0!</v>
      </c>
      <c r="H19" s="343" t="e">
        <f t="shared" si="1"/>
        <v>#DIV/0!</v>
      </c>
      <c r="I19" s="343" t="e">
        <f t="shared" si="1"/>
        <v>#DIV/0!</v>
      </c>
      <c r="J19" s="343">
        <f t="shared" si="1"/>
        <v>0</v>
      </c>
      <c r="K19" s="343">
        <f t="shared" si="1"/>
        <v>0</v>
      </c>
      <c r="L19" s="343">
        <f t="shared" si="1"/>
        <v>0</v>
      </c>
      <c r="M19" s="343">
        <f t="shared" si="1"/>
        <v>0</v>
      </c>
      <c r="N19" s="343">
        <f t="shared" si="1"/>
        <v>0</v>
      </c>
      <c r="O19" s="344">
        <f t="shared" si="1"/>
        <v>0</v>
      </c>
    </row>
    <row r="20" spans="2:15" s="141" customFormat="1" ht="17" thickBot="1" x14ac:dyDescent="0.25">
      <c r="B20" s="153"/>
      <c r="C20" s="154"/>
      <c r="D20" s="345"/>
      <c r="E20" s="154"/>
      <c r="F20" s="345"/>
      <c r="G20" s="346"/>
      <c r="H20" s="345"/>
      <c r="I20" s="345"/>
      <c r="J20" s="345"/>
      <c r="K20" s="345"/>
      <c r="L20" s="345"/>
      <c r="M20" s="345"/>
      <c r="N20" s="345"/>
      <c r="O20" s="347"/>
    </row>
    <row r="21" spans="2:15" s="141" customFormat="1" x14ac:dyDescent="0.2">
      <c r="B21" s="130"/>
      <c r="C21" s="130"/>
      <c r="D21" s="130"/>
      <c r="E21" s="130"/>
      <c r="F21" s="130"/>
      <c r="G21" s="130"/>
      <c r="H21" s="130"/>
      <c r="I21" s="130"/>
      <c r="J21" s="130"/>
      <c r="K21" s="130"/>
      <c r="L21" s="130"/>
      <c r="M21" s="130"/>
      <c r="N21" s="130"/>
    </row>
    <row r="22" spans="2:15" x14ac:dyDescent="0.2">
      <c r="B22" s="132"/>
      <c r="C22" s="132"/>
      <c r="D22" s="132"/>
      <c r="E22" s="132"/>
      <c r="F22" s="132"/>
      <c r="G22" s="132"/>
      <c r="H22" s="132"/>
      <c r="I22" s="132"/>
      <c r="J22" s="132"/>
      <c r="K22" s="132"/>
      <c r="L22" s="132"/>
      <c r="M22" s="132"/>
      <c r="N22" s="132"/>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79998168889431442"/>
  </sheetPr>
  <dimension ref="B2:J12"/>
  <sheetViews>
    <sheetView workbookViewId="0"/>
  </sheetViews>
  <sheetFormatPr baseColWidth="10" defaultRowHeight="16" x14ac:dyDescent="0.2"/>
  <cols>
    <col min="1" max="1" width="10.83203125" style="81"/>
    <col min="2" max="3" width="15.83203125" style="81" customWidth="1"/>
    <col min="4" max="10" width="18.83203125" style="81" customWidth="1"/>
    <col min="11" max="16384" width="10.83203125" style="81"/>
  </cols>
  <sheetData>
    <row r="2" spans="2:10" ht="21" x14ac:dyDescent="0.25">
      <c r="B2" s="80" t="s">
        <v>267</v>
      </c>
      <c r="C2" s="93"/>
      <c r="D2" s="93"/>
      <c r="E2" s="93"/>
      <c r="F2" s="93"/>
    </row>
    <row r="3" spans="2:10" x14ac:dyDescent="0.2">
      <c r="C3" s="93"/>
      <c r="D3" s="93"/>
      <c r="E3" s="93"/>
      <c r="F3" s="93"/>
    </row>
    <row r="4" spans="2:10" x14ac:dyDescent="0.2">
      <c r="B4" s="44" t="s">
        <v>83</v>
      </c>
      <c r="C4" s="95"/>
      <c r="D4" s="95"/>
      <c r="E4" s="95"/>
      <c r="F4" s="118"/>
    </row>
    <row r="5" spans="2:10" ht="45" customHeight="1" x14ac:dyDescent="0.2">
      <c r="B5" s="673" t="s">
        <v>469</v>
      </c>
      <c r="C5" s="674"/>
      <c r="D5" s="674"/>
      <c r="E5" s="674"/>
      <c r="F5" s="675"/>
    </row>
    <row r="6" spans="2:10" ht="17" thickBot="1" x14ac:dyDescent="0.25"/>
    <row r="7" spans="2:10" x14ac:dyDescent="0.2">
      <c r="B7" s="209" t="s">
        <v>472</v>
      </c>
      <c r="C7" s="468"/>
      <c r="D7" s="106"/>
      <c r="E7" s="106"/>
      <c r="F7" s="106"/>
      <c r="G7" s="119"/>
      <c r="H7" s="119"/>
      <c r="I7" s="119"/>
      <c r="J7" s="120"/>
    </row>
    <row r="8" spans="2:10" x14ac:dyDescent="0.2">
      <c r="B8" s="94"/>
      <c r="C8" s="469"/>
      <c r="D8" s="107" t="s">
        <v>502</v>
      </c>
      <c r="E8" s="107"/>
      <c r="F8" s="108" t="s">
        <v>501</v>
      </c>
      <c r="G8" s="121" t="s">
        <v>500</v>
      </c>
      <c r="H8" s="121" t="s">
        <v>499</v>
      </c>
      <c r="I8" s="122"/>
      <c r="J8" s="123"/>
    </row>
    <row r="9" spans="2:10" ht="17" x14ac:dyDescent="0.2">
      <c r="B9" s="467"/>
      <c r="C9" s="470"/>
      <c r="D9" s="481" t="s">
        <v>103</v>
      </c>
      <c r="E9" s="481" t="s">
        <v>206</v>
      </c>
      <c r="F9" s="482" t="s">
        <v>254</v>
      </c>
      <c r="G9" s="483" t="s">
        <v>194</v>
      </c>
      <c r="H9" s="483" t="s">
        <v>205</v>
      </c>
      <c r="I9" s="466" t="s">
        <v>206</v>
      </c>
      <c r="J9" s="484" t="s">
        <v>254</v>
      </c>
    </row>
    <row r="10" spans="2:10" x14ac:dyDescent="0.2">
      <c r="B10" s="36" t="s">
        <v>205</v>
      </c>
      <c r="C10" s="458"/>
      <c r="D10" s="111"/>
      <c r="E10" s="111"/>
      <c r="F10" s="112"/>
      <c r="G10" s="112"/>
      <c r="H10" s="112"/>
      <c r="I10" s="111"/>
      <c r="J10" s="127"/>
    </row>
    <row r="11" spans="2:10" ht="17" x14ac:dyDescent="0.2">
      <c r="B11" s="480"/>
      <c r="C11" s="461" t="s">
        <v>221</v>
      </c>
      <c r="D11" s="236" t="e">
        <f>technical_specs!D66/(technical_specs!D65+technical_specs!D66)</f>
        <v>#DIV/0!</v>
      </c>
      <c r="E11" s="236" t="e">
        <f>technical_specs!D65/(technical_specs!D65+technical_specs!D66)</f>
        <v>#DIV/0!</v>
      </c>
      <c r="F11" s="237">
        <v>1</v>
      </c>
      <c r="G11" s="264" t="e">
        <f>technical_specs!D68/technical_specs!D68</f>
        <v>#DIV/0!</v>
      </c>
      <c r="H11" s="264" t="e">
        <f>technical_specs!D69/technical_specs!D68</f>
        <v>#DIV/0!</v>
      </c>
      <c r="I11" s="265" t="e">
        <f>technical_specs!D70/technical_specs!D68</f>
        <v>#DIV/0!</v>
      </c>
      <c r="J11" s="266" t="e">
        <f>1-H11-I11</f>
        <v>#DIV/0!</v>
      </c>
    </row>
    <row r="12" spans="2:10" ht="17" thickBot="1" x14ac:dyDescent="0.25">
      <c r="B12" s="96"/>
      <c r="C12" s="471"/>
      <c r="D12" s="116"/>
      <c r="E12" s="116"/>
      <c r="F12" s="117"/>
      <c r="G12" s="117"/>
      <c r="H12" s="117"/>
      <c r="I12" s="116"/>
      <c r="J12" s="131"/>
    </row>
  </sheetData>
  <mergeCells count="1">
    <mergeCell ref="B5:F5"/>
  </mergeCells>
  <conditionalFormatting sqref="D12:J12">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8" tint="0.39997558519241921"/>
  </sheetPr>
  <dimension ref="A2:L23"/>
  <sheetViews>
    <sheetView workbookViewId="0"/>
  </sheetViews>
  <sheetFormatPr baseColWidth="10" defaultRowHeight="16" x14ac:dyDescent="0.2"/>
  <cols>
    <col min="1" max="1" width="10.83203125" style="81"/>
    <col min="2" max="2" width="45.83203125" style="81" customWidth="1"/>
    <col min="3" max="3" width="2.83203125" style="273" customWidth="1"/>
    <col min="4" max="12" width="15.83203125" style="81" customWidth="1"/>
    <col min="13" max="16384" width="10.83203125" style="81"/>
  </cols>
  <sheetData>
    <row r="2" spans="1:12" ht="21" x14ac:dyDescent="0.25">
      <c r="B2" s="80" t="s">
        <v>307</v>
      </c>
      <c r="C2" s="260"/>
      <c r="D2" s="8"/>
      <c r="E2" s="8"/>
      <c r="F2" s="8"/>
      <c r="G2" s="8"/>
      <c r="H2" s="8"/>
    </row>
    <row r="3" spans="1:12" x14ac:dyDescent="0.2">
      <c r="B3" s="1"/>
      <c r="C3" s="272"/>
      <c r="D3" s="8"/>
      <c r="E3" s="8"/>
      <c r="F3" s="8"/>
      <c r="G3" s="8"/>
      <c r="H3" s="8"/>
    </row>
    <row r="4" spans="1:12" x14ac:dyDescent="0.2">
      <c r="B4" s="205" t="s">
        <v>83</v>
      </c>
      <c r="C4" s="261"/>
      <c r="D4" s="206"/>
      <c r="E4" s="206"/>
      <c r="F4" s="206"/>
      <c r="G4" s="207"/>
    </row>
    <row r="5" spans="1:12" s="208" customFormat="1" ht="75" customHeight="1" x14ac:dyDescent="0.2">
      <c r="B5" s="673" t="s">
        <v>402</v>
      </c>
      <c r="C5" s="674"/>
      <c r="D5" s="674"/>
      <c r="E5" s="674"/>
      <c r="F5" s="674"/>
      <c r="G5" s="675"/>
    </row>
    <row r="6" spans="1:12" ht="17" thickBot="1" x14ac:dyDescent="0.25"/>
    <row r="7" spans="1:12" x14ac:dyDescent="0.2">
      <c r="B7" s="24" t="s">
        <v>307</v>
      </c>
      <c r="C7" s="262"/>
      <c r="D7" s="212"/>
      <c r="E7" s="213"/>
      <c r="F7" s="213"/>
      <c r="G7" s="213"/>
      <c r="H7" s="213"/>
      <c r="I7" s="213"/>
      <c r="J7" s="213"/>
      <c r="K7" s="213"/>
      <c r="L7" s="224"/>
    </row>
    <row r="8" spans="1:12" x14ac:dyDescent="0.2">
      <c r="B8" s="27"/>
      <c r="C8" s="274"/>
      <c r="D8" s="327"/>
      <c r="E8" s="327"/>
      <c r="F8" s="327"/>
      <c r="G8" s="327"/>
      <c r="H8" s="327"/>
      <c r="I8" s="327"/>
      <c r="J8" s="327"/>
      <c r="K8" s="327"/>
      <c r="L8" s="328"/>
    </row>
    <row r="9" spans="1:12" ht="17" x14ac:dyDescent="0.2">
      <c r="B9" s="89"/>
      <c r="C9" s="263"/>
      <c r="D9" s="358" t="s">
        <v>327</v>
      </c>
      <c r="E9" s="358" t="s">
        <v>328</v>
      </c>
      <c r="F9" s="358" t="s">
        <v>329</v>
      </c>
      <c r="G9" s="358" t="s">
        <v>432</v>
      </c>
      <c r="H9" s="358" t="s">
        <v>434</v>
      </c>
      <c r="I9" s="358" t="s">
        <v>433</v>
      </c>
      <c r="J9" s="358" t="s">
        <v>330</v>
      </c>
      <c r="K9" s="358" t="s">
        <v>331</v>
      </c>
      <c r="L9" s="331" t="s">
        <v>332</v>
      </c>
    </row>
    <row r="10" spans="1:12" x14ac:dyDescent="0.2">
      <c r="B10" s="258"/>
      <c r="C10" s="275"/>
      <c r="D10" s="359"/>
      <c r="E10" s="359"/>
      <c r="F10" s="359"/>
      <c r="G10" s="359"/>
      <c r="H10" s="359"/>
      <c r="I10" s="359"/>
      <c r="J10" s="359"/>
      <c r="K10" s="359"/>
      <c r="L10" s="334"/>
    </row>
    <row r="11" spans="1:12" ht="17" x14ac:dyDescent="0.2">
      <c r="B11" s="150" t="s">
        <v>259</v>
      </c>
      <c r="C11" s="276"/>
      <c r="D11" s="317">
        <f>'Fuel aggregation'!E21</f>
        <v>0</v>
      </c>
      <c r="E11" s="447" t="str">
        <f>'Fuel aggregation'!F21</f>
        <v>-</v>
      </c>
      <c r="F11" s="317">
        <f>'Fuel aggregation'!G21</f>
        <v>0</v>
      </c>
      <c r="G11" s="317">
        <f>'Fuel aggregation'!H21</f>
        <v>0</v>
      </c>
      <c r="H11" s="317">
        <f>'Fuel aggregation'!I21</f>
        <v>0</v>
      </c>
      <c r="I11" s="317">
        <f>'Fuel aggregation'!J21</f>
        <v>0</v>
      </c>
      <c r="J11" s="317">
        <f>'Fuel aggregation'!K21</f>
        <v>0</v>
      </c>
      <c r="K11" s="317">
        <f>'Fuel aggregation'!L21</f>
        <v>0</v>
      </c>
      <c r="L11" s="318">
        <f>'Fuel aggregation'!M21</f>
        <v>0</v>
      </c>
    </row>
    <row r="12" spans="1:12" ht="17" x14ac:dyDescent="0.2">
      <c r="A12" s="214"/>
      <c r="B12" s="259" t="s">
        <v>405</v>
      </c>
      <c r="C12" s="277" t="s">
        <v>336</v>
      </c>
      <c r="D12" s="360" t="e">
        <f>'Steel and alu demand'!G21</f>
        <v>#DIV/0!</v>
      </c>
      <c r="E12" s="360">
        <f>'Steel and alu demand'!H21</f>
        <v>0</v>
      </c>
      <c r="F12" s="360" t="e">
        <f>'Steel and alu demand'!I21</f>
        <v>#DIV/0!</v>
      </c>
      <c r="G12" s="360" t="e">
        <f>'Steel and alu demand'!J21</f>
        <v>#DIV/0!</v>
      </c>
      <c r="H12" s="360">
        <f>'Steel and alu demand'!K21</f>
        <v>0</v>
      </c>
      <c r="I12" s="360">
        <f>'Steel and alu demand'!L21</f>
        <v>0</v>
      </c>
      <c r="J12" s="360" t="e">
        <f>'Steel and alu demand'!M21</f>
        <v>#DIV/0!</v>
      </c>
      <c r="K12" s="360" t="e">
        <f>'Steel and alu demand'!N21</f>
        <v>#DIV/0!</v>
      </c>
      <c r="L12" s="361">
        <f>'Steel and alu demand'!O21</f>
        <v>0</v>
      </c>
    </row>
    <row r="13" spans="1:12" ht="34" x14ac:dyDescent="0.2">
      <c r="B13" s="150" t="s">
        <v>404</v>
      </c>
      <c r="C13" s="276"/>
      <c r="D13" s="335" t="e">
        <f>D11-D12</f>
        <v>#DIV/0!</v>
      </c>
      <c r="E13" s="486" t="s">
        <v>336</v>
      </c>
      <c r="F13" s="486" t="s">
        <v>336</v>
      </c>
      <c r="G13" s="335" t="e">
        <f t="shared" ref="G13:L13" si="0">G11-G12</f>
        <v>#DIV/0!</v>
      </c>
      <c r="H13" s="335">
        <f t="shared" si="0"/>
        <v>0</v>
      </c>
      <c r="I13" s="486" t="s">
        <v>336</v>
      </c>
      <c r="J13" s="335" t="e">
        <f t="shared" si="0"/>
        <v>#DIV/0!</v>
      </c>
      <c r="K13" s="335" t="e">
        <f t="shared" si="0"/>
        <v>#DIV/0!</v>
      </c>
      <c r="L13" s="362">
        <f t="shared" si="0"/>
        <v>0</v>
      </c>
    </row>
    <row r="14" spans="1:12" x14ac:dyDescent="0.2">
      <c r="B14" s="150"/>
      <c r="C14" s="276"/>
      <c r="D14" s="319"/>
      <c r="E14" s="319"/>
      <c r="F14" s="363"/>
      <c r="G14" s="319"/>
      <c r="H14" s="319"/>
      <c r="I14" s="319"/>
      <c r="J14" s="319"/>
      <c r="K14" s="319"/>
      <c r="L14" s="320"/>
    </row>
    <row r="15" spans="1:12" ht="17" x14ac:dyDescent="0.2">
      <c r="B15" s="150" t="s">
        <v>344</v>
      </c>
      <c r="C15" s="276"/>
      <c r="D15" s="317">
        <f>'Fuel aggregation'!E22</f>
        <v>0</v>
      </c>
      <c r="E15" s="447" t="str">
        <f>'Fuel aggregation'!F22</f>
        <v>-</v>
      </c>
      <c r="F15" s="317">
        <f>'Fuel aggregation'!G22</f>
        <v>0</v>
      </c>
      <c r="G15" s="317">
        <f>'Fuel aggregation'!H22</f>
        <v>0</v>
      </c>
      <c r="H15" s="317">
        <f>'Fuel aggregation'!I22</f>
        <v>0</v>
      </c>
      <c r="I15" s="317">
        <f>'Fuel aggregation'!J22</f>
        <v>0</v>
      </c>
      <c r="J15" s="317">
        <f>'Fuel aggregation'!K22</f>
        <v>0</v>
      </c>
      <c r="K15" s="317">
        <f>'Fuel aggregation'!L22</f>
        <v>0</v>
      </c>
      <c r="L15" s="318">
        <f>'Fuel aggregation'!M22</f>
        <v>0</v>
      </c>
    </row>
    <row r="16" spans="1:12" ht="17" x14ac:dyDescent="0.2">
      <c r="A16" s="214"/>
      <c r="B16" s="259" t="s">
        <v>406</v>
      </c>
      <c r="C16" s="277" t="s">
        <v>336</v>
      </c>
      <c r="D16" s="360">
        <f>'Steel and alu demand'!G44</f>
        <v>0</v>
      </c>
      <c r="E16" s="360">
        <f>'Steel and alu demand'!H44</f>
        <v>0</v>
      </c>
      <c r="F16" s="360">
        <f>'Steel and alu demand'!I44</f>
        <v>0</v>
      </c>
      <c r="G16" s="360" t="e">
        <f>'Steel and alu demand'!J44</f>
        <v>#DIV/0!</v>
      </c>
      <c r="H16" s="360">
        <f>'Steel and alu demand'!K44</f>
        <v>0</v>
      </c>
      <c r="I16" s="360">
        <f>'Steel and alu demand'!L44</f>
        <v>0</v>
      </c>
      <c r="J16" s="360" t="e">
        <f>'Steel and alu demand'!M44</f>
        <v>#DIV/0!</v>
      </c>
      <c r="K16" s="360" t="e">
        <f>'Steel and alu demand'!N44</f>
        <v>#DIV/0!</v>
      </c>
      <c r="L16" s="361">
        <f>'Steel and alu demand'!O44</f>
        <v>0</v>
      </c>
    </row>
    <row r="17" spans="1:12" ht="34" x14ac:dyDescent="0.2">
      <c r="B17" s="150" t="s">
        <v>407</v>
      </c>
      <c r="C17" s="276"/>
      <c r="D17" s="335">
        <f>D15-D16</f>
        <v>0</v>
      </c>
      <c r="E17" s="486" t="s">
        <v>336</v>
      </c>
      <c r="F17" s="486" t="s">
        <v>336</v>
      </c>
      <c r="G17" s="335" t="e">
        <f t="shared" ref="G17:L17" si="1">G15-G16</f>
        <v>#DIV/0!</v>
      </c>
      <c r="H17" s="335">
        <f t="shared" si="1"/>
        <v>0</v>
      </c>
      <c r="I17" s="486" t="s">
        <v>336</v>
      </c>
      <c r="J17" s="335" t="e">
        <f t="shared" si="1"/>
        <v>#DIV/0!</v>
      </c>
      <c r="K17" s="335" t="e">
        <f t="shared" si="1"/>
        <v>#DIV/0!</v>
      </c>
      <c r="L17" s="362">
        <f t="shared" si="1"/>
        <v>0</v>
      </c>
    </row>
    <row r="18" spans="1:12" x14ac:dyDescent="0.2">
      <c r="B18" s="150"/>
      <c r="C18" s="276"/>
      <c r="D18" s="364"/>
      <c r="E18" s="364"/>
      <c r="F18" s="365"/>
      <c r="G18" s="364"/>
      <c r="H18" s="364"/>
      <c r="I18" s="364"/>
      <c r="J18" s="364"/>
      <c r="K18" s="364"/>
      <c r="L18" s="366"/>
    </row>
    <row r="19" spans="1:12" x14ac:dyDescent="0.2">
      <c r="B19" s="150"/>
      <c r="C19" s="276"/>
      <c r="D19" s="319"/>
      <c r="E19" s="319"/>
      <c r="F19" s="363"/>
      <c r="G19" s="319"/>
      <c r="H19" s="319"/>
      <c r="I19" s="319"/>
      <c r="J19" s="319"/>
      <c r="K19" s="319"/>
      <c r="L19" s="320"/>
    </row>
    <row r="20" spans="1:12" ht="34" x14ac:dyDescent="0.2">
      <c r="B20" s="150" t="s">
        <v>404</v>
      </c>
      <c r="C20" s="276"/>
      <c r="D20" s="317" t="e">
        <f>D13</f>
        <v>#DIV/0!</v>
      </c>
      <c r="E20" s="447" t="s">
        <v>336</v>
      </c>
      <c r="F20" s="447" t="s">
        <v>336</v>
      </c>
      <c r="G20" s="317" t="e">
        <f t="shared" ref="G20:L20" si="2">G13</f>
        <v>#DIV/0!</v>
      </c>
      <c r="H20" s="317">
        <f t="shared" si="2"/>
        <v>0</v>
      </c>
      <c r="I20" s="447" t="s">
        <v>336</v>
      </c>
      <c r="J20" s="317" t="e">
        <f t="shared" si="2"/>
        <v>#DIV/0!</v>
      </c>
      <c r="K20" s="317" t="e">
        <f t="shared" si="2"/>
        <v>#DIV/0!</v>
      </c>
      <c r="L20" s="318">
        <f t="shared" si="2"/>
        <v>0</v>
      </c>
    </row>
    <row r="21" spans="1:12" ht="34" x14ac:dyDescent="0.2">
      <c r="A21" s="214"/>
      <c r="B21" s="259" t="s">
        <v>407</v>
      </c>
      <c r="C21" s="277" t="s">
        <v>337</v>
      </c>
      <c r="D21" s="360">
        <f>D17</f>
        <v>0</v>
      </c>
      <c r="E21" s="448" t="s">
        <v>336</v>
      </c>
      <c r="F21" s="448" t="s">
        <v>336</v>
      </c>
      <c r="G21" s="360" t="e">
        <f t="shared" ref="G21:L21" si="3">G17</f>
        <v>#DIV/0!</v>
      </c>
      <c r="H21" s="360">
        <f t="shared" si="3"/>
        <v>0</v>
      </c>
      <c r="I21" s="448" t="s">
        <v>336</v>
      </c>
      <c r="J21" s="360" t="e">
        <f t="shared" si="3"/>
        <v>#DIV/0!</v>
      </c>
      <c r="K21" s="360" t="e">
        <f t="shared" si="3"/>
        <v>#DIV/0!</v>
      </c>
      <c r="L21" s="361">
        <f t="shared" si="3"/>
        <v>0</v>
      </c>
    </row>
    <row r="22" spans="1:12" ht="17" x14ac:dyDescent="0.2">
      <c r="B22" s="150" t="s">
        <v>589</v>
      </c>
      <c r="C22" s="276"/>
      <c r="D22" s="367" t="e">
        <f>SUM(D20:D21)</f>
        <v>#DIV/0!</v>
      </c>
      <c r="E22" s="485" t="s">
        <v>336</v>
      </c>
      <c r="F22" s="485" t="s">
        <v>336</v>
      </c>
      <c r="G22" s="367" t="e">
        <f t="shared" ref="G22:L22" si="4">SUM(G20:G21)</f>
        <v>#DIV/0!</v>
      </c>
      <c r="H22" s="367">
        <f t="shared" si="4"/>
        <v>0</v>
      </c>
      <c r="I22" s="367">
        <f t="shared" si="4"/>
        <v>0</v>
      </c>
      <c r="J22" s="367" t="e">
        <f t="shared" si="4"/>
        <v>#DIV/0!</v>
      </c>
      <c r="K22" s="367" t="e">
        <f t="shared" si="4"/>
        <v>#DIV/0!</v>
      </c>
      <c r="L22" s="368">
        <f t="shared" si="4"/>
        <v>0</v>
      </c>
    </row>
    <row r="23" spans="1:12" ht="17" thickBot="1" x14ac:dyDescent="0.25">
      <c r="B23" s="85"/>
      <c r="C23" s="278"/>
      <c r="D23" s="369"/>
      <c r="E23" s="369"/>
      <c r="F23" s="369"/>
      <c r="G23" s="369"/>
      <c r="H23" s="369"/>
      <c r="I23" s="369"/>
      <c r="J23" s="369"/>
      <c r="K23" s="369"/>
      <c r="L23" s="370"/>
    </row>
  </sheetData>
  <mergeCells count="1">
    <mergeCell ref="B5:G5"/>
  </mergeCells>
  <conditionalFormatting sqref="H23:L23">
    <cfRule type="cellIs" dxfId="3" priority="1" operator="greaterThan">
      <formula>0</formula>
    </cfRule>
  </conditionalFormatting>
  <conditionalFormatting sqref="D23:G23">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58"/>
  <sheetViews>
    <sheetView topLeftCell="A35" workbookViewId="0">
      <selection activeCell="I56" sqref="I56"/>
    </sheetView>
  </sheetViews>
  <sheetFormatPr baseColWidth="10" defaultRowHeight="16" x14ac:dyDescent="0.2"/>
  <cols>
    <col min="1" max="1" width="10.83203125" style="1"/>
    <col min="2" max="2" width="20.83203125" style="1" customWidth="1"/>
    <col min="3" max="3" width="50.83203125" style="1" customWidth="1"/>
    <col min="4" max="4" width="10.83203125" style="88" customWidth="1"/>
    <col min="5" max="16384" width="10.83203125" style="1"/>
  </cols>
  <sheetData>
    <row r="2" spans="2:4" ht="21" x14ac:dyDescent="0.25">
      <c r="B2" s="2" t="s">
        <v>0</v>
      </c>
    </row>
    <row r="4" spans="2:4" x14ac:dyDescent="0.2">
      <c r="B4" s="11" t="s">
        <v>3</v>
      </c>
      <c r="C4" s="12" t="s">
        <v>6</v>
      </c>
      <c r="D4" s="287" t="s">
        <v>7</v>
      </c>
    </row>
    <row r="5" spans="2:4" x14ac:dyDescent="0.2">
      <c r="B5" s="6"/>
      <c r="C5" s="13"/>
      <c r="D5" s="288"/>
    </row>
    <row r="6" spans="2:4" x14ac:dyDescent="0.2">
      <c r="B6" s="76">
        <v>41470</v>
      </c>
      <c r="C6" s="194" t="s">
        <v>250</v>
      </c>
      <c r="D6" s="195">
        <v>1</v>
      </c>
    </row>
    <row r="7" spans="2:4" x14ac:dyDescent="0.2">
      <c r="B7" s="196">
        <v>41470</v>
      </c>
      <c r="C7" s="197" t="s">
        <v>251</v>
      </c>
      <c r="D7" s="221">
        <v>1.01</v>
      </c>
    </row>
    <row r="8" spans="2:4" x14ac:dyDescent="0.2">
      <c r="B8" s="196">
        <v>41471</v>
      </c>
      <c r="C8" s="197" t="s">
        <v>288</v>
      </c>
      <c r="D8" s="221">
        <v>1.02</v>
      </c>
    </row>
    <row r="9" spans="2:4" x14ac:dyDescent="0.2">
      <c r="B9" s="196">
        <v>41472</v>
      </c>
      <c r="C9" s="197" t="s">
        <v>289</v>
      </c>
      <c r="D9" s="221">
        <v>1.03</v>
      </c>
    </row>
    <row r="10" spans="2:4" x14ac:dyDescent="0.2">
      <c r="B10" s="196">
        <v>41473</v>
      </c>
      <c r="C10" s="197" t="s">
        <v>289</v>
      </c>
      <c r="D10" s="221">
        <v>1.04</v>
      </c>
    </row>
    <row r="11" spans="2:4" ht="51" x14ac:dyDescent="0.2">
      <c r="B11" s="196">
        <v>41478</v>
      </c>
      <c r="C11" s="198" t="s">
        <v>297</v>
      </c>
      <c r="D11" s="221">
        <v>1.05</v>
      </c>
    </row>
    <row r="12" spans="2:4" ht="34" x14ac:dyDescent="0.2">
      <c r="B12" s="196">
        <v>41479</v>
      </c>
      <c r="C12" s="204" t="s">
        <v>319</v>
      </c>
      <c r="D12" s="221">
        <v>1.06</v>
      </c>
    </row>
    <row r="13" spans="2:4" ht="85" x14ac:dyDescent="0.2">
      <c r="B13" s="196">
        <v>41479</v>
      </c>
      <c r="C13" s="198" t="s">
        <v>324</v>
      </c>
      <c r="D13" s="221">
        <v>1.07</v>
      </c>
    </row>
    <row r="14" spans="2:4" x14ac:dyDescent="0.2">
      <c r="B14" s="196">
        <v>41479</v>
      </c>
      <c r="C14" s="197" t="s">
        <v>325</v>
      </c>
      <c r="D14" s="221">
        <v>1.08</v>
      </c>
    </row>
    <row r="15" spans="2:4" ht="34" x14ac:dyDescent="0.2">
      <c r="B15" s="196">
        <v>41479</v>
      </c>
      <c r="C15" s="198" t="s">
        <v>343</v>
      </c>
      <c r="D15" s="221">
        <v>1.0900000000000001</v>
      </c>
    </row>
    <row r="16" spans="2:4" ht="34" x14ac:dyDescent="0.2">
      <c r="B16" s="196">
        <v>41480</v>
      </c>
      <c r="C16" s="198" t="s">
        <v>351</v>
      </c>
      <c r="D16" s="221">
        <v>1.1000000000000001</v>
      </c>
    </row>
    <row r="17" spans="2:4" ht="34" x14ac:dyDescent="0.2">
      <c r="B17" s="196">
        <v>41480</v>
      </c>
      <c r="C17" s="198" t="s">
        <v>352</v>
      </c>
      <c r="D17" s="221">
        <v>1.1100000000000001</v>
      </c>
    </row>
    <row r="18" spans="2:4" x14ac:dyDescent="0.2">
      <c r="B18" s="196">
        <v>41480</v>
      </c>
      <c r="C18" s="197" t="s">
        <v>390</v>
      </c>
      <c r="D18" s="221">
        <v>1.1200000000000001</v>
      </c>
    </row>
    <row r="19" spans="2:4" x14ac:dyDescent="0.2">
      <c r="B19" s="196">
        <v>41480</v>
      </c>
      <c r="C19" s="197" t="s">
        <v>388</v>
      </c>
      <c r="D19" s="221">
        <v>1.1299999999999999</v>
      </c>
    </row>
    <row r="20" spans="2:4" x14ac:dyDescent="0.2">
      <c r="B20" s="196">
        <v>41480</v>
      </c>
      <c r="C20" s="197" t="s">
        <v>389</v>
      </c>
      <c r="D20" s="221">
        <v>1.1399999999999999</v>
      </c>
    </row>
    <row r="21" spans="2:4" ht="34" x14ac:dyDescent="0.2">
      <c r="B21" s="196">
        <v>41481</v>
      </c>
      <c r="C21" s="198" t="s">
        <v>408</v>
      </c>
      <c r="D21" s="221">
        <v>1.1499999999999999</v>
      </c>
    </row>
    <row r="22" spans="2:4" x14ac:dyDescent="0.2">
      <c r="B22" s="196">
        <v>41484</v>
      </c>
      <c r="C22" s="197" t="s">
        <v>415</v>
      </c>
      <c r="D22" s="221">
        <v>1.1599999999999999</v>
      </c>
    </row>
    <row r="23" spans="2:4" ht="51" x14ac:dyDescent="0.2">
      <c r="B23" s="196">
        <v>41484</v>
      </c>
      <c r="C23" s="198" t="s">
        <v>421</v>
      </c>
      <c r="D23" s="221">
        <v>1.17</v>
      </c>
    </row>
    <row r="24" spans="2:4" ht="17" x14ac:dyDescent="0.2">
      <c r="B24" s="196">
        <v>41484</v>
      </c>
      <c r="C24" s="198" t="s">
        <v>428</v>
      </c>
      <c r="D24" s="221">
        <v>1.18</v>
      </c>
    </row>
    <row r="25" spans="2:4" ht="34" x14ac:dyDescent="0.2">
      <c r="B25" s="196">
        <v>41484</v>
      </c>
      <c r="C25" s="198" t="s">
        <v>429</v>
      </c>
      <c r="D25" s="221">
        <v>1.19</v>
      </c>
    </row>
    <row r="26" spans="2:4" ht="17" x14ac:dyDescent="0.2">
      <c r="B26" s="196">
        <v>41484</v>
      </c>
      <c r="C26" s="198" t="s">
        <v>435</v>
      </c>
      <c r="D26" s="221">
        <v>1.2</v>
      </c>
    </row>
    <row r="27" spans="2:4" ht="34" x14ac:dyDescent="0.2">
      <c r="B27" s="196">
        <v>41485</v>
      </c>
      <c r="C27" s="198" t="s">
        <v>436</v>
      </c>
      <c r="D27" s="221">
        <v>1.21</v>
      </c>
    </row>
    <row r="28" spans="2:4" ht="34" x14ac:dyDescent="0.2">
      <c r="B28" s="196">
        <v>41485</v>
      </c>
      <c r="C28" s="198" t="s">
        <v>437</v>
      </c>
      <c r="D28" s="221">
        <v>1.22</v>
      </c>
    </row>
    <row r="29" spans="2:4" ht="51" x14ac:dyDescent="0.2">
      <c r="B29" s="196">
        <v>41485</v>
      </c>
      <c r="C29" s="198" t="s">
        <v>440</v>
      </c>
      <c r="D29" s="221">
        <v>1.23</v>
      </c>
    </row>
    <row r="30" spans="2:4" ht="17" x14ac:dyDescent="0.2">
      <c r="B30" s="196">
        <v>41486</v>
      </c>
      <c r="C30" s="198" t="s">
        <v>444</v>
      </c>
      <c r="D30" s="221">
        <v>1.24</v>
      </c>
    </row>
    <row r="31" spans="2:4" ht="17" x14ac:dyDescent="0.2">
      <c r="B31" s="196">
        <v>41487</v>
      </c>
      <c r="C31" s="198" t="s">
        <v>445</v>
      </c>
      <c r="D31" s="221">
        <v>1.25</v>
      </c>
    </row>
    <row r="32" spans="2:4" ht="17" x14ac:dyDescent="0.2">
      <c r="B32" s="196">
        <v>41487</v>
      </c>
      <c r="C32" s="198" t="s">
        <v>452</v>
      </c>
      <c r="D32" s="221">
        <v>1.26</v>
      </c>
    </row>
    <row r="33" spans="2:4" ht="51" x14ac:dyDescent="0.2">
      <c r="B33" s="196">
        <v>41488</v>
      </c>
      <c r="C33" s="198" t="s">
        <v>457</v>
      </c>
      <c r="D33" s="221">
        <v>1.27</v>
      </c>
    </row>
    <row r="34" spans="2:4" ht="17" x14ac:dyDescent="0.2">
      <c r="B34" s="196">
        <v>41488</v>
      </c>
      <c r="C34" s="198" t="s">
        <v>458</v>
      </c>
      <c r="D34" s="221">
        <v>1.28</v>
      </c>
    </row>
    <row r="35" spans="2:4" ht="17" x14ac:dyDescent="0.2">
      <c r="B35" s="196">
        <v>41491</v>
      </c>
      <c r="C35" s="198" t="s">
        <v>476</v>
      </c>
      <c r="D35" s="221">
        <v>1.29</v>
      </c>
    </row>
    <row r="36" spans="2:4" ht="17" x14ac:dyDescent="0.2">
      <c r="B36" s="196">
        <v>41492</v>
      </c>
      <c r="C36" s="198" t="s">
        <v>478</v>
      </c>
      <c r="D36" s="221">
        <v>1.3</v>
      </c>
    </row>
    <row r="37" spans="2:4" ht="17" x14ac:dyDescent="0.2">
      <c r="B37" s="196">
        <v>41494</v>
      </c>
      <c r="C37" s="198" t="s">
        <v>520</v>
      </c>
      <c r="D37" s="221">
        <v>1.31</v>
      </c>
    </row>
    <row r="38" spans="2:4" ht="17" x14ac:dyDescent="0.2">
      <c r="B38" s="196">
        <v>41500</v>
      </c>
      <c r="C38" s="198" t="s">
        <v>524</v>
      </c>
      <c r="D38" s="221">
        <v>1.32</v>
      </c>
    </row>
    <row r="39" spans="2:4" ht="68" x14ac:dyDescent="0.2">
      <c r="B39" s="196">
        <v>41502</v>
      </c>
      <c r="C39" s="198" t="s">
        <v>526</v>
      </c>
      <c r="D39" s="221">
        <v>1.33</v>
      </c>
    </row>
    <row r="40" spans="2:4" ht="34" x14ac:dyDescent="0.2">
      <c r="B40" s="196">
        <v>41505</v>
      </c>
      <c r="C40" s="198" t="s">
        <v>527</v>
      </c>
      <c r="D40" s="221">
        <v>1.34</v>
      </c>
    </row>
    <row r="41" spans="2:4" ht="17" x14ac:dyDescent="0.2">
      <c r="B41" s="532">
        <v>41507</v>
      </c>
      <c r="C41" s="533" t="s">
        <v>556</v>
      </c>
      <c r="D41" s="221">
        <v>1.35</v>
      </c>
    </row>
    <row r="42" spans="2:4" x14ac:dyDescent="0.2">
      <c r="B42" s="196"/>
      <c r="C42" s="198"/>
      <c r="D42" s="221">
        <v>1.36</v>
      </c>
    </row>
    <row r="43" spans="2:4" ht="17" x14ac:dyDescent="0.2">
      <c r="B43" s="532">
        <v>41534</v>
      </c>
      <c r="C43" s="198" t="s">
        <v>597</v>
      </c>
      <c r="D43" s="221">
        <v>1.37</v>
      </c>
    </row>
    <row r="44" spans="2:4" ht="68" x14ac:dyDescent="0.2">
      <c r="B44" s="196">
        <v>41556</v>
      </c>
      <c r="C44" s="198" t="s">
        <v>548</v>
      </c>
      <c r="D44" s="221" t="s">
        <v>336</v>
      </c>
    </row>
    <row r="45" spans="2:4" ht="17" x14ac:dyDescent="0.2">
      <c r="B45" s="196">
        <v>41556</v>
      </c>
      <c r="C45" s="198" t="s">
        <v>553</v>
      </c>
      <c r="D45" s="221" t="s">
        <v>336</v>
      </c>
    </row>
    <row r="46" spans="2:4" ht="51" x14ac:dyDescent="0.2">
      <c r="B46" s="196">
        <v>41576</v>
      </c>
      <c r="C46" s="198" t="s">
        <v>555</v>
      </c>
      <c r="D46" s="221">
        <v>1.38</v>
      </c>
    </row>
    <row r="47" spans="2:4" ht="51" x14ac:dyDescent="0.2">
      <c r="B47" s="196">
        <v>41576</v>
      </c>
      <c r="C47" s="198" t="s">
        <v>557</v>
      </c>
      <c r="D47" s="221">
        <v>1.39</v>
      </c>
    </row>
    <row r="48" spans="2:4" ht="34" x14ac:dyDescent="0.2">
      <c r="B48" s="196">
        <v>41576</v>
      </c>
      <c r="C48" s="198" t="s">
        <v>558</v>
      </c>
      <c r="D48" s="221">
        <v>1.4</v>
      </c>
    </row>
    <row r="49" spans="2:4" ht="34" x14ac:dyDescent="0.2">
      <c r="B49" s="196">
        <v>41576</v>
      </c>
      <c r="C49" s="198" t="s">
        <v>559</v>
      </c>
      <c r="D49" s="221">
        <v>1.41</v>
      </c>
    </row>
    <row r="50" spans="2:4" ht="17" x14ac:dyDescent="0.2">
      <c r="B50" s="196">
        <v>41577</v>
      </c>
      <c r="C50" s="198" t="s">
        <v>560</v>
      </c>
      <c r="D50" s="221">
        <v>1.42</v>
      </c>
    </row>
    <row r="51" spans="2:4" ht="17" x14ac:dyDescent="0.2">
      <c r="B51" s="196">
        <v>41618</v>
      </c>
      <c r="C51" s="198" t="s">
        <v>587</v>
      </c>
      <c r="D51" s="221">
        <v>1.43</v>
      </c>
    </row>
    <row r="52" spans="2:4" ht="51" x14ac:dyDescent="0.2">
      <c r="B52" s="196">
        <v>41689</v>
      </c>
      <c r="C52" s="198" t="s">
        <v>612</v>
      </c>
      <c r="D52" s="221">
        <v>1.44</v>
      </c>
    </row>
    <row r="53" spans="2:4" ht="51" x14ac:dyDescent="0.2">
      <c r="B53" s="196">
        <v>41690</v>
      </c>
      <c r="C53" s="198" t="s">
        <v>614</v>
      </c>
      <c r="D53" s="221">
        <v>1.45</v>
      </c>
    </row>
    <row r="54" spans="2:4" ht="51" x14ac:dyDescent="0.2">
      <c r="B54" s="196">
        <v>41695</v>
      </c>
      <c r="C54" s="198" t="s">
        <v>615</v>
      </c>
      <c r="D54" s="221">
        <v>1.46</v>
      </c>
    </row>
    <row r="55" spans="2:4" ht="153" customHeight="1" x14ac:dyDescent="0.2">
      <c r="B55" s="196" t="s">
        <v>620</v>
      </c>
      <c r="C55" s="198" t="s">
        <v>621</v>
      </c>
      <c r="D55" s="221">
        <v>1.47</v>
      </c>
    </row>
    <row r="56" spans="2:4" ht="157" customHeight="1" x14ac:dyDescent="0.2">
      <c r="B56" s="196">
        <v>44369</v>
      </c>
      <c r="C56" s="198" t="s">
        <v>625</v>
      </c>
      <c r="D56" s="221">
        <v>1.48</v>
      </c>
    </row>
    <row r="57" spans="2:4" x14ac:dyDescent="0.2">
      <c r="B57" s="196"/>
      <c r="C57" s="197"/>
      <c r="D57" s="221"/>
    </row>
    <row r="58" spans="2:4" x14ac:dyDescent="0.2">
      <c r="B58" s="17"/>
      <c r="C58" s="9"/>
      <c r="D58" s="2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8" tint="0.79998168889431442"/>
  </sheetPr>
  <dimension ref="B2:M26"/>
  <sheetViews>
    <sheetView topLeftCell="A4" workbookViewId="0"/>
  </sheetViews>
  <sheetFormatPr baseColWidth="10" defaultRowHeight="16" x14ac:dyDescent="0.2"/>
  <cols>
    <col min="1" max="1" width="10.83203125" style="81"/>
    <col min="2" max="2" width="25.83203125" style="81" customWidth="1"/>
    <col min="3" max="3" width="26.83203125" style="81" customWidth="1"/>
    <col min="4" max="4" width="2.83203125" style="81" customWidth="1"/>
    <col min="5" max="13" width="15.83203125" style="81" customWidth="1"/>
    <col min="14" max="16384" width="10.83203125" style="81"/>
  </cols>
  <sheetData>
    <row r="2" spans="2:13" ht="21" x14ac:dyDescent="0.25">
      <c r="B2" s="80" t="s">
        <v>204</v>
      </c>
      <c r="C2" s="80"/>
      <c r="D2" s="80"/>
      <c r="E2" s="8"/>
      <c r="F2" s="8"/>
      <c r="G2" s="8"/>
      <c r="H2" s="8"/>
      <c r="I2" s="8"/>
    </row>
    <row r="3" spans="2:13" x14ac:dyDescent="0.2">
      <c r="B3" s="1"/>
      <c r="C3" s="1"/>
      <c r="D3" s="1"/>
      <c r="E3" s="8"/>
      <c r="F3" s="8"/>
      <c r="G3" s="8"/>
      <c r="H3" s="8"/>
      <c r="I3" s="8"/>
    </row>
    <row r="4" spans="2:13" x14ac:dyDescent="0.2">
      <c r="B4" s="3" t="s">
        <v>83</v>
      </c>
      <c r="C4" s="12"/>
      <c r="D4" s="12"/>
      <c r="E4" s="4"/>
      <c r="F4" s="4"/>
      <c r="G4" s="4"/>
      <c r="H4" s="5"/>
      <c r="I4" s="8"/>
    </row>
    <row r="5" spans="2:13" ht="90" customHeight="1" x14ac:dyDescent="0.2">
      <c r="B5" s="673" t="s">
        <v>467</v>
      </c>
      <c r="C5" s="674"/>
      <c r="D5" s="674"/>
      <c r="E5" s="674"/>
      <c r="F5" s="674"/>
      <c r="G5" s="674"/>
      <c r="H5" s="675"/>
      <c r="I5" s="8"/>
    </row>
    <row r="6" spans="2:13" ht="17" thickBot="1" x14ac:dyDescent="0.25"/>
    <row r="7" spans="2:13" x14ac:dyDescent="0.2">
      <c r="B7" s="249" t="s">
        <v>260</v>
      </c>
      <c r="C7" s="180"/>
      <c r="D7" s="250"/>
      <c r="E7" s="180"/>
      <c r="F7" s="181"/>
      <c r="G7" s="181"/>
      <c r="H7" s="181"/>
      <c r="I7" s="181"/>
      <c r="J7" s="181"/>
      <c r="K7" s="181"/>
      <c r="L7" s="181"/>
      <c r="M7" s="182"/>
    </row>
    <row r="8" spans="2:13" x14ac:dyDescent="0.2">
      <c r="B8" s="242"/>
      <c r="C8" s="183"/>
      <c r="D8" s="251"/>
      <c r="E8" s="183"/>
      <c r="F8" s="183"/>
      <c r="G8" s="183"/>
      <c r="H8" s="183"/>
      <c r="I8" s="183"/>
      <c r="J8" s="183"/>
      <c r="K8" s="183"/>
      <c r="L8" s="183"/>
      <c r="M8" s="184"/>
    </row>
    <row r="9" spans="2:13" ht="17" x14ac:dyDescent="0.2">
      <c r="B9" s="243" t="s">
        <v>498</v>
      </c>
      <c r="C9" s="449"/>
      <c r="D9" s="252"/>
      <c r="E9" s="185" t="s">
        <v>327</v>
      </c>
      <c r="F9" s="185" t="s">
        <v>328</v>
      </c>
      <c r="G9" s="185" t="s">
        <v>329</v>
      </c>
      <c r="H9" s="185" t="s">
        <v>432</v>
      </c>
      <c r="I9" s="185" t="s">
        <v>434</v>
      </c>
      <c r="J9" s="185" t="s">
        <v>433</v>
      </c>
      <c r="K9" s="185" t="s">
        <v>330</v>
      </c>
      <c r="L9" s="185" t="s">
        <v>331</v>
      </c>
      <c r="M9" s="222" t="s">
        <v>332</v>
      </c>
    </row>
    <row r="10" spans="2:13" x14ac:dyDescent="0.2">
      <c r="B10" s="244" t="s">
        <v>208</v>
      </c>
      <c r="C10" s="450"/>
      <c r="D10" s="253"/>
      <c r="E10" s="186"/>
      <c r="F10" s="186"/>
      <c r="G10" s="186"/>
      <c r="H10" s="186"/>
      <c r="I10" s="186"/>
      <c r="J10" s="186"/>
      <c r="K10" s="186"/>
      <c r="L10" s="186"/>
      <c r="M10" s="223"/>
    </row>
    <row r="11" spans="2:13" ht="17" x14ac:dyDescent="0.2">
      <c r="B11" s="245"/>
      <c r="C11" s="464" t="s">
        <v>126</v>
      </c>
      <c r="D11" s="254"/>
      <c r="E11" s="317">
        <f>SUM('Corrected energy balance step 2'!C28:J28,'Corrected energy balance step 2'!L28:N28,'Corrected energy balance step 2'!S28)</f>
        <v>0</v>
      </c>
      <c r="F11" s="317">
        <f>'Corrected energy balance step 2'!K28</f>
        <v>0</v>
      </c>
      <c r="G11" s="317">
        <f>SUM('Corrected energy balance step 2'!P28:R28)</f>
        <v>0</v>
      </c>
      <c r="H11" s="317">
        <f>SUM('Corrected energy balance step 2'!T28,'Corrected energy balance step 2'!AV28)</f>
        <v>0</v>
      </c>
      <c r="I11" s="317">
        <f>SUM('Corrected energy balance step 2'!U28:AQ28)</f>
        <v>0</v>
      </c>
      <c r="J11" s="317">
        <f>SUM('Corrected energy balance step 2'!AU28,'Corrected energy balance step 2'!AZ28)</f>
        <v>0</v>
      </c>
      <c r="K11" s="317">
        <f>'Corrected energy balance step 2'!BM28</f>
        <v>0</v>
      </c>
      <c r="L11" s="317">
        <f>'Corrected energy balance step 2'!BL28</f>
        <v>0</v>
      </c>
      <c r="M11" s="318">
        <f>SUM('Corrected energy balance step 2'!O28,'Corrected energy balance step 2'!U28,'Corrected energy balance step 2'!AT28,'Corrected energy balance step 2'!AW28:AY28,'Corrected energy balance step 2'!BA28,'Corrected energy balance step 2'!BB28:BK28)</f>
        <v>0</v>
      </c>
    </row>
    <row r="12" spans="2:13" ht="17" x14ac:dyDescent="0.2">
      <c r="B12" s="245"/>
      <c r="C12" s="464" t="s">
        <v>127</v>
      </c>
      <c r="D12" s="254"/>
      <c r="E12" s="317">
        <f>SUM('Corrected energy balance step 2'!C30:J30,'Corrected energy balance step 2'!L30:N30,'Corrected energy balance step 2'!S30)</f>
        <v>0</v>
      </c>
      <c r="F12" s="317">
        <f>'Corrected energy balance step 2'!K30</f>
        <v>0</v>
      </c>
      <c r="G12" s="317">
        <f>SUM('Corrected energy balance step 2'!P30:R30)</f>
        <v>0</v>
      </c>
      <c r="H12" s="317">
        <f>SUM('Corrected energy balance step 2'!T30,'Corrected energy balance step 2'!AV30)</f>
        <v>0</v>
      </c>
      <c r="I12" s="317">
        <f>SUM('Corrected energy balance step 2'!U30:AQ30)</f>
        <v>0</v>
      </c>
      <c r="J12" s="317">
        <f>SUM('Corrected energy balance step 2'!AU30,'Corrected energy balance step 2'!AZ30)</f>
        <v>0</v>
      </c>
      <c r="K12" s="317">
        <f>'Corrected energy balance step 2'!BM30</f>
        <v>0</v>
      </c>
      <c r="L12" s="317">
        <f>'Corrected energy balance step 2'!BL30</f>
        <v>0</v>
      </c>
      <c r="M12" s="318">
        <f>SUM('Corrected energy balance step 2'!O30,'Corrected energy balance step 2'!U30,'Corrected energy balance step 2'!AT30,'Corrected energy balance step 2'!AW30:AY30,'Corrected energy balance step 2'!BA30,'Corrected energy balance step 2'!BB30:BK30)</f>
        <v>0</v>
      </c>
    </row>
    <row r="13" spans="2:13" x14ac:dyDescent="0.2">
      <c r="B13" s="442"/>
      <c r="C13" s="451"/>
      <c r="D13" s="443"/>
      <c r="E13" s="444"/>
      <c r="F13" s="444"/>
      <c r="G13" s="444"/>
      <c r="H13" s="444"/>
      <c r="I13" s="444"/>
      <c r="J13" s="444"/>
      <c r="K13" s="444"/>
      <c r="L13" s="444"/>
      <c r="M13" s="445"/>
    </row>
    <row r="14" spans="2:13" ht="17" x14ac:dyDescent="0.2">
      <c r="B14" s="246" t="s">
        <v>132</v>
      </c>
      <c r="C14" s="452"/>
      <c r="D14" s="255"/>
      <c r="E14" s="319"/>
      <c r="F14" s="319"/>
      <c r="G14" s="319"/>
      <c r="H14" s="319"/>
      <c r="I14" s="319"/>
      <c r="J14" s="319"/>
      <c r="K14" s="319"/>
      <c r="L14" s="319"/>
      <c r="M14" s="320"/>
    </row>
    <row r="15" spans="2:13" ht="51" x14ac:dyDescent="0.2">
      <c r="B15" s="245"/>
      <c r="C15" s="464" t="s">
        <v>353</v>
      </c>
      <c r="D15" s="254"/>
      <c r="E15" s="317">
        <f>SUM('Corrected energy balance step 2'!C40:J40,'Corrected energy balance step 2'!K40:N40,'Corrected energy balance step 2'!S40)-SUM('Corrected energy balance step 2'!C53:J53,'Corrected energy balance step 2'!K53:N53,'Corrected energy balance step 2'!S53)</f>
        <v>0</v>
      </c>
      <c r="F15" s="447" t="s">
        <v>336</v>
      </c>
      <c r="G15" s="317">
        <f>SUM('Corrected energy balance step 2'!P40:R40)-SUM('Corrected energy balance step 2'!P53:R53)</f>
        <v>0</v>
      </c>
      <c r="H15" s="317">
        <f>SUM('Corrected energy balance step 2'!T40,'Corrected energy balance step 2'!AV40)-SUM('Corrected energy balance step 2'!T53,'Corrected energy balance step 2'!AV53)</f>
        <v>0</v>
      </c>
      <c r="I15" s="317">
        <f>SUM('Corrected energy balance step 2'!U40:AQ40)-SUM('Corrected energy balance step 2'!U53:AQ53)</f>
        <v>0</v>
      </c>
      <c r="J15" s="317">
        <f>SUM('Corrected energy balance step 2'!AU40,'Corrected energy balance step 2'!AZ40)-SUM('Corrected energy balance step 2'!AU53,'Corrected energy balance step 2'!AZ53)</f>
        <v>0</v>
      </c>
      <c r="K15" s="317">
        <f>'Corrected energy balance step 2'!BM40-'Corrected energy balance step 2'!BM53</f>
        <v>0</v>
      </c>
      <c r="L15" s="317">
        <f>'Corrected energy balance step 2'!BL40-'Corrected energy balance step 2'!BL53</f>
        <v>0</v>
      </c>
      <c r="M15" s="318">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ht="17" x14ac:dyDescent="0.2">
      <c r="B16" s="247"/>
      <c r="C16" s="465" t="s">
        <v>126</v>
      </c>
      <c r="D16" s="256"/>
      <c r="E16" s="317">
        <f>SUM('Corrected energy balance step 2'!C43:J43,'Corrected energy balance step 2'!K43:N43,'Corrected energy balance step 2'!S43)</f>
        <v>0</v>
      </c>
      <c r="F16" s="447" t="s">
        <v>336</v>
      </c>
      <c r="G16" s="317">
        <f>SUM('Corrected energy balance step 2'!P43:R43)</f>
        <v>0</v>
      </c>
      <c r="H16" s="317">
        <f>SUM('Corrected energy balance step 2'!T43,'Corrected energy balance step 2'!AV43)</f>
        <v>0</v>
      </c>
      <c r="I16" s="317">
        <f>SUM('Corrected energy balance step 2'!U43:AQ43)</f>
        <v>0</v>
      </c>
      <c r="J16" s="317">
        <f>SUM('Corrected energy balance step 2'!AU43,'Corrected energy balance step 2'!AZ43)</f>
        <v>0</v>
      </c>
      <c r="K16" s="317">
        <f>'Corrected energy balance step 2'!BM43</f>
        <v>0</v>
      </c>
      <c r="L16" s="317">
        <f>'Corrected energy balance step 2'!BL43</f>
        <v>0</v>
      </c>
      <c r="M16" s="318">
        <f>SUM('Corrected energy balance step 2'!O43,'Corrected energy balance step 2'!U43,'Corrected energy balance step 2'!AT43,'Corrected energy balance step 2'!AW43:AY43,'Corrected energy balance step 2'!BA43,'Corrected energy balance step 2'!BB43:BK43)</f>
        <v>0</v>
      </c>
    </row>
    <row r="17" spans="2:13" ht="17" x14ac:dyDescent="0.2">
      <c r="B17" s="247"/>
      <c r="C17" s="465" t="s">
        <v>127</v>
      </c>
      <c r="D17" s="256"/>
      <c r="E17" s="317">
        <f>SUM('Corrected energy balance step 2'!C46:J46,'Corrected energy balance step 2'!K46:N46,'Corrected energy balance step 2'!S46)</f>
        <v>0</v>
      </c>
      <c r="F17" s="447" t="s">
        <v>336</v>
      </c>
      <c r="G17" s="317">
        <f>SUM('Corrected energy balance step 2'!P46:R46)</f>
        <v>0</v>
      </c>
      <c r="H17" s="317">
        <f>SUM('Corrected energy balance step 2'!T46,'Corrected energy balance step 2'!AV46)</f>
        <v>0</v>
      </c>
      <c r="I17" s="317">
        <f>SUM('Corrected energy balance step 2'!U46:AQ46)</f>
        <v>0</v>
      </c>
      <c r="J17" s="317">
        <f>SUM('Corrected energy balance step 2'!AU46,'Corrected energy balance step 2'!AZ46)</f>
        <v>0</v>
      </c>
      <c r="K17" s="317">
        <f>'Corrected energy balance step 2'!BM46</f>
        <v>0</v>
      </c>
      <c r="L17" s="317">
        <f>'Corrected energy balance step 2'!BL46</f>
        <v>0</v>
      </c>
      <c r="M17" s="318">
        <f>SUM('Corrected energy balance step 2'!O46,'Corrected energy balance step 2'!U46,'Corrected energy balance step 2'!AT46,'Corrected energy balance step 2'!AW46:AY46,'Corrected energy balance step 2'!BA46,'Corrected energy balance step 2'!BB46:BK46)</f>
        <v>0</v>
      </c>
    </row>
    <row r="18" spans="2:13" x14ac:dyDescent="0.2">
      <c r="B18" s="442"/>
      <c r="C18" s="451"/>
      <c r="D18" s="443"/>
      <c r="E18" s="444"/>
      <c r="F18" s="446"/>
      <c r="G18" s="444"/>
      <c r="H18" s="444"/>
      <c r="I18" s="444"/>
      <c r="J18" s="444"/>
      <c r="K18" s="444"/>
      <c r="L18" s="444"/>
      <c r="M18" s="445"/>
    </row>
    <row r="19" spans="2:13" ht="17" x14ac:dyDescent="0.2">
      <c r="B19" s="246" t="s">
        <v>142</v>
      </c>
      <c r="C19" s="452"/>
      <c r="D19" s="255"/>
      <c r="E19" s="319"/>
      <c r="F19" s="441"/>
      <c r="G19" s="319"/>
      <c r="H19" s="319"/>
      <c r="I19" s="319"/>
      <c r="J19" s="319"/>
      <c r="K19" s="319"/>
      <c r="L19" s="319"/>
      <c r="M19" s="320"/>
    </row>
    <row r="20" spans="2:13" ht="17" x14ac:dyDescent="0.2">
      <c r="B20" s="245"/>
      <c r="C20" s="464" t="s">
        <v>25</v>
      </c>
      <c r="D20" s="254"/>
      <c r="E20" s="317">
        <f>SUM('Corrected energy balance step 2'!C60:J60,'Corrected energy balance step 2'!K60:N60,'Corrected energy balance step 2'!S60)</f>
        <v>0</v>
      </c>
      <c r="F20" s="447" t="s">
        <v>336</v>
      </c>
      <c r="G20" s="317">
        <f>SUM('Corrected energy balance step 2'!P60:R60)</f>
        <v>0</v>
      </c>
      <c r="H20" s="317">
        <f>SUM('Corrected energy balance step 2'!T60,'Corrected energy balance step 2'!AV60)</f>
        <v>0</v>
      </c>
      <c r="I20" s="317">
        <f>SUM('Corrected energy balance step 2'!U60:AQ60)</f>
        <v>0</v>
      </c>
      <c r="J20" s="317">
        <f>SUM('Corrected energy balance step 2'!AU60,'Corrected energy balance step 2'!AZ60)</f>
        <v>0</v>
      </c>
      <c r="K20" s="317">
        <f>'Corrected energy balance step 2'!BM60</f>
        <v>0</v>
      </c>
      <c r="L20" s="317">
        <f>'Corrected energy balance step 2'!BL60</f>
        <v>0</v>
      </c>
      <c r="M20" s="318">
        <f>SUM('Corrected energy balance step 2'!O60,'Corrected energy balance step 2'!U60,'Corrected energy balance step 2'!AT60,'Corrected energy balance step 2'!AW60:AY60,'Corrected energy balance step 2'!BA60,'Corrected energy balance step 2'!BB60:BK60)</f>
        <v>0</v>
      </c>
    </row>
    <row r="21" spans="2:13" ht="17" x14ac:dyDescent="0.2">
      <c r="B21" s="247"/>
      <c r="C21" s="465" t="s">
        <v>143</v>
      </c>
      <c r="D21" s="256"/>
      <c r="E21" s="317">
        <f>SUM('Corrected energy balance step 2'!C61:J61,'Corrected energy balance step 2'!K61:N61,'Corrected energy balance step 2'!S61)</f>
        <v>0</v>
      </c>
      <c r="F21" s="447" t="s">
        <v>336</v>
      </c>
      <c r="G21" s="317">
        <f>SUM('Corrected energy balance step 2'!P61:R61)</f>
        <v>0</v>
      </c>
      <c r="H21" s="317">
        <f>SUM('Corrected energy balance step 2'!T61,'Corrected energy balance step 2'!AV61)</f>
        <v>0</v>
      </c>
      <c r="I21" s="317">
        <f>SUM('Corrected energy balance step 2'!U61:AQ61)</f>
        <v>0</v>
      </c>
      <c r="J21" s="317">
        <f>SUM('Corrected energy balance step 2'!AU61,'Corrected energy balance step 2'!AZ61)</f>
        <v>0</v>
      </c>
      <c r="K21" s="317">
        <f>'Corrected energy balance step 2'!BM61</f>
        <v>0</v>
      </c>
      <c r="L21" s="317">
        <f>'Corrected energy balance step 2'!BL61</f>
        <v>0</v>
      </c>
      <c r="M21" s="318">
        <f>SUM('Corrected energy balance step 2'!O61,'Corrected energy balance step 2'!U61,'Corrected energy balance step 2'!AT61,'Corrected energy balance step 2'!AW61:AY61,'Corrected energy balance step 2'!BA61,'Corrected energy balance step 2'!BB61:BK61)</f>
        <v>0</v>
      </c>
    </row>
    <row r="22" spans="2:13" ht="17" x14ac:dyDescent="0.2">
      <c r="B22" s="247"/>
      <c r="C22" s="465" t="s">
        <v>145</v>
      </c>
      <c r="D22" s="256"/>
      <c r="E22" s="317">
        <f>SUM('Corrected energy balance step 2'!C63:J63,'Corrected energy balance step 2'!K63:N63,'Corrected energy balance step 2'!S63)</f>
        <v>0</v>
      </c>
      <c r="F22" s="447" t="s">
        <v>336</v>
      </c>
      <c r="G22" s="317">
        <f>SUM('Corrected energy balance step 2'!P63:R63)</f>
        <v>0</v>
      </c>
      <c r="H22" s="317">
        <f>SUM('Corrected energy balance step 2'!T63,'Corrected energy balance step 2'!AV63)</f>
        <v>0</v>
      </c>
      <c r="I22" s="317">
        <f>SUM('Corrected energy balance step 2'!U63:AQ63)</f>
        <v>0</v>
      </c>
      <c r="J22" s="317">
        <f>SUM('Corrected energy balance step 2'!AU63,'Corrected energy balance step 2'!AZ63)</f>
        <v>0</v>
      </c>
      <c r="K22" s="317">
        <f>'Corrected energy balance step 2'!BM63</f>
        <v>0</v>
      </c>
      <c r="L22" s="317">
        <f>'Corrected energy balance step 2'!BL63</f>
        <v>0</v>
      </c>
      <c r="M22" s="318">
        <f>SUM('Corrected energy balance step 2'!O63,'Corrected energy balance step 2'!U63,'Corrected energy balance step 2'!AT63,'Corrected energy balance step 2'!AW63:AY63,'Corrected energy balance step 2'!BA63,'Corrected energy balance step 2'!BB63:BK63)</f>
        <v>0</v>
      </c>
    </row>
    <row r="23" spans="2:13" x14ac:dyDescent="0.2">
      <c r="B23" s="442"/>
      <c r="C23" s="451"/>
      <c r="D23" s="443"/>
      <c r="E23" s="444"/>
      <c r="F23" s="446"/>
      <c r="G23" s="444"/>
      <c r="H23" s="444"/>
      <c r="I23" s="444"/>
      <c r="J23" s="444"/>
      <c r="K23" s="444"/>
      <c r="L23" s="444"/>
      <c r="M23" s="445"/>
    </row>
    <row r="24" spans="2:13" ht="17" x14ac:dyDescent="0.2">
      <c r="B24" s="246" t="s">
        <v>168</v>
      </c>
      <c r="C24" s="452"/>
      <c r="D24" s="255"/>
      <c r="E24" s="319"/>
      <c r="F24" s="441"/>
      <c r="G24" s="319"/>
      <c r="H24" s="319"/>
      <c r="I24" s="319"/>
      <c r="J24" s="319"/>
      <c r="K24" s="319"/>
      <c r="L24" s="319"/>
      <c r="M24" s="320"/>
    </row>
    <row r="25" spans="2:13" ht="17" x14ac:dyDescent="0.2">
      <c r="B25" s="245"/>
      <c r="C25" s="464" t="s">
        <v>295</v>
      </c>
      <c r="D25" s="254"/>
      <c r="E25" s="317">
        <f>SUM('Corrected energy balance step 2'!C88:J88,'Corrected energy balance step 2'!K88:N88,'Corrected energy balance step 2'!S88)</f>
        <v>0</v>
      </c>
      <c r="F25" s="447" t="s">
        <v>336</v>
      </c>
      <c r="G25" s="317">
        <f>SUM('Corrected energy balance step 2'!P88:R88)</f>
        <v>0</v>
      </c>
      <c r="H25" s="317">
        <f>SUM('Corrected energy balance step 2'!T88,'Corrected energy balance step 2'!AV88)</f>
        <v>0</v>
      </c>
      <c r="I25" s="317">
        <f>SUM('Corrected energy balance step 2'!U88:AQ88)</f>
        <v>0</v>
      </c>
      <c r="J25" s="317">
        <f>SUM('Corrected energy balance step 2'!AU88,'Corrected energy balance step 2'!AZ88)</f>
        <v>0</v>
      </c>
      <c r="K25" s="317">
        <f>'Corrected energy balance step 2'!BM88</f>
        <v>0</v>
      </c>
      <c r="L25" s="317">
        <f>'Corrected energy balance step 2'!BL88</f>
        <v>0</v>
      </c>
      <c r="M25" s="318">
        <f>SUM('Corrected energy balance step 2'!O88,'Corrected energy balance step 2'!U88,'Corrected energy balance step 2'!AT88,'Corrected energy balance step 2'!AW88:AY88,'Corrected energy balance step 2'!BA88,'Corrected energy balance step 2'!BB88:BK88)</f>
        <v>0</v>
      </c>
    </row>
    <row r="26" spans="2:13" ht="17" thickBot="1" x14ac:dyDescent="0.25">
      <c r="B26" s="248"/>
      <c r="C26" s="453"/>
      <c r="D26" s="257"/>
      <c r="E26" s="155"/>
      <c r="F26" s="155"/>
      <c r="G26" s="155"/>
      <c r="H26" s="155"/>
      <c r="I26" s="155"/>
      <c r="J26" s="155"/>
      <c r="K26" s="155"/>
      <c r="L26" s="155"/>
      <c r="M26" s="156"/>
    </row>
  </sheetData>
  <mergeCells count="1">
    <mergeCell ref="B5:H5"/>
  </mergeCells>
  <conditionalFormatting sqref="I26:M26">
    <cfRule type="cellIs" dxfId="1" priority="1" operator="greaterThan">
      <formula>0</formula>
    </cfRule>
  </conditionalFormatting>
  <conditionalFormatting sqref="E26:H26">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7" tint="0.39997558519241921"/>
  </sheetPr>
  <dimension ref="A1:J12"/>
  <sheetViews>
    <sheetView workbookViewId="0"/>
  </sheetViews>
  <sheetFormatPr baseColWidth="10" defaultRowHeight="16" x14ac:dyDescent="0.2"/>
  <cols>
    <col min="1" max="1" width="21.1640625" bestFit="1" customWidth="1"/>
    <col min="2" max="3" width="11.6640625" bestFit="1" customWidth="1"/>
    <col min="4" max="7" width="11.1640625" bestFit="1" customWidth="1"/>
    <col min="8" max="8" width="12.83203125" bestFit="1" customWidth="1"/>
    <col min="9" max="10" width="11.1640625" bestFit="1" customWidth="1"/>
  </cols>
  <sheetData>
    <row r="1" spans="1:10" x14ac:dyDescent="0.2">
      <c r="A1" t="s">
        <v>394</v>
      </c>
    </row>
    <row r="2" spans="1:10" x14ac:dyDescent="0.2">
      <c r="B2" t="str">
        <f>'Final demand'!C9</f>
        <v>Coal (TJ)</v>
      </c>
      <c r="C2" t="str">
        <f>'Final demand'!D9</f>
        <v>Cokes (TJ)</v>
      </c>
      <c r="D2" t="str">
        <f>'Final demand'!E9</f>
        <v>Coal gas (TJ)</v>
      </c>
      <c r="E2" t="str">
        <f>'Final demand'!F9</f>
        <v>Network gas (TJ)</v>
      </c>
      <c r="F2" t="str">
        <f>'Final demand'!G9</f>
        <v>Crude oil (TJ)</v>
      </c>
      <c r="G2" t="str">
        <f>'Final demand'!H9</f>
        <v>Wood pellets (TJ)</v>
      </c>
      <c r="H2" t="str">
        <f>'Final demand'!I9</f>
        <v>Heat (TJ)</v>
      </c>
      <c r="I2" t="str">
        <f>'Final demand'!J9</f>
        <v>Electricity (TJ)</v>
      </c>
      <c r="J2" t="str">
        <f>'Final demand'!K9</f>
        <v>Other (TJ)</v>
      </c>
    </row>
    <row r="3" spans="1:10" x14ac:dyDescent="0.2">
      <c r="A3" s="228" t="str">
        <f>'Final demand'!B10</f>
        <v>Transformation</v>
      </c>
      <c r="B3" s="525"/>
      <c r="C3" s="525"/>
      <c r="D3" s="525"/>
      <c r="E3" s="525"/>
      <c r="F3" s="525"/>
      <c r="G3" s="525"/>
      <c r="H3" s="525"/>
      <c r="I3" s="525"/>
      <c r="J3" s="525"/>
    </row>
    <row r="4" spans="1:10" x14ac:dyDescent="0.2">
      <c r="A4" t="str">
        <f>'Final demand'!B11</f>
        <v>Blast furnaces</v>
      </c>
      <c r="B4" s="525" t="e">
        <f>'Final demand'!C11</f>
        <v>#DIV/0!</v>
      </c>
      <c r="C4" s="525" t="e">
        <f>'Final demand'!D11</f>
        <v>#DIV/0!</v>
      </c>
      <c r="D4" s="525" t="e">
        <f>'Final demand'!E11</f>
        <v>#DIV/0!</v>
      </c>
      <c r="E4" s="525">
        <f>'Final demand'!F11</f>
        <v>0</v>
      </c>
      <c r="F4" s="525">
        <f>'Final demand'!G11</f>
        <v>0</v>
      </c>
      <c r="G4" s="525" t="e">
        <f>'Final demand'!H11</f>
        <v>#DIV/0!</v>
      </c>
      <c r="H4" s="525" t="e">
        <f>'Final demand'!I11</f>
        <v>#DIV/0!</v>
      </c>
      <c r="I4" s="525">
        <f>'Final demand'!J11</f>
        <v>0</v>
      </c>
      <c r="J4" s="525">
        <f>'Final demand'!K11</f>
        <v>0</v>
      </c>
    </row>
    <row r="5" spans="1:10" x14ac:dyDescent="0.2">
      <c r="A5" t="str">
        <f>'Final demand'!B12</f>
        <v>Coke ovens</v>
      </c>
      <c r="B5" s="525" t="e">
        <f>'Final demand'!C12</f>
        <v>#DIV/0!</v>
      </c>
      <c r="C5" s="525" t="e">
        <f>'Final demand'!D12</f>
        <v>#DIV/0!</v>
      </c>
      <c r="D5" s="525" t="e">
        <f>'Final demand'!E12</f>
        <v>#DIV/0!</v>
      </c>
      <c r="E5" s="525">
        <f>'Final demand'!F12</f>
        <v>0</v>
      </c>
      <c r="F5" s="525">
        <f>'Final demand'!G12</f>
        <v>0</v>
      </c>
      <c r="G5" s="525">
        <f>'Final demand'!H12</f>
        <v>0</v>
      </c>
      <c r="H5" s="525">
        <f>'Final demand'!I12</f>
        <v>0</v>
      </c>
      <c r="I5" s="525">
        <f>'Final demand'!J12</f>
        <v>0</v>
      </c>
      <c r="J5" s="525">
        <f>'Final demand'!K12</f>
        <v>0</v>
      </c>
    </row>
    <row r="6" spans="1:10" x14ac:dyDescent="0.2">
      <c r="A6" s="228" t="str">
        <f>'Final demand'!B14</f>
        <v>Energy industry own use</v>
      </c>
      <c r="B6" s="525"/>
      <c r="C6" s="525"/>
      <c r="D6" s="525"/>
      <c r="E6" s="525"/>
      <c r="F6" s="525"/>
      <c r="G6" s="525"/>
      <c r="H6" s="525"/>
      <c r="I6" s="525"/>
      <c r="J6" s="525"/>
    </row>
    <row r="7" spans="1:10" x14ac:dyDescent="0.2">
      <c r="A7" t="str">
        <f>'Final demand'!B15</f>
        <v>Coke ovens</v>
      </c>
      <c r="B7" s="525">
        <f>'Final demand'!C15</f>
        <v>0</v>
      </c>
      <c r="C7" s="525" t="str">
        <f>'Final demand'!D15</f>
        <v>-</v>
      </c>
      <c r="D7" s="525" t="e">
        <f>'Final demand'!E15</f>
        <v>#DIV/0!</v>
      </c>
      <c r="E7" s="525">
        <f>'Final demand'!F15</f>
        <v>0</v>
      </c>
      <c r="F7" s="525">
        <f>'Final demand'!G15</f>
        <v>0</v>
      </c>
      <c r="G7" s="525">
        <f>'Final demand'!H15</f>
        <v>0</v>
      </c>
      <c r="H7" s="525">
        <f>'Final demand'!I15</f>
        <v>0</v>
      </c>
      <c r="I7" s="525" t="e">
        <f>'Final demand'!J15</f>
        <v>#DIV/0!</v>
      </c>
      <c r="J7" s="525">
        <f>'Final demand'!K15</f>
        <v>0</v>
      </c>
    </row>
    <row r="8" spans="1:10" x14ac:dyDescent="0.2">
      <c r="A8" t="str">
        <f>'Final demand'!B16</f>
        <v>Blast furnaces</v>
      </c>
      <c r="B8" s="525" t="str">
        <f>'Final demand'!C16</f>
        <v>-</v>
      </c>
      <c r="C8" s="525" t="str">
        <f>'Final demand'!D16</f>
        <v>-</v>
      </c>
      <c r="D8" s="525" t="str">
        <f>'Final demand'!E16</f>
        <v>-</v>
      </c>
      <c r="E8" s="525" t="str">
        <f>'Final demand'!F16</f>
        <v>-</v>
      </c>
      <c r="F8" s="525" t="str">
        <f>'Final demand'!G16</f>
        <v>-</v>
      </c>
      <c r="G8" s="525" t="str">
        <f>'Final demand'!H16</f>
        <v>-</v>
      </c>
      <c r="H8" s="525" t="str">
        <f>'Final demand'!I16</f>
        <v>-</v>
      </c>
      <c r="I8" s="525" t="str">
        <f>'Final demand'!J16</f>
        <v>-</v>
      </c>
      <c r="J8" s="525" t="str">
        <f>'Final demand'!K16</f>
        <v>-</v>
      </c>
    </row>
    <row r="9" spans="1:10" x14ac:dyDescent="0.2">
      <c r="A9" s="228" t="str">
        <f>'Final demand'!B18</f>
        <v>Total final consumption</v>
      </c>
      <c r="B9" s="525"/>
      <c r="C9" s="525"/>
      <c r="D9" s="525"/>
      <c r="E9" s="525"/>
      <c r="F9" s="525"/>
      <c r="G9" s="525"/>
      <c r="H9" s="525"/>
      <c r="I9" s="525"/>
      <c r="J9" s="525"/>
    </row>
    <row r="10" spans="1:10" x14ac:dyDescent="0.2">
      <c r="A10" t="str">
        <f>'Final demand'!B19</f>
        <v>Industry - Steel</v>
      </c>
      <c r="B10" s="525" t="e">
        <f>'Final demand'!C19</f>
        <v>#DIV/0!</v>
      </c>
      <c r="C10" s="525" t="str">
        <f>'Final demand'!D19</f>
        <v>-</v>
      </c>
      <c r="D10" s="525" t="e">
        <f>'Final demand'!E19</f>
        <v>#DIV/0!</v>
      </c>
      <c r="E10" s="525" t="e">
        <f>'Final demand'!F19</f>
        <v>#DIV/0!</v>
      </c>
      <c r="F10" s="525">
        <f>'Final demand'!G19</f>
        <v>0</v>
      </c>
      <c r="G10" s="525">
        <f>'Final demand'!H19</f>
        <v>0</v>
      </c>
      <c r="H10" s="525" t="e">
        <f>'Final demand'!I19</f>
        <v>#DIV/0!</v>
      </c>
      <c r="I10" s="525" t="e">
        <f>'Final demand'!J19</f>
        <v>#DIV/0!</v>
      </c>
      <c r="J10" s="525">
        <f>'Final demand'!K19</f>
        <v>0</v>
      </c>
    </row>
    <row r="11" spans="1:10" x14ac:dyDescent="0.2">
      <c r="A11" t="str">
        <f>'Final demand'!B20</f>
        <v>Industry - Aluminium</v>
      </c>
      <c r="B11" s="525">
        <f>'Final demand'!C20</f>
        <v>0</v>
      </c>
      <c r="C11" s="525" t="str">
        <f>'Final demand'!D20</f>
        <v>-</v>
      </c>
      <c r="D11" s="525">
        <f>'Final demand'!E20</f>
        <v>0</v>
      </c>
      <c r="E11" s="525" t="e">
        <f>'Final demand'!F20</f>
        <v>#DIV/0!</v>
      </c>
      <c r="F11" s="525">
        <f>'Final demand'!G20</f>
        <v>0</v>
      </c>
      <c r="G11" s="525">
        <f>'Final demand'!H20</f>
        <v>0</v>
      </c>
      <c r="H11" s="525" t="e">
        <f>'Final demand'!I20</f>
        <v>#DIV/0!</v>
      </c>
      <c r="I11" s="525" t="e">
        <f>'Final demand'!J20</f>
        <v>#DIV/0!</v>
      </c>
      <c r="J11" s="525">
        <f>'Final demand'!K20</f>
        <v>0</v>
      </c>
    </row>
    <row r="12" spans="1:10" x14ac:dyDescent="0.2">
      <c r="A12" t="str">
        <f>'Final demand'!B21</f>
        <v>Industry - Other metals</v>
      </c>
      <c r="B12" s="525" t="e">
        <f>'Final demand'!C21</f>
        <v>#DIV/0!</v>
      </c>
      <c r="C12" s="525" t="str">
        <f>'Final demand'!D21</f>
        <v>-</v>
      </c>
      <c r="D12" s="525" t="str">
        <f>'Final demand'!E21</f>
        <v>-</v>
      </c>
      <c r="E12" s="525" t="e">
        <f>'Final demand'!F21</f>
        <v>#DIV/0!</v>
      </c>
      <c r="F12" s="525">
        <f>'Final demand'!G21</f>
        <v>0</v>
      </c>
      <c r="G12" s="525">
        <f>'Final demand'!H21</f>
        <v>0</v>
      </c>
      <c r="H12" s="525" t="e">
        <f>'Final demand'!I21</f>
        <v>#DIV/0!</v>
      </c>
      <c r="I12" s="525" t="e">
        <f>'Final demand'!J21</f>
        <v>#DIV/0!</v>
      </c>
      <c r="J12" s="525">
        <f>'Final demand'!K21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39997558519241921"/>
  </sheetPr>
  <dimension ref="A1:B4"/>
  <sheetViews>
    <sheetView workbookViewId="0">
      <selection activeCell="A3" sqref="A3"/>
    </sheetView>
  </sheetViews>
  <sheetFormatPr baseColWidth="10" defaultRowHeight="16" x14ac:dyDescent="0.2"/>
  <cols>
    <col min="1" max="1" width="44.6640625" bestFit="1" customWidth="1"/>
  </cols>
  <sheetData>
    <row r="1" spans="1:2" x14ac:dyDescent="0.2">
      <c r="A1" t="s">
        <v>619</v>
      </c>
    </row>
    <row r="2" spans="1:2" x14ac:dyDescent="0.2">
      <c r="A2" t="s">
        <v>296</v>
      </c>
      <c r="B2" t="s">
        <v>290</v>
      </c>
    </row>
    <row r="3" spans="1:2" x14ac:dyDescent="0.2">
      <c r="A3" t="s">
        <v>362</v>
      </c>
      <c r="B3" s="517" t="e">
        <f>'Shares per carrier per tech'!E22</f>
        <v>#DIV/0!</v>
      </c>
    </row>
    <row r="4" spans="1:2" x14ac:dyDescent="0.2">
      <c r="A4" t="s">
        <v>364</v>
      </c>
      <c r="B4" s="517" t="e">
        <f>'Shares per carrier per tech'!E23</f>
        <v>#DIV/0!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7" tint="0.39997558519241921"/>
  </sheetPr>
  <dimension ref="A1:B11"/>
  <sheetViews>
    <sheetView workbookViewId="0"/>
  </sheetViews>
  <sheetFormatPr baseColWidth="10" defaultRowHeight="16" x14ac:dyDescent="0.2"/>
  <cols>
    <col min="1" max="1" width="55.33203125" bestFit="1" customWidth="1"/>
  </cols>
  <sheetData>
    <row r="1" spans="1:2" x14ac:dyDescent="0.2">
      <c r="A1" t="s">
        <v>359</v>
      </c>
    </row>
    <row r="2" spans="1:2" x14ac:dyDescent="0.2">
      <c r="A2" t="s">
        <v>296</v>
      </c>
      <c r="B2" t="s">
        <v>290</v>
      </c>
    </row>
    <row r="3" spans="1:2" x14ac:dyDescent="0.2">
      <c r="A3" t="s">
        <v>354</v>
      </c>
      <c r="B3" s="517" t="e">
        <f>'Shares per carrier per tech'!E11</f>
        <v>#DIV/0!</v>
      </c>
    </row>
    <row r="4" spans="1:2" x14ac:dyDescent="0.2">
      <c r="A4" t="s">
        <v>355</v>
      </c>
      <c r="B4" s="517" t="e">
        <f>'Shares per carrier per tech'!E12</f>
        <v>#DIV/0!</v>
      </c>
    </row>
    <row r="5" spans="1:2" x14ac:dyDescent="0.2">
      <c r="A5" s="231" t="s">
        <v>356</v>
      </c>
      <c r="B5" s="517" t="e">
        <f>'Shares per carrier per tech'!E13</f>
        <v>#DIV/0!</v>
      </c>
    </row>
    <row r="6" spans="1:2" x14ac:dyDescent="0.2">
      <c r="A6" s="231" t="s">
        <v>395</v>
      </c>
      <c r="B6" s="517" t="e">
        <f>'Shares per carrier per tech'!E14</f>
        <v>#DIV/0!</v>
      </c>
    </row>
    <row r="7" spans="1:2" x14ac:dyDescent="0.2">
      <c r="A7" s="231" t="s">
        <v>369</v>
      </c>
      <c r="B7" s="517" t="e">
        <f>'Shares per carrier per tech'!E15</f>
        <v>#DIV/0!</v>
      </c>
    </row>
    <row r="8" spans="1:2" x14ac:dyDescent="0.2">
      <c r="A8" s="231" t="s">
        <v>370</v>
      </c>
      <c r="B8" s="517" t="e">
        <f>'Shares per carrier per tech'!E16</f>
        <v>#DIV/0!</v>
      </c>
    </row>
    <row r="9" spans="1:2" x14ac:dyDescent="0.2">
      <c r="A9" s="231" t="s">
        <v>371</v>
      </c>
      <c r="B9" s="517" t="e">
        <f>'Shares per carrier per tech'!E17</f>
        <v>#DIV/0!</v>
      </c>
    </row>
    <row r="10" spans="1:2" x14ac:dyDescent="0.2">
      <c r="A10" t="s">
        <v>357</v>
      </c>
      <c r="B10" s="517" t="e">
        <f>'Shares per carrier per tech'!E18</f>
        <v>#DIV/0!</v>
      </c>
    </row>
    <row r="11" spans="1:2" x14ac:dyDescent="0.2">
      <c r="A11" t="s">
        <v>358</v>
      </c>
      <c r="B11" s="517" t="e">
        <f>'Shares per carrier per tech'!E19</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7" tint="0.39997558519241921"/>
  </sheetPr>
  <dimension ref="A1:B6"/>
  <sheetViews>
    <sheetView workbookViewId="0"/>
  </sheetViews>
  <sheetFormatPr baseColWidth="10" defaultRowHeight="16" x14ac:dyDescent="0.2"/>
  <cols>
    <col min="1" max="1" width="52.5" bestFit="1" customWidth="1"/>
  </cols>
  <sheetData>
    <row r="1" spans="1:2" x14ac:dyDescent="0.2">
      <c r="A1" t="s">
        <v>360</v>
      </c>
    </row>
    <row r="2" spans="1:2" x14ac:dyDescent="0.2">
      <c r="A2" t="s">
        <v>296</v>
      </c>
      <c r="B2" t="s">
        <v>290</v>
      </c>
    </row>
    <row r="3" spans="1:2" x14ac:dyDescent="0.2">
      <c r="A3" t="s">
        <v>362</v>
      </c>
      <c r="B3" s="517" t="e">
        <f>'Shares per carrier per tech'!E29</f>
        <v>#DIV/0!</v>
      </c>
    </row>
    <row r="4" spans="1:2" x14ac:dyDescent="0.2">
      <c r="A4" t="s">
        <v>361</v>
      </c>
      <c r="B4" s="517" t="e">
        <f>'Shares per carrier per tech'!E30</f>
        <v>#DIV/0!</v>
      </c>
    </row>
    <row r="5" spans="1:2" x14ac:dyDescent="0.2">
      <c r="A5" t="s">
        <v>363</v>
      </c>
      <c r="B5" s="517" t="e">
        <f>'Shares per carrier per tech'!E31</f>
        <v>#DIV/0!</v>
      </c>
    </row>
    <row r="6" spans="1:2" x14ac:dyDescent="0.2">
      <c r="A6" t="s">
        <v>364</v>
      </c>
      <c r="B6" s="517" t="e">
        <f>'Shares per carrier per tech'!E32</f>
        <v>#DIV/0!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7" tint="0.39997558519241921"/>
  </sheetPr>
  <dimension ref="A1:B4"/>
  <sheetViews>
    <sheetView workbookViewId="0"/>
  </sheetViews>
  <sheetFormatPr baseColWidth="10" defaultRowHeight="16" x14ac:dyDescent="0.2"/>
  <cols>
    <col min="1" max="1" width="44.6640625" bestFit="1" customWidth="1"/>
  </cols>
  <sheetData>
    <row r="1" spans="1:2" x14ac:dyDescent="0.2">
      <c r="A1" t="s">
        <v>367</v>
      </c>
    </row>
    <row r="2" spans="1:2" x14ac:dyDescent="0.2">
      <c r="A2" t="s">
        <v>296</v>
      </c>
      <c r="B2" t="s">
        <v>290</v>
      </c>
    </row>
    <row r="3" spans="1:2" x14ac:dyDescent="0.2">
      <c r="A3" t="s">
        <v>356</v>
      </c>
      <c r="B3" s="517" t="e">
        <f>'Shares per carrier per tech'!E38</f>
        <v>#DIV/0!</v>
      </c>
    </row>
    <row r="4" spans="1:2" x14ac:dyDescent="0.2">
      <c r="A4" t="s">
        <v>365</v>
      </c>
      <c r="B4" s="517" t="e">
        <f>'Shares per carrier per tech'!E39</f>
        <v>#DIV/0!</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7" tint="0.39997558519241921"/>
  </sheetPr>
  <dimension ref="A1:B20"/>
  <sheetViews>
    <sheetView workbookViewId="0"/>
  </sheetViews>
  <sheetFormatPr baseColWidth="10" defaultRowHeight="16" x14ac:dyDescent="0.2"/>
  <cols>
    <col min="1" max="1" width="55.33203125" bestFit="1" customWidth="1"/>
  </cols>
  <sheetData>
    <row r="1" spans="1:2" x14ac:dyDescent="0.2">
      <c r="A1" t="s">
        <v>366</v>
      </c>
    </row>
    <row r="2" spans="1:2" x14ac:dyDescent="0.2">
      <c r="A2" t="s">
        <v>296</v>
      </c>
      <c r="B2" t="s">
        <v>290</v>
      </c>
    </row>
    <row r="3" spans="1:2" x14ac:dyDescent="0.2">
      <c r="A3" s="231" t="s">
        <v>369</v>
      </c>
      <c r="B3" s="518" t="e">
        <f>'Shares per burner per tech'!E15</f>
        <v>#DIV/0!</v>
      </c>
    </row>
    <row r="4" spans="1:2" x14ac:dyDescent="0.2">
      <c r="A4" s="231" t="s">
        <v>370</v>
      </c>
      <c r="B4" s="518" t="e">
        <f>'Shares per burner per tech'!E16</f>
        <v>#DIV/0!</v>
      </c>
    </row>
    <row r="5" spans="1:2" x14ac:dyDescent="0.2">
      <c r="A5" s="231" t="s">
        <v>371</v>
      </c>
      <c r="B5" s="518" t="e">
        <f>'Shares per burner per tech'!E17</f>
        <v>#DIV/0!</v>
      </c>
    </row>
    <row r="6" spans="1:2" x14ac:dyDescent="0.2">
      <c r="A6" t="s">
        <v>357</v>
      </c>
      <c r="B6" s="518" t="e">
        <f>'Shares per burner per tech'!E18</f>
        <v>#DIV/0!</v>
      </c>
    </row>
    <row r="16" spans="1:2" x14ac:dyDescent="0.2">
      <c r="A16" s="231"/>
    </row>
    <row r="17" spans="1:1" x14ac:dyDescent="0.2">
      <c r="A17" s="231"/>
    </row>
    <row r="18" spans="1:1" x14ac:dyDescent="0.2">
      <c r="A18" s="231"/>
    </row>
    <row r="19" spans="1:1" x14ac:dyDescent="0.2">
      <c r="A19" s="231"/>
    </row>
    <row r="20" spans="1:1" x14ac:dyDescent="0.2">
      <c r="A20"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7" tint="0.39997558519241921"/>
  </sheetPr>
  <dimension ref="A1:B15"/>
  <sheetViews>
    <sheetView workbookViewId="0"/>
  </sheetViews>
  <sheetFormatPr baseColWidth="10" defaultRowHeight="16" x14ac:dyDescent="0.2"/>
  <cols>
    <col min="1" max="1" width="55.33203125" bestFit="1" customWidth="1"/>
  </cols>
  <sheetData>
    <row r="1" spans="1:2" x14ac:dyDescent="0.2">
      <c r="A1" t="s">
        <v>368</v>
      </c>
    </row>
    <row r="2" spans="1:2" x14ac:dyDescent="0.2">
      <c r="A2" t="s">
        <v>296</v>
      </c>
      <c r="B2" t="s">
        <v>290</v>
      </c>
    </row>
    <row r="3" spans="1:2" x14ac:dyDescent="0.2">
      <c r="A3" t="s">
        <v>354</v>
      </c>
      <c r="B3" s="518" t="e">
        <f>'Shares per burner per tech'!E11</f>
        <v>#DIV/0!</v>
      </c>
    </row>
    <row r="4" spans="1:2" x14ac:dyDescent="0.2">
      <c r="A4" t="s">
        <v>355</v>
      </c>
      <c r="B4" s="518" t="e">
        <f>'Shares per burner per tech'!E12</f>
        <v>#DIV/0!</v>
      </c>
    </row>
    <row r="5" spans="1:2" x14ac:dyDescent="0.2">
      <c r="B5" s="190"/>
    </row>
    <row r="11" spans="1:2" x14ac:dyDescent="0.2">
      <c r="A11" s="231"/>
    </row>
    <row r="12" spans="1:2" x14ac:dyDescent="0.2">
      <c r="A12" s="231"/>
    </row>
    <row r="13" spans="1:2" x14ac:dyDescent="0.2">
      <c r="A13" s="231"/>
    </row>
    <row r="14" spans="1:2" x14ac:dyDescent="0.2">
      <c r="A14" s="231"/>
    </row>
    <row r="15" spans="1:2" x14ac:dyDescent="0.2">
      <c r="A1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5">
    <tabColor theme="7" tint="0.39997558519241921"/>
  </sheetPr>
  <dimension ref="A1:B5"/>
  <sheetViews>
    <sheetView workbookViewId="0"/>
  </sheetViews>
  <sheetFormatPr baseColWidth="10" defaultRowHeight="16" x14ac:dyDescent="0.2"/>
  <cols>
    <col min="1" max="1" width="44.5" customWidth="1"/>
  </cols>
  <sheetData>
    <row r="1" spans="1:2" x14ac:dyDescent="0.2">
      <c r="A1" s="231" t="s">
        <v>536</v>
      </c>
    </row>
    <row r="2" spans="1:2" x14ac:dyDescent="0.2">
      <c r="A2" t="s">
        <v>296</v>
      </c>
      <c r="B2" t="s">
        <v>290</v>
      </c>
    </row>
    <row r="3" spans="1:2" x14ac:dyDescent="0.2">
      <c r="A3" t="s">
        <v>535</v>
      </c>
      <c r="B3" s="189" t="e">
        <f>'Trans cons factors'!F11</f>
        <v>#DIV/0!</v>
      </c>
    </row>
    <row r="4" spans="1:2" x14ac:dyDescent="0.2">
      <c r="B4" s="189"/>
    </row>
    <row r="5" spans="1:2" x14ac:dyDescent="0.2">
      <c r="B5" s="189"/>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6">
    <tabColor theme="7" tint="0.39997558519241921"/>
  </sheetPr>
  <dimension ref="A1:B3"/>
  <sheetViews>
    <sheetView workbookViewId="0"/>
  </sheetViews>
  <sheetFormatPr baseColWidth="10" defaultRowHeight="16" x14ac:dyDescent="0.2"/>
  <cols>
    <col min="1" max="1" width="44.5" customWidth="1"/>
  </cols>
  <sheetData>
    <row r="1" spans="1:2" x14ac:dyDescent="0.2">
      <c r="A1" s="231" t="s">
        <v>537</v>
      </c>
    </row>
    <row r="2" spans="1:2" x14ac:dyDescent="0.2">
      <c r="A2" t="s">
        <v>296</v>
      </c>
      <c r="B2" t="s">
        <v>290</v>
      </c>
    </row>
    <row r="3" spans="1:2" x14ac:dyDescent="0.2">
      <c r="A3" t="s">
        <v>535</v>
      </c>
      <c r="B3" s="189" t="e">
        <f>'Trans cons factors'!F12</f>
        <v>#DIV/0!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8"/>
  <sheetViews>
    <sheetView workbookViewId="0"/>
  </sheetViews>
  <sheetFormatPr baseColWidth="10" defaultRowHeight="16" x14ac:dyDescent="0.2"/>
  <cols>
    <col min="1" max="1" width="10.83203125" style="1"/>
    <col min="2" max="2" width="35.83203125" style="1" customWidth="1"/>
    <col min="3" max="3" width="100.83203125" style="191" customWidth="1"/>
    <col min="4" max="16384" width="10.83203125" style="1"/>
  </cols>
  <sheetData>
    <row r="2" spans="2:3" ht="21" x14ac:dyDescent="0.25">
      <c r="B2" s="2" t="s">
        <v>20</v>
      </c>
    </row>
    <row r="4" spans="2:3" ht="28" customHeight="1" x14ac:dyDescent="0.2">
      <c r="B4" s="498" t="s">
        <v>293</v>
      </c>
      <c r="C4" s="192" t="s">
        <v>21</v>
      </c>
    </row>
    <row r="5" spans="2:3" ht="28" customHeight="1" x14ac:dyDescent="0.2">
      <c r="B5" s="78" t="s">
        <v>189</v>
      </c>
      <c r="C5" s="279" t="s">
        <v>292</v>
      </c>
    </row>
    <row r="6" spans="2:3" ht="28" customHeight="1" x14ac:dyDescent="0.2">
      <c r="B6" s="78" t="s">
        <v>0</v>
      </c>
      <c r="C6" s="280" t="s">
        <v>279</v>
      </c>
    </row>
    <row r="7" spans="2:3" ht="28" customHeight="1" x14ac:dyDescent="0.2">
      <c r="B7" s="78" t="s">
        <v>20</v>
      </c>
      <c r="C7" s="279" t="s">
        <v>396</v>
      </c>
    </row>
    <row r="8" spans="2:3" ht="28" customHeight="1" x14ac:dyDescent="0.2">
      <c r="B8" s="78" t="s">
        <v>22</v>
      </c>
      <c r="C8" s="279" t="s">
        <v>397</v>
      </c>
    </row>
    <row r="9" spans="2:3" ht="28" customHeight="1" x14ac:dyDescent="0.2">
      <c r="B9" s="78" t="s">
        <v>190</v>
      </c>
      <c r="C9" s="279" t="s">
        <v>280</v>
      </c>
    </row>
    <row r="10" spans="2:3" ht="28" customHeight="1" x14ac:dyDescent="0.2">
      <c r="B10" s="78" t="s">
        <v>23</v>
      </c>
      <c r="C10" s="279" t="s">
        <v>281</v>
      </c>
    </row>
    <row r="11" spans="2:3" ht="28" customHeight="1" x14ac:dyDescent="0.2">
      <c r="B11" s="79" t="s">
        <v>24</v>
      </c>
      <c r="C11" s="279" t="s">
        <v>302</v>
      </c>
    </row>
    <row r="12" spans="2:3" ht="28" customHeight="1" x14ac:dyDescent="0.2">
      <c r="B12" s="77" t="s">
        <v>522</v>
      </c>
      <c r="C12" s="279" t="s">
        <v>523</v>
      </c>
    </row>
    <row r="13" spans="2:3" ht="28" customHeight="1" x14ac:dyDescent="0.2">
      <c r="B13" s="77" t="s">
        <v>234</v>
      </c>
      <c r="C13" s="281" t="s">
        <v>398</v>
      </c>
    </row>
    <row r="14" spans="2:3" ht="28" customHeight="1" x14ac:dyDescent="0.2">
      <c r="B14" s="139" t="s">
        <v>258</v>
      </c>
      <c r="C14" s="282" t="s">
        <v>350</v>
      </c>
    </row>
    <row r="15" spans="2:3" ht="28" customHeight="1" x14ac:dyDescent="0.2">
      <c r="B15" s="139" t="s">
        <v>277</v>
      </c>
      <c r="C15" s="279" t="s">
        <v>309</v>
      </c>
    </row>
    <row r="16" spans="2:3" ht="28" customHeight="1" x14ac:dyDescent="0.2">
      <c r="B16" s="139" t="s">
        <v>278</v>
      </c>
      <c r="C16" s="279" t="s">
        <v>310</v>
      </c>
    </row>
    <row r="17" spans="2:3" ht="28" customHeight="1" x14ac:dyDescent="0.2">
      <c r="B17" s="139" t="s">
        <v>283</v>
      </c>
      <c r="C17" s="282" t="s">
        <v>598</v>
      </c>
    </row>
    <row r="18" spans="2:3" s="81" customFormat="1" ht="28" customHeight="1" x14ac:dyDescent="0.2">
      <c r="B18" s="138" t="s">
        <v>263</v>
      </c>
      <c r="C18" s="279" t="s">
        <v>303</v>
      </c>
    </row>
    <row r="19" spans="2:3" s="81" customFormat="1" ht="28" customHeight="1" x14ac:dyDescent="0.2">
      <c r="B19" s="137" t="s">
        <v>261</v>
      </c>
      <c r="C19" s="279" t="s">
        <v>300</v>
      </c>
    </row>
    <row r="20" spans="2:3" s="81" customFormat="1" ht="28" customHeight="1" x14ac:dyDescent="0.2">
      <c r="B20" s="137" t="s">
        <v>262</v>
      </c>
      <c r="C20" s="279" t="s">
        <v>305</v>
      </c>
    </row>
    <row r="21" spans="2:3" ht="28" customHeight="1" x14ac:dyDescent="0.2">
      <c r="B21" s="138" t="s">
        <v>291</v>
      </c>
      <c r="C21" s="279" t="s">
        <v>306</v>
      </c>
    </row>
    <row r="22" spans="2:3" ht="28" customHeight="1" x14ac:dyDescent="0.2">
      <c r="B22" s="137" t="s">
        <v>276</v>
      </c>
      <c r="C22" s="279" t="s">
        <v>304</v>
      </c>
    </row>
    <row r="23" spans="2:3" ht="28" customHeight="1" x14ac:dyDescent="0.2">
      <c r="B23" s="522" t="s">
        <v>425</v>
      </c>
      <c r="C23" s="284" t="s">
        <v>427</v>
      </c>
    </row>
    <row r="24" spans="2:3" ht="28" customHeight="1" x14ac:dyDescent="0.2">
      <c r="B24" s="138" t="s">
        <v>339</v>
      </c>
      <c r="C24" s="279" t="s">
        <v>308</v>
      </c>
    </row>
    <row r="25" spans="2:3" ht="28" customHeight="1" x14ac:dyDescent="0.2">
      <c r="B25" s="137" t="s">
        <v>260</v>
      </c>
      <c r="C25" s="281" t="s">
        <v>301</v>
      </c>
    </row>
    <row r="26" spans="2:3" ht="30" customHeight="1" x14ac:dyDescent="0.2">
      <c r="B26" s="140" t="s">
        <v>446</v>
      </c>
      <c r="C26" s="282" t="s">
        <v>342</v>
      </c>
    </row>
    <row r="27" spans="2:3" s="81" customFormat="1" ht="30" customHeight="1" x14ac:dyDescent="0.2">
      <c r="B27" s="140" t="s">
        <v>447</v>
      </c>
      <c r="C27" s="279" t="s">
        <v>391</v>
      </c>
    </row>
    <row r="28" spans="2:3" s="81" customFormat="1" ht="30" customHeight="1" x14ac:dyDescent="0.2">
      <c r="B28" s="140" t="s">
        <v>451</v>
      </c>
      <c r="C28" s="279" t="s">
        <v>392</v>
      </c>
    </row>
    <row r="29" spans="2:3" s="81" customFormat="1" ht="30" customHeight="1" x14ac:dyDescent="0.2">
      <c r="B29" s="140" t="s">
        <v>448</v>
      </c>
      <c r="C29" s="279" t="s">
        <v>393</v>
      </c>
    </row>
    <row r="30" spans="2:3" ht="30" customHeight="1" x14ac:dyDescent="0.2">
      <c r="B30" s="140" t="s">
        <v>449</v>
      </c>
      <c r="C30" s="279" t="s">
        <v>298</v>
      </c>
    </row>
    <row r="31" spans="2:3" ht="30" customHeight="1" x14ac:dyDescent="0.2">
      <c r="B31" s="140" t="s">
        <v>450</v>
      </c>
      <c r="C31" s="279" t="s">
        <v>299</v>
      </c>
    </row>
    <row r="32" spans="2:3" ht="30" customHeight="1" x14ac:dyDescent="0.2">
      <c r="B32" s="140" t="s">
        <v>599</v>
      </c>
      <c r="C32" s="279" t="s">
        <v>600</v>
      </c>
    </row>
    <row r="33" spans="2:3" ht="30" customHeight="1" x14ac:dyDescent="0.2">
      <c r="B33" s="140" t="s">
        <v>601</v>
      </c>
      <c r="C33" s="279" t="s">
        <v>602</v>
      </c>
    </row>
    <row r="34" spans="2:3" ht="30" customHeight="1" x14ac:dyDescent="0.2">
      <c r="B34" s="140" t="s">
        <v>603</v>
      </c>
      <c r="C34" s="279" t="s">
        <v>604</v>
      </c>
    </row>
    <row r="35" spans="2:3" ht="30" customHeight="1" x14ac:dyDescent="0.2">
      <c r="B35" s="140" t="s">
        <v>605</v>
      </c>
      <c r="C35" s="279" t="s">
        <v>606</v>
      </c>
    </row>
    <row r="36" spans="2:3" ht="28" customHeight="1" x14ac:dyDescent="0.2">
      <c r="B36" s="285" t="s">
        <v>610</v>
      </c>
      <c r="C36" s="286" t="s">
        <v>607</v>
      </c>
    </row>
    <row r="37" spans="2:3" ht="28" customHeight="1" x14ac:dyDescent="0.2">
      <c r="B37" s="285" t="s">
        <v>611</v>
      </c>
      <c r="C37" s="286" t="s">
        <v>608</v>
      </c>
    </row>
    <row r="38" spans="2:3" ht="28" customHeight="1" x14ac:dyDescent="0.2">
      <c r="B38" s="285" t="s">
        <v>554</v>
      </c>
      <c r="C38" s="286" t="s">
        <v>609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7" tint="0.39997558519241921"/>
  </sheetPr>
  <dimension ref="A1:D24"/>
  <sheetViews>
    <sheetView workbookViewId="0"/>
  </sheetViews>
  <sheetFormatPr baseColWidth="10" defaultRowHeight="16" x14ac:dyDescent="0.2"/>
  <cols>
    <col min="1" max="1" width="62.1640625" customWidth="1"/>
    <col min="2" max="2" width="17.33203125" bestFit="1" customWidth="1"/>
    <col min="3" max="3" width="6.6640625" customWidth="1"/>
    <col min="4" max="4" width="14.5" bestFit="1" customWidth="1"/>
  </cols>
  <sheetData>
    <row r="1" spans="1:4" x14ac:dyDescent="0.2">
      <c r="A1" s="231" t="s">
        <v>534</v>
      </c>
    </row>
    <row r="2" spans="1:4" x14ac:dyDescent="0.2">
      <c r="A2" s="231" t="s">
        <v>296</v>
      </c>
      <c r="B2" s="231" t="s">
        <v>290</v>
      </c>
      <c r="D2" s="231"/>
    </row>
    <row r="3" spans="1:4" x14ac:dyDescent="0.2">
      <c r="A3" s="231" t="s">
        <v>453</v>
      </c>
      <c r="B3" s="292" t="e">
        <f>'Steel and alu eff'!H13</f>
        <v>#DIV/0!</v>
      </c>
      <c r="D3" s="231"/>
    </row>
    <row r="4" spans="1:4" x14ac:dyDescent="0.2">
      <c r="A4" s="231" t="s">
        <v>454</v>
      </c>
      <c r="B4" s="292" t="e">
        <f>'Steel and alu eff'!I13</f>
        <v>#DIV/0!</v>
      </c>
      <c r="D4" s="231"/>
    </row>
    <row r="5" spans="1:4" x14ac:dyDescent="0.2">
      <c r="A5" s="231" t="s">
        <v>442</v>
      </c>
      <c r="B5" s="189" t="e">
        <f>'Steel and alu eff'!K13</f>
        <v>#DIV/0!</v>
      </c>
      <c r="D5" s="231"/>
    </row>
    <row r="6" spans="1:4" x14ac:dyDescent="0.2">
      <c r="A6" s="231"/>
      <c r="B6" s="231"/>
      <c r="C6" s="189"/>
      <c r="D6" s="231"/>
    </row>
    <row r="7" spans="1:4" x14ac:dyDescent="0.2">
      <c r="A7" s="231"/>
      <c r="B7" s="231"/>
      <c r="C7" s="189"/>
      <c r="D7" s="231"/>
    </row>
    <row r="8" spans="1:4" x14ac:dyDescent="0.2">
      <c r="A8" s="231"/>
      <c r="B8" s="231"/>
      <c r="C8" s="189"/>
      <c r="D8" s="231"/>
    </row>
    <row r="9" spans="1:4" x14ac:dyDescent="0.2">
      <c r="A9" s="231"/>
      <c r="B9" s="231"/>
      <c r="C9" s="189"/>
      <c r="D9" s="231"/>
    </row>
    <row r="10" spans="1:4" x14ac:dyDescent="0.2">
      <c r="A10" s="231"/>
      <c r="B10" s="231"/>
      <c r="C10" s="189"/>
      <c r="D10" s="231"/>
    </row>
    <row r="11" spans="1:4" x14ac:dyDescent="0.2">
      <c r="A11" s="231"/>
      <c r="B11" s="231"/>
      <c r="C11" s="189"/>
      <c r="D11" s="231"/>
    </row>
    <row r="12" spans="1:4" x14ac:dyDescent="0.2">
      <c r="A12" s="231"/>
      <c r="B12" s="231"/>
      <c r="C12" s="189"/>
      <c r="D12" s="231"/>
    </row>
    <row r="13" spans="1:4" x14ac:dyDescent="0.2">
      <c r="A13" s="231"/>
      <c r="B13" s="231"/>
      <c r="C13" s="189"/>
      <c r="D13" s="231"/>
    </row>
    <row r="14" spans="1:4" x14ac:dyDescent="0.2">
      <c r="A14" s="231"/>
      <c r="B14" s="231"/>
      <c r="C14" s="189"/>
      <c r="D14" s="231"/>
    </row>
    <row r="15" spans="1:4" x14ac:dyDescent="0.2">
      <c r="A15" s="231"/>
      <c r="B15" s="231"/>
      <c r="C15" s="189"/>
      <c r="D15" s="231"/>
    </row>
    <row r="16" spans="1:4" x14ac:dyDescent="0.2">
      <c r="A16" s="231"/>
      <c r="B16" s="231"/>
      <c r="C16" s="189"/>
      <c r="D16" s="231"/>
    </row>
    <row r="17" spans="1:4" x14ac:dyDescent="0.2">
      <c r="A17" s="231"/>
      <c r="B17" s="231"/>
      <c r="C17" s="189"/>
      <c r="D17" s="231"/>
    </row>
    <row r="18" spans="1:4" x14ac:dyDescent="0.2">
      <c r="A18" s="231"/>
      <c r="B18" s="231"/>
      <c r="C18" s="189"/>
      <c r="D18" s="231"/>
    </row>
    <row r="19" spans="1:4" x14ac:dyDescent="0.2">
      <c r="A19" s="231"/>
      <c r="B19" s="231"/>
      <c r="C19" s="189"/>
      <c r="D19" s="231"/>
    </row>
    <row r="20" spans="1:4" x14ac:dyDescent="0.2">
      <c r="A20" s="231"/>
      <c r="B20" s="231"/>
      <c r="C20" s="189"/>
      <c r="D20" s="231"/>
    </row>
    <row r="21" spans="1:4" x14ac:dyDescent="0.2">
      <c r="A21" s="231"/>
      <c r="B21" s="231"/>
      <c r="C21" s="189"/>
      <c r="D21" s="231"/>
    </row>
    <row r="22" spans="1:4" x14ac:dyDescent="0.2">
      <c r="A22" s="231"/>
      <c r="B22" s="231"/>
      <c r="C22" s="189"/>
      <c r="D22" s="231"/>
    </row>
    <row r="23" spans="1:4" x14ac:dyDescent="0.2">
      <c r="A23" s="231"/>
      <c r="B23" s="231"/>
      <c r="C23" s="189"/>
      <c r="D23" s="231"/>
    </row>
    <row r="24" spans="1:4" x14ac:dyDescent="0.2">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7" tint="0.39997558519241921"/>
  </sheetPr>
  <dimension ref="A1:D24"/>
  <sheetViews>
    <sheetView workbookViewId="0"/>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s="231" t="s">
        <v>533</v>
      </c>
    </row>
    <row r="2" spans="1:4" x14ac:dyDescent="0.2">
      <c r="A2" s="231" t="s">
        <v>296</v>
      </c>
      <c r="B2" s="231" t="s">
        <v>290</v>
      </c>
      <c r="D2" s="231"/>
    </row>
    <row r="3" spans="1:4" x14ac:dyDescent="0.2">
      <c r="A3" s="231" t="s">
        <v>453</v>
      </c>
      <c r="B3" s="292" t="e">
        <f>'Steel and alu eff'!H14</f>
        <v>#DIV/0!</v>
      </c>
      <c r="D3" s="231"/>
    </row>
    <row r="4" spans="1:4" x14ac:dyDescent="0.2">
      <c r="A4" s="231" t="s">
        <v>454</v>
      </c>
      <c r="B4" s="292" t="e">
        <f>'Steel and alu eff'!I14</f>
        <v>#DIV/0!</v>
      </c>
      <c r="D4" s="231"/>
    </row>
    <row r="5" spans="1:4" x14ac:dyDescent="0.2">
      <c r="A5" s="231" t="s">
        <v>442</v>
      </c>
      <c r="B5" s="189" t="e">
        <f>'Steel and alu eff'!K14</f>
        <v>#DIV/0!</v>
      </c>
      <c r="D5" s="231"/>
    </row>
    <row r="6" spans="1:4" x14ac:dyDescent="0.2">
      <c r="A6" s="231"/>
      <c r="B6" s="231"/>
      <c r="C6" s="189"/>
      <c r="D6" s="231"/>
    </row>
    <row r="7" spans="1:4" x14ac:dyDescent="0.2">
      <c r="A7" s="231"/>
      <c r="B7" s="231"/>
      <c r="C7" s="189"/>
      <c r="D7" s="231"/>
    </row>
    <row r="8" spans="1:4" x14ac:dyDescent="0.2">
      <c r="A8" s="231"/>
      <c r="B8" s="231"/>
      <c r="C8" s="189"/>
      <c r="D8" s="231"/>
    </row>
    <row r="9" spans="1:4" x14ac:dyDescent="0.2">
      <c r="A9" s="231"/>
      <c r="B9" s="231"/>
      <c r="C9" s="189"/>
      <c r="D9" s="231"/>
    </row>
    <row r="10" spans="1:4" x14ac:dyDescent="0.2">
      <c r="A10" s="231"/>
      <c r="B10" s="231"/>
      <c r="C10" s="189"/>
      <c r="D10" s="231"/>
    </row>
    <row r="11" spans="1:4" x14ac:dyDescent="0.2">
      <c r="A11" s="231"/>
      <c r="B11" s="231"/>
      <c r="C11" s="189"/>
      <c r="D11" s="231"/>
    </row>
    <row r="12" spans="1:4" x14ac:dyDescent="0.2">
      <c r="A12" s="231"/>
      <c r="B12" s="231"/>
      <c r="C12" s="189"/>
      <c r="D12" s="231"/>
    </row>
    <row r="13" spans="1:4" x14ac:dyDescent="0.2">
      <c r="A13" s="231"/>
      <c r="B13" s="231"/>
      <c r="C13" s="189"/>
      <c r="D13" s="231"/>
    </row>
    <row r="14" spans="1:4" x14ac:dyDescent="0.2">
      <c r="A14" s="231"/>
      <c r="B14" s="231"/>
      <c r="C14" s="189"/>
      <c r="D14" s="231"/>
    </row>
    <row r="15" spans="1:4" x14ac:dyDescent="0.2">
      <c r="A15" s="231"/>
      <c r="B15" s="231"/>
      <c r="C15" s="189"/>
      <c r="D15" s="231"/>
    </row>
    <row r="16" spans="1:4" x14ac:dyDescent="0.2">
      <c r="A16" s="231"/>
      <c r="B16" s="231"/>
      <c r="C16" s="189"/>
      <c r="D16" s="231"/>
    </row>
    <row r="17" spans="1:4" x14ac:dyDescent="0.2">
      <c r="A17" s="231"/>
      <c r="B17" s="231"/>
      <c r="C17" s="189"/>
      <c r="D17" s="231"/>
    </row>
    <row r="18" spans="1:4" x14ac:dyDescent="0.2">
      <c r="A18" s="231"/>
      <c r="B18" s="231"/>
      <c r="C18" s="189"/>
      <c r="D18" s="231"/>
    </row>
    <row r="19" spans="1:4" x14ac:dyDescent="0.2">
      <c r="A19" s="231"/>
      <c r="B19" s="231"/>
      <c r="C19" s="189"/>
      <c r="D19" s="231"/>
    </row>
    <row r="20" spans="1:4" x14ac:dyDescent="0.2">
      <c r="A20" s="231"/>
      <c r="B20" s="231"/>
      <c r="C20" s="189"/>
      <c r="D20" s="231"/>
    </row>
    <row r="21" spans="1:4" x14ac:dyDescent="0.2">
      <c r="A21" s="231"/>
      <c r="B21" s="231"/>
      <c r="C21" s="189"/>
      <c r="D21" s="231"/>
    </row>
    <row r="22" spans="1:4" x14ac:dyDescent="0.2">
      <c r="A22" s="231"/>
      <c r="B22" s="231"/>
      <c r="C22" s="189"/>
      <c r="D22" s="231"/>
    </row>
    <row r="23" spans="1:4" x14ac:dyDescent="0.2">
      <c r="A23" s="231"/>
      <c r="B23" s="231"/>
      <c r="C23" s="189"/>
      <c r="D23" s="231"/>
    </row>
    <row r="24" spans="1:4" x14ac:dyDescent="0.2">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7" tint="0.39997558519241921"/>
  </sheetPr>
  <dimension ref="A1:D5"/>
  <sheetViews>
    <sheetView workbookViewId="0"/>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s="231" t="s">
        <v>532</v>
      </c>
    </row>
    <row r="2" spans="1:4" x14ac:dyDescent="0.2">
      <c r="A2" s="231" t="s">
        <v>296</v>
      </c>
      <c r="B2" s="231" t="s">
        <v>290</v>
      </c>
      <c r="C2" s="231"/>
      <c r="D2" s="231"/>
    </row>
    <row r="3" spans="1:4" x14ac:dyDescent="0.2">
      <c r="A3" s="231" t="s">
        <v>456</v>
      </c>
      <c r="B3" s="189" t="e">
        <f>'Cokes eff'!D11</f>
        <v>#DIV/0!</v>
      </c>
      <c r="D3" s="231"/>
    </row>
    <row r="4" spans="1:4" x14ac:dyDescent="0.2">
      <c r="A4" s="231" t="s">
        <v>455</v>
      </c>
      <c r="B4" s="189" t="e">
        <f>'Cokes eff'!E11</f>
        <v>#DIV/0!</v>
      </c>
      <c r="D4" s="231"/>
    </row>
    <row r="5" spans="1:4" x14ac:dyDescent="0.2">
      <c r="A5" s="231" t="s">
        <v>535</v>
      </c>
      <c r="B5" s="189" t="e">
        <f>'Trans cons factors'!F16</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7" tint="0.39997558519241921"/>
  </sheetPr>
  <dimension ref="A1:D4"/>
  <sheetViews>
    <sheetView workbookViewId="0"/>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s="231" t="s">
        <v>531</v>
      </c>
    </row>
    <row r="2" spans="1:4" x14ac:dyDescent="0.2">
      <c r="A2" s="231" t="s">
        <v>296</v>
      </c>
      <c r="B2" s="231" t="s">
        <v>290</v>
      </c>
      <c r="C2" s="231"/>
      <c r="D2" s="231"/>
    </row>
    <row r="3" spans="1:4" x14ac:dyDescent="0.2">
      <c r="A3" s="231" t="s">
        <v>442</v>
      </c>
      <c r="B3" s="189" t="e">
        <f>'Cokes eff'!I11</f>
        <v>#DIV/0!</v>
      </c>
      <c r="D3" s="231"/>
    </row>
    <row r="4" spans="1:4" x14ac:dyDescent="0.2">
      <c r="A4" s="231" t="s">
        <v>443</v>
      </c>
      <c r="B4" s="189" t="e">
        <f>'Cokes eff'!H11</f>
        <v>#DIV/0!</v>
      </c>
      <c r="D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7" tint="0.39997558519241921"/>
  </sheetPr>
  <dimension ref="A1:B6"/>
  <sheetViews>
    <sheetView workbookViewId="0">
      <selection activeCell="B7" sqref="B7"/>
    </sheetView>
  </sheetViews>
  <sheetFormatPr baseColWidth="10" defaultRowHeight="16" x14ac:dyDescent="0.2"/>
  <cols>
    <col min="1" max="1" width="48.83203125" bestFit="1" customWidth="1"/>
  </cols>
  <sheetData>
    <row r="1" spans="1:2" x14ac:dyDescent="0.2">
      <c r="A1" t="s">
        <v>550</v>
      </c>
    </row>
    <row r="2" spans="1:2" x14ac:dyDescent="0.2">
      <c r="A2" t="s">
        <v>296</v>
      </c>
      <c r="B2" t="s">
        <v>551</v>
      </c>
    </row>
    <row r="3" spans="1:2" x14ac:dyDescent="0.2">
      <c r="A3" t="s">
        <v>423</v>
      </c>
      <c r="B3" s="397" t="e">
        <f>'Steel and alu demand'!F24</f>
        <v>#DIV/0!</v>
      </c>
    </row>
    <row r="4" spans="1:2" x14ac:dyDescent="0.2">
      <c r="A4" t="s">
        <v>422</v>
      </c>
      <c r="B4" s="397" t="e">
        <f>'Steel and alu demand'!F25</f>
        <v>#DIV/0!</v>
      </c>
    </row>
    <row r="5" spans="1:2" x14ac:dyDescent="0.2">
      <c r="A5" t="s">
        <v>552</v>
      </c>
      <c r="B5" s="397" t="e">
        <f>'Steel and alu demand'!F26</f>
        <v>#DIV/0!</v>
      </c>
    </row>
    <row r="6" spans="1:2" x14ac:dyDescent="0.2">
      <c r="A6" t="s">
        <v>426</v>
      </c>
      <c r="B6" s="397" t="e">
        <f>'Cokes demand'!F12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2"/>
  <sheetViews>
    <sheetView topLeftCell="A2" workbookViewId="0"/>
  </sheetViews>
  <sheetFormatPr baseColWidth="10" defaultRowHeight="16" x14ac:dyDescent="0.2"/>
  <cols>
    <col min="1" max="1" width="10.83203125" style="1"/>
    <col min="2" max="2" width="140.83203125" style="1" customWidth="1"/>
    <col min="3" max="16384" width="10.83203125" style="1"/>
  </cols>
  <sheetData>
    <row r="2" spans="2:2" ht="21" x14ac:dyDescent="0.25">
      <c r="B2" s="2" t="s">
        <v>22</v>
      </c>
    </row>
    <row r="4" spans="2:2" x14ac:dyDescent="0.2">
      <c r="B4" s="51" t="s">
        <v>27</v>
      </c>
    </row>
    <row r="5" spans="2:2" x14ac:dyDescent="0.2">
      <c r="B5" s="42"/>
    </row>
    <row r="6" spans="2:2" ht="136" x14ac:dyDescent="0.2">
      <c r="B6" s="200" t="s">
        <v>549</v>
      </c>
    </row>
    <row r="7" spans="2:2" x14ac:dyDescent="0.2">
      <c r="B7" s="201"/>
    </row>
    <row r="8" spans="2:2" x14ac:dyDescent="0.2">
      <c r="B8" s="63"/>
    </row>
    <row r="9" spans="2:2" x14ac:dyDescent="0.2">
      <c r="B9" s="64" t="s">
        <v>191</v>
      </c>
    </row>
    <row r="10" spans="2:2" x14ac:dyDescent="0.2">
      <c r="B10" s="65"/>
    </row>
    <row r="11" spans="2:2" x14ac:dyDescent="0.2">
      <c r="B11" s="199" t="s">
        <v>525</v>
      </c>
    </row>
    <row r="12" spans="2:2" x14ac:dyDescent="0.2">
      <c r="B12" s="199" t="s">
        <v>400</v>
      </c>
    </row>
    <row r="13" spans="2:2" x14ac:dyDescent="0.2">
      <c r="B13" s="199" t="s">
        <v>465</v>
      </c>
    </row>
    <row r="14" spans="2:2" x14ac:dyDescent="0.2">
      <c r="B14" s="199" t="s">
        <v>409</v>
      </c>
    </row>
    <row r="15" spans="2:2" x14ac:dyDescent="0.2">
      <c r="B15" s="199" t="s">
        <v>410</v>
      </c>
    </row>
    <row r="16" spans="2:2" x14ac:dyDescent="0.2">
      <c r="B16" s="199" t="s">
        <v>466</v>
      </c>
    </row>
    <row r="17" spans="2:2" x14ac:dyDescent="0.2">
      <c r="B17" s="41"/>
    </row>
    <row r="19" spans="2:2" x14ac:dyDescent="0.2">
      <c r="B19" s="51" t="s">
        <v>470</v>
      </c>
    </row>
    <row r="20" spans="2:2" x14ac:dyDescent="0.2">
      <c r="B20" s="42"/>
    </row>
    <row r="21" spans="2:2" ht="102" x14ac:dyDescent="0.2">
      <c r="B21" s="202" t="s">
        <v>399</v>
      </c>
    </row>
    <row r="22" spans="2:2" x14ac:dyDescent="0.2">
      <c r="B22"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B9"/>
  <sheetViews>
    <sheetView topLeftCell="A3" workbookViewId="0">
      <selection activeCell="B1" sqref="B1"/>
    </sheetView>
  </sheetViews>
  <sheetFormatPr baseColWidth="10" defaultColWidth="2.83203125" defaultRowHeight="16" x14ac:dyDescent="0.2"/>
  <cols>
    <col min="1" max="16384" width="2.83203125" style="1"/>
  </cols>
  <sheetData>
    <row r="2" spans="2:80" ht="20" customHeight="1" x14ac:dyDescent="0.2">
      <c r="B2" s="55" t="s">
        <v>590</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row>
    <row r="3" spans="2:80" ht="15" customHeight="1" x14ac:dyDescent="0.2">
      <c r="B3" s="55"/>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row>
    <row r="4" spans="2:80" ht="15" customHeight="1" x14ac:dyDescent="0.2">
      <c r="B4" s="56" t="s">
        <v>83</v>
      </c>
      <c r="C4" s="57"/>
      <c r="D4" s="57"/>
      <c r="E4" s="57"/>
      <c r="F4" s="57"/>
      <c r="G4" s="57"/>
      <c r="H4" s="57"/>
      <c r="I4" s="57"/>
      <c r="J4" s="57"/>
      <c r="K4" s="57"/>
      <c r="L4" s="57"/>
      <c r="M4" s="57"/>
      <c r="N4" s="57"/>
      <c r="O4" s="57"/>
      <c r="P4" s="58"/>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row>
    <row r="5" spans="2:80" ht="15" customHeight="1" x14ac:dyDescent="0.2">
      <c r="B5" s="59" t="s">
        <v>188</v>
      </c>
      <c r="C5" s="60"/>
      <c r="D5" s="60"/>
      <c r="E5" s="60"/>
      <c r="F5" s="60"/>
      <c r="G5" s="60"/>
      <c r="H5" s="60"/>
      <c r="I5" s="60"/>
      <c r="J5" s="60"/>
      <c r="K5" s="60"/>
      <c r="L5" s="60"/>
      <c r="M5" s="60"/>
      <c r="N5" s="60"/>
      <c r="O5" s="60"/>
      <c r="P5" s="61"/>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2:80" ht="15" customHeight="1" x14ac:dyDescent="0.2">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row>
    <row r="7" spans="2:80" ht="24" x14ac:dyDescent="0.2">
      <c r="B7" s="54"/>
      <c r="C7" s="66" t="s">
        <v>185</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M7" s="54"/>
      <c r="AN7" s="66" t="s">
        <v>186</v>
      </c>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R7" s="54"/>
      <c r="BS7" s="54"/>
      <c r="BT7" s="54"/>
      <c r="BU7" s="66" t="s">
        <v>187</v>
      </c>
    </row>
    <row r="9" spans="2:80" x14ac:dyDescent="0.2">
      <c r="CB9" s="50"/>
    </row>
  </sheetData>
  <phoneticPr fontId="21"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24"/>
  <sheetViews>
    <sheetView topLeftCell="A6" workbookViewId="0">
      <selection activeCell="C15" sqref="C15"/>
    </sheetView>
  </sheetViews>
  <sheetFormatPr baseColWidth="10" defaultRowHeight="16" x14ac:dyDescent="0.2"/>
  <cols>
    <col min="1" max="1" width="10.83203125" style="191"/>
    <col min="2" max="2" width="25.5" style="191" customWidth="1"/>
    <col min="3" max="4" width="75.83203125" style="191" customWidth="1"/>
    <col min="5" max="16384" width="10.83203125" style="191"/>
  </cols>
  <sheetData>
    <row r="2" spans="2:3" ht="21" x14ac:dyDescent="0.2">
      <c r="B2" s="55" t="s">
        <v>23</v>
      </c>
      <c r="C2" s="55"/>
    </row>
    <row r="4" spans="2:3" x14ac:dyDescent="0.2">
      <c r="B4" s="56" t="s">
        <v>83</v>
      </c>
      <c r="C4" s="610"/>
    </row>
    <row r="5" spans="2:3" ht="75" customHeight="1" x14ac:dyDescent="0.2">
      <c r="B5" s="655" t="s">
        <v>411</v>
      </c>
      <c r="C5" s="656"/>
    </row>
    <row r="6" spans="2:3" ht="17" thickBot="1" x14ac:dyDescent="0.25"/>
    <row r="7" spans="2:3" x14ac:dyDescent="0.2">
      <c r="B7" s="611" t="s">
        <v>28</v>
      </c>
      <c r="C7" s="612"/>
    </row>
    <row r="8" spans="2:3" x14ac:dyDescent="0.2">
      <c r="B8" s="613"/>
      <c r="C8" s="614"/>
    </row>
    <row r="9" spans="2:3" x14ac:dyDescent="0.2">
      <c r="B9" s="615" t="s">
        <v>29</v>
      </c>
      <c r="C9" s="616" t="s">
        <v>30</v>
      </c>
    </row>
    <row r="10" spans="2:3" x14ac:dyDescent="0.2">
      <c r="B10" s="617" t="s">
        <v>32</v>
      </c>
      <c r="C10" s="618"/>
    </row>
    <row r="11" spans="2:3" ht="34" x14ac:dyDescent="0.2">
      <c r="B11" s="613"/>
      <c r="C11" s="619" t="s">
        <v>316</v>
      </c>
    </row>
    <row r="12" spans="2:3" ht="34" x14ac:dyDescent="0.2">
      <c r="B12" s="613"/>
      <c r="C12" s="619" t="s">
        <v>318</v>
      </c>
    </row>
    <row r="13" spans="2:3" ht="17" x14ac:dyDescent="0.2">
      <c r="B13" s="613"/>
      <c r="C13" s="619" t="s">
        <v>317</v>
      </c>
    </row>
    <row r="14" spans="2:3" ht="51" x14ac:dyDescent="0.2">
      <c r="B14" s="613"/>
      <c r="C14" s="619" t="s">
        <v>315</v>
      </c>
    </row>
    <row r="15" spans="2:3" ht="34" x14ac:dyDescent="0.2">
      <c r="B15" s="613"/>
      <c r="C15" s="619" t="s">
        <v>345</v>
      </c>
    </row>
    <row r="16" spans="2:3" ht="17" thickBot="1" x14ac:dyDescent="0.25">
      <c r="B16" s="620"/>
      <c r="C16" s="621"/>
    </row>
    <row r="17" spans="2:4" s="622" customFormat="1" ht="17" thickBot="1" x14ac:dyDescent="0.25">
      <c r="C17" s="623"/>
      <c r="D17" s="623"/>
    </row>
    <row r="18" spans="2:4" x14ac:dyDescent="0.2">
      <c r="B18" s="611" t="s">
        <v>183</v>
      </c>
      <c r="C18" s="624"/>
      <c r="D18" s="625"/>
    </row>
    <row r="19" spans="2:4" x14ac:dyDescent="0.2">
      <c r="B19" s="613"/>
      <c r="C19" s="622"/>
      <c r="D19" s="614"/>
    </row>
    <row r="20" spans="2:4" x14ac:dyDescent="0.2">
      <c r="B20" s="615" t="s">
        <v>29</v>
      </c>
      <c r="C20" s="626" t="s">
        <v>30</v>
      </c>
      <c r="D20" s="616" t="s">
        <v>192</v>
      </c>
    </row>
    <row r="21" spans="2:4" x14ac:dyDescent="0.2">
      <c r="B21" s="627" t="s">
        <v>209</v>
      </c>
      <c r="C21" s="628"/>
      <c r="D21" s="629"/>
    </row>
    <row r="22" spans="2:4" ht="34" x14ac:dyDescent="0.2">
      <c r="B22" s="627"/>
      <c r="C22" s="198" t="s">
        <v>209</v>
      </c>
      <c r="D22" s="619" t="s">
        <v>346</v>
      </c>
    </row>
    <row r="23" spans="2:4" ht="17" x14ac:dyDescent="0.2">
      <c r="B23" s="627"/>
      <c r="C23" s="198" t="s">
        <v>211</v>
      </c>
      <c r="D23" s="619" t="s">
        <v>312</v>
      </c>
    </row>
    <row r="24" spans="2:4" ht="17" x14ac:dyDescent="0.2">
      <c r="B24" s="627"/>
      <c r="C24" s="198" t="s">
        <v>212</v>
      </c>
      <c r="D24" s="619" t="s">
        <v>312</v>
      </c>
    </row>
    <row r="25" spans="2:4" ht="17" x14ac:dyDescent="0.2">
      <c r="B25" s="627"/>
      <c r="C25" s="198" t="s">
        <v>213</v>
      </c>
      <c r="D25" s="619" t="s">
        <v>312</v>
      </c>
    </row>
    <row r="26" spans="2:4" ht="17" x14ac:dyDescent="0.2">
      <c r="B26" s="627"/>
      <c r="C26" s="198" t="s">
        <v>214</v>
      </c>
      <c r="D26" s="619" t="s">
        <v>312</v>
      </c>
    </row>
    <row r="27" spans="2:4" x14ac:dyDescent="0.2">
      <c r="B27" s="627"/>
      <c r="C27" s="623"/>
      <c r="D27" s="630"/>
    </row>
    <row r="28" spans="2:4" ht="17" x14ac:dyDescent="0.2">
      <c r="B28" s="627"/>
      <c r="C28" s="623" t="s">
        <v>622</v>
      </c>
      <c r="D28" s="630" t="s">
        <v>312</v>
      </c>
    </row>
    <row r="29" spans="2:4" ht="17" x14ac:dyDescent="0.2">
      <c r="B29" s="627"/>
      <c r="C29" s="198" t="s">
        <v>313</v>
      </c>
      <c r="D29" s="619" t="s">
        <v>312</v>
      </c>
    </row>
    <row r="30" spans="2:4" ht="17" x14ac:dyDescent="0.2">
      <c r="B30" s="627"/>
      <c r="C30" s="198" t="s">
        <v>314</v>
      </c>
      <c r="D30" s="619" t="s">
        <v>312</v>
      </c>
    </row>
    <row r="31" spans="2:4" x14ac:dyDescent="0.2">
      <c r="B31" s="627"/>
      <c r="C31" s="631"/>
      <c r="D31" s="630"/>
    </row>
    <row r="32" spans="2:4" x14ac:dyDescent="0.2">
      <c r="B32" s="627" t="s">
        <v>226</v>
      </c>
      <c r="C32" s="631"/>
      <c r="D32" s="630"/>
    </row>
    <row r="33" spans="2:4" ht="34" x14ac:dyDescent="0.2">
      <c r="B33" s="627"/>
      <c r="C33" s="198" t="s">
        <v>226</v>
      </c>
      <c r="D33" s="619" t="s">
        <v>347</v>
      </c>
    </row>
    <row r="34" spans="2:4" ht="17" x14ac:dyDescent="0.2">
      <c r="B34" s="632"/>
      <c r="C34" s="198" t="s">
        <v>222</v>
      </c>
      <c r="D34" s="619" t="s">
        <v>312</v>
      </c>
    </row>
    <row r="35" spans="2:4" ht="17" x14ac:dyDescent="0.2">
      <c r="B35" s="632"/>
      <c r="C35" s="198" t="s">
        <v>223</v>
      </c>
      <c r="D35" s="619" t="s">
        <v>312</v>
      </c>
    </row>
    <row r="36" spans="2:4" ht="17" x14ac:dyDescent="0.2">
      <c r="B36" s="632"/>
      <c r="C36" s="198" t="s">
        <v>224</v>
      </c>
      <c r="D36" s="619" t="s">
        <v>312</v>
      </c>
    </row>
    <row r="37" spans="2:4" ht="17" x14ac:dyDescent="0.2">
      <c r="B37" s="633"/>
      <c r="C37" s="198" t="s">
        <v>225</v>
      </c>
      <c r="D37" s="619" t="s">
        <v>312</v>
      </c>
    </row>
    <row r="38" spans="2:4" x14ac:dyDescent="0.2">
      <c r="B38" s="633"/>
      <c r="C38" s="634"/>
      <c r="D38" s="635"/>
    </row>
    <row r="39" spans="2:4" ht="17" thickBot="1" x14ac:dyDescent="0.25">
      <c r="B39" s="636"/>
      <c r="C39" s="637"/>
      <c r="D39" s="638"/>
    </row>
    <row r="40" spans="2:4" ht="17" thickBot="1" x14ac:dyDescent="0.25"/>
    <row r="41" spans="2:4" x14ac:dyDescent="0.2">
      <c r="B41" s="611" t="s">
        <v>193</v>
      </c>
      <c r="C41" s="625"/>
    </row>
    <row r="42" spans="2:4" x14ac:dyDescent="0.2">
      <c r="B42" s="613"/>
      <c r="C42" s="614"/>
    </row>
    <row r="43" spans="2:4" x14ac:dyDescent="0.2">
      <c r="B43" s="615" t="s">
        <v>412</v>
      </c>
      <c r="C43" s="639" t="s">
        <v>414</v>
      </c>
    </row>
    <row r="44" spans="2:4" x14ac:dyDescent="0.2">
      <c r="B44" s="640" t="s">
        <v>194</v>
      </c>
      <c r="C44" s="641" t="s">
        <v>33</v>
      </c>
    </row>
    <row r="45" spans="2:4" x14ac:dyDescent="0.2">
      <c r="B45" s="613"/>
      <c r="C45" s="641" t="s">
        <v>34</v>
      </c>
    </row>
    <row r="46" spans="2:4" x14ac:dyDescent="0.2">
      <c r="B46" s="613"/>
      <c r="C46" s="641" t="s">
        <v>35</v>
      </c>
    </row>
    <row r="47" spans="2:4" x14ac:dyDescent="0.2">
      <c r="B47" s="613"/>
      <c r="C47" s="641" t="s">
        <v>36</v>
      </c>
    </row>
    <row r="48" spans="2:4" x14ac:dyDescent="0.2">
      <c r="B48" s="613"/>
      <c r="C48" s="641" t="s">
        <v>37</v>
      </c>
    </row>
    <row r="49" spans="2:3" x14ac:dyDescent="0.2">
      <c r="B49" s="613"/>
      <c r="C49" s="641" t="s">
        <v>38</v>
      </c>
    </row>
    <row r="50" spans="2:3" x14ac:dyDescent="0.2">
      <c r="B50" s="613"/>
      <c r="C50" s="642" t="s">
        <v>39</v>
      </c>
    </row>
    <row r="51" spans="2:3" x14ac:dyDescent="0.2">
      <c r="B51" s="627"/>
      <c r="C51" s="642" t="s">
        <v>49</v>
      </c>
    </row>
    <row r="52" spans="2:3" x14ac:dyDescent="0.2">
      <c r="B52" s="613"/>
      <c r="C52" s="641" t="s">
        <v>40</v>
      </c>
    </row>
    <row r="53" spans="2:3" x14ac:dyDescent="0.2">
      <c r="B53" s="613"/>
      <c r="C53" s="642" t="s">
        <v>401</v>
      </c>
    </row>
    <row r="54" spans="2:3" x14ac:dyDescent="0.2">
      <c r="B54" s="613"/>
      <c r="C54" s="641" t="s">
        <v>42</v>
      </c>
    </row>
    <row r="55" spans="2:3" x14ac:dyDescent="0.2">
      <c r="B55" s="613"/>
      <c r="C55" s="641" t="s">
        <v>43</v>
      </c>
    </row>
    <row r="56" spans="2:3" x14ac:dyDescent="0.2">
      <c r="B56" s="613"/>
      <c r="C56" s="642" t="s">
        <v>44</v>
      </c>
    </row>
    <row r="57" spans="2:3" x14ac:dyDescent="0.2">
      <c r="B57" s="613"/>
      <c r="C57" s="642"/>
    </row>
    <row r="58" spans="2:3" x14ac:dyDescent="0.2">
      <c r="B58" s="643" t="s">
        <v>205</v>
      </c>
      <c r="C58" s="644" t="s">
        <v>413</v>
      </c>
    </row>
    <row r="59" spans="2:3" x14ac:dyDescent="0.2">
      <c r="B59" s="645"/>
      <c r="C59" s="646"/>
    </row>
    <row r="60" spans="2:3" x14ac:dyDescent="0.2">
      <c r="B60" s="643" t="s">
        <v>206</v>
      </c>
      <c r="C60" s="641" t="s">
        <v>46</v>
      </c>
    </row>
    <row r="61" spans="2:3" x14ac:dyDescent="0.2">
      <c r="B61" s="640"/>
      <c r="C61" s="641" t="s">
        <v>47</v>
      </c>
    </row>
    <row r="62" spans="2:3" x14ac:dyDescent="0.2">
      <c r="B62" s="640"/>
      <c r="C62" s="642" t="s">
        <v>439</v>
      </c>
    </row>
    <row r="63" spans="2:3" x14ac:dyDescent="0.2">
      <c r="B63" s="645"/>
      <c r="C63" s="646"/>
    </row>
    <row r="64" spans="2:3" x14ac:dyDescent="0.2">
      <c r="B64" s="640" t="s">
        <v>269</v>
      </c>
      <c r="C64" s="641" t="s">
        <v>195</v>
      </c>
    </row>
    <row r="65" spans="2:3" x14ac:dyDescent="0.2">
      <c r="B65" s="640"/>
      <c r="C65" s="641" t="s">
        <v>76</v>
      </c>
    </row>
    <row r="66" spans="2:3" x14ac:dyDescent="0.2">
      <c r="B66" s="645"/>
      <c r="C66" s="646"/>
    </row>
    <row r="67" spans="2:3" x14ac:dyDescent="0.2">
      <c r="B67" s="640" t="s">
        <v>51</v>
      </c>
      <c r="C67" s="641" t="s">
        <v>50</v>
      </c>
    </row>
    <row r="68" spans="2:3" x14ac:dyDescent="0.2">
      <c r="B68" s="640"/>
      <c r="C68" s="641" t="s">
        <v>51</v>
      </c>
    </row>
    <row r="69" spans="2:3" x14ac:dyDescent="0.2">
      <c r="B69" s="613"/>
      <c r="C69" s="641" t="s">
        <v>52</v>
      </c>
    </row>
    <row r="70" spans="2:3" x14ac:dyDescent="0.2">
      <c r="B70" s="613"/>
      <c r="C70" s="641" t="s">
        <v>53</v>
      </c>
    </row>
    <row r="71" spans="2:3" x14ac:dyDescent="0.2">
      <c r="B71" s="613"/>
      <c r="C71" s="641" t="s">
        <v>54</v>
      </c>
    </row>
    <row r="72" spans="2:3" x14ac:dyDescent="0.2">
      <c r="B72" s="613"/>
      <c r="C72" s="641" t="s">
        <v>55</v>
      </c>
    </row>
    <row r="73" spans="2:3" x14ac:dyDescent="0.2">
      <c r="B73" s="613"/>
      <c r="C73" s="641" t="s">
        <v>56</v>
      </c>
    </row>
    <row r="74" spans="2:3" x14ac:dyDescent="0.2">
      <c r="B74" s="613"/>
      <c r="C74" s="641" t="s">
        <v>57</v>
      </c>
    </row>
    <row r="75" spans="2:3" x14ac:dyDescent="0.2">
      <c r="B75" s="613"/>
      <c r="C75" s="641" t="s">
        <v>58</v>
      </c>
    </row>
    <row r="76" spans="2:3" x14ac:dyDescent="0.2">
      <c r="B76" s="613"/>
      <c r="C76" s="641" t="s">
        <v>59</v>
      </c>
    </row>
    <row r="77" spans="2:3" x14ac:dyDescent="0.2">
      <c r="B77" s="613"/>
      <c r="C77" s="641" t="s">
        <v>60</v>
      </c>
    </row>
    <row r="78" spans="2:3" x14ac:dyDescent="0.2">
      <c r="B78" s="613"/>
      <c r="C78" s="641" t="s">
        <v>61</v>
      </c>
    </row>
    <row r="79" spans="2:3" x14ac:dyDescent="0.2">
      <c r="B79" s="613"/>
      <c r="C79" s="641" t="s">
        <v>62</v>
      </c>
    </row>
    <row r="80" spans="2:3" x14ac:dyDescent="0.2">
      <c r="B80" s="613"/>
      <c r="C80" s="641" t="s">
        <v>63</v>
      </c>
    </row>
    <row r="81" spans="2:3" x14ac:dyDescent="0.2">
      <c r="B81" s="613"/>
      <c r="C81" s="641" t="s">
        <v>64</v>
      </c>
    </row>
    <row r="82" spans="2:3" x14ac:dyDescent="0.2">
      <c r="B82" s="613"/>
      <c r="C82" s="641" t="s">
        <v>65</v>
      </c>
    </row>
    <row r="83" spans="2:3" x14ac:dyDescent="0.2">
      <c r="B83" s="613"/>
      <c r="C83" s="641" t="s">
        <v>66</v>
      </c>
    </row>
    <row r="84" spans="2:3" x14ac:dyDescent="0.2">
      <c r="B84" s="613"/>
      <c r="C84" s="641" t="s">
        <v>67</v>
      </c>
    </row>
    <row r="85" spans="2:3" x14ac:dyDescent="0.2">
      <c r="B85" s="613"/>
      <c r="C85" s="641" t="s">
        <v>68</v>
      </c>
    </row>
    <row r="86" spans="2:3" x14ac:dyDescent="0.2">
      <c r="B86" s="613"/>
      <c r="C86" s="641" t="s">
        <v>69</v>
      </c>
    </row>
    <row r="87" spans="2:3" x14ac:dyDescent="0.2">
      <c r="B87" s="613"/>
      <c r="C87" s="641" t="s">
        <v>70</v>
      </c>
    </row>
    <row r="88" spans="2:3" x14ac:dyDescent="0.2">
      <c r="B88" s="613"/>
      <c r="C88" s="641" t="s">
        <v>71</v>
      </c>
    </row>
    <row r="89" spans="2:3" x14ac:dyDescent="0.2">
      <c r="B89" s="613"/>
      <c r="C89" s="641" t="s">
        <v>72</v>
      </c>
    </row>
    <row r="90" spans="2:3" x14ac:dyDescent="0.2">
      <c r="B90" s="647"/>
      <c r="C90" s="646"/>
    </row>
    <row r="91" spans="2:3" x14ac:dyDescent="0.2">
      <c r="B91" s="640" t="s">
        <v>196</v>
      </c>
      <c r="C91" s="641" t="s">
        <v>80</v>
      </c>
    </row>
    <row r="92" spans="2:3" x14ac:dyDescent="0.2">
      <c r="B92" s="613"/>
      <c r="C92" s="641" t="s">
        <v>81</v>
      </c>
    </row>
    <row r="93" spans="2:3" x14ac:dyDescent="0.2">
      <c r="B93" s="613"/>
      <c r="C93" s="641"/>
    </row>
    <row r="94" spans="2:3" x14ac:dyDescent="0.2">
      <c r="B94" s="643" t="s">
        <v>104</v>
      </c>
      <c r="C94" s="648" t="s">
        <v>104</v>
      </c>
    </row>
    <row r="95" spans="2:3" x14ac:dyDescent="0.2">
      <c r="B95" s="640"/>
      <c r="C95" s="641"/>
    </row>
    <row r="96" spans="2:3" x14ac:dyDescent="0.2">
      <c r="B96" s="643" t="s">
        <v>103</v>
      </c>
      <c r="C96" s="648" t="s">
        <v>103</v>
      </c>
    </row>
    <row r="97" spans="2:3" x14ac:dyDescent="0.2">
      <c r="B97" s="645"/>
      <c r="C97" s="646"/>
    </row>
    <row r="98" spans="2:3" x14ac:dyDescent="0.2">
      <c r="B98" s="640" t="s">
        <v>82</v>
      </c>
      <c r="C98" s="641" t="s">
        <v>45</v>
      </c>
    </row>
    <row r="99" spans="2:3" x14ac:dyDescent="0.2">
      <c r="B99" s="640"/>
      <c r="C99" s="641" t="s">
        <v>73</v>
      </c>
    </row>
    <row r="100" spans="2:3" x14ac:dyDescent="0.2">
      <c r="B100" s="640"/>
      <c r="C100" s="641" t="s">
        <v>74</v>
      </c>
    </row>
    <row r="101" spans="2:3" x14ac:dyDescent="0.2">
      <c r="B101" s="640"/>
      <c r="C101" s="641" t="s">
        <v>75</v>
      </c>
    </row>
    <row r="102" spans="2:3" x14ac:dyDescent="0.2">
      <c r="B102" s="640"/>
      <c r="C102" s="641" t="s">
        <v>77</v>
      </c>
    </row>
    <row r="103" spans="2:3" x14ac:dyDescent="0.2">
      <c r="B103" s="640"/>
      <c r="C103" s="641" t="s">
        <v>78</v>
      </c>
    </row>
    <row r="104" spans="2:3" x14ac:dyDescent="0.2">
      <c r="B104" s="640"/>
      <c r="C104" s="641" t="s">
        <v>79</v>
      </c>
    </row>
    <row r="105" spans="2:3" x14ac:dyDescent="0.2">
      <c r="B105" s="613"/>
      <c r="C105" s="641" t="s">
        <v>93</v>
      </c>
    </row>
    <row r="106" spans="2:3" x14ac:dyDescent="0.2">
      <c r="B106" s="613"/>
      <c r="C106" s="641" t="s">
        <v>96</v>
      </c>
    </row>
    <row r="107" spans="2:3" x14ac:dyDescent="0.2">
      <c r="B107" s="613"/>
      <c r="C107" s="641" t="s">
        <v>97</v>
      </c>
    </row>
    <row r="108" spans="2:3" x14ac:dyDescent="0.2">
      <c r="B108" s="640"/>
      <c r="C108" s="641" t="s">
        <v>98</v>
      </c>
    </row>
    <row r="109" spans="2:3" x14ac:dyDescent="0.2">
      <c r="B109" s="640"/>
      <c r="C109" s="641" t="s">
        <v>197</v>
      </c>
    </row>
    <row r="110" spans="2:3" x14ac:dyDescent="0.2">
      <c r="B110" s="640"/>
      <c r="C110" s="641" t="s">
        <v>100</v>
      </c>
    </row>
    <row r="111" spans="2:3" x14ac:dyDescent="0.2">
      <c r="B111" s="640"/>
      <c r="C111" s="641" t="s">
        <v>101</v>
      </c>
    </row>
    <row r="112" spans="2:3" x14ac:dyDescent="0.2">
      <c r="B112" s="640"/>
      <c r="C112" s="641" t="s">
        <v>102</v>
      </c>
    </row>
    <row r="113" spans="2:4" x14ac:dyDescent="0.2">
      <c r="B113" s="640"/>
      <c r="C113" s="641" t="s">
        <v>94</v>
      </c>
    </row>
    <row r="114" spans="2:4" x14ac:dyDescent="0.2">
      <c r="B114" s="640"/>
      <c r="C114" s="641" t="s">
        <v>95</v>
      </c>
    </row>
    <row r="115" spans="2:4" ht="17" x14ac:dyDescent="0.2">
      <c r="B115" s="613"/>
      <c r="C115" s="649" t="s">
        <v>26</v>
      </c>
    </row>
    <row r="116" spans="2:4" ht="17" thickBot="1" x14ac:dyDescent="0.25">
      <c r="B116" s="620"/>
      <c r="C116" s="650"/>
    </row>
    <row r="117" spans="2:4" ht="17" thickBot="1" x14ac:dyDescent="0.25"/>
    <row r="118" spans="2:4" x14ac:dyDescent="0.2">
      <c r="B118" s="611" t="s">
        <v>207</v>
      </c>
      <c r="C118" s="612"/>
      <c r="D118" s="622"/>
    </row>
    <row r="119" spans="2:4" x14ac:dyDescent="0.2">
      <c r="B119" s="613"/>
      <c r="C119" s="614"/>
      <c r="D119" s="622"/>
    </row>
    <row r="120" spans="2:4" x14ac:dyDescent="0.2">
      <c r="B120" s="615" t="s">
        <v>29</v>
      </c>
      <c r="C120" s="639" t="s">
        <v>30</v>
      </c>
      <c r="D120" s="651"/>
    </row>
    <row r="121" spans="2:4" x14ac:dyDescent="0.2">
      <c r="B121" s="652"/>
      <c r="C121" s="618"/>
      <c r="D121" s="651"/>
    </row>
    <row r="122" spans="2:4" x14ac:dyDescent="0.2">
      <c r="B122" s="613" t="s">
        <v>202</v>
      </c>
      <c r="C122" s="614">
        <v>3.6</v>
      </c>
      <c r="D122" s="622"/>
    </row>
    <row r="123" spans="2:4" ht="17" thickBot="1" x14ac:dyDescent="0.25">
      <c r="B123" s="620"/>
      <c r="C123" s="621"/>
      <c r="D123" s="622"/>
    </row>
    <row r="124" spans="2:4" x14ac:dyDescent="0.2">
      <c r="B124" s="622"/>
      <c r="C124" s="622"/>
      <c r="D124" s="622"/>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2:P66"/>
  <sheetViews>
    <sheetView topLeftCell="C3" workbookViewId="0">
      <selection activeCell="C19" sqref="C19"/>
    </sheetView>
  </sheetViews>
  <sheetFormatPr baseColWidth="10" defaultRowHeight="16" x14ac:dyDescent="0.2"/>
  <cols>
    <col min="1" max="1" width="10.83203125" style="1"/>
    <col min="2" max="2" width="17.1640625" style="1" customWidth="1"/>
    <col min="3" max="3" width="61.5" style="1" bestFit="1" customWidth="1"/>
    <col min="4" max="4" width="4.6640625" style="1" customWidth="1"/>
    <col min="5" max="5" width="11.1640625" style="1" bestFit="1" customWidth="1"/>
    <col min="6" max="6" width="2.83203125" style="1" customWidth="1"/>
    <col min="7" max="7" width="36.5" style="1" bestFit="1" customWidth="1"/>
    <col min="8" max="8" width="2.83203125" style="1" customWidth="1"/>
    <col min="9" max="9" width="57.33203125" style="1" customWidth="1"/>
    <col min="10" max="10" width="4.33203125" style="1" customWidth="1"/>
    <col min="11" max="11" width="70.33203125" style="1" bestFit="1" customWidth="1"/>
    <col min="12" max="12" width="9.1640625" style="1" customWidth="1"/>
    <col min="13" max="13" width="110.33203125" style="1" customWidth="1"/>
    <col min="14" max="14" width="2.83203125" style="1" customWidth="1"/>
    <col min="15" max="15" width="42" style="420" bestFit="1" customWidth="1"/>
    <col min="16" max="16" width="12" style="420" bestFit="1" customWidth="1"/>
    <col min="17" max="16384" width="10.83203125" style="1"/>
  </cols>
  <sheetData>
    <row r="2" spans="2:16" ht="21" x14ac:dyDescent="0.25">
      <c r="B2" s="2" t="s">
        <v>24</v>
      </c>
      <c r="I2" s="519" t="s">
        <v>521</v>
      </c>
      <c r="J2" s="12"/>
      <c r="K2" s="5"/>
    </row>
    <row r="3" spans="2:16" ht="21" x14ac:dyDescent="0.25">
      <c r="B3" s="2"/>
      <c r="I3" s="426"/>
      <c r="J3" s="8"/>
      <c r="K3" s="7"/>
    </row>
    <row r="4" spans="2:16" x14ac:dyDescent="0.2">
      <c r="B4" s="37" t="s">
        <v>83</v>
      </c>
      <c r="C4" s="4"/>
      <c r="D4" s="4"/>
      <c r="E4" s="5"/>
      <c r="F4" s="8"/>
      <c r="I4" s="423"/>
      <c r="J4" s="8"/>
      <c r="K4" s="7"/>
    </row>
    <row r="5" spans="2:16" x14ac:dyDescent="0.2">
      <c r="B5" s="657" t="s">
        <v>591</v>
      </c>
      <c r="C5" s="658"/>
      <c r="D5" s="658"/>
      <c r="E5" s="659"/>
      <c r="F5" s="8"/>
      <c r="I5" s="526"/>
      <c r="J5" s="8"/>
      <c r="K5" s="7"/>
    </row>
    <row r="6" spans="2:16" x14ac:dyDescent="0.2">
      <c r="B6" s="657"/>
      <c r="C6" s="658"/>
      <c r="D6" s="658"/>
      <c r="E6" s="659"/>
      <c r="F6" s="8"/>
      <c r="I6" s="423"/>
      <c r="J6" s="8"/>
      <c r="K6" s="7"/>
    </row>
    <row r="7" spans="2:16" ht="60" customHeight="1" x14ac:dyDescent="0.2">
      <c r="B7" s="660"/>
      <c r="C7" s="661"/>
      <c r="D7" s="661"/>
      <c r="E7" s="662"/>
      <c r="F7" s="283"/>
      <c r="I7" s="520"/>
      <c r="J7" s="9"/>
      <c r="K7" s="10"/>
    </row>
    <row r="8" spans="2:16" ht="17" thickBot="1" x14ac:dyDescent="0.25"/>
    <row r="9" spans="2:16" x14ac:dyDescent="0.2">
      <c r="B9" s="24" t="s">
        <v>23</v>
      </c>
      <c r="C9" s="38"/>
      <c r="D9" s="38"/>
      <c r="E9" s="38"/>
      <c r="F9" s="38"/>
      <c r="G9" s="38"/>
      <c r="H9" s="38"/>
      <c r="I9" s="38"/>
      <c r="J9" s="38"/>
      <c r="K9" s="69" t="s">
        <v>84</v>
      </c>
      <c r="L9" s="38"/>
      <c r="M9" s="26"/>
      <c r="N9" s="8"/>
      <c r="O9" s="421"/>
      <c r="P9" s="422"/>
    </row>
    <row r="10" spans="2:16" x14ac:dyDescent="0.2">
      <c r="B10" s="30"/>
      <c r="C10" s="8"/>
      <c r="D10" s="8"/>
      <c r="E10" s="8"/>
      <c r="F10" s="8"/>
      <c r="G10" s="8"/>
      <c r="H10" s="8"/>
      <c r="I10" s="8"/>
      <c r="J10" s="8"/>
      <c r="K10" s="18"/>
      <c r="L10" s="8"/>
      <c r="M10" s="28"/>
      <c r="N10" s="8"/>
      <c r="O10" s="423"/>
      <c r="P10" s="424"/>
    </row>
    <row r="11" spans="2:16" x14ac:dyDescent="0.2">
      <c r="B11" s="29" t="s">
        <v>85</v>
      </c>
      <c r="C11" s="545" t="s">
        <v>30</v>
      </c>
      <c r="D11" s="545" t="s">
        <v>87</v>
      </c>
      <c r="E11" s="545" t="s">
        <v>86</v>
      </c>
      <c r="F11" s="545"/>
      <c r="G11" s="545" t="s">
        <v>530</v>
      </c>
      <c r="H11" s="545"/>
      <c r="I11" s="545" t="s">
        <v>31</v>
      </c>
      <c r="J11" s="545"/>
      <c r="K11" s="39" t="s">
        <v>88</v>
      </c>
      <c r="L11" s="39" t="s">
        <v>89</v>
      </c>
      <c r="M11" s="586" t="s">
        <v>547</v>
      </c>
      <c r="N11" s="13"/>
      <c r="O11" s="429" t="s">
        <v>503</v>
      </c>
      <c r="P11" s="430" t="s">
        <v>504</v>
      </c>
    </row>
    <row r="12" spans="2:16" x14ac:dyDescent="0.2">
      <c r="B12" s="46"/>
      <c r="C12" s="13"/>
      <c r="D12" s="294"/>
      <c r="E12" s="13"/>
      <c r="F12" s="13"/>
      <c r="G12" s="13"/>
      <c r="H12" s="13"/>
      <c r="I12" s="13"/>
      <c r="J12" s="13"/>
      <c r="K12" s="18"/>
      <c r="L12" s="43"/>
      <c r="M12" s="576"/>
      <c r="N12" s="13"/>
      <c r="O12" s="423"/>
      <c r="P12" s="424"/>
    </row>
    <row r="13" spans="2:16" x14ac:dyDescent="0.2">
      <c r="B13" s="30"/>
      <c r="C13" s="301" t="s">
        <v>247</v>
      </c>
      <c r="D13" s="294"/>
      <c r="E13" s="301"/>
      <c r="F13" s="301"/>
      <c r="G13" s="19" t="s">
        <v>479</v>
      </c>
      <c r="H13" s="13"/>
      <c r="I13" s="13"/>
      <c r="J13" s="13"/>
      <c r="K13" s="376" t="s">
        <v>198</v>
      </c>
      <c r="L13" s="574" t="b">
        <f>IF(COUNTIF(P:P,0)+COUNTIF(P:P,FALSE)=0,TRUE,FALSE)</f>
        <v>0</v>
      </c>
      <c r="M13" s="578" t="str">
        <f>IF(L13=TRUE," ","Please address all critical checks (red) before continuing")</f>
        <v>Please address all critical checks (red) before continuing</v>
      </c>
      <c r="N13" s="13"/>
      <c r="O13" s="423" t="s">
        <v>479</v>
      </c>
      <c r="P13" s="424"/>
    </row>
    <row r="14" spans="2:16" x14ac:dyDescent="0.2">
      <c r="B14" s="30"/>
      <c r="C14" s="301" t="s">
        <v>477</v>
      </c>
      <c r="D14" s="294"/>
      <c r="E14" s="301"/>
      <c r="F14" s="301"/>
      <c r="G14" s="19" t="s">
        <v>480</v>
      </c>
      <c r="H14" s="13"/>
      <c r="I14" s="13"/>
      <c r="J14" s="13"/>
      <c r="K14" s="43" t="s">
        <v>199</v>
      </c>
      <c r="L14" s="574" t="b">
        <f>IF(COUNTBLANK(C13:C46)-COUNTBLANK(E13:E46)=0,TRUE,FALSE)</f>
        <v>0</v>
      </c>
      <c r="M14" s="578" t="str">
        <f>IF(L14=TRUE," ","Please fill in all assumptions")</f>
        <v>Please fill in all assumptions</v>
      </c>
      <c r="N14" s="13"/>
      <c r="O14" s="423" t="s">
        <v>480</v>
      </c>
      <c r="P14" s="7">
        <f>IF(L14=TRUE,1,0)</f>
        <v>0</v>
      </c>
    </row>
    <row r="15" spans="2:16" s="87" customFormat="1" x14ac:dyDescent="0.2">
      <c r="B15" s="534"/>
      <c r="C15" s="535"/>
      <c r="D15" s="536"/>
      <c r="E15" s="537"/>
      <c r="F15" s="537"/>
      <c r="G15" s="535"/>
      <c r="H15" s="535"/>
      <c r="I15" s="535"/>
      <c r="J15" s="535"/>
      <c r="K15" s="308"/>
      <c r="L15" s="308"/>
      <c r="M15" s="577"/>
      <c r="N15" s="299"/>
      <c r="O15" s="423"/>
      <c r="P15" s="424"/>
    </row>
    <row r="16" spans="2:16" ht="17" thickBot="1" x14ac:dyDescent="0.25">
      <c r="B16" s="32" t="s">
        <v>209</v>
      </c>
      <c r="C16" s="8"/>
      <c r="D16" s="295"/>
      <c r="E16" s="300"/>
      <c r="F16" s="303"/>
      <c r="G16" s="414"/>
      <c r="H16" s="8"/>
      <c r="I16" s="8"/>
      <c r="J16" s="8"/>
      <c r="K16" s="40"/>
      <c r="L16" s="311"/>
      <c r="M16" s="578"/>
      <c r="N16" s="8"/>
      <c r="O16" s="423"/>
      <c r="P16" s="424"/>
    </row>
    <row r="17" spans="1:16" ht="17" thickBot="1" x14ac:dyDescent="0.25">
      <c r="B17" s="27"/>
      <c r="C17" s="8" t="s">
        <v>209</v>
      </c>
      <c r="D17" s="295" t="s">
        <v>210</v>
      </c>
      <c r="E17" s="219"/>
      <c r="F17" s="410"/>
      <c r="G17" s="418" t="s">
        <v>508</v>
      </c>
      <c r="H17" s="8"/>
      <c r="I17" s="20"/>
      <c r="J17" s="8"/>
      <c r="K17" s="86"/>
      <c r="L17" s="43"/>
      <c r="M17" s="579"/>
      <c r="N17" s="8"/>
      <c r="O17" s="423" t="s">
        <v>481</v>
      </c>
      <c r="P17" s="424"/>
    </row>
    <row r="18" spans="1:16" ht="17" thickBot="1" x14ac:dyDescent="0.25">
      <c r="B18" s="27"/>
      <c r="C18" s="414" t="s">
        <v>211</v>
      </c>
      <c r="D18" s="295"/>
      <c r="E18" s="193"/>
      <c r="F18" s="293"/>
      <c r="G18" s="418" t="s">
        <v>509</v>
      </c>
      <c r="H18" s="8"/>
      <c r="I18" s="20"/>
      <c r="J18" s="8"/>
      <c r="K18" s="40" t="s">
        <v>184</v>
      </c>
      <c r="L18" s="575">
        <f>IF(SUM(E18:E21)=1,TRUE,SUM(E18:E21))</f>
        <v>0</v>
      </c>
      <c r="M18" s="579" t="str">
        <f>IF(L18=TRUE," ","Please adjust the percentages of heat delivered by the technologies to the left.")</f>
        <v>Please adjust the percentages of heat delivered by the technologies to the left.</v>
      </c>
      <c r="N18" s="8"/>
      <c r="O18" s="423" t="s">
        <v>482</v>
      </c>
      <c r="P18" s="7">
        <f>IF(L18=TRUE,1,0)</f>
        <v>0</v>
      </c>
    </row>
    <row r="19" spans="1:16" ht="17" thickBot="1" x14ac:dyDescent="0.25">
      <c r="B19" s="27"/>
      <c r="C19" s="414" t="s">
        <v>212</v>
      </c>
      <c r="D19" s="295"/>
      <c r="E19" s="193"/>
      <c r="F19" s="293"/>
      <c r="G19" s="418" t="s">
        <v>510</v>
      </c>
      <c r="H19" s="8"/>
      <c r="I19" s="20"/>
      <c r="J19" s="8"/>
      <c r="K19" s="40"/>
      <c r="L19" s="404"/>
      <c r="M19" s="579" t="s">
        <v>203</v>
      </c>
      <c r="N19" s="8"/>
      <c r="O19" s="423" t="s">
        <v>483</v>
      </c>
      <c r="P19" s="424"/>
    </row>
    <row r="20" spans="1:16" ht="17" thickBot="1" x14ac:dyDescent="0.25">
      <c r="B20" s="27"/>
      <c r="C20" s="414" t="s">
        <v>213</v>
      </c>
      <c r="D20" s="295"/>
      <c r="E20" s="193"/>
      <c r="F20" s="293"/>
      <c r="G20" s="418" t="s">
        <v>511</v>
      </c>
      <c r="H20" s="8"/>
      <c r="I20" s="20"/>
      <c r="J20" s="8"/>
      <c r="K20" s="40"/>
      <c r="L20" s="405"/>
      <c r="M20" s="580"/>
      <c r="N20" s="299"/>
      <c r="O20" s="423" t="s">
        <v>484</v>
      </c>
      <c r="P20" s="424"/>
    </row>
    <row r="21" spans="1:16" ht="17" thickBot="1" x14ac:dyDescent="0.25">
      <c r="B21" s="27"/>
      <c r="C21" s="414" t="s">
        <v>214</v>
      </c>
      <c r="D21" s="295"/>
      <c r="E21" s="193"/>
      <c r="F21" s="293"/>
      <c r="G21" s="418" t="s">
        <v>512</v>
      </c>
      <c r="H21" s="8"/>
      <c r="I21" s="20"/>
      <c r="J21" s="8"/>
      <c r="K21" s="40"/>
      <c r="L21" s="405"/>
      <c r="M21" s="579"/>
      <c r="N21" s="8"/>
      <c r="O21" s="423" t="s">
        <v>485</v>
      </c>
      <c r="P21" s="424"/>
    </row>
    <row r="22" spans="1:16" s="8" customFormat="1" x14ac:dyDescent="0.2">
      <c r="B22" s="27"/>
      <c r="D22" s="296"/>
      <c r="E22" s="229"/>
      <c r="F22" s="229"/>
      <c r="G22" s="415"/>
      <c r="H22" s="230"/>
      <c r="K22" s="40"/>
      <c r="L22" s="405"/>
      <c r="M22" s="579"/>
      <c r="O22" s="423"/>
      <c r="P22" s="424"/>
    </row>
    <row r="23" spans="1:16" ht="17" thickBot="1" x14ac:dyDescent="0.25">
      <c r="B23" s="32" t="s">
        <v>237</v>
      </c>
      <c r="C23" s="8"/>
      <c r="D23" s="295"/>
      <c r="E23" s="293"/>
      <c r="F23" s="293"/>
      <c r="G23" s="414"/>
      <c r="H23" s="8"/>
      <c r="I23" s="8"/>
      <c r="J23" s="8"/>
      <c r="K23" s="40"/>
      <c r="L23" s="405"/>
      <c r="M23" s="579"/>
      <c r="N23" s="8"/>
      <c r="O23" s="423"/>
      <c r="P23" s="424"/>
    </row>
    <row r="24" spans="1:16" ht="17" thickBot="1" x14ac:dyDescent="0.25">
      <c r="B24" s="32"/>
      <c r="C24" s="8" t="s">
        <v>616</v>
      </c>
      <c r="D24" s="295"/>
      <c r="E24" s="315"/>
      <c r="F24" s="293"/>
      <c r="G24" s="418" t="s">
        <v>617</v>
      </c>
      <c r="H24" s="8"/>
      <c r="I24" s="8" t="s">
        <v>623</v>
      </c>
      <c r="J24" s="8"/>
      <c r="K24" s="40" t="s">
        <v>184</v>
      </c>
      <c r="L24" s="575">
        <f>IF(SUM(E24:E26)=1,TRUE,SUM(E24:E26))</f>
        <v>0</v>
      </c>
      <c r="M24" s="579" t="str">
        <f>IF(L24=TRUE," ","If this check is red please adjust the percentages of heat delivered by the technologies to the left.")</f>
        <v>If this check is red please adjust the percentages of heat delivered by the technologies to the left.</v>
      </c>
      <c r="N24" s="8"/>
      <c r="O24" s="423" t="s">
        <v>618</v>
      </c>
      <c r="P24" s="7">
        <f>IF(L24=TRUE,1,0)</f>
        <v>0</v>
      </c>
    </row>
    <row r="25" spans="1:16" ht="17" thickBot="1" x14ac:dyDescent="0.25">
      <c r="B25" s="27"/>
      <c r="C25" s="414" t="s">
        <v>238</v>
      </c>
      <c r="D25" s="295"/>
      <c r="E25" s="315"/>
      <c r="F25" s="411"/>
      <c r="G25" s="418" t="s">
        <v>513</v>
      </c>
      <c r="H25" s="8"/>
      <c r="I25" s="8" t="s">
        <v>623</v>
      </c>
      <c r="J25" s="8"/>
      <c r="K25" s="40"/>
      <c r="L25" s="8"/>
      <c r="M25" s="578"/>
      <c r="N25" s="8"/>
      <c r="O25" s="423" t="s">
        <v>486</v>
      </c>
      <c r="P25" s="7"/>
    </row>
    <row r="26" spans="1:16" ht="17" thickBot="1" x14ac:dyDescent="0.25">
      <c r="B26" s="27"/>
      <c r="C26" s="414" t="s">
        <v>239</v>
      </c>
      <c r="D26" s="295"/>
      <c r="E26" s="316"/>
      <c r="F26" s="293"/>
      <c r="G26" s="418" t="s">
        <v>514</v>
      </c>
      <c r="H26" s="8"/>
      <c r="I26" s="8" t="s">
        <v>623</v>
      </c>
      <c r="J26" s="8"/>
      <c r="K26" s="40"/>
      <c r="L26" s="405"/>
      <c r="M26" s="579"/>
      <c r="N26" s="8"/>
      <c r="O26" s="423" t="s">
        <v>487</v>
      </c>
      <c r="P26" s="424"/>
    </row>
    <row r="27" spans="1:16" x14ac:dyDescent="0.2">
      <c r="B27" s="27"/>
      <c r="C27" s="8"/>
      <c r="D27" s="295"/>
      <c r="E27" s="302"/>
      <c r="F27" s="302"/>
      <c r="G27" s="414"/>
      <c r="H27" s="8"/>
      <c r="I27" s="8"/>
      <c r="J27" s="8"/>
      <c r="K27" s="40"/>
      <c r="L27" s="405"/>
      <c r="M27" s="579"/>
      <c r="N27" s="8"/>
      <c r="O27" s="423"/>
      <c r="P27" s="424"/>
    </row>
    <row r="28" spans="1:16" x14ac:dyDescent="0.2">
      <c r="A28" s="8"/>
      <c r="B28" s="32" t="s">
        <v>498</v>
      </c>
      <c r="C28" s="8"/>
      <c r="D28" s="295"/>
      <c r="E28" s="74"/>
      <c r="F28" s="74"/>
      <c r="G28" s="414"/>
      <c r="H28" s="8"/>
      <c r="I28" s="8"/>
      <c r="J28" s="8"/>
      <c r="K28" s="40"/>
      <c r="L28" s="405"/>
      <c r="M28" s="579"/>
      <c r="N28" s="8"/>
      <c r="O28" s="423"/>
      <c r="P28" s="424"/>
    </row>
    <row r="29" spans="1:16" x14ac:dyDescent="0.2">
      <c r="A29" s="8"/>
      <c r="B29" s="32"/>
      <c r="C29" s="8" t="s">
        <v>592</v>
      </c>
      <c r="D29" s="295" t="s">
        <v>338</v>
      </c>
      <c r="E29" s="215">
        <f>SUM('Fuel aggregation'!E11:E12)</f>
        <v>0</v>
      </c>
      <c r="F29" s="74"/>
      <c r="G29" s="414"/>
      <c r="H29" s="8"/>
      <c r="I29" s="8"/>
      <c r="J29" s="8"/>
      <c r="K29" s="40"/>
      <c r="L29" s="405"/>
      <c r="M29" s="579"/>
      <c r="N29" s="8"/>
      <c r="O29" s="423"/>
      <c r="P29" s="424"/>
    </row>
    <row r="30" spans="1:16" x14ac:dyDescent="0.2">
      <c r="A30" s="8"/>
      <c r="B30" s="27"/>
      <c r="C30" s="587" t="s">
        <v>459</v>
      </c>
      <c r="D30" s="295" t="s">
        <v>338</v>
      </c>
      <c r="E30" s="218" t="e">
        <f>SUM('Fuel aggregation'!E11:E12)-SUM('Final demand'!C11:C12)</f>
        <v>#DIV/0!</v>
      </c>
      <c r="F30" s="218"/>
      <c r="G30" s="414"/>
      <c r="H30" s="8"/>
      <c r="I30" s="8"/>
      <c r="J30" s="8"/>
      <c r="K30" s="40" t="s">
        <v>341</v>
      </c>
      <c r="L30" s="585" t="e">
        <f>IF(ABS(E30)/SUM(ABS('Fuel aggregation'!E11),ABS('Fuel aggregation'!E12))&lt;0.01,TRUE,FALSE)</f>
        <v>#DIV/0!</v>
      </c>
      <c r="M30" s="579" t="e">
        <f>IF(L30=TRUE," ","This error should be as close to zero as possible.")</f>
        <v>#DIV/0!</v>
      </c>
      <c r="N30" s="8"/>
      <c r="O30" s="423"/>
      <c r="P30" s="424"/>
    </row>
    <row r="31" spans="1:16" x14ac:dyDescent="0.2">
      <c r="A31" s="8"/>
      <c r="B31" s="27"/>
      <c r="C31" s="8" t="s">
        <v>593</v>
      </c>
      <c r="D31" s="295" t="s">
        <v>338</v>
      </c>
      <c r="E31" s="218">
        <f>SUM('Fuel aggregation'!F11:F12)</f>
        <v>0</v>
      </c>
      <c r="F31" s="218"/>
      <c r="G31" s="414"/>
      <c r="H31" s="8"/>
      <c r="I31" s="8"/>
      <c r="J31" s="8"/>
      <c r="K31" s="40"/>
      <c r="L31" s="588"/>
      <c r="M31" s="579"/>
      <c r="N31" s="8"/>
      <c r="O31" s="423"/>
      <c r="P31" s="424"/>
    </row>
    <row r="32" spans="1:16" x14ac:dyDescent="0.2">
      <c r="A32" s="8"/>
      <c r="B32" s="27"/>
      <c r="C32" s="587" t="s">
        <v>460</v>
      </c>
      <c r="D32" s="295" t="s">
        <v>338</v>
      </c>
      <c r="E32" s="215" t="e">
        <f>SUM('Fuel aggregation'!F11:F12)-SUM('Final demand'!D11:D12)</f>
        <v>#DIV/0!</v>
      </c>
      <c r="F32" s="215"/>
      <c r="G32" s="414"/>
      <c r="H32" s="8"/>
      <c r="I32" s="8"/>
      <c r="J32" s="8"/>
      <c r="K32" s="40" t="s">
        <v>341</v>
      </c>
      <c r="L32" s="585" t="e">
        <f>IF(ABS(E32)/SUM(ABS('Fuel aggregation'!F11),ABS('Fuel aggregation'!F12))&lt;0.01,TRUE,FALSE)</f>
        <v>#DIV/0!</v>
      </c>
      <c r="M32" s="579" t="e">
        <f>IF(L32=TRUE," ","This error should be as close to zero as possible.")</f>
        <v>#DIV/0!</v>
      </c>
      <c r="N32" s="8"/>
      <c r="O32" s="423"/>
      <c r="P32" s="424"/>
    </row>
    <row r="33" spans="1:16" x14ac:dyDescent="0.2">
      <c r="A33" s="8"/>
      <c r="B33" s="27"/>
      <c r="C33" s="8" t="s">
        <v>594</v>
      </c>
      <c r="D33" s="295" t="s">
        <v>338</v>
      </c>
      <c r="E33" s="215">
        <f>SUM('Fuel aggregation'!G11:G12)</f>
        <v>0</v>
      </c>
      <c r="F33" s="215"/>
      <c r="G33" s="414"/>
      <c r="H33" s="8"/>
      <c r="I33" s="8"/>
      <c r="J33" s="8"/>
      <c r="K33" s="40"/>
      <c r="L33" s="588"/>
      <c r="M33" s="579"/>
      <c r="N33" s="8"/>
      <c r="O33" s="423"/>
      <c r="P33" s="424"/>
    </row>
    <row r="34" spans="1:16" x14ac:dyDescent="0.2">
      <c r="A34" s="8"/>
      <c r="B34" s="27"/>
      <c r="C34" s="587" t="s">
        <v>461</v>
      </c>
      <c r="D34" s="295" t="s">
        <v>338</v>
      </c>
      <c r="E34" s="215" t="e">
        <f>SUM('Fuel aggregation'!G11:G12)-SUM('Final demand'!E11:E12)</f>
        <v>#DIV/0!</v>
      </c>
      <c r="F34" s="215"/>
      <c r="G34" s="414"/>
      <c r="H34" s="8"/>
      <c r="I34" s="8"/>
      <c r="J34" s="8"/>
      <c r="K34" s="40" t="s">
        <v>341</v>
      </c>
      <c r="L34" s="585" t="e">
        <f>IF(ABS(E34)/SUM(ABS('Fuel aggregation'!G11),ABS('Fuel aggregation'!G12))&lt;0.01,TRUE,FALSE)</f>
        <v>#DIV/0!</v>
      </c>
      <c r="M34" s="579" t="e">
        <f>IF(L34=TRUE," ","This error should be as close to zero as possible.")</f>
        <v>#DIV/0!</v>
      </c>
      <c r="N34" s="8"/>
      <c r="O34" s="423"/>
      <c r="P34" s="424"/>
    </row>
    <row r="35" spans="1:16" x14ac:dyDescent="0.2">
      <c r="A35" s="8"/>
      <c r="B35" s="27"/>
      <c r="C35" s="8" t="s">
        <v>595</v>
      </c>
      <c r="D35" s="295" t="s">
        <v>338</v>
      </c>
      <c r="E35" s="215">
        <f>SUM('Fuel aggregation'!G16:G17)</f>
        <v>0</v>
      </c>
      <c r="F35" s="215"/>
      <c r="G35" s="414"/>
      <c r="H35" s="8"/>
      <c r="I35" s="8"/>
      <c r="J35" s="8"/>
      <c r="K35" s="40"/>
      <c r="L35" s="588"/>
      <c r="M35" s="579"/>
      <c r="N35" s="8"/>
      <c r="O35" s="423"/>
      <c r="P35" s="424"/>
    </row>
    <row r="36" spans="1:16" x14ac:dyDescent="0.2">
      <c r="A36" s="8"/>
      <c r="B36" s="27"/>
      <c r="C36" s="587" t="s">
        <v>462</v>
      </c>
      <c r="D36" s="295" t="s">
        <v>338</v>
      </c>
      <c r="E36" s="215" t="e">
        <f>-'Fuel aggregation'!G15-'Final demand'!E15</f>
        <v>#DIV/0!</v>
      </c>
      <c r="F36" s="215"/>
      <c r="G36" s="414"/>
      <c r="H36" s="8"/>
      <c r="I36" s="8"/>
      <c r="J36" s="8"/>
      <c r="K36" s="40" t="s">
        <v>341</v>
      </c>
      <c r="L36" s="585" t="e">
        <f>IF(ABS(E36)/ABS('Fuel aggregation'!G15)&lt;0.01,TRUE,FALSE)</f>
        <v>#DIV/0!</v>
      </c>
      <c r="M36" s="579" t="e">
        <f>IF(L36=TRUE," ","This error should be as close to zero as possible.")</f>
        <v>#DIV/0!</v>
      </c>
      <c r="N36" s="8"/>
      <c r="O36" s="423"/>
      <c r="P36" s="424"/>
    </row>
    <row r="37" spans="1:16" x14ac:dyDescent="0.2">
      <c r="A37" s="8"/>
      <c r="B37" s="27"/>
      <c r="C37" s="8" t="s">
        <v>596</v>
      </c>
      <c r="D37" s="295" t="s">
        <v>338</v>
      </c>
      <c r="E37" s="215">
        <f>SUM('Fuel aggregation'!G21:G22)</f>
        <v>0</v>
      </c>
      <c r="F37" s="215"/>
      <c r="G37" s="414"/>
      <c r="H37" s="8"/>
      <c r="I37" s="8"/>
      <c r="J37" s="8"/>
      <c r="K37" s="40"/>
      <c r="L37" s="588"/>
      <c r="M37" s="579"/>
      <c r="N37" s="8"/>
      <c r="O37" s="423"/>
      <c r="P37" s="424"/>
    </row>
    <row r="38" spans="1:16" x14ac:dyDescent="0.2">
      <c r="A38" s="8"/>
      <c r="B38" s="27"/>
      <c r="C38" s="587" t="s">
        <v>463</v>
      </c>
      <c r="D38" s="295" t="s">
        <v>338</v>
      </c>
      <c r="E38" s="215" t="e">
        <f>'Fuel aggregation'!G20-SUM('Final demand'!E19:E20)</f>
        <v>#DIV/0!</v>
      </c>
      <c r="F38" s="215"/>
      <c r="G38" s="414"/>
      <c r="H38" s="8"/>
      <c r="I38" s="8"/>
      <c r="J38" s="8"/>
      <c r="K38" s="40" t="s">
        <v>341</v>
      </c>
      <c r="L38" s="585" t="e">
        <f>IF(ABS(E38)/ABS('Fuel aggregation'!G20)&lt;0.01,TRUE,FALSE)</f>
        <v>#DIV/0!</v>
      </c>
      <c r="M38" s="579" t="e">
        <f>IF(L38=TRUE," ","This error should be as close to zero as possible.")</f>
        <v>#DIV/0!</v>
      </c>
      <c r="N38" s="8"/>
      <c r="O38" s="423"/>
      <c r="P38" s="424"/>
    </row>
    <row r="39" spans="1:16" x14ac:dyDescent="0.2">
      <c r="A39" s="8"/>
      <c r="B39" s="34"/>
      <c r="C39" s="9"/>
      <c r="D39" s="298"/>
      <c r="E39" s="307"/>
      <c r="F39" s="307"/>
      <c r="G39" s="416"/>
      <c r="H39" s="9"/>
      <c r="I39" s="9"/>
      <c r="J39" s="9"/>
      <c r="K39" s="41"/>
      <c r="L39" s="406"/>
      <c r="M39" s="579"/>
      <c r="N39" s="8"/>
      <c r="O39" s="423"/>
      <c r="P39" s="424"/>
    </row>
    <row r="40" spans="1:16" s="304" customFormat="1" ht="17" thickBot="1" x14ac:dyDescent="0.25">
      <c r="B40" s="32" t="s">
        <v>226</v>
      </c>
      <c r="C40" s="301"/>
      <c r="D40" s="305"/>
      <c r="E40" s="306"/>
      <c r="F40" s="412"/>
      <c r="G40" s="417"/>
      <c r="H40" s="301"/>
      <c r="I40" s="301"/>
      <c r="J40" s="301"/>
      <c r="K40" s="43"/>
      <c r="L40" s="311"/>
      <c r="M40" s="581"/>
      <c r="N40" s="301"/>
      <c r="O40" s="423"/>
      <c r="P40" s="424"/>
    </row>
    <row r="41" spans="1:16" ht="17" thickBot="1" x14ac:dyDescent="0.25">
      <c r="B41" s="27"/>
      <c r="C41" s="8" t="s">
        <v>226</v>
      </c>
      <c r="D41" s="295" t="s">
        <v>210</v>
      </c>
      <c r="E41" s="216"/>
      <c r="F41" s="413"/>
      <c r="G41" s="418" t="s">
        <v>507</v>
      </c>
      <c r="H41" s="8"/>
      <c r="I41" s="20"/>
      <c r="J41" s="8"/>
      <c r="K41" s="86"/>
      <c r="L41" s="43"/>
      <c r="M41" s="579"/>
      <c r="N41" s="8"/>
      <c r="O41" s="423" t="s">
        <v>488</v>
      </c>
      <c r="P41" s="424"/>
    </row>
    <row r="42" spans="1:16" ht="17" thickBot="1" x14ac:dyDescent="0.25">
      <c r="B42" s="27"/>
      <c r="C42" s="414" t="s">
        <v>222</v>
      </c>
      <c r="D42" s="295"/>
      <c r="E42" s="193"/>
      <c r="F42" s="293"/>
      <c r="G42" s="418" t="s">
        <v>515</v>
      </c>
      <c r="H42" s="8"/>
      <c r="I42" s="20"/>
      <c r="J42" s="8"/>
      <c r="K42" s="40" t="s">
        <v>184</v>
      </c>
      <c r="L42" s="575">
        <f>IF(SUM(E42:E45)=1,TRUE,SUM(E42:E45))</f>
        <v>0</v>
      </c>
      <c r="M42" s="579" t="str">
        <f>IF(L42=TRUE," ","Please adjust the percentages of heat delivered by the technologies to the left.")</f>
        <v>Please adjust the percentages of heat delivered by the technologies to the left.</v>
      </c>
      <c r="N42" s="8"/>
      <c r="O42" s="423" t="s">
        <v>489</v>
      </c>
      <c r="P42" s="7">
        <f>IF(L42=TRUE,1,0)</f>
        <v>0</v>
      </c>
    </row>
    <row r="43" spans="1:16" ht="17" thickBot="1" x14ac:dyDescent="0.25">
      <c r="B43" s="27"/>
      <c r="C43" s="414" t="s">
        <v>223</v>
      </c>
      <c r="D43" s="295"/>
      <c r="E43" s="193"/>
      <c r="F43" s="293"/>
      <c r="G43" s="418" t="s">
        <v>516</v>
      </c>
      <c r="H43" s="8"/>
      <c r="I43" s="20"/>
      <c r="J43" s="8"/>
      <c r="K43" s="40"/>
      <c r="L43" s="404"/>
      <c r="M43" s="579" t="s">
        <v>203</v>
      </c>
      <c r="N43" s="8"/>
      <c r="O43" s="423" t="s">
        <v>490</v>
      </c>
      <c r="P43" s="424"/>
    </row>
    <row r="44" spans="1:16" ht="17" thickBot="1" x14ac:dyDescent="0.25">
      <c r="B44" s="27"/>
      <c r="C44" s="414" t="s">
        <v>224</v>
      </c>
      <c r="D44" s="295"/>
      <c r="E44" s="193"/>
      <c r="F44" s="293"/>
      <c r="G44" s="418" t="s">
        <v>517</v>
      </c>
      <c r="H44" s="8"/>
      <c r="I44" s="20"/>
      <c r="J44" s="8"/>
      <c r="K44" s="40"/>
      <c r="L44" s="405"/>
      <c r="M44" s="579"/>
      <c r="N44" s="8"/>
      <c r="O44" s="423" t="s">
        <v>491</v>
      </c>
      <c r="P44" s="424"/>
    </row>
    <row r="45" spans="1:16" ht="17" thickBot="1" x14ac:dyDescent="0.25">
      <c r="B45" s="27"/>
      <c r="C45" s="414" t="s">
        <v>225</v>
      </c>
      <c r="D45" s="295"/>
      <c r="E45" s="193"/>
      <c r="F45" s="293"/>
      <c r="G45" s="418" t="s">
        <v>518</v>
      </c>
      <c r="H45" s="8"/>
      <c r="I45" s="20"/>
      <c r="J45" s="8"/>
      <c r="K45" s="40"/>
      <c r="L45" s="405"/>
      <c r="M45" s="579"/>
      <c r="N45" s="8"/>
      <c r="O45" s="423" t="s">
        <v>492</v>
      </c>
      <c r="P45" s="424"/>
    </row>
    <row r="46" spans="1:16" x14ac:dyDescent="0.2">
      <c r="B46" s="34"/>
      <c r="C46" s="9"/>
      <c r="D46" s="298"/>
      <c r="E46" s="9"/>
      <c r="F46" s="9"/>
      <c r="G46" s="416"/>
      <c r="H46" s="9"/>
      <c r="I46" s="9"/>
      <c r="J46" s="9"/>
      <c r="K46" s="41"/>
      <c r="L46" s="407"/>
      <c r="M46" s="582"/>
      <c r="N46" s="8"/>
      <c r="O46" s="423"/>
      <c r="P46" s="424"/>
    </row>
    <row r="47" spans="1:16" x14ac:dyDescent="0.2">
      <c r="B47" s="32" t="s">
        <v>613</v>
      </c>
      <c r="C47" s="8"/>
      <c r="D47" s="295"/>
      <c r="E47" s="8"/>
      <c r="F47" s="8"/>
      <c r="G47" s="414"/>
      <c r="H47" s="8"/>
      <c r="I47" s="8"/>
      <c r="J47" s="8"/>
      <c r="K47" s="40"/>
      <c r="L47" s="43"/>
      <c r="M47" s="579"/>
      <c r="N47" s="8"/>
      <c r="O47" s="423"/>
      <c r="P47" s="424"/>
    </row>
    <row r="48" spans="1:16" x14ac:dyDescent="0.2">
      <c r="B48" s="27"/>
      <c r="C48" s="8"/>
      <c r="D48" s="295"/>
      <c r="E48" s="8"/>
      <c r="F48" s="8"/>
      <c r="G48" s="414"/>
      <c r="H48" s="8"/>
      <c r="I48" s="8"/>
      <c r="J48" s="8"/>
      <c r="K48" s="40"/>
      <c r="L48" s="653" t="b">
        <f>IF(OR('Corrected energy balance step 2'!BN30=0, 'Corrected energy balance step 2'!BN46=0), FALSE, TRUE)</f>
        <v>0</v>
      </c>
      <c r="M48" s="579" t="str">
        <f>IF(L48=TRUE," ","If the own use or transformation of cokes ovens is zero, efficiencies for the cokes oven cannot be calculate. Please consider disableing the Metal industry sub-sector.")</f>
        <v>If the own use or transformation of cokes ovens is zero, efficiencies for the cokes oven cannot be calculate. Please consider disableing the Metal industry sub-sector.</v>
      </c>
      <c r="N48" s="8"/>
      <c r="O48" s="423"/>
      <c r="P48" s="7">
        <f>IF(L48=TRUE,1,0)</f>
        <v>0</v>
      </c>
    </row>
    <row r="49" spans="2:16" x14ac:dyDescent="0.2">
      <c r="B49" s="34"/>
      <c r="C49" s="9"/>
      <c r="D49" s="298"/>
      <c r="E49" s="9"/>
      <c r="F49" s="9"/>
      <c r="G49" s="416"/>
      <c r="H49" s="9"/>
      <c r="I49" s="9"/>
      <c r="J49" s="9"/>
      <c r="K49" s="41"/>
      <c r="L49" s="407"/>
      <c r="M49" s="582"/>
      <c r="N49" s="8"/>
      <c r="O49" s="423"/>
      <c r="P49" s="424"/>
    </row>
    <row r="50" spans="2:16" x14ac:dyDescent="0.2">
      <c r="B50" s="32" t="s">
        <v>403</v>
      </c>
      <c r="C50" s="8"/>
      <c r="D50" s="295"/>
      <c r="E50" s="303"/>
      <c r="F50" s="303"/>
      <c r="G50" s="8"/>
      <c r="H50" s="8"/>
      <c r="I50" s="8"/>
      <c r="J50" s="8"/>
      <c r="K50" s="40"/>
      <c r="L50" s="43"/>
      <c r="M50" s="579"/>
      <c r="N50" s="8"/>
      <c r="O50" s="423"/>
      <c r="P50" s="424"/>
    </row>
    <row r="51" spans="2:16" x14ac:dyDescent="0.2">
      <c r="B51" s="30"/>
      <c r="C51" s="8" t="s">
        <v>340</v>
      </c>
      <c r="D51" s="295" t="s">
        <v>338</v>
      </c>
      <c r="E51" s="215" t="e">
        <f>'Other energy use'!D22</f>
        <v>#DIV/0!</v>
      </c>
      <c r="F51" s="215"/>
      <c r="G51" s="8"/>
      <c r="H51" s="8"/>
      <c r="I51" s="8"/>
      <c r="J51" s="8"/>
      <c r="K51" s="40" t="s">
        <v>416</v>
      </c>
      <c r="L51" s="574" t="e">
        <f>IF(E51&gt;=0, TRUE, FALSE)</f>
        <v>#DIV/0!</v>
      </c>
      <c r="M51" s="579"/>
      <c r="N51" s="8"/>
      <c r="O51" s="423"/>
      <c r="P51" s="7" t="e">
        <f>IF(L51=TRUE,1,0)</f>
        <v>#DIV/0!</v>
      </c>
    </row>
    <row r="52" spans="2:16" x14ac:dyDescent="0.2">
      <c r="B52" s="27"/>
      <c r="C52" s="8" t="s">
        <v>430</v>
      </c>
      <c r="D52" s="295" t="s">
        <v>338</v>
      </c>
      <c r="E52" s="215">
        <f>'Other energy use'!H22</f>
        <v>0</v>
      </c>
      <c r="F52" s="215"/>
      <c r="G52" s="8"/>
      <c r="H52" s="8"/>
      <c r="I52" s="8"/>
      <c r="J52" s="8"/>
      <c r="K52" s="40" t="s">
        <v>431</v>
      </c>
      <c r="L52" s="574" t="b">
        <f>IF(E52&gt;=0, TRUE, FALSE)</f>
        <v>1</v>
      </c>
      <c r="M52" s="579"/>
      <c r="N52" s="8"/>
      <c r="O52" s="423"/>
      <c r="P52" s="7">
        <f>IF(L52=TRUE,1,0)</f>
        <v>1</v>
      </c>
    </row>
    <row r="53" spans="2:16" x14ac:dyDescent="0.2">
      <c r="B53" s="27"/>
      <c r="C53" s="8" t="s">
        <v>231</v>
      </c>
      <c r="D53" s="295" t="s">
        <v>338</v>
      </c>
      <c r="E53" s="215" t="e">
        <f>'Other energy use'!G22</f>
        <v>#DIV/0!</v>
      </c>
      <c r="F53" s="215"/>
      <c r="G53" s="8"/>
      <c r="H53" s="8"/>
      <c r="I53" s="8"/>
      <c r="J53" s="8"/>
      <c r="K53" s="40" t="s">
        <v>417</v>
      </c>
      <c r="L53" s="574" t="e">
        <f t="shared" ref="L53:L55" si="0">IF(E53&gt;=0, TRUE, FALSE)</f>
        <v>#DIV/0!</v>
      </c>
      <c r="M53" s="579"/>
      <c r="N53" s="8"/>
      <c r="O53" s="423"/>
      <c r="P53" s="7" t="e">
        <f>IF(L53=TRUE,1,0)</f>
        <v>#DIV/0!</v>
      </c>
    </row>
    <row r="54" spans="2:16" x14ac:dyDescent="0.2">
      <c r="B54" s="27"/>
      <c r="C54" s="8" t="s">
        <v>232</v>
      </c>
      <c r="D54" s="295" t="s">
        <v>338</v>
      </c>
      <c r="E54" s="215" t="e">
        <f>'Other energy use'!K22</f>
        <v>#DIV/0!</v>
      </c>
      <c r="F54" s="215"/>
      <c r="G54" s="8"/>
      <c r="H54" s="8"/>
      <c r="I54" s="8"/>
      <c r="J54" s="8"/>
      <c r="K54" s="40" t="s">
        <v>418</v>
      </c>
      <c r="L54" s="574" t="e">
        <f>IF(E54&gt;=0, TRUE, FALSE)</f>
        <v>#DIV/0!</v>
      </c>
      <c r="M54" s="579"/>
      <c r="N54" s="8"/>
      <c r="O54" s="423"/>
      <c r="P54" s="7" t="e">
        <f>IF(L54=TRUE,1,0)</f>
        <v>#DIV/0!</v>
      </c>
    </row>
    <row r="55" spans="2:16" x14ac:dyDescent="0.2">
      <c r="B55" s="27"/>
      <c r="C55" s="8" t="s">
        <v>233</v>
      </c>
      <c r="D55" s="295" t="s">
        <v>338</v>
      </c>
      <c r="E55" s="215" t="e">
        <f>'Other energy use'!J22</f>
        <v>#DIV/0!</v>
      </c>
      <c r="F55" s="215"/>
      <c r="G55" s="8"/>
      <c r="H55" s="8"/>
      <c r="I55" s="8"/>
      <c r="J55" s="8"/>
      <c r="K55" s="16" t="s">
        <v>419</v>
      </c>
      <c r="L55" s="574" t="e">
        <f t="shared" si="0"/>
        <v>#DIV/0!</v>
      </c>
      <c r="M55" s="579"/>
      <c r="N55" s="8"/>
      <c r="O55" s="423"/>
      <c r="P55" s="7" t="e">
        <f>IF(L55=TRUE,1,0)</f>
        <v>#DIV/0!</v>
      </c>
    </row>
    <row r="56" spans="2:16" x14ac:dyDescent="0.2">
      <c r="B56" s="27"/>
      <c r="C56" s="8"/>
      <c r="D56" s="295"/>
      <c r="E56" s="215"/>
      <c r="F56" s="215"/>
      <c r="G56" s="8"/>
      <c r="H56" s="8"/>
      <c r="I56" s="8"/>
      <c r="J56" s="8"/>
      <c r="K56" s="16"/>
      <c r="L56" s="408"/>
      <c r="M56" s="579"/>
      <c r="N56" s="8"/>
      <c r="O56" s="423"/>
      <c r="P56" s="425"/>
    </row>
    <row r="57" spans="2:16" x14ac:dyDescent="0.2">
      <c r="B57" s="27"/>
      <c r="C57" s="8"/>
      <c r="D57" s="295"/>
      <c r="E57" s="215"/>
      <c r="F57" s="215"/>
      <c r="G57" s="8"/>
      <c r="H57" s="8"/>
      <c r="I57" s="8"/>
      <c r="J57" s="8"/>
      <c r="K57" s="309" t="s">
        <v>420</v>
      </c>
      <c r="L57" s="585" t="e">
        <f>IF(ABS('Other energy use'!L22/SUM('Other energy use'!D22:L22))&lt;0.005,TRUE,'Other energy use'!L22/SUM('Other energy use'!D22:L22))</f>
        <v>#DIV/0!</v>
      </c>
      <c r="M57" s="583" t="e">
        <f>IF(L57=TRUE," ","There is an energy carrier in the energy balance for the Industry sector that cannot be processed in this sector by the ETM. "&amp;"Please check whether you pasted the right version of the energy balance. If you did that right, please contact Quintel Intelligence.")</f>
        <v>#DIV/0!</v>
      </c>
      <c r="N57" s="419"/>
      <c r="O57" s="426"/>
      <c r="P57" s="424"/>
    </row>
    <row r="58" spans="2:16" ht="17" thickBot="1" x14ac:dyDescent="0.25">
      <c r="B58" s="35"/>
      <c r="C58" s="48"/>
      <c r="D58" s="297"/>
      <c r="E58" s="92"/>
      <c r="F58" s="92"/>
      <c r="G58" s="48"/>
      <c r="H58" s="48"/>
      <c r="I58" s="48"/>
      <c r="J58" s="48"/>
      <c r="K58" s="310"/>
      <c r="L58" s="409"/>
      <c r="M58" s="584"/>
      <c r="N58" s="8"/>
      <c r="O58" s="427"/>
      <c r="P58" s="428"/>
    </row>
    <row r="66" spans="5:6" x14ac:dyDescent="0.2">
      <c r="E66" s="8"/>
      <c r="F66" s="8"/>
    </row>
  </sheetData>
  <mergeCells count="1">
    <mergeCell ref="B5:E7"/>
  </mergeCells>
  <conditionalFormatting sqref="L13">
    <cfRule type="cellIs" dxfId="22" priority="14" operator="equal">
      <formula>TRUE</formula>
    </cfRule>
  </conditionalFormatting>
  <conditionalFormatting sqref="L14">
    <cfRule type="cellIs" dxfId="21" priority="13" operator="equal">
      <formula>TRUE</formula>
    </cfRule>
  </conditionalFormatting>
  <conditionalFormatting sqref="L42">
    <cfRule type="cellIs" dxfId="20" priority="9" operator="equal">
      <formula>TRUE</formula>
    </cfRule>
  </conditionalFormatting>
  <conditionalFormatting sqref="L18">
    <cfRule type="cellIs" dxfId="19" priority="11" operator="equal">
      <formula>TRUE</formula>
    </cfRule>
  </conditionalFormatting>
  <conditionalFormatting sqref="L24">
    <cfRule type="cellIs" dxfId="18" priority="10" operator="equal">
      <formula>TRUE</formula>
    </cfRule>
  </conditionalFormatting>
  <conditionalFormatting sqref="L51">
    <cfRule type="cellIs" dxfId="17" priority="8" operator="equal">
      <formula>TRUE</formula>
    </cfRule>
  </conditionalFormatting>
  <conditionalFormatting sqref="L52">
    <cfRule type="cellIs" dxfId="16" priority="7" operator="equal">
      <formula>TRUE</formula>
    </cfRule>
  </conditionalFormatting>
  <conditionalFormatting sqref="L53">
    <cfRule type="cellIs" dxfId="15" priority="6" operator="equal">
      <formula>TRUE</formula>
    </cfRule>
  </conditionalFormatting>
  <conditionalFormatting sqref="L54">
    <cfRule type="cellIs" dxfId="14" priority="5" operator="equal">
      <formula>TRUE</formula>
    </cfRule>
  </conditionalFormatting>
  <conditionalFormatting sqref="L55">
    <cfRule type="cellIs" dxfId="13" priority="4" operator="equal">
      <formula>TRUE</formula>
    </cfRule>
  </conditionalFormatting>
  <conditionalFormatting sqref="L30 L32 L34 L36 L38">
    <cfRule type="cellIs" dxfId="12" priority="3" operator="equal">
      <formula>TRUE</formula>
    </cfRule>
  </conditionalFormatting>
  <conditionalFormatting sqref="L57">
    <cfRule type="cellIs" dxfId="11" priority="2" operator="equal">
      <formula>TRUE</formula>
    </cfRule>
  </conditionalFormatting>
  <conditionalFormatting sqref="L48">
    <cfRule type="containsText" dxfId="10" priority="1" operator="containsText" text="TRUE">
      <formula>NOT(ISERROR(SEARCH("TRUE",L48)))</formula>
    </cfRule>
  </conditionalFormatting>
  <dataValidations count="3">
    <dataValidation type="decimal" allowBlank="1" showInputMessage="1" showErrorMessage="1" errorTitle="Value Range" error="You can only enter a value between 0% and 100%." sqref="E42:E45 E18:E21 E24:E26" xr:uid="{00000000-0002-0000-0600-000000000000}">
      <formula1>0</formula1>
      <formula2>1</formula2>
    </dataValidation>
    <dataValidation type="decimal" operator="greaterThanOrEqual" allowBlank="1" showInputMessage="1" showErrorMessage="1" errorTitle="Value Range" error="You can only enter a positive number here. " sqref="E41" xr:uid="{00000000-0002-0000-0600-000001000000}">
      <formula1>0</formula1>
    </dataValidation>
    <dataValidation type="decimal" operator="greaterThan" allowBlank="1" showInputMessage="1" showErrorMessage="1" errorTitle="Value Range" error="The steel production should be an positive, non-zero value. If there is no steel production in your country, please consider disabling the Metal industry sub-sector." sqref="E17" xr:uid="{00000000-0002-0000-0600-000002000000}">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AlternateContent>
        <mc:AlternateContent xmlns:mc="http://schemas.openxmlformats.org/markup-compatibility/2006">
          <mc:Choice Requires="x14">
            <control shapeId="11272" r:id="rId5" name="select_dashboard">
              <controlPr defaultSize="0" print="0" autoFill="0" autoPict="0">
                <anchor moveWithCells="1" sizeWithCells="1">
                  <from>
                    <xdr:col>8</xdr:col>
                    <xdr:colOff>2247900</xdr:colOff>
                    <xdr:row>3</xdr:row>
                    <xdr:rowOff>101600</xdr:rowOff>
                  </from>
                  <to>
                    <xdr:col>10</xdr:col>
                    <xdr:colOff>3759200</xdr:colOff>
                    <xdr:row>4</xdr:row>
                    <xdr:rowOff>127000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6" x14ac:dyDescent="0.2"/>
  <cols>
    <col min="1" max="1" width="10.83203125" style="1"/>
    <col min="2" max="2" width="42.83203125" style="1" customWidth="1"/>
    <col min="3" max="67" width="13.6640625" style="1" customWidth="1"/>
    <col min="68" max="16384" width="10.83203125" style="1"/>
  </cols>
  <sheetData>
    <row r="2" spans="2:67" ht="21" x14ac:dyDescent="0.25">
      <c r="B2" s="2" t="s">
        <v>522</v>
      </c>
    </row>
    <row r="3" spans="2:67" ht="15" customHeight="1" x14ac:dyDescent="0.25">
      <c r="B3" s="2"/>
    </row>
    <row r="4" spans="2:67" ht="15" customHeight="1" x14ac:dyDescent="0.2">
      <c r="B4" s="64" t="s">
        <v>83</v>
      </c>
    </row>
    <row r="5" spans="2:67" ht="34" x14ac:dyDescent="0.2">
      <c r="B5" s="203" t="s">
        <v>464</v>
      </c>
    </row>
    <row r="6" spans="2:67" ht="15" customHeight="1" thickBot="1" x14ac:dyDescent="0.25"/>
    <row r="7" spans="2:67" ht="30" customHeight="1" x14ac:dyDescent="0.2">
      <c r="B7" s="377" t="s">
        <v>91</v>
      </c>
      <c r="C7" s="378" t="s">
        <v>33</v>
      </c>
      <c r="D7" s="378" t="s">
        <v>34</v>
      </c>
      <c r="E7" s="378" t="s">
        <v>35</v>
      </c>
      <c r="F7" s="378" t="s">
        <v>36</v>
      </c>
      <c r="G7" s="378" t="s">
        <v>37</v>
      </c>
      <c r="H7" s="378" t="s">
        <v>38</v>
      </c>
      <c r="I7" s="378" t="s">
        <v>49</v>
      </c>
      <c r="J7" s="378" t="s">
        <v>40</v>
      </c>
      <c r="K7" s="378" t="s">
        <v>41</v>
      </c>
      <c r="L7" s="378" t="s">
        <v>42</v>
      </c>
      <c r="M7" s="378" t="s">
        <v>43</v>
      </c>
      <c r="N7" s="378" t="s">
        <v>44</v>
      </c>
      <c r="O7" s="378" t="s">
        <v>45</v>
      </c>
      <c r="P7" s="378" t="s">
        <v>46</v>
      </c>
      <c r="Q7" s="378" t="s">
        <v>47</v>
      </c>
      <c r="R7" s="378" t="s">
        <v>48</v>
      </c>
      <c r="S7" s="378" t="s">
        <v>39</v>
      </c>
      <c r="T7" s="378" t="s">
        <v>92</v>
      </c>
      <c r="U7" s="378" t="s">
        <v>50</v>
      </c>
      <c r="V7" s="378" t="s">
        <v>51</v>
      </c>
      <c r="W7" s="378" t="s">
        <v>52</v>
      </c>
      <c r="X7" s="378" t="s">
        <v>53</v>
      </c>
      <c r="Y7" s="378" t="s">
        <v>54</v>
      </c>
      <c r="Z7" s="378" t="s">
        <v>55</v>
      </c>
      <c r="AA7" s="378" t="s">
        <v>56</v>
      </c>
      <c r="AB7" s="378" t="s">
        <v>57</v>
      </c>
      <c r="AC7" s="378" t="s">
        <v>58</v>
      </c>
      <c r="AD7" s="378" t="s">
        <v>59</v>
      </c>
      <c r="AE7" s="378" t="s">
        <v>60</v>
      </c>
      <c r="AF7" s="378" t="s">
        <v>61</v>
      </c>
      <c r="AG7" s="378" t="s">
        <v>62</v>
      </c>
      <c r="AH7" s="378" t="s">
        <v>63</v>
      </c>
      <c r="AI7" s="378" t="s">
        <v>64</v>
      </c>
      <c r="AJ7" s="378" t="s">
        <v>65</v>
      </c>
      <c r="AK7" s="378" t="s">
        <v>66</v>
      </c>
      <c r="AL7" s="378" t="s">
        <v>67</v>
      </c>
      <c r="AM7" s="378" t="s">
        <v>68</v>
      </c>
      <c r="AN7" s="378" t="s">
        <v>69</v>
      </c>
      <c r="AO7" s="378" t="s">
        <v>70</v>
      </c>
      <c r="AP7" s="378" t="s">
        <v>71</v>
      </c>
      <c r="AQ7" s="378" t="s">
        <v>72</v>
      </c>
      <c r="AR7" s="378" t="s">
        <v>74</v>
      </c>
      <c r="AS7" s="378" t="s">
        <v>73</v>
      </c>
      <c r="AT7" s="378" t="s">
        <v>75</v>
      </c>
      <c r="AU7" s="378" t="s">
        <v>80</v>
      </c>
      <c r="AV7" s="378" t="s">
        <v>76</v>
      </c>
      <c r="AW7" s="378" t="s">
        <v>77</v>
      </c>
      <c r="AX7" s="378" t="s">
        <v>78</v>
      </c>
      <c r="AY7" s="378" t="s">
        <v>79</v>
      </c>
      <c r="AZ7" s="378" t="s">
        <v>81</v>
      </c>
      <c r="BA7" s="378" t="s">
        <v>93</v>
      </c>
      <c r="BB7" s="378" t="s">
        <v>94</v>
      </c>
      <c r="BC7" s="378" t="s">
        <v>95</v>
      </c>
      <c r="BD7" s="378" t="s">
        <v>96</v>
      </c>
      <c r="BE7" s="378" t="s">
        <v>97</v>
      </c>
      <c r="BF7" s="378" t="s">
        <v>98</v>
      </c>
      <c r="BG7" s="378" t="s">
        <v>99</v>
      </c>
      <c r="BH7" s="378" t="s">
        <v>100</v>
      </c>
      <c r="BI7" s="378" t="s">
        <v>101</v>
      </c>
      <c r="BJ7" s="378" t="s">
        <v>102</v>
      </c>
      <c r="BK7" s="378" t="s">
        <v>26</v>
      </c>
      <c r="BL7" s="378" t="s">
        <v>103</v>
      </c>
      <c r="BM7" s="378" t="s">
        <v>104</v>
      </c>
      <c r="BN7" s="379" t="s">
        <v>90</v>
      </c>
      <c r="BO7" s="380" t="s">
        <v>105</v>
      </c>
    </row>
    <row r="8" spans="2:67" x14ac:dyDescent="0.2">
      <c r="B8" s="381" t="s">
        <v>106</v>
      </c>
      <c r="C8" s="382"/>
      <c r="D8" s="382"/>
      <c r="E8" s="382"/>
      <c r="F8" s="382"/>
      <c r="G8" s="382"/>
      <c r="H8" s="382"/>
      <c r="I8" s="382"/>
      <c r="J8" s="382"/>
      <c r="K8" s="382"/>
      <c r="L8" s="382"/>
      <c r="M8" s="382"/>
      <c r="N8" s="382"/>
      <c r="O8" s="382"/>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2"/>
      <c r="AQ8" s="382"/>
      <c r="AR8" s="382"/>
      <c r="AS8" s="382"/>
      <c r="AT8" s="382"/>
      <c r="AU8" s="382"/>
      <c r="AV8" s="382"/>
      <c r="AW8" s="382"/>
      <c r="AX8" s="382"/>
      <c r="AY8" s="382"/>
      <c r="AZ8" s="382"/>
      <c r="BA8" s="382"/>
      <c r="BB8" s="382"/>
      <c r="BC8" s="382"/>
      <c r="BD8" s="382"/>
      <c r="BE8" s="382"/>
      <c r="BF8" s="382"/>
      <c r="BG8" s="382"/>
      <c r="BH8" s="382"/>
      <c r="BI8" s="382"/>
      <c r="BJ8" s="382"/>
      <c r="BK8" s="382"/>
      <c r="BL8" s="382"/>
      <c r="BM8" s="382"/>
      <c r="BN8" s="383"/>
      <c r="BO8" s="384"/>
    </row>
    <row r="9" spans="2:67" x14ac:dyDescent="0.2">
      <c r="B9" s="385" t="s">
        <v>107</v>
      </c>
      <c r="C9" s="386"/>
      <c r="D9" s="386"/>
      <c r="E9" s="386"/>
      <c r="F9" s="386"/>
      <c r="G9" s="386"/>
      <c r="H9" s="386"/>
      <c r="I9" s="386"/>
      <c r="J9" s="386"/>
      <c r="K9" s="386"/>
      <c r="L9" s="386"/>
      <c r="M9" s="386"/>
      <c r="N9" s="386"/>
      <c r="O9" s="386"/>
      <c r="P9" s="386"/>
      <c r="Q9" s="386"/>
      <c r="R9" s="386"/>
      <c r="S9" s="386"/>
      <c r="T9" s="386"/>
      <c r="U9" s="386"/>
      <c r="V9" s="386"/>
      <c r="W9" s="386"/>
      <c r="X9" s="386"/>
      <c r="Y9" s="386"/>
      <c r="Z9" s="386"/>
      <c r="AA9" s="386"/>
      <c r="AB9" s="386"/>
      <c r="AC9" s="386"/>
      <c r="AD9" s="386"/>
      <c r="AE9" s="386"/>
      <c r="AF9" s="386"/>
      <c r="AG9" s="386"/>
      <c r="AH9" s="386"/>
      <c r="AI9" s="386"/>
      <c r="AJ9" s="386"/>
      <c r="AK9" s="386"/>
      <c r="AL9" s="386"/>
      <c r="AM9" s="386"/>
      <c r="AN9" s="386"/>
      <c r="AO9" s="386"/>
      <c r="AP9" s="386"/>
      <c r="AQ9" s="386"/>
      <c r="AR9" s="386"/>
      <c r="AS9" s="386"/>
      <c r="AT9" s="386"/>
      <c r="AU9" s="386"/>
      <c r="AV9" s="386"/>
      <c r="AW9" s="386"/>
      <c r="AX9" s="386"/>
      <c r="AY9" s="386"/>
      <c r="AZ9" s="386"/>
      <c r="BA9" s="386"/>
      <c r="BB9" s="386"/>
      <c r="BC9" s="386"/>
      <c r="BD9" s="386"/>
      <c r="BE9" s="386"/>
      <c r="BF9" s="386"/>
      <c r="BG9" s="386"/>
      <c r="BH9" s="386"/>
      <c r="BI9" s="386"/>
      <c r="BJ9" s="386"/>
      <c r="BK9" s="386"/>
      <c r="BL9" s="386"/>
      <c r="BM9" s="386"/>
      <c r="BN9" s="387"/>
      <c r="BO9" s="388"/>
    </row>
    <row r="10" spans="2:67" x14ac:dyDescent="0.2">
      <c r="B10" s="385" t="s">
        <v>108</v>
      </c>
      <c r="C10" s="386"/>
      <c r="D10" s="386"/>
      <c r="E10" s="386"/>
      <c r="F10" s="386"/>
      <c r="G10" s="386"/>
      <c r="H10" s="386"/>
      <c r="I10" s="386"/>
      <c r="J10" s="386"/>
      <c r="K10" s="386"/>
      <c r="L10" s="386"/>
      <c r="M10" s="386"/>
      <c r="N10" s="386"/>
      <c r="O10" s="386"/>
      <c r="P10" s="386"/>
      <c r="Q10" s="386"/>
      <c r="R10" s="386"/>
      <c r="S10" s="386"/>
      <c r="T10" s="386"/>
      <c r="U10" s="386"/>
      <c r="V10" s="386"/>
      <c r="W10" s="386"/>
      <c r="X10" s="386"/>
      <c r="Y10" s="386"/>
      <c r="Z10" s="386"/>
      <c r="AA10" s="386"/>
      <c r="AB10" s="386"/>
      <c r="AC10" s="386"/>
      <c r="AD10" s="386"/>
      <c r="AE10" s="386"/>
      <c r="AF10" s="386"/>
      <c r="AG10" s="386"/>
      <c r="AH10" s="386"/>
      <c r="AI10" s="386"/>
      <c r="AJ10" s="386"/>
      <c r="AK10" s="386"/>
      <c r="AL10" s="386"/>
      <c r="AM10" s="386"/>
      <c r="AN10" s="386"/>
      <c r="AO10" s="386"/>
      <c r="AP10" s="386"/>
      <c r="AQ10" s="386"/>
      <c r="AR10" s="386"/>
      <c r="AS10" s="386"/>
      <c r="AT10" s="386"/>
      <c r="AU10" s="386"/>
      <c r="AV10" s="386"/>
      <c r="AW10" s="386"/>
      <c r="AX10" s="386"/>
      <c r="AY10" s="386"/>
      <c r="AZ10" s="386"/>
      <c r="BA10" s="386"/>
      <c r="BB10" s="386"/>
      <c r="BC10" s="386"/>
      <c r="BD10" s="386"/>
      <c r="BE10" s="386"/>
      <c r="BF10" s="386"/>
      <c r="BG10" s="386"/>
      <c r="BH10" s="386"/>
      <c r="BI10" s="386"/>
      <c r="BJ10" s="386"/>
      <c r="BK10" s="386"/>
      <c r="BL10" s="386"/>
      <c r="BM10" s="386"/>
      <c r="BN10" s="387"/>
      <c r="BO10" s="388"/>
    </row>
    <row r="11" spans="2:67" x14ac:dyDescent="0.2">
      <c r="B11" s="385" t="s">
        <v>109</v>
      </c>
      <c r="C11" s="386"/>
      <c r="D11" s="386"/>
      <c r="E11" s="386"/>
      <c r="F11" s="386"/>
      <c r="G11" s="386"/>
      <c r="H11" s="386"/>
      <c r="I11" s="386"/>
      <c r="J11" s="386"/>
      <c r="K11" s="386"/>
      <c r="L11" s="386"/>
      <c r="M11" s="386"/>
      <c r="N11" s="386"/>
      <c r="O11" s="386"/>
      <c r="P11" s="386"/>
      <c r="Q11" s="386"/>
      <c r="R11" s="386"/>
      <c r="S11" s="386"/>
      <c r="T11" s="386"/>
      <c r="U11" s="386"/>
      <c r="V11" s="386"/>
      <c r="W11" s="386"/>
      <c r="X11" s="386"/>
      <c r="Y11" s="386"/>
      <c r="Z11" s="386"/>
      <c r="AA11" s="386"/>
      <c r="AB11" s="386"/>
      <c r="AC11" s="386"/>
      <c r="AD11" s="386"/>
      <c r="AE11" s="386"/>
      <c r="AF11" s="386"/>
      <c r="AG11" s="386"/>
      <c r="AH11" s="386"/>
      <c r="AI11" s="386"/>
      <c r="AJ11" s="386"/>
      <c r="AK11" s="386"/>
      <c r="AL11" s="386"/>
      <c r="AM11" s="386"/>
      <c r="AN11" s="386"/>
      <c r="AO11" s="386"/>
      <c r="AP11" s="386"/>
      <c r="AQ11" s="386"/>
      <c r="AR11" s="386"/>
      <c r="AS11" s="386"/>
      <c r="AT11" s="386"/>
      <c r="AU11" s="386"/>
      <c r="AV11" s="386"/>
      <c r="AW11" s="386"/>
      <c r="AX11" s="386"/>
      <c r="AY11" s="386"/>
      <c r="AZ11" s="386"/>
      <c r="BA11" s="386"/>
      <c r="BB11" s="386"/>
      <c r="BC11" s="386"/>
      <c r="BD11" s="386"/>
      <c r="BE11" s="386"/>
      <c r="BF11" s="386"/>
      <c r="BG11" s="386"/>
      <c r="BH11" s="386"/>
      <c r="BI11" s="386"/>
      <c r="BJ11" s="386"/>
      <c r="BK11" s="386"/>
      <c r="BL11" s="386"/>
      <c r="BM11" s="386"/>
      <c r="BN11" s="387"/>
      <c r="BO11" s="388"/>
    </row>
    <row r="12" spans="2:67" x14ac:dyDescent="0.2">
      <c r="B12" s="385" t="s">
        <v>110</v>
      </c>
      <c r="C12" s="386"/>
      <c r="D12" s="386"/>
      <c r="E12" s="386"/>
      <c r="F12" s="386"/>
      <c r="G12" s="386"/>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386"/>
      <c r="AO12" s="386"/>
      <c r="AP12" s="386"/>
      <c r="AQ12" s="386"/>
      <c r="AR12" s="386"/>
      <c r="AS12" s="386"/>
      <c r="AT12" s="386"/>
      <c r="AU12" s="386"/>
      <c r="AV12" s="386"/>
      <c r="AW12" s="386"/>
      <c r="AX12" s="386"/>
      <c r="AY12" s="386"/>
      <c r="AZ12" s="386"/>
      <c r="BA12" s="386"/>
      <c r="BB12" s="386"/>
      <c r="BC12" s="386"/>
      <c r="BD12" s="386"/>
      <c r="BE12" s="386"/>
      <c r="BF12" s="386"/>
      <c r="BG12" s="386"/>
      <c r="BH12" s="386"/>
      <c r="BI12" s="386"/>
      <c r="BJ12" s="386"/>
      <c r="BK12" s="386"/>
      <c r="BL12" s="386"/>
      <c r="BM12" s="386"/>
      <c r="BN12" s="387"/>
      <c r="BO12" s="388"/>
    </row>
    <row r="13" spans="2:67" x14ac:dyDescent="0.2">
      <c r="B13" s="385" t="s">
        <v>111</v>
      </c>
      <c r="C13" s="386"/>
      <c r="D13" s="386"/>
      <c r="E13" s="386"/>
      <c r="F13" s="386"/>
      <c r="G13" s="386"/>
      <c r="H13" s="386"/>
      <c r="I13" s="386"/>
      <c r="J13" s="386"/>
      <c r="K13" s="386"/>
      <c r="L13" s="386"/>
      <c r="M13" s="386"/>
      <c r="N13" s="386"/>
      <c r="O13" s="386"/>
      <c r="P13" s="386"/>
      <c r="Q13" s="386"/>
      <c r="R13" s="386"/>
      <c r="S13" s="386"/>
      <c r="T13" s="386"/>
      <c r="U13" s="386"/>
      <c r="V13" s="386"/>
      <c r="W13" s="386"/>
      <c r="X13" s="386"/>
      <c r="Y13" s="386"/>
      <c r="Z13" s="386"/>
      <c r="AA13" s="386"/>
      <c r="AB13" s="386"/>
      <c r="AC13" s="386"/>
      <c r="AD13" s="386"/>
      <c r="AE13" s="386"/>
      <c r="AF13" s="386"/>
      <c r="AG13" s="386"/>
      <c r="AH13" s="386"/>
      <c r="AI13" s="386"/>
      <c r="AJ13" s="386"/>
      <c r="AK13" s="386"/>
      <c r="AL13" s="386"/>
      <c r="AM13" s="386"/>
      <c r="AN13" s="386"/>
      <c r="AO13" s="386"/>
      <c r="AP13" s="386"/>
      <c r="AQ13" s="386"/>
      <c r="AR13" s="386"/>
      <c r="AS13" s="386"/>
      <c r="AT13" s="386"/>
      <c r="AU13" s="386"/>
      <c r="AV13" s="386"/>
      <c r="AW13" s="386"/>
      <c r="AX13" s="386"/>
      <c r="AY13" s="386"/>
      <c r="AZ13" s="386"/>
      <c r="BA13" s="386"/>
      <c r="BB13" s="386"/>
      <c r="BC13" s="386"/>
      <c r="BD13" s="386"/>
      <c r="BE13" s="386"/>
      <c r="BF13" s="386"/>
      <c r="BG13" s="386"/>
      <c r="BH13" s="386"/>
      <c r="BI13" s="386"/>
      <c r="BJ13" s="386"/>
      <c r="BK13" s="386"/>
      <c r="BL13" s="386"/>
      <c r="BM13" s="386"/>
      <c r="BN13" s="387"/>
      <c r="BO13" s="388"/>
    </row>
    <row r="14" spans="2:67" ht="17" thickBot="1" x14ac:dyDescent="0.25">
      <c r="B14" s="385" t="s">
        <v>112</v>
      </c>
      <c r="C14" s="386"/>
      <c r="D14" s="386"/>
      <c r="E14" s="386"/>
      <c r="F14" s="386"/>
      <c r="G14" s="386"/>
      <c r="H14" s="386"/>
      <c r="I14" s="386"/>
      <c r="J14" s="386"/>
      <c r="K14" s="386"/>
      <c r="L14" s="386"/>
      <c r="M14" s="386"/>
      <c r="N14" s="386"/>
      <c r="O14" s="386"/>
      <c r="P14" s="386"/>
      <c r="Q14" s="386"/>
      <c r="R14" s="386"/>
      <c r="S14" s="386"/>
      <c r="T14" s="386"/>
      <c r="U14" s="386"/>
      <c r="V14" s="386"/>
      <c r="W14" s="386"/>
      <c r="X14" s="386"/>
      <c r="Y14" s="386"/>
      <c r="Z14" s="386"/>
      <c r="AA14" s="386"/>
      <c r="AB14" s="386"/>
      <c r="AC14" s="386"/>
      <c r="AD14" s="386"/>
      <c r="AE14" s="386"/>
      <c r="AF14" s="386"/>
      <c r="AG14" s="386"/>
      <c r="AH14" s="386"/>
      <c r="AI14" s="386"/>
      <c r="AJ14" s="386"/>
      <c r="AK14" s="386"/>
      <c r="AL14" s="386"/>
      <c r="AM14" s="386"/>
      <c r="AN14" s="386"/>
      <c r="AO14" s="386"/>
      <c r="AP14" s="386"/>
      <c r="AQ14" s="386"/>
      <c r="AR14" s="386"/>
      <c r="AS14" s="386"/>
      <c r="AT14" s="386"/>
      <c r="AU14" s="386"/>
      <c r="AV14" s="386"/>
      <c r="AW14" s="386"/>
      <c r="AX14" s="386"/>
      <c r="AY14" s="386"/>
      <c r="AZ14" s="386"/>
      <c r="BA14" s="386"/>
      <c r="BB14" s="386"/>
      <c r="BC14" s="386"/>
      <c r="BD14" s="386"/>
      <c r="BE14" s="386"/>
      <c r="BF14" s="386"/>
      <c r="BG14" s="386"/>
      <c r="BH14" s="386"/>
      <c r="BI14" s="386"/>
      <c r="BJ14" s="386"/>
      <c r="BK14" s="386"/>
      <c r="BL14" s="386"/>
      <c r="BM14" s="386"/>
      <c r="BN14" s="387"/>
      <c r="BO14" s="388"/>
    </row>
    <row r="15" spans="2:67" ht="17" thickBot="1" x14ac:dyDescent="0.25">
      <c r="B15" s="389" t="s">
        <v>113</v>
      </c>
      <c r="C15" s="390"/>
      <c r="D15" s="390"/>
      <c r="E15" s="390"/>
      <c r="F15" s="390"/>
      <c r="G15" s="390"/>
      <c r="H15" s="390"/>
      <c r="I15" s="390"/>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90"/>
      <c r="AM15" s="390"/>
      <c r="AN15" s="390"/>
      <c r="AO15" s="390"/>
      <c r="AP15" s="390"/>
      <c r="AQ15" s="390"/>
      <c r="AR15" s="390"/>
      <c r="AS15" s="390"/>
      <c r="AT15" s="390"/>
      <c r="AU15" s="390"/>
      <c r="AV15" s="390"/>
      <c r="AW15" s="390"/>
      <c r="AX15" s="390"/>
      <c r="AY15" s="390"/>
      <c r="AZ15" s="390"/>
      <c r="BA15" s="390"/>
      <c r="BB15" s="390"/>
      <c r="BC15" s="390"/>
      <c r="BD15" s="390"/>
      <c r="BE15" s="390"/>
      <c r="BF15" s="390"/>
      <c r="BG15" s="390"/>
      <c r="BH15" s="390"/>
      <c r="BI15" s="390"/>
      <c r="BJ15" s="390"/>
      <c r="BK15" s="390"/>
      <c r="BL15" s="390"/>
      <c r="BM15" s="390"/>
      <c r="BN15" s="391"/>
      <c r="BO15" s="392"/>
    </row>
    <row r="16" spans="2:67" x14ac:dyDescent="0.2">
      <c r="B16" s="385" t="s">
        <v>114</v>
      </c>
      <c r="C16" s="386"/>
      <c r="D16" s="386"/>
      <c r="E16" s="386"/>
      <c r="F16" s="386"/>
      <c r="G16" s="386"/>
      <c r="H16" s="386"/>
      <c r="I16" s="386"/>
      <c r="J16" s="386"/>
      <c r="K16" s="386"/>
      <c r="L16" s="386"/>
      <c r="M16" s="386"/>
      <c r="N16" s="386"/>
      <c r="O16" s="386"/>
      <c r="P16" s="386"/>
      <c r="Q16" s="386"/>
      <c r="R16" s="386"/>
      <c r="S16" s="386"/>
      <c r="T16" s="386"/>
      <c r="U16" s="386"/>
      <c r="V16" s="386"/>
      <c r="W16" s="386"/>
      <c r="X16" s="386"/>
      <c r="Y16" s="386"/>
      <c r="Z16" s="386"/>
      <c r="AA16" s="386"/>
      <c r="AB16" s="386"/>
      <c r="AC16" s="386"/>
      <c r="AD16" s="386"/>
      <c r="AE16" s="386"/>
      <c r="AF16" s="386"/>
      <c r="AG16" s="386"/>
      <c r="AH16" s="386"/>
      <c r="AI16" s="386"/>
      <c r="AJ16" s="386"/>
      <c r="AK16" s="386"/>
      <c r="AL16" s="386"/>
      <c r="AM16" s="386"/>
      <c r="AN16" s="386"/>
      <c r="AO16" s="386"/>
      <c r="AP16" s="386"/>
      <c r="AQ16" s="386"/>
      <c r="AR16" s="386"/>
      <c r="AS16" s="386"/>
      <c r="AT16" s="386"/>
      <c r="AU16" s="386"/>
      <c r="AV16" s="386"/>
      <c r="AW16" s="386"/>
      <c r="AX16" s="386"/>
      <c r="AY16" s="386"/>
      <c r="AZ16" s="386"/>
      <c r="BA16" s="386"/>
      <c r="BB16" s="386"/>
      <c r="BC16" s="386"/>
      <c r="BD16" s="386"/>
      <c r="BE16" s="386"/>
      <c r="BF16" s="386"/>
      <c r="BG16" s="386"/>
      <c r="BH16" s="386"/>
      <c r="BI16" s="386"/>
      <c r="BJ16" s="386"/>
      <c r="BK16" s="386"/>
      <c r="BL16" s="386"/>
      <c r="BM16" s="386"/>
      <c r="BN16" s="387"/>
      <c r="BO16" s="388"/>
    </row>
    <row r="17" spans="2:67" ht="17" thickBot="1" x14ac:dyDescent="0.25">
      <c r="B17" s="385" t="s">
        <v>115</v>
      </c>
      <c r="C17" s="386"/>
      <c r="D17" s="386"/>
      <c r="E17" s="386"/>
      <c r="F17" s="386"/>
      <c r="G17" s="386"/>
      <c r="H17" s="386"/>
      <c r="I17" s="386"/>
      <c r="J17" s="386"/>
      <c r="K17" s="386"/>
      <c r="L17" s="386"/>
      <c r="M17" s="386"/>
      <c r="N17" s="386"/>
      <c r="O17" s="386"/>
      <c r="P17" s="386"/>
      <c r="Q17" s="386"/>
      <c r="R17" s="386"/>
      <c r="S17" s="386"/>
      <c r="T17" s="386"/>
      <c r="U17" s="386"/>
      <c r="V17" s="386"/>
      <c r="W17" s="386"/>
      <c r="X17" s="386"/>
      <c r="Y17" s="386"/>
      <c r="Z17" s="386"/>
      <c r="AA17" s="386"/>
      <c r="AB17" s="386"/>
      <c r="AC17" s="386"/>
      <c r="AD17" s="386"/>
      <c r="AE17" s="386"/>
      <c r="AF17" s="386"/>
      <c r="AG17" s="386"/>
      <c r="AH17" s="386"/>
      <c r="AI17" s="386"/>
      <c r="AJ17" s="386"/>
      <c r="AK17" s="386"/>
      <c r="AL17" s="386"/>
      <c r="AM17" s="386"/>
      <c r="AN17" s="386"/>
      <c r="AO17" s="386"/>
      <c r="AP17" s="386"/>
      <c r="AQ17" s="386"/>
      <c r="AR17" s="386"/>
      <c r="AS17" s="386"/>
      <c r="AT17" s="386"/>
      <c r="AU17" s="386"/>
      <c r="AV17" s="386"/>
      <c r="AW17" s="386"/>
      <c r="AX17" s="386"/>
      <c r="AY17" s="386"/>
      <c r="AZ17" s="386"/>
      <c r="BA17" s="386"/>
      <c r="BB17" s="386"/>
      <c r="BC17" s="386"/>
      <c r="BD17" s="386"/>
      <c r="BE17" s="386"/>
      <c r="BF17" s="386"/>
      <c r="BG17" s="386"/>
      <c r="BH17" s="386"/>
      <c r="BI17" s="386"/>
      <c r="BJ17" s="386"/>
      <c r="BK17" s="386"/>
      <c r="BL17" s="386"/>
      <c r="BM17" s="386"/>
      <c r="BN17" s="387"/>
      <c r="BO17" s="388"/>
    </row>
    <row r="18" spans="2:67" ht="17" thickBot="1" x14ac:dyDescent="0.25">
      <c r="B18" s="389" t="s">
        <v>116</v>
      </c>
      <c r="C18" s="390"/>
      <c r="D18" s="390"/>
      <c r="E18" s="390"/>
      <c r="F18" s="390"/>
      <c r="G18" s="390"/>
      <c r="H18" s="390"/>
      <c r="I18" s="390"/>
      <c r="J18" s="390"/>
      <c r="K18" s="390"/>
      <c r="L18" s="390"/>
      <c r="M18" s="390"/>
      <c r="N18" s="390"/>
      <c r="O18" s="390"/>
      <c r="P18" s="390"/>
      <c r="Q18" s="390"/>
      <c r="R18" s="390"/>
      <c r="S18" s="390"/>
      <c r="T18" s="390"/>
      <c r="U18" s="390"/>
      <c r="V18" s="390"/>
      <c r="W18" s="390"/>
      <c r="X18" s="390"/>
      <c r="Y18" s="390"/>
      <c r="Z18" s="390"/>
      <c r="AA18" s="390"/>
      <c r="AB18" s="390"/>
      <c r="AC18" s="390"/>
      <c r="AD18" s="390"/>
      <c r="AE18" s="390"/>
      <c r="AF18" s="390"/>
      <c r="AG18" s="390"/>
      <c r="AH18" s="390"/>
      <c r="AI18" s="390"/>
      <c r="AJ18" s="390"/>
      <c r="AK18" s="390"/>
      <c r="AL18" s="390"/>
      <c r="AM18" s="390"/>
      <c r="AN18" s="390"/>
      <c r="AO18" s="390"/>
      <c r="AP18" s="390"/>
      <c r="AQ18" s="390"/>
      <c r="AR18" s="390"/>
      <c r="AS18" s="390"/>
      <c r="AT18" s="390"/>
      <c r="AU18" s="390"/>
      <c r="AV18" s="390"/>
      <c r="AW18" s="390"/>
      <c r="AX18" s="390"/>
      <c r="AY18" s="390"/>
      <c r="AZ18" s="390"/>
      <c r="BA18" s="390"/>
      <c r="BB18" s="390"/>
      <c r="BC18" s="390"/>
      <c r="BD18" s="390"/>
      <c r="BE18" s="390"/>
      <c r="BF18" s="390"/>
      <c r="BG18" s="390"/>
      <c r="BH18" s="390"/>
      <c r="BI18" s="390"/>
      <c r="BJ18" s="390"/>
      <c r="BK18" s="390"/>
      <c r="BL18" s="390"/>
      <c r="BM18" s="390"/>
      <c r="BN18" s="391"/>
      <c r="BO18" s="392"/>
    </row>
    <row r="19" spans="2:67" x14ac:dyDescent="0.2">
      <c r="B19" s="385" t="s">
        <v>117</v>
      </c>
      <c r="C19" s="386"/>
      <c r="D19" s="386"/>
      <c r="E19" s="386"/>
      <c r="F19" s="386"/>
      <c r="G19" s="386"/>
      <c r="H19" s="386"/>
      <c r="I19" s="386"/>
      <c r="J19" s="386"/>
      <c r="K19" s="386"/>
      <c r="L19" s="386"/>
      <c r="M19" s="386"/>
      <c r="N19" s="386"/>
      <c r="O19" s="386"/>
      <c r="P19" s="386"/>
      <c r="Q19" s="386"/>
      <c r="R19" s="386"/>
      <c r="S19" s="386"/>
      <c r="T19" s="386"/>
      <c r="U19" s="386"/>
      <c r="V19" s="386"/>
      <c r="W19" s="386"/>
      <c r="X19" s="386"/>
      <c r="Y19" s="386"/>
      <c r="Z19" s="386"/>
      <c r="AA19" s="386"/>
      <c r="AB19" s="386"/>
      <c r="AC19" s="386"/>
      <c r="AD19" s="386"/>
      <c r="AE19" s="386"/>
      <c r="AF19" s="386"/>
      <c r="AG19" s="386"/>
      <c r="AH19" s="386"/>
      <c r="AI19" s="386"/>
      <c r="AJ19" s="386"/>
      <c r="AK19" s="386"/>
      <c r="AL19" s="386"/>
      <c r="AM19" s="386"/>
      <c r="AN19" s="386"/>
      <c r="AO19" s="386"/>
      <c r="AP19" s="386"/>
      <c r="AQ19" s="386"/>
      <c r="AR19" s="386"/>
      <c r="AS19" s="386"/>
      <c r="AT19" s="386"/>
      <c r="AU19" s="386"/>
      <c r="AV19" s="386"/>
      <c r="AW19" s="386"/>
      <c r="AX19" s="386"/>
      <c r="AY19" s="386"/>
      <c r="AZ19" s="386"/>
      <c r="BA19" s="386"/>
      <c r="BB19" s="386"/>
      <c r="BC19" s="386"/>
      <c r="BD19" s="386"/>
      <c r="BE19" s="386"/>
      <c r="BF19" s="386"/>
      <c r="BG19" s="386"/>
      <c r="BH19" s="386"/>
      <c r="BI19" s="386"/>
      <c r="BJ19" s="386"/>
      <c r="BK19" s="386"/>
      <c r="BL19" s="386"/>
      <c r="BM19" s="386"/>
      <c r="BN19" s="387"/>
      <c r="BO19" s="388"/>
    </row>
    <row r="20" spans="2:67" x14ac:dyDescent="0.2">
      <c r="B20" s="385" t="s">
        <v>118</v>
      </c>
      <c r="C20" s="386"/>
      <c r="D20" s="386"/>
      <c r="E20" s="386"/>
      <c r="F20" s="386"/>
      <c r="G20" s="386"/>
      <c r="H20" s="386"/>
      <c r="I20" s="386"/>
      <c r="J20" s="386"/>
      <c r="K20" s="386"/>
      <c r="L20" s="386"/>
      <c r="M20" s="386"/>
      <c r="N20" s="386"/>
      <c r="O20" s="386"/>
      <c r="P20" s="386"/>
      <c r="Q20" s="386"/>
      <c r="R20" s="386"/>
      <c r="S20" s="386"/>
      <c r="T20" s="386"/>
      <c r="U20" s="386"/>
      <c r="V20" s="386"/>
      <c r="W20" s="386"/>
      <c r="X20" s="386"/>
      <c r="Y20" s="386"/>
      <c r="Z20" s="386"/>
      <c r="AA20" s="386"/>
      <c r="AB20" s="386"/>
      <c r="AC20" s="386"/>
      <c r="AD20" s="386"/>
      <c r="AE20" s="386"/>
      <c r="AF20" s="386"/>
      <c r="AG20" s="386"/>
      <c r="AH20" s="386"/>
      <c r="AI20" s="386"/>
      <c r="AJ20" s="386"/>
      <c r="AK20" s="386"/>
      <c r="AL20" s="386"/>
      <c r="AM20" s="386"/>
      <c r="AN20" s="386"/>
      <c r="AO20" s="386"/>
      <c r="AP20" s="386"/>
      <c r="AQ20" s="386"/>
      <c r="AR20" s="386"/>
      <c r="AS20" s="386"/>
      <c r="AT20" s="386"/>
      <c r="AU20" s="386"/>
      <c r="AV20" s="386"/>
      <c r="AW20" s="386"/>
      <c r="AX20" s="386"/>
      <c r="AY20" s="386"/>
      <c r="AZ20" s="386"/>
      <c r="BA20" s="386"/>
      <c r="BB20" s="386"/>
      <c r="BC20" s="386"/>
      <c r="BD20" s="386"/>
      <c r="BE20" s="386"/>
      <c r="BF20" s="386"/>
      <c r="BG20" s="386"/>
      <c r="BH20" s="386"/>
      <c r="BI20" s="386"/>
      <c r="BJ20" s="386"/>
      <c r="BK20" s="386"/>
      <c r="BL20" s="386"/>
      <c r="BM20" s="386"/>
      <c r="BN20" s="387"/>
      <c r="BO20" s="388"/>
    </row>
    <row r="21" spans="2:67" x14ac:dyDescent="0.2">
      <c r="B21" s="385" t="s">
        <v>119</v>
      </c>
      <c r="C21" s="386"/>
      <c r="D21" s="386"/>
      <c r="E21" s="386"/>
      <c r="F21" s="386"/>
      <c r="G21" s="386"/>
      <c r="H21" s="386"/>
      <c r="I21" s="386"/>
      <c r="J21" s="386"/>
      <c r="K21" s="386"/>
      <c r="L21" s="386"/>
      <c r="M21" s="386"/>
      <c r="N21" s="386"/>
      <c r="O21" s="386"/>
      <c r="P21" s="386"/>
      <c r="Q21" s="386"/>
      <c r="R21" s="386"/>
      <c r="S21" s="386"/>
      <c r="T21" s="386"/>
      <c r="U21" s="386"/>
      <c r="V21" s="386"/>
      <c r="W21" s="386"/>
      <c r="X21" s="386"/>
      <c r="Y21" s="386"/>
      <c r="Z21" s="386"/>
      <c r="AA21" s="386"/>
      <c r="AB21" s="386"/>
      <c r="AC21" s="386"/>
      <c r="AD21" s="386"/>
      <c r="AE21" s="386"/>
      <c r="AF21" s="386"/>
      <c r="AG21" s="386"/>
      <c r="AH21" s="386"/>
      <c r="AI21" s="386"/>
      <c r="AJ21" s="386"/>
      <c r="AK21" s="386"/>
      <c r="AL21" s="386"/>
      <c r="AM21" s="386"/>
      <c r="AN21" s="386"/>
      <c r="AO21" s="386"/>
      <c r="AP21" s="386"/>
      <c r="AQ21" s="386"/>
      <c r="AR21" s="386"/>
      <c r="AS21" s="386"/>
      <c r="AT21" s="386"/>
      <c r="AU21" s="386"/>
      <c r="AV21" s="386"/>
      <c r="AW21" s="386"/>
      <c r="AX21" s="386"/>
      <c r="AY21" s="386"/>
      <c r="AZ21" s="386"/>
      <c r="BA21" s="386"/>
      <c r="BB21" s="386"/>
      <c r="BC21" s="386"/>
      <c r="BD21" s="386"/>
      <c r="BE21" s="386"/>
      <c r="BF21" s="386"/>
      <c r="BG21" s="386"/>
      <c r="BH21" s="386"/>
      <c r="BI21" s="386"/>
      <c r="BJ21" s="386"/>
      <c r="BK21" s="386"/>
      <c r="BL21" s="386"/>
      <c r="BM21" s="386"/>
      <c r="BN21" s="387"/>
      <c r="BO21" s="388"/>
    </row>
    <row r="22" spans="2:67" x14ac:dyDescent="0.2">
      <c r="B22" s="385" t="s">
        <v>120</v>
      </c>
      <c r="C22" s="386"/>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86"/>
      <c r="AN22" s="386"/>
      <c r="AO22" s="386"/>
      <c r="AP22" s="386"/>
      <c r="AQ22" s="386"/>
      <c r="AR22" s="386"/>
      <c r="AS22" s="386"/>
      <c r="AT22" s="386"/>
      <c r="AU22" s="386"/>
      <c r="AV22" s="386"/>
      <c r="AW22" s="386"/>
      <c r="AX22" s="386"/>
      <c r="AY22" s="386"/>
      <c r="AZ22" s="386"/>
      <c r="BA22" s="386"/>
      <c r="BB22" s="386"/>
      <c r="BC22" s="386"/>
      <c r="BD22" s="386"/>
      <c r="BE22" s="386"/>
      <c r="BF22" s="386"/>
      <c r="BG22" s="386"/>
      <c r="BH22" s="386"/>
      <c r="BI22" s="386"/>
      <c r="BJ22" s="386"/>
      <c r="BK22" s="386"/>
      <c r="BL22" s="386"/>
      <c r="BM22" s="386"/>
      <c r="BN22" s="387"/>
      <c r="BO22" s="388"/>
    </row>
    <row r="23" spans="2:67" x14ac:dyDescent="0.2">
      <c r="B23" s="385" t="s">
        <v>121</v>
      </c>
      <c r="C23" s="386"/>
      <c r="D23" s="386"/>
      <c r="E23" s="386"/>
      <c r="F23" s="386"/>
      <c r="G23" s="386"/>
      <c r="H23" s="386"/>
      <c r="I23" s="386"/>
      <c r="J23" s="386"/>
      <c r="K23" s="386"/>
      <c r="L23" s="386"/>
      <c r="M23" s="386"/>
      <c r="N23" s="386"/>
      <c r="O23" s="386"/>
      <c r="P23" s="386"/>
      <c r="Q23" s="386"/>
      <c r="R23" s="386"/>
      <c r="S23" s="386"/>
      <c r="T23" s="386"/>
      <c r="U23" s="386"/>
      <c r="V23" s="386"/>
      <c r="W23" s="386"/>
      <c r="X23" s="386"/>
      <c r="Y23" s="386"/>
      <c r="Z23" s="386"/>
      <c r="AA23" s="386"/>
      <c r="AB23" s="386"/>
      <c r="AC23" s="386"/>
      <c r="AD23" s="386"/>
      <c r="AE23" s="386"/>
      <c r="AF23" s="386"/>
      <c r="AG23" s="386"/>
      <c r="AH23" s="386"/>
      <c r="AI23" s="386"/>
      <c r="AJ23" s="386"/>
      <c r="AK23" s="386"/>
      <c r="AL23" s="386"/>
      <c r="AM23" s="386"/>
      <c r="AN23" s="386"/>
      <c r="AO23" s="386"/>
      <c r="AP23" s="386"/>
      <c r="AQ23" s="386"/>
      <c r="AR23" s="386"/>
      <c r="AS23" s="386"/>
      <c r="AT23" s="386"/>
      <c r="AU23" s="386"/>
      <c r="AV23" s="386"/>
      <c r="AW23" s="386"/>
      <c r="AX23" s="386"/>
      <c r="AY23" s="386"/>
      <c r="AZ23" s="386"/>
      <c r="BA23" s="386"/>
      <c r="BB23" s="386"/>
      <c r="BC23" s="386"/>
      <c r="BD23" s="386"/>
      <c r="BE23" s="386"/>
      <c r="BF23" s="386"/>
      <c r="BG23" s="386"/>
      <c r="BH23" s="386"/>
      <c r="BI23" s="386"/>
      <c r="BJ23" s="386"/>
      <c r="BK23" s="386"/>
      <c r="BL23" s="386"/>
      <c r="BM23" s="386"/>
      <c r="BN23" s="387"/>
      <c r="BO23" s="388"/>
    </row>
    <row r="24" spans="2:67" x14ac:dyDescent="0.2">
      <c r="B24" s="393" t="s">
        <v>122</v>
      </c>
      <c r="C24" s="394"/>
      <c r="D24" s="394"/>
      <c r="E24" s="394"/>
      <c r="F24" s="394"/>
      <c r="G24" s="394"/>
      <c r="H24" s="394"/>
      <c r="I24" s="394"/>
      <c r="J24" s="394"/>
      <c r="K24" s="394"/>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4"/>
      <c r="AI24" s="394"/>
      <c r="AJ24" s="394"/>
      <c r="AK24" s="394"/>
      <c r="AL24" s="394"/>
      <c r="AM24" s="394"/>
      <c r="AN24" s="394"/>
      <c r="AO24" s="394"/>
      <c r="AP24" s="394"/>
      <c r="AQ24" s="394"/>
      <c r="AR24" s="394"/>
      <c r="AS24" s="394"/>
      <c r="AT24" s="394"/>
      <c r="AU24" s="394"/>
      <c r="AV24" s="394"/>
      <c r="AW24" s="394"/>
      <c r="AX24" s="394"/>
      <c r="AY24" s="394"/>
      <c r="AZ24" s="394"/>
      <c r="BA24" s="394"/>
      <c r="BB24" s="394"/>
      <c r="BC24" s="394"/>
      <c r="BD24" s="394"/>
      <c r="BE24" s="394"/>
      <c r="BF24" s="394"/>
      <c r="BG24" s="394"/>
      <c r="BH24" s="394"/>
      <c r="BI24" s="394"/>
      <c r="BJ24" s="394"/>
      <c r="BK24" s="394"/>
      <c r="BL24" s="394"/>
      <c r="BM24" s="394"/>
      <c r="BN24" s="395"/>
      <c r="BO24" s="396"/>
    </row>
    <row r="25" spans="2:67" x14ac:dyDescent="0.2">
      <c r="B25" s="385" t="s">
        <v>123</v>
      </c>
      <c r="C25" s="386"/>
      <c r="D25" s="386"/>
      <c r="E25" s="386"/>
      <c r="F25" s="386"/>
      <c r="G25" s="386"/>
      <c r="H25" s="386"/>
      <c r="I25" s="386"/>
      <c r="J25" s="386"/>
      <c r="K25" s="386"/>
      <c r="L25" s="386"/>
      <c r="M25" s="386"/>
      <c r="N25" s="386"/>
      <c r="O25" s="386"/>
      <c r="P25" s="386"/>
      <c r="Q25" s="386"/>
      <c r="R25" s="386"/>
      <c r="S25" s="386"/>
      <c r="T25" s="386"/>
      <c r="U25" s="386"/>
      <c r="V25" s="386"/>
      <c r="W25" s="386"/>
      <c r="X25" s="386"/>
      <c r="Y25" s="386"/>
      <c r="Z25" s="386"/>
      <c r="AA25" s="386"/>
      <c r="AB25" s="386"/>
      <c r="AC25" s="386"/>
      <c r="AD25" s="386"/>
      <c r="AE25" s="386"/>
      <c r="AF25" s="386"/>
      <c r="AG25" s="386"/>
      <c r="AH25" s="386"/>
      <c r="AI25" s="386"/>
      <c r="AJ25" s="386"/>
      <c r="AK25" s="386"/>
      <c r="AL25" s="386"/>
      <c r="AM25" s="386"/>
      <c r="AN25" s="386"/>
      <c r="AO25" s="386"/>
      <c r="AP25" s="386"/>
      <c r="AQ25" s="386"/>
      <c r="AR25" s="386"/>
      <c r="AS25" s="386"/>
      <c r="AT25" s="386"/>
      <c r="AU25" s="386"/>
      <c r="AV25" s="386"/>
      <c r="AW25" s="386"/>
      <c r="AX25" s="386"/>
      <c r="AY25" s="386"/>
      <c r="AZ25" s="386"/>
      <c r="BA25" s="386"/>
      <c r="BB25" s="386"/>
      <c r="BC25" s="386"/>
      <c r="BD25" s="386"/>
      <c r="BE25" s="386"/>
      <c r="BF25" s="386"/>
      <c r="BG25" s="386"/>
      <c r="BH25" s="386"/>
      <c r="BI25" s="386"/>
      <c r="BJ25" s="386"/>
      <c r="BK25" s="386"/>
      <c r="BL25" s="386"/>
      <c r="BM25" s="386"/>
      <c r="BN25" s="387"/>
      <c r="BO25" s="388"/>
    </row>
    <row r="26" spans="2:67" x14ac:dyDescent="0.2">
      <c r="B26" s="385" t="s">
        <v>124</v>
      </c>
      <c r="C26" s="386"/>
      <c r="D26" s="386"/>
      <c r="E26" s="386"/>
      <c r="F26" s="386"/>
      <c r="G26" s="386"/>
      <c r="H26" s="386"/>
      <c r="I26" s="386"/>
      <c r="J26" s="386"/>
      <c r="K26" s="386"/>
      <c r="L26" s="386"/>
      <c r="M26" s="386"/>
      <c r="N26" s="386"/>
      <c r="O26" s="386"/>
      <c r="P26" s="386"/>
      <c r="Q26" s="386"/>
      <c r="R26" s="386"/>
      <c r="S26" s="386"/>
      <c r="T26" s="386"/>
      <c r="U26" s="386"/>
      <c r="V26" s="386"/>
      <c r="W26" s="386"/>
      <c r="X26" s="386"/>
      <c r="Y26" s="386"/>
      <c r="Z26" s="386"/>
      <c r="AA26" s="386"/>
      <c r="AB26" s="386"/>
      <c r="AC26" s="386"/>
      <c r="AD26" s="386"/>
      <c r="AE26" s="386"/>
      <c r="AF26" s="386"/>
      <c r="AG26" s="386"/>
      <c r="AH26" s="386"/>
      <c r="AI26" s="386"/>
      <c r="AJ26" s="386"/>
      <c r="AK26" s="386"/>
      <c r="AL26" s="386"/>
      <c r="AM26" s="386"/>
      <c r="AN26" s="386"/>
      <c r="AO26" s="386"/>
      <c r="AP26" s="386"/>
      <c r="AQ26" s="386"/>
      <c r="AR26" s="386"/>
      <c r="AS26" s="386"/>
      <c r="AT26" s="386"/>
      <c r="AU26" s="386"/>
      <c r="AV26" s="386"/>
      <c r="AW26" s="386"/>
      <c r="AX26" s="386"/>
      <c r="AY26" s="386"/>
      <c r="AZ26" s="386"/>
      <c r="BA26" s="386"/>
      <c r="BB26" s="386"/>
      <c r="BC26" s="386"/>
      <c r="BD26" s="386"/>
      <c r="BE26" s="386"/>
      <c r="BF26" s="386"/>
      <c r="BG26" s="386"/>
      <c r="BH26" s="386"/>
      <c r="BI26" s="386"/>
      <c r="BJ26" s="386"/>
      <c r="BK26" s="386"/>
      <c r="BL26" s="386"/>
      <c r="BM26" s="386"/>
      <c r="BN26" s="387"/>
      <c r="BO26" s="388"/>
    </row>
    <row r="27" spans="2:67" x14ac:dyDescent="0.2">
      <c r="B27" s="385" t="s">
        <v>125</v>
      </c>
      <c r="C27" s="386"/>
      <c r="D27" s="386"/>
      <c r="E27" s="386"/>
      <c r="F27" s="386"/>
      <c r="G27" s="386"/>
      <c r="H27" s="386"/>
      <c r="I27" s="386"/>
      <c r="J27" s="386"/>
      <c r="K27" s="386"/>
      <c r="L27" s="386"/>
      <c r="M27" s="386"/>
      <c r="N27" s="386"/>
      <c r="O27" s="386"/>
      <c r="P27" s="386"/>
      <c r="Q27" s="386"/>
      <c r="R27" s="386"/>
      <c r="S27" s="386"/>
      <c r="T27" s="386"/>
      <c r="U27" s="386"/>
      <c r="V27" s="386"/>
      <c r="W27" s="386"/>
      <c r="X27" s="386"/>
      <c r="Y27" s="386"/>
      <c r="Z27" s="386"/>
      <c r="AA27" s="386"/>
      <c r="AB27" s="386"/>
      <c r="AC27" s="386"/>
      <c r="AD27" s="386"/>
      <c r="AE27" s="386"/>
      <c r="AF27" s="386"/>
      <c r="AG27" s="386"/>
      <c r="AH27" s="386"/>
      <c r="AI27" s="386"/>
      <c r="AJ27" s="386"/>
      <c r="AK27" s="386"/>
      <c r="AL27" s="386"/>
      <c r="AM27" s="386"/>
      <c r="AN27" s="386"/>
      <c r="AO27" s="386"/>
      <c r="AP27" s="386"/>
      <c r="AQ27" s="386"/>
      <c r="AR27" s="386"/>
      <c r="AS27" s="386"/>
      <c r="AT27" s="386"/>
      <c r="AU27" s="386"/>
      <c r="AV27" s="386"/>
      <c r="AW27" s="386"/>
      <c r="AX27" s="386"/>
      <c r="AY27" s="386"/>
      <c r="AZ27" s="386"/>
      <c r="BA27" s="386"/>
      <c r="BB27" s="386"/>
      <c r="BC27" s="386"/>
      <c r="BD27" s="386"/>
      <c r="BE27" s="386"/>
      <c r="BF27" s="386"/>
      <c r="BG27" s="386"/>
      <c r="BH27" s="386"/>
      <c r="BI27" s="386"/>
      <c r="BJ27" s="386"/>
      <c r="BK27" s="386"/>
      <c r="BL27" s="386"/>
      <c r="BM27" s="386"/>
      <c r="BN27" s="387"/>
      <c r="BO27" s="388"/>
    </row>
    <row r="28" spans="2:67" x14ac:dyDescent="0.2">
      <c r="B28" s="385" t="s">
        <v>387</v>
      </c>
      <c r="C28" s="386"/>
      <c r="D28" s="386"/>
      <c r="E28" s="386"/>
      <c r="F28" s="386"/>
      <c r="G28" s="386"/>
      <c r="H28" s="386"/>
      <c r="I28" s="386"/>
      <c r="J28" s="386"/>
      <c r="K28" s="386"/>
      <c r="L28" s="386"/>
      <c r="M28" s="386"/>
      <c r="N28" s="386"/>
      <c r="O28" s="386"/>
      <c r="P28" s="386"/>
      <c r="Q28" s="386"/>
      <c r="R28" s="386"/>
      <c r="S28" s="386"/>
      <c r="T28" s="386"/>
      <c r="U28" s="386"/>
      <c r="V28" s="386"/>
      <c r="W28" s="386"/>
      <c r="X28" s="386"/>
      <c r="Y28" s="386"/>
      <c r="Z28" s="386"/>
      <c r="AA28" s="386"/>
      <c r="AB28" s="386"/>
      <c r="AC28" s="386"/>
      <c r="AD28" s="386"/>
      <c r="AE28" s="386"/>
      <c r="AF28" s="386"/>
      <c r="AG28" s="386"/>
      <c r="AH28" s="386"/>
      <c r="AI28" s="386"/>
      <c r="AJ28" s="386"/>
      <c r="AK28" s="386"/>
      <c r="AL28" s="386"/>
      <c r="AM28" s="386"/>
      <c r="AN28" s="386"/>
      <c r="AO28" s="386"/>
      <c r="AP28" s="386"/>
      <c r="AQ28" s="386"/>
      <c r="AR28" s="386"/>
      <c r="AS28" s="386"/>
      <c r="AT28" s="386"/>
      <c r="AU28" s="386"/>
      <c r="AV28" s="386"/>
      <c r="AW28" s="386"/>
      <c r="AX28" s="386"/>
      <c r="AY28" s="386"/>
      <c r="AZ28" s="386"/>
      <c r="BA28" s="386"/>
      <c r="BB28" s="386"/>
      <c r="BC28" s="386"/>
      <c r="BD28" s="386"/>
      <c r="BE28" s="386"/>
      <c r="BF28" s="386"/>
      <c r="BG28" s="386"/>
      <c r="BH28" s="386"/>
      <c r="BI28" s="386"/>
      <c r="BJ28" s="386"/>
      <c r="BK28" s="386"/>
      <c r="BL28" s="386"/>
      <c r="BM28" s="386"/>
      <c r="BN28" s="387"/>
      <c r="BO28" s="388"/>
    </row>
    <row r="29" spans="2:67" x14ac:dyDescent="0.2">
      <c r="B29" s="385" t="s">
        <v>386</v>
      </c>
      <c r="C29" s="386"/>
      <c r="D29" s="386"/>
      <c r="E29" s="386"/>
      <c r="F29" s="386"/>
      <c r="G29" s="386"/>
      <c r="H29" s="386"/>
      <c r="I29" s="386"/>
      <c r="J29" s="386"/>
      <c r="K29" s="386"/>
      <c r="L29" s="386"/>
      <c r="M29" s="386"/>
      <c r="N29" s="386"/>
      <c r="O29" s="386"/>
      <c r="P29" s="386"/>
      <c r="Q29" s="386"/>
      <c r="R29" s="386"/>
      <c r="S29" s="386"/>
      <c r="T29" s="386"/>
      <c r="U29" s="386"/>
      <c r="V29" s="386"/>
      <c r="W29" s="386"/>
      <c r="X29" s="386"/>
      <c r="Y29" s="386"/>
      <c r="Z29" s="386"/>
      <c r="AA29" s="386"/>
      <c r="AB29" s="386"/>
      <c r="AC29" s="386"/>
      <c r="AD29" s="386"/>
      <c r="AE29" s="386"/>
      <c r="AF29" s="386"/>
      <c r="AG29" s="386"/>
      <c r="AH29" s="386"/>
      <c r="AI29" s="386"/>
      <c r="AJ29" s="386"/>
      <c r="AK29" s="386"/>
      <c r="AL29" s="386"/>
      <c r="AM29" s="386"/>
      <c r="AN29" s="386"/>
      <c r="AO29" s="386"/>
      <c r="AP29" s="386"/>
      <c r="AQ29" s="386"/>
      <c r="AR29" s="386"/>
      <c r="AS29" s="386"/>
      <c r="AT29" s="386"/>
      <c r="AU29" s="386"/>
      <c r="AV29" s="386"/>
      <c r="AW29" s="386"/>
      <c r="AX29" s="386"/>
      <c r="AY29" s="386"/>
      <c r="AZ29" s="386"/>
      <c r="BA29" s="386"/>
      <c r="BB29" s="386"/>
      <c r="BC29" s="386"/>
      <c r="BD29" s="386"/>
      <c r="BE29" s="386"/>
      <c r="BF29" s="386"/>
      <c r="BG29" s="386"/>
      <c r="BH29" s="386"/>
      <c r="BI29" s="386"/>
      <c r="BJ29" s="386"/>
      <c r="BK29" s="386"/>
      <c r="BL29" s="386"/>
      <c r="BM29" s="386"/>
      <c r="BN29" s="387"/>
      <c r="BO29" s="388"/>
    </row>
    <row r="30" spans="2:67" x14ac:dyDescent="0.2">
      <c r="B30" s="385" t="s">
        <v>385</v>
      </c>
      <c r="C30" s="386"/>
      <c r="D30" s="386"/>
      <c r="E30" s="386"/>
      <c r="F30" s="386"/>
      <c r="G30" s="386"/>
      <c r="H30" s="386"/>
      <c r="I30" s="386"/>
      <c r="J30" s="386"/>
      <c r="K30" s="386"/>
      <c r="L30" s="386"/>
      <c r="M30" s="386"/>
      <c r="N30" s="386"/>
      <c r="O30" s="386"/>
      <c r="P30" s="386"/>
      <c r="Q30" s="386"/>
      <c r="R30" s="386"/>
      <c r="S30" s="386"/>
      <c r="T30" s="386"/>
      <c r="U30" s="386"/>
      <c r="V30" s="386"/>
      <c r="W30" s="386"/>
      <c r="X30" s="386"/>
      <c r="Y30" s="386"/>
      <c r="Z30" s="386"/>
      <c r="AA30" s="386"/>
      <c r="AB30" s="386"/>
      <c r="AC30" s="386"/>
      <c r="AD30" s="386"/>
      <c r="AE30" s="386"/>
      <c r="AF30" s="386"/>
      <c r="AG30" s="386"/>
      <c r="AH30" s="386"/>
      <c r="AI30" s="386"/>
      <c r="AJ30" s="386"/>
      <c r="AK30" s="386"/>
      <c r="AL30" s="386"/>
      <c r="AM30" s="386"/>
      <c r="AN30" s="386"/>
      <c r="AO30" s="386"/>
      <c r="AP30" s="386"/>
      <c r="AQ30" s="386"/>
      <c r="AR30" s="386"/>
      <c r="AS30" s="386"/>
      <c r="AT30" s="386"/>
      <c r="AU30" s="386"/>
      <c r="AV30" s="386"/>
      <c r="AW30" s="386"/>
      <c r="AX30" s="386"/>
      <c r="AY30" s="386"/>
      <c r="AZ30" s="386"/>
      <c r="BA30" s="386"/>
      <c r="BB30" s="386"/>
      <c r="BC30" s="386"/>
      <c r="BD30" s="386"/>
      <c r="BE30" s="386"/>
      <c r="BF30" s="386"/>
      <c r="BG30" s="386"/>
      <c r="BH30" s="386"/>
      <c r="BI30" s="386"/>
      <c r="BJ30" s="386"/>
      <c r="BK30" s="386"/>
      <c r="BL30" s="386"/>
      <c r="BM30" s="386"/>
      <c r="BN30" s="387"/>
      <c r="BO30" s="388"/>
    </row>
    <row r="31" spans="2:67" x14ac:dyDescent="0.2">
      <c r="B31" s="385" t="s">
        <v>384</v>
      </c>
      <c r="C31" s="386"/>
      <c r="D31" s="386"/>
      <c r="E31" s="386"/>
      <c r="F31" s="386"/>
      <c r="G31" s="386"/>
      <c r="H31" s="386"/>
      <c r="I31" s="386"/>
      <c r="J31" s="386"/>
      <c r="K31" s="386"/>
      <c r="L31" s="386"/>
      <c r="M31" s="386"/>
      <c r="N31" s="386"/>
      <c r="O31" s="386"/>
      <c r="P31" s="386"/>
      <c r="Q31" s="386"/>
      <c r="R31" s="386"/>
      <c r="S31" s="386"/>
      <c r="T31" s="386"/>
      <c r="U31" s="386"/>
      <c r="V31" s="386"/>
      <c r="W31" s="386"/>
      <c r="X31" s="386"/>
      <c r="Y31" s="386"/>
      <c r="Z31" s="386"/>
      <c r="AA31" s="386"/>
      <c r="AB31" s="386"/>
      <c r="AC31" s="386"/>
      <c r="AD31" s="386"/>
      <c r="AE31" s="386"/>
      <c r="AF31" s="386"/>
      <c r="AG31" s="386"/>
      <c r="AH31" s="386"/>
      <c r="AI31" s="386"/>
      <c r="AJ31" s="386"/>
      <c r="AK31" s="386"/>
      <c r="AL31" s="386"/>
      <c r="AM31" s="386"/>
      <c r="AN31" s="386"/>
      <c r="AO31" s="386"/>
      <c r="AP31" s="386"/>
      <c r="AQ31" s="386"/>
      <c r="AR31" s="386"/>
      <c r="AS31" s="386"/>
      <c r="AT31" s="386"/>
      <c r="AU31" s="386"/>
      <c r="AV31" s="386"/>
      <c r="AW31" s="386"/>
      <c r="AX31" s="386"/>
      <c r="AY31" s="386"/>
      <c r="AZ31" s="386"/>
      <c r="BA31" s="386"/>
      <c r="BB31" s="386"/>
      <c r="BC31" s="386"/>
      <c r="BD31" s="386"/>
      <c r="BE31" s="386"/>
      <c r="BF31" s="386"/>
      <c r="BG31" s="386"/>
      <c r="BH31" s="386"/>
      <c r="BI31" s="386"/>
      <c r="BJ31" s="386"/>
      <c r="BK31" s="386"/>
      <c r="BL31" s="386"/>
      <c r="BM31" s="386"/>
      <c r="BN31" s="387"/>
      <c r="BO31" s="388"/>
    </row>
    <row r="32" spans="2:67" x14ac:dyDescent="0.2">
      <c r="B32" s="385" t="s">
        <v>383</v>
      </c>
      <c r="C32" s="386"/>
      <c r="D32" s="386"/>
      <c r="E32" s="386"/>
      <c r="F32" s="386"/>
      <c r="G32" s="386"/>
      <c r="H32" s="386"/>
      <c r="I32" s="386"/>
      <c r="J32" s="386"/>
      <c r="K32" s="386"/>
      <c r="L32" s="386"/>
      <c r="M32" s="386"/>
      <c r="N32" s="386"/>
      <c r="O32" s="386"/>
      <c r="P32" s="386"/>
      <c r="Q32" s="386"/>
      <c r="R32" s="386"/>
      <c r="S32" s="386"/>
      <c r="T32" s="386"/>
      <c r="U32" s="386"/>
      <c r="V32" s="386"/>
      <c r="W32" s="386"/>
      <c r="X32" s="386"/>
      <c r="Y32" s="386"/>
      <c r="Z32" s="386"/>
      <c r="AA32" s="386"/>
      <c r="AB32" s="386"/>
      <c r="AC32" s="386"/>
      <c r="AD32" s="386"/>
      <c r="AE32" s="386"/>
      <c r="AF32" s="386"/>
      <c r="AG32" s="386"/>
      <c r="AH32" s="386"/>
      <c r="AI32" s="386"/>
      <c r="AJ32" s="386"/>
      <c r="AK32" s="386"/>
      <c r="AL32" s="386"/>
      <c r="AM32" s="386"/>
      <c r="AN32" s="386"/>
      <c r="AO32" s="386"/>
      <c r="AP32" s="386"/>
      <c r="AQ32" s="386"/>
      <c r="AR32" s="386"/>
      <c r="AS32" s="386"/>
      <c r="AT32" s="386"/>
      <c r="AU32" s="386"/>
      <c r="AV32" s="386"/>
      <c r="AW32" s="386"/>
      <c r="AX32" s="386"/>
      <c r="AY32" s="386"/>
      <c r="AZ32" s="386"/>
      <c r="BA32" s="386"/>
      <c r="BB32" s="386"/>
      <c r="BC32" s="386"/>
      <c r="BD32" s="386"/>
      <c r="BE32" s="386"/>
      <c r="BF32" s="386"/>
      <c r="BG32" s="386"/>
      <c r="BH32" s="386"/>
      <c r="BI32" s="386"/>
      <c r="BJ32" s="386"/>
      <c r="BK32" s="386"/>
      <c r="BL32" s="386"/>
      <c r="BM32" s="386"/>
      <c r="BN32" s="387"/>
      <c r="BO32" s="388"/>
    </row>
    <row r="33" spans="2:67" x14ac:dyDescent="0.2">
      <c r="B33" s="385" t="s">
        <v>382</v>
      </c>
      <c r="C33" s="386"/>
      <c r="D33" s="386"/>
      <c r="E33" s="386"/>
      <c r="F33" s="386"/>
      <c r="G33" s="386"/>
      <c r="H33" s="386"/>
      <c r="I33" s="386"/>
      <c r="J33" s="386"/>
      <c r="K33" s="386"/>
      <c r="L33" s="386"/>
      <c r="M33" s="386"/>
      <c r="N33" s="386"/>
      <c r="O33" s="386"/>
      <c r="P33" s="386"/>
      <c r="Q33" s="386"/>
      <c r="R33" s="386"/>
      <c r="S33" s="386"/>
      <c r="T33" s="386"/>
      <c r="U33" s="386"/>
      <c r="V33" s="386"/>
      <c r="W33" s="386"/>
      <c r="X33" s="386"/>
      <c r="Y33" s="386"/>
      <c r="Z33" s="386"/>
      <c r="AA33" s="386"/>
      <c r="AB33" s="386"/>
      <c r="AC33" s="386"/>
      <c r="AD33" s="386"/>
      <c r="AE33" s="386"/>
      <c r="AF33" s="386"/>
      <c r="AG33" s="386"/>
      <c r="AH33" s="386"/>
      <c r="AI33" s="386"/>
      <c r="AJ33" s="386"/>
      <c r="AK33" s="386"/>
      <c r="AL33" s="386"/>
      <c r="AM33" s="386"/>
      <c r="AN33" s="386"/>
      <c r="AO33" s="386"/>
      <c r="AP33" s="386"/>
      <c r="AQ33" s="386"/>
      <c r="AR33" s="386"/>
      <c r="AS33" s="386"/>
      <c r="AT33" s="386"/>
      <c r="AU33" s="386"/>
      <c r="AV33" s="386"/>
      <c r="AW33" s="386"/>
      <c r="AX33" s="386"/>
      <c r="AY33" s="386"/>
      <c r="AZ33" s="386"/>
      <c r="BA33" s="386"/>
      <c r="BB33" s="386"/>
      <c r="BC33" s="386"/>
      <c r="BD33" s="386"/>
      <c r="BE33" s="386"/>
      <c r="BF33" s="386"/>
      <c r="BG33" s="386"/>
      <c r="BH33" s="386"/>
      <c r="BI33" s="386"/>
      <c r="BJ33" s="386"/>
      <c r="BK33" s="386"/>
      <c r="BL33" s="386"/>
      <c r="BM33" s="386"/>
      <c r="BN33" s="387"/>
      <c r="BO33" s="388"/>
    </row>
    <row r="34" spans="2:67" x14ac:dyDescent="0.2">
      <c r="B34" s="385" t="s">
        <v>128</v>
      </c>
      <c r="C34" s="386"/>
      <c r="D34" s="386"/>
      <c r="E34" s="386"/>
      <c r="F34" s="386"/>
      <c r="G34" s="386"/>
      <c r="H34" s="386"/>
      <c r="I34" s="386"/>
      <c r="J34" s="386"/>
      <c r="K34" s="386"/>
      <c r="L34" s="386"/>
      <c r="M34" s="386"/>
      <c r="N34" s="386"/>
      <c r="O34" s="386"/>
      <c r="P34" s="386"/>
      <c r="Q34" s="386"/>
      <c r="R34" s="386"/>
      <c r="S34" s="386"/>
      <c r="T34" s="386"/>
      <c r="U34" s="386"/>
      <c r="V34" s="386"/>
      <c r="W34" s="386"/>
      <c r="X34" s="386"/>
      <c r="Y34" s="386"/>
      <c r="Z34" s="386"/>
      <c r="AA34" s="386"/>
      <c r="AB34" s="386"/>
      <c r="AC34" s="386"/>
      <c r="AD34" s="386"/>
      <c r="AE34" s="386"/>
      <c r="AF34" s="386"/>
      <c r="AG34" s="386"/>
      <c r="AH34" s="386"/>
      <c r="AI34" s="386"/>
      <c r="AJ34" s="386"/>
      <c r="AK34" s="386"/>
      <c r="AL34" s="386"/>
      <c r="AM34" s="386"/>
      <c r="AN34" s="386"/>
      <c r="AO34" s="386"/>
      <c r="AP34" s="386"/>
      <c r="AQ34" s="386"/>
      <c r="AR34" s="386"/>
      <c r="AS34" s="386"/>
      <c r="AT34" s="386"/>
      <c r="AU34" s="386"/>
      <c r="AV34" s="386"/>
      <c r="AW34" s="386"/>
      <c r="AX34" s="386"/>
      <c r="AY34" s="386"/>
      <c r="AZ34" s="386"/>
      <c r="BA34" s="386"/>
      <c r="BB34" s="386"/>
      <c r="BC34" s="386"/>
      <c r="BD34" s="386"/>
      <c r="BE34" s="386"/>
      <c r="BF34" s="386"/>
      <c r="BG34" s="386"/>
      <c r="BH34" s="386"/>
      <c r="BI34" s="386"/>
      <c r="BJ34" s="386"/>
      <c r="BK34" s="386"/>
      <c r="BL34" s="386"/>
      <c r="BM34" s="386"/>
      <c r="BN34" s="387"/>
      <c r="BO34" s="388"/>
    </row>
    <row r="35" spans="2:67" x14ac:dyDescent="0.2">
      <c r="B35" s="385" t="s">
        <v>381</v>
      </c>
      <c r="C35" s="386"/>
      <c r="D35" s="386"/>
      <c r="E35" s="386"/>
      <c r="F35" s="386"/>
      <c r="G35" s="386"/>
      <c r="H35" s="386"/>
      <c r="I35" s="386"/>
      <c r="J35" s="386"/>
      <c r="K35" s="386"/>
      <c r="L35" s="386"/>
      <c r="M35" s="386"/>
      <c r="N35" s="386"/>
      <c r="O35" s="386"/>
      <c r="P35" s="386"/>
      <c r="Q35" s="386"/>
      <c r="R35" s="386"/>
      <c r="S35" s="386"/>
      <c r="T35" s="386"/>
      <c r="U35" s="386"/>
      <c r="V35" s="386"/>
      <c r="W35" s="386"/>
      <c r="X35" s="386"/>
      <c r="Y35" s="386"/>
      <c r="Z35" s="386"/>
      <c r="AA35" s="386"/>
      <c r="AB35" s="386"/>
      <c r="AC35" s="386"/>
      <c r="AD35" s="386"/>
      <c r="AE35" s="386"/>
      <c r="AF35" s="386"/>
      <c r="AG35" s="386"/>
      <c r="AH35" s="386"/>
      <c r="AI35" s="386"/>
      <c r="AJ35" s="386"/>
      <c r="AK35" s="386"/>
      <c r="AL35" s="386"/>
      <c r="AM35" s="386"/>
      <c r="AN35" s="386"/>
      <c r="AO35" s="386"/>
      <c r="AP35" s="386"/>
      <c r="AQ35" s="386"/>
      <c r="AR35" s="386"/>
      <c r="AS35" s="386"/>
      <c r="AT35" s="386"/>
      <c r="AU35" s="386"/>
      <c r="AV35" s="386"/>
      <c r="AW35" s="386"/>
      <c r="AX35" s="386"/>
      <c r="AY35" s="386"/>
      <c r="AZ35" s="386"/>
      <c r="BA35" s="386"/>
      <c r="BB35" s="386"/>
      <c r="BC35" s="386"/>
      <c r="BD35" s="386"/>
      <c r="BE35" s="386"/>
      <c r="BF35" s="386"/>
      <c r="BG35" s="386"/>
      <c r="BH35" s="386"/>
      <c r="BI35" s="386"/>
      <c r="BJ35" s="386"/>
      <c r="BK35" s="386"/>
      <c r="BL35" s="386"/>
      <c r="BM35" s="386"/>
      <c r="BN35" s="387"/>
      <c r="BO35" s="388"/>
    </row>
    <row r="36" spans="2:67" x14ac:dyDescent="0.2">
      <c r="B36" s="385" t="s">
        <v>380</v>
      </c>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c r="AA36" s="386"/>
      <c r="AB36" s="386"/>
      <c r="AC36" s="386"/>
      <c r="AD36" s="386"/>
      <c r="AE36" s="386"/>
      <c r="AF36" s="386"/>
      <c r="AG36" s="386"/>
      <c r="AH36" s="386"/>
      <c r="AI36" s="386"/>
      <c r="AJ36" s="386"/>
      <c r="AK36" s="386"/>
      <c r="AL36" s="386"/>
      <c r="AM36" s="386"/>
      <c r="AN36" s="386"/>
      <c r="AO36" s="386"/>
      <c r="AP36" s="386"/>
      <c r="AQ36" s="386"/>
      <c r="AR36" s="386"/>
      <c r="AS36" s="386"/>
      <c r="AT36" s="386"/>
      <c r="AU36" s="386"/>
      <c r="AV36" s="386"/>
      <c r="AW36" s="386"/>
      <c r="AX36" s="386"/>
      <c r="AY36" s="386"/>
      <c r="AZ36" s="386"/>
      <c r="BA36" s="386"/>
      <c r="BB36" s="386"/>
      <c r="BC36" s="386"/>
      <c r="BD36" s="386"/>
      <c r="BE36" s="386"/>
      <c r="BF36" s="386"/>
      <c r="BG36" s="386"/>
      <c r="BH36" s="386"/>
      <c r="BI36" s="386"/>
      <c r="BJ36" s="386"/>
      <c r="BK36" s="386"/>
      <c r="BL36" s="386"/>
      <c r="BM36" s="386"/>
      <c r="BN36" s="387"/>
      <c r="BO36" s="388"/>
    </row>
    <row r="37" spans="2:67" x14ac:dyDescent="0.2">
      <c r="B37" s="385" t="s">
        <v>129</v>
      </c>
      <c r="C37" s="386"/>
      <c r="D37" s="386"/>
      <c r="E37" s="386"/>
      <c r="F37" s="386"/>
      <c r="G37" s="386"/>
      <c r="H37" s="386"/>
      <c r="I37" s="386"/>
      <c r="J37" s="386"/>
      <c r="K37" s="386"/>
      <c r="L37" s="386"/>
      <c r="M37" s="386"/>
      <c r="N37" s="386"/>
      <c r="O37" s="386"/>
      <c r="P37" s="386"/>
      <c r="Q37" s="386"/>
      <c r="R37" s="386"/>
      <c r="S37" s="386"/>
      <c r="T37" s="386"/>
      <c r="U37" s="386"/>
      <c r="V37" s="386"/>
      <c r="W37" s="386"/>
      <c r="X37" s="386"/>
      <c r="Y37" s="386"/>
      <c r="Z37" s="386"/>
      <c r="AA37" s="386"/>
      <c r="AB37" s="386"/>
      <c r="AC37" s="386"/>
      <c r="AD37" s="386"/>
      <c r="AE37" s="386"/>
      <c r="AF37" s="386"/>
      <c r="AG37" s="386"/>
      <c r="AH37" s="386"/>
      <c r="AI37" s="386"/>
      <c r="AJ37" s="386"/>
      <c r="AK37" s="386"/>
      <c r="AL37" s="386"/>
      <c r="AM37" s="386"/>
      <c r="AN37" s="386"/>
      <c r="AO37" s="386"/>
      <c r="AP37" s="386"/>
      <c r="AQ37" s="386"/>
      <c r="AR37" s="386"/>
      <c r="AS37" s="386"/>
      <c r="AT37" s="386"/>
      <c r="AU37" s="386"/>
      <c r="AV37" s="386"/>
      <c r="AW37" s="386"/>
      <c r="AX37" s="386"/>
      <c r="AY37" s="386"/>
      <c r="AZ37" s="386"/>
      <c r="BA37" s="386"/>
      <c r="BB37" s="386"/>
      <c r="BC37" s="386"/>
      <c r="BD37" s="386"/>
      <c r="BE37" s="386"/>
      <c r="BF37" s="386"/>
      <c r="BG37" s="386"/>
      <c r="BH37" s="386"/>
      <c r="BI37" s="386"/>
      <c r="BJ37" s="386"/>
      <c r="BK37" s="386"/>
      <c r="BL37" s="386"/>
      <c r="BM37" s="386"/>
      <c r="BN37" s="387"/>
      <c r="BO37" s="388"/>
    </row>
    <row r="38" spans="2:67" x14ac:dyDescent="0.2">
      <c r="B38" s="385" t="s">
        <v>130</v>
      </c>
      <c r="C38" s="386"/>
      <c r="D38" s="386"/>
      <c r="E38" s="386"/>
      <c r="F38" s="386"/>
      <c r="G38" s="386"/>
      <c r="H38" s="386"/>
      <c r="I38" s="386"/>
      <c r="J38" s="386"/>
      <c r="K38" s="386"/>
      <c r="L38" s="386"/>
      <c r="M38" s="386"/>
      <c r="N38" s="386"/>
      <c r="O38" s="386"/>
      <c r="P38" s="386"/>
      <c r="Q38" s="386"/>
      <c r="R38" s="386"/>
      <c r="S38" s="386"/>
      <c r="T38" s="386"/>
      <c r="U38" s="386"/>
      <c r="V38" s="386"/>
      <c r="W38" s="386"/>
      <c r="X38" s="386"/>
      <c r="Y38" s="386"/>
      <c r="Z38" s="386"/>
      <c r="AA38" s="386"/>
      <c r="AB38" s="386"/>
      <c r="AC38" s="386"/>
      <c r="AD38" s="386"/>
      <c r="AE38" s="386"/>
      <c r="AF38" s="386"/>
      <c r="AG38" s="386"/>
      <c r="AH38" s="386"/>
      <c r="AI38" s="386"/>
      <c r="AJ38" s="386"/>
      <c r="AK38" s="386"/>
      <c r="AL38" s="386"/>
      <c r="AM38" s="386"/>
      <c r="AN38" s="386"/>
      <c r="AO38" s="386"/>
      <c r="AP38" s="386"/>
      <c r="AQ38" s="386"/>
      <c r="AR38" s="386"/>
      <c r="AS38" s="386"/>
      <c r="AT38" s="386"/>
      <c r="AU38" s="386"/>
      <c r="AV38" s="386"/>
      <c r="AW38" s="386"/>
      <c r="AX38" s="386"/>
      <c r="AY38" s="386"/>
      <c r="AZ38" s="386"/>
      <c r="BA38" s="386"/>
      <c r="BB38" s="386"/>
      <c r="BC38" s="386"/>
      <c r="BD38" s="386"/>
      <c r="BE38" s="386"/>
      <c r="BF38" s="386"/>
      <c r="BG38" s="386"/>
      <c r="BH38" s="386"/>
      <c r="BI38" s="386"/>
      <c r="BJ38" s="386"/>
      <c r="BK38" s="386"/>
      <c r="BL38" s="386"/>
      <c r="BM38" s="386"/>
      <c r="BN38" s="387"/>
      <c r="BO38" s="388"/>
    </row>
    <row r="39" spans="2:67" ht="17" thickBot="1" x14ac:dyDescent="0.25">
      <c r="B39" s="385" t="s">
        <v>131</v>
      </c>
      <c r="C39" s="386"/>
      <c r="D39" s="386"/>
      <c r="E39" s="386"/>
      <c r="F39" s="386"/>
      <c r="G39" s="386"/>
      <c r="H39" s="386"/>
      <c r="I39" s="386"/>
      <c r="J39" s="386"/>
      <c r="K39" s="386"/>
      <c r="L39" s="386"/>
      <c r="M39" s="386"/>
      <c r="N39" s="386"/>
      <c r="O39" s="386"/>
      <c r="P39" s="386"/>
      <c r="Q39" s="386"/>
      <c r="R39" s="386"/>
      <c r="S39" s="386"/>
      <c r="T39" s="386"/>
      <c r="U39" s="386"/>
      <c r="V39" s="386"/>
      <c r="W39" s="386"/>
      <c r="X39" s="386"/>
      <c r="Y39" s="386"/>
      <c r="Z39" s="386"/>
      <c r="AA39" s="386"/>
      <c r="AB39" s="386"/>
      <c r="AC39" s="386"/>
      <c r="AD39" s="386"/>
      <c r="AE39" s="386"/>
      <c r="AF39" s="386"/>
      <c r="AG39" s="386"/>
      <c r="AH39" s="386"/>
      <c r="AI39" s="386"/>
      <c r="AJ39" s="386"/>
      <c r="AK39" s="386"/>
      <c r="AL39" s="386"/>
      <c r="AM39" s="386"/>
      <c r="AN39" s="386"/>
      <c r="AO39" s="386"/>
      <c r="AP39" s="386"/>
      <c r="AQ39" s="386"/>
      <c r="AR39" s="386"/>
      <c r="AS39" s="386"/>
      <c r="AT39" s="386"/>
      <c r="AU39" s="386"/>
      <c r="AV39" s="386"/>
      <c r="AW39" s="386"/>
      <c r="AX39" s="386"/>
      <c r="AY39" s="386"/>
      <c r="AZ39" s="386"/>
      <c r="BA39" s="386"/>
      <c r="BB39" s="386"/>
      <c r="BC39" s="386"/>
      <c r="BD39" s="386"/>
      <c r="BE39" s="386"/>
      <c r="BF39" s="386"/>
      <c r="BG39" s="386"/>
      <c r="BH39" s="386"/>
      <c r="BI39" s="386"/>
      <c r="BJ39" s="386"/>
      <c r="BK39" s="386"/>
      <c r="BL39" s="386"/>
      <c r="BM39" s="386"/>
      <c r="BN39" s="387"/>
      <c r="BO39" s="388"/>
    </row>
    <row r="40" spans="2:67" ht="17" thickBot="1" x14ac:dyDescent="0.25">
      <c r="B40" s="389" t="s">
        <v>132</v>
      </c>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c r="AA40" s="390"/>
      <c r="AB40" s="390"/>
      <c r="AC40" s="390"/>
      <c r="AD40" s="390"/>
      <c r="AE40" s="390"/>
      <c r="AF40" s="390"/>
      <c r="AG40" s="390"/>
      <c r="AH40" s="390"/>
      <c r="AI40" s="390"/>
      <c r="AJ40" s="390"/>
      <c r="AK40" s="390"/>
      <c r="AL40" s="390"/>
      <c r="AM40" s="390"/>
      <c r="AN40" s="390"/>
      <c r="AO40" s="390"/>
      <c r="AP40" s="390"/>
      <c r="AQ40" s="390"/>
      <c r="AR40" s="390"/>
      <c r="AS40" s="390"/>
      <c r="AT40" s="390"/>
      <c r="AU40" s="390"/>
      <c r="AV40" s="390"/>
      <c r="AW40" s="390"/>
      <c r="AX40" s="390"/>
      <c r="AY40" s="390"/>
      <c r="AZ40" s="390"/>
      <c r="BA40" s="390"/>
      <c r="BB40" s="390"/>
      <c r="BC40" s="390"/>
      <c r="BD40" s="390"/>
      <c r="BE40" s="390"/>
      <c r="BF40" s="390"/>
      <c r="BG40" s="390"/>
      <c r="BH40" s="390"/>
      <c r="BI40" s="390"/>
      <c r="BJ40" s="390"/>
      <c r="BK40" s="390"/>
      <c r="BL40" s="390"/>
      <c r="BM40" s="390"/>
      <c r="BN40" s="391"/>
      <c r="BO40" s="392"/>
    </row>
    <row r="41" spans="2:67" x14ac:dyDescent="0.2">
      <c r="B41" s="385" t="s">
        <v>133</v>
      </c>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c r="AA41" s="386"/>
      <c r="AB41" s="386"/>
      <c r="AC41" s="386"/>
      <c r="AD41" s="386"/>
      <c r="AE41" s="386"/>
      <c r="AF41" s="386"/>
      <c r="AG41" s="386"/>
      <c r="AH41" s="386"/>
      <c r="AI41" s="386"/>
      <c r="AJ41" s="386"/>
      <c r="AK41" s="386"/>
      <c r="AL41" s="386"/>
      <c r="AM41" s="386"/>
      <c r="AN41" s="386"/>
      <c r="AO41" s="386"/>
      <c r="AP41" s="386"/>
      <c r="AQ41" s="386"/>
      <c r="AR41" s="386"/>
      <c r="AS41" s="386"/>
      <c r="AT41" s="386"/>
      <c r="AU41" s="386"/>
      <c r="AV41" s="386"/>
      <c r="AW41" s="386"/>
      <c r="AX41" s="386"/>
      <c r="AY41" s="386"/>
      <c r="AZ41" s="386"/>
      <c r="BA41" s="386"/>
      <c r="BB41" s="386"/>
      <c r="BC41" s="386"/>
      <c r="BD41" s="386"/>
      <c r="BE41" s="386"/>
      <c r="BF41" s="386"/>
      <c r="BG41" s="386"/>
      <c r="BH41" s="386"/>
      <c r="BI41" s="386"/>
      <c r="BJ41" s="386"/>
      <c r="BK41" s="386"/>
      <c r="BL41" s="386"/>
      <c r="BM41" s="386"/>
      <c r="BN41" s="387"/>
      <c r="BO41" s="388"/>
    </row>
    <row r="42" spans="2:67" x14ac:dyDescent="0.2">
      <c r="B42" s="385" t="s">
        <v>134</v>
      </c>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c r="AA42" s="386"/>
      <c r="AB42" s="386"/>
      <c r="AC42" s="386"/>
      <c r="AD42" s="386"/>
      <c r="AE42" s="386"/>
      <c r="AF42" s="386"/>
      <c r="AG42" s="386"/>
      <c r="AH42" s="386"/>
      <c r="AI42" s="386"/>
      <c r="AJ42" s="386"/>
      <c r="AK42" s="386"/>
      <c r="AL42" s="386"/>
      <c r="AM42" s="386"/>
      <c r="AN42" s="386"/>
      <c r="AO42" s="386"/>
      <c r="AP42" s="386"/>
      <c r="AQ42" s="386"/>
      <c r="AR42" s="386"/>
      <c r="AS42" s="386"/>
      <c r="AT42" s="386"/>
      <c r="AU42" s="386"/>
      <c r="AV42" s="386"/>
      <c r="AW42" s="386"/>
      <c r="AX42" s="386"/>
      <c r="AY42" s="386"/>
      <c r="AZ42" s="386"/>
      <c r="BA42" s="386"/>
      <c r="BB42" s="386"/>
      <c r="BC42" s="386"/>
      <c r="BD42" s="386"/>
      <c r="BE42" s="386"/>
      <c r="BF42" s="386"/>
      <c r="BG42" s="386"/>
      <c r="BH42" s="386"/>
      <c r="BI42" s="386"/>
      <c r="BJ42" s="386"/>
      <c r="BK42" s="386"/>
      <c r="BL42" s="386"/>
      <c r="BM42" s="386"/>
      <c r="BN42" s="387"/>
      <c r="BO42" s="388"/>
    </row>
    <row r="43" spans="2:67" x14ac:dyDescent="0.2">
      <c r="B43" s="385" t="s">
        <v>379</v>
      </c>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c r="AA43" s="386"/>
      <c r="AB43" s="386"/>
      <c r="AC43" s="386"/>
      <c r="AD43" s="386"/>
      <c r="AE43" s="386"/>
      <c r="AF43" s="386"/>
      <c r="AG43" s="386"/>
      <c r="AH43" s="386"/>
      <c r="AI43" s="386"/>
      <c r="AJ43" s="386"/>
      <c r="AK43" s="386"/>
      <c r="AL43" s="386"/>
      <c r="AM43" s="386"/>
      <c r="AN43" s="386"/>
      <c r="AO43" s="386"/>
      <c r="AP43" s="386"/>
      <c r="AQ43" s="386"/>
      <c r="AR43" s="386"/>
      <c r="AS43" s="386"/>
      <c r="AT43" s="386"/>
      <c r="AU43" s="386"/>
      <c r="AV43" s="386"/>
      <c r="AW43" s="386"/>
      <c r="AX43" s="386"/>
      <c r="AY43" s="386"/>
      <c r="AZ43" s="386"/>
      <c r="BA43" s="386"/>
      <c r="BB43" s="386"/>
      <c r="BC43" s="386"/>
      <c r="BD43" s="386"/>
      <c r="BE43" s="386"/>
      <c r="BF43" s="386"/>
      <c r="BG43" s="386"/>
      <c r="BH43" s="386"/>
      <c r="BI43" s="386"/>
      <c r="BJ43" s="386"/>
      <c r="BK43" s="386"/>
      <c r="BL43" s="386"/>
      <c r="BM43" s="386"/>
      <c r="BN43" s="387"/>
      <c r="BO43" s="388"/>
    </row>
    <row r="44" spans="2:67" x14ac:dyDescent="0.2">
      <c r="B44" s="385" t="s">
        <v>378</v>
      </c>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c r="AA44" s="386"/>
      <c r="AB44" s="386"/>
      <c r="AC44" s="386"/>
      <c r="AD44" s="386"/>
      <c r="AE44" s="386"/>
      <c r="AF44" s="386"/>
      <c r="AG44" s="386"/>
      <c r="AH44" s="386"/>
      <c r="AI44" s="386"/>
      <c r="AJ44" s="386"/>
      <c r="AK44" s="386"/>
      <c r="AL44" s="386"/>
      <c r="AM44" s="386"/>
      <c r="AN44" s="386"/>
      <c r="AO44" s="386"/>
      <c r="AP44" s="386"/>
      <c r="AQ44" s="386"/>
      <c r="AR44" s="386"/>
      <c r="AS44" s="386"/>
      <c r="AT44" s="386"/>
      <c r="AU44" s="386"/>
      <c r="AV44" s="386"/>
      <c r="AW44" s="386"/>
      <c r="AX44" s="386"/>
      <c r="AY44" s="386"/>
      <c r="AZ44" s="386"/>
      <c r="BA44" s="386"/>
      <c r="BB44" s="386"/>
      <c r="BC44" s="386"/>
      <c r="BD44" s="386"/>
      <c r="BE44" s="386"/>
      <c r="BF44" s="386"/>
      <c r="BG44" s="386"/>
      <c r="BH44" s="386"/>
      <c r="BI44" s="386"/>
      <c r="BJ44" s="386"/>
      <c r="BK44" s="386"/>
      <c r="BL44" s="386"/>
      <c r="BM44" s="386"/>
      <c r="BN44" s="387"/>
      <c r="BO44" s="388"/>
    </row>
    <row r="45" spans="2:67" x14ac:dyDescent="0.2">
      <c r="B45" s="385" t="s">
        <v>135</v>
      </c>
      <c r="C45" s="38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6"/>
      <c r="AC45" s="386"/>
      <c r="AD45" s="386"/>
      <c r="AE45" s="386"/>
      <c r="AF45" s="386"/>
      <c r="AG45" s="386"/>
      <c r="AH45" s="386"/>
      <c r="AI45" s="386"/>
      <c r="AJ45" s="386"/>
      <c r="AK45" s="386"/>
      <c r="AL45" s="386"/>
      <c r="AM45" s="386"/>
      <c r="AN45" s="386"/>
      <c r="AO45" s="386"/>
      <c r="AP45" s="386"/>
      <c r="AQ45" s="386"/>
      <c r="AR45" s="386"/>
      <c r="AS45" s="386"/>
      <c r="AT45" s="386"/>
      <c r="AU45" s="386"/>
      <c r="AV45" s="386"/>
      <c r="AW45" s="386"/>
      <c r="AX45" s="386"/>
      <c r="AY45" s="386"/>
      <c r="AZ45" s="386"/>
      <c r="BA45" s="386"/>
      <c r="BB45" s="386"/>
      <c r="BC45" s="386"/>
      <c r="BD45" s="386"/>
      <c r="BE45" s="386"/>
      <c r="BF45" s="386"/>
      <c r="BG45" s="386"/>
      <c r="BH45" s="386"/>
      <c r="BI45" s="386"/>
      <c r="BJ45" s="386"/>
      <c r="BK45" s="386"/>
      <c r="BL45" s="386"/>
      <c r="BM45" s="386"/>
      <c r="BN45" s="387"/>
      <c r="BO45" s="388"/>
    </row>
    <row r="46" spans="2:67" x14ac:dyDescent="0.2">
      <c r="B46" s="385" t="s">
        <v>377</v>
      </c>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6"/>
      <c r="AC46" s="386"/>
      <c r="AD46" s="386"/>
      <c r="AE46" s="386"/>
      <c r="AF46" s="386"/>
      <c r="AG46" s="386"/>
      <c r="AH46" s="386"/>
      <c r="AI46" s="386"/>
      <c r="AJ46" s="386"/>
      <c r="AK46" s="386"/>
      <c r="AL46" s="386"/>
      <c r="AM46" s="386"/>
      <c r="AN46" s="386"/>
      <c r="AO46" s="386"/>
      <c r="AP46" s="386"/>
      <c r="AQ46" s="386"/>
      <c r="AR46" s="386"/>
      <c r="AS46" s="386"/>
      <c r="AT46" s="386"/>
      <c r="AU46" s="386"/>
      <c r="AV46" s="386"/>
      <c r="AW46" s="386"/>
      <c r="AX46" s="386"/>
      <c r="AY46" s="386"/>
      <c r="AZ46" s="386"/>
      <c r="BA46" s="386"/>
      <c r="BB46" s="386"/>
      <c r="BC46" s="386"/>
      <c r="BD46" s="386"/>
      <c r="BE46" s="386"/>
      <c r="BF46" s="386"/>
      <c r="BG46" s="386"/>
      <c r="BH46" s="386"/>
      <c r="BI46" s="386"/>
      <c r="BJ46" s="386"/>
      <c r="BK46" s="386"/>
      <c r="BL46" s="386"/>
      <c r="BM46" s="386"/>
      <c r="BN46" s="387"/>
      <c r="BO46" s="388"/>
    </row>
    <row r="47" spans="2:67" x14ac:dyDescent="0.2">
      <c r="B47" s="385" t="s">
        <v>376</v>
      </c>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c r="AA47" s="386"/>
      <c r="AB47" s="386"/>
      <c r="AC47" s="386"/>
      <c r="AD47" s="386"/>
      <c r="AE47" s="386"/>
      <c r="AF47" s="386"/>
      <c r="AG47" s="386"/>
      <c r="AH47" s="386"/>
      <c r="AI47" s="386"/>
      <c r="AJ47" s="386"/>
      <c r="AK47" s="386"/>
      <c r="AL47" s="386"/>
      <c r="AM47" s="386"/>
      <c r="AN47" s="386"/>
      <c r="AO47" s="386"/>
      <c r="AP47" s="386"/>
      <c r="AQ47" s="386"/>
      <c r="AR47" s="386"/>
      <c r="AS47" s="386"/>
      <c r="AT47" s="386"/>
      <c r="AU47" s="386"/>
      <c r="AV47" s="386"/>
      <c r="AW47" s="386"/>
      <c r="AX47" s="386"/>
      <c r="AY47" s="386"/>
      <c r="AZ47" s="386"/>
      <c r="BA47" s="386"/>
      <c r="BB47" s="386"/>
      <c r="BC47" s="386"/>
      <c r="BD47" s="386"/>
      <c r="BE47" s="386"/>
      <c r="BF47" s="386"/>
      <c r="BG47" s="386"/>
      <c r="BH47" s="386"/>
      <c r="BI47" s="386"/>
      <c r="BJ47" s="386"/>
      <c r="BK47" s="386"/>
      <c r="BL47" s="386"/>
      <c r="BM47" s="386"/>
      <c r="BN47" s="387"/>
      <c r="BO47" s="388"/>
    </row>
    <row r="48" spans="2:67" x14ac:dyDescent="0.2">
      <c r="B48" s="385" t="s">
        <v>375</v>
      </c>
      <c r="C48" s="386"/>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6"/>
      <c r="AL48" s="386"/>
      <c r="AM48" s="386"/>
      <c r="AN48" s="386"/>
      <c r="AO48" s="386"/>
      <c r="AP48" s="386"/>
      <c r="AQ48" s="386"/>
      <c r="AR48" s="386"/>
      <c r="AS48" s="386"/>
      <c r="AT48" s="386"/>
      <c r="AU48" s="386"/>
      <c r="AV48" s="386"/>
      <c r="AW48" s="386"/>
      <c r="AX48" s="386"/>
      <c r="AY48" s="386"/>
      <c r="AZ48" s="386"/>
      <c r="BA48" s="386"/>
      <c r="BB48" s="386"/>
      <c r="BC48" s="386"/>
      <c r="BD48" s="386"/>
      <c r="BE48" s="386"/>
      <c r="BF48" s="386"/>
      <c r="BG48" s="386"/>
      <c r="BH48" s="386"/>
      <c r="BI48" s="386"/>
      <c r="BJ48" s="386"/>
      <c r="BK48" s="386"/>
      <c r="BL48" s="386"/>
      <c r="BM48" s="386"/>
      <c r="BN48" s="387"/>
      <c r="BO48" s="388"/>
    </row>
    <row r="49" spans="2:67" x14ac:dyDescent="0.2">
      <c r="B49" s="385" t="s">
        <v>374</v>
      </c>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6"/>
      <c r="AL49" s="386"/>
      <c r="AM49" s="386"/>
      <c r="AN49" s="386"/>
      <c r="AO49" s="386"/>
      <c r="AP49" s="386"/>
      <c r="AQ49" s="386"/>
      <c r="AR49" s="386"/>
      <c r="AS49" s="386"/>
      <c r="AT49" s="386"/>
      <c r="AU49" s="386"/>
      <c r="AV49" s="386"/>
      <c r="AW49" s="386"/>
      <c r="AX49" s="386"/>
      <c r="AY49" s="386"/>
      <c r="AZ49" s="386"/>
      <c r="BA49" s="386"/>
      <c r="BB49" s="386"/>
      <c r="BC49" s="386"/>
      <c r="BD49" s="386"/>
      <c r="BE49" s="386"/>
      <c r="BF49" s="386"/>
      <c r="BG49" s="386"/>
      <c r="BH49" s="386"/>
      <c r="BI49" s="386"/>
      <c r="BJ49" s="386"/>
      <c r="BK49" s="386"/>
      <c r="BL49" s="386"/>
      <c r="BM49" s="386"/>
      <c r="BN49" s="387"/>
      <c r="BO49" s="388"/>
    </row>
    <row r="50" spans="2:67" x14ac:dyDescent="0.2">
      <c r="B50" s="385" t="s">
        <v>373</v>
      </c>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c r="AA50" s="386"/>
      <c r="AB50" s="386"/>
      <c r="AC50" s="386"/>
      <c r="AD50" s="386"/>
      <c r="AE50" s="386"/>
      <c r="AF50" s="386"/>
      <c r="AG50" s="386"/>
      <c r="AH50" s="386"/>
      <c r="AI50" s="386"/>
      <c r="AJ50" s="386"/>
      <c r="AK50" s="386"/>
      <c r="AL50" s="386"/>
      <c r="AM50" s="386"/>
      <c r="AN50" s="386"/>
      <c r="AO50" s="386"/>
      <c r="AP50" s="386"/>
      <c r="AQ50" s="386"/>
      <c r="AR50" s="386"/>
      <c r="AS50" s="386"/>
      <c r="AT50" s="386"/>
      <c r="AU50" s="386"/>
      <c r="AV50" s="386"/>
      <c r="AW50" s="386"/>
      <c r="AX50" s="386"/>
      <c r="AY50" s="386"/>
      <c r="AZ50" s="386"/>
      <c r="BA50" s="386"/>
      <c r="BB50" s="386"/>
      <c r="BC50" s="386"/>
      <c r="BD50" s="386"/>
      <c r="BE50" s="386"/>
      <c r="BF50" s="386"/>
      <c r="BG50" s="386"/>
      <c r="BH50" s="386"/>
      <c r="BI50" s="386"/>
      <c r="BJ50" s="386"/>
      <c r="BK50" s="386"/>
      <c r="BL50" s="386"/>
      <c r="BM50" s="386"/>
      <c r="BN50" s="387"/>
      <c r="BO50" s="388"/>
    </row>
    <row r="51" spans="2:67" x14ac:dyDescent="0.2">
      <c r="B51" s="385" t="s">
        <v>136</v>
      </c>
      <c r="C51" s="386"/>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6"/>
      <c r="AL51" s="386"/>
      <c r="AM51" s="386"/>
      <c r="AN51" s="386"/>
      <c r="AO51" s="386"/>
      <c r="AP51" s="386"/>
      <c r="AQ51" s="386"/>
      <c r="AR51" s="386"/>
      <c r="AS51" s="386"/>
      <c r="AT51" s="386"/>
      <c r="AU51" s="386"/>
      <c r="AV51" s="386"/>
      <c r="AW51" s="386"/>
      <c r="AX51" s="386"/>
      <c r="AY51" s="386"/>
      <c r="AZ51" s="386"/>
      <c r="BA51" s="386"/>
      <c r="BB51" s="386"/>
      <c r="BC51" s="386"/>
      <c r="BD51" s="386"/>
      <c r="BE51" s="386"/>
      <c r="BF51" s="386"/>
      <c r="BG51" s="386"/>
      <c r="BH51" s="386"/>
      <c r="BI51" s="386"/>
      <c r="BJ51" s="386"/>
      <c r="BK51" s="386"/>
      <c r="BL51" s="386"/>
      <c r="BM51" s="386"/>
      <c r="BN51" s="387"/>
      <c r="BO51" s="388"/>
    </row>
    <row r="52" spans="2:67" x14ac:dyDescent="0.2">
      <c r="B52" s="385" t="s">
        <v>372</v>
      </c>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6"/>
      <c r="AL52" s="386"/>
      <c r="AM52" s="386"/>
      <c r="AN52" s="386"/>
      <c r="AO52" s="386"/>
      <c r="AP52" s="386"/>
      <c r="AQ52" s="386"/>
      <c r="AR52" s="386"/>
      <c r="AS52" s="386"/>
      <c r="AT52" s="386"/>
      <c r="AU52" s="386"/>
      <c r="AV52" s="386"/>
      <c r="AW52" s="386"/>
      <c r="AX52" s="386"/>
      <c r="AY52" s="386"/>
      <c r="AZ52" s="386"/>
      <c r="BA52" s="386"/>
      <c r="BB52" s="386"/>
      <c r="BC52" s="386"/>
      <c r="BD52" s="386"/>
      <c r="BE52" s="386"/>
      <c r="BF52" s="386"/>
      <c r="BG52" s="386"/>
      <c r="BH52" s="386"/>
      <c r="BI52" s="386"/>
      <c r="BJ52" s="386"/>
      <c r="BK52" s="386"/>
      <c r="BL52" s="386"/>
      <c r="BM52" s="386"/>
      <c r="BN52" s="387"/>
      <c r="BO52" s="388"/>
    </row>
    <row r="53" spans="2:67" x14ac:dyDescent="0.2">
      <c r="B53" s="385" t="s">
        <v>137</v>
      </c>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6"/>
      <c r="AL53" s="386"/>
      <c r="AM53" s="386"/>
      <c r="AN53" s="386"/>
      <c r="AO53" s="386"/>
      <c r="AP53" s="386"/>
      <c r="AQ53" s="386"/>
      <c r="AR53" s="386"/>
      <c r="AS53" s="386"/>
      <c r="AT53" s="386"/>
      <c r="AU53" s="386"/>
      <c r="AV53" s="386"/>
      <c r="AW53" s="386"/>
      <c r="AX53" s="386"/>
      <c r="AY53" s="386"/>
      <c r="AZ53" s="386"/>
      <c r="BA53" s="386"/>
      <c r="BB53" s="386"/>
      <c r="BC53" s="386"/>
      <c r="BD53" s="386"/>
      <c r="BE53" s="386"/>
      <c r="BF53" s="386"/>
      <c r="BG53" s="386"/>
      <c r="BH53" s="386"/>
      <c r="BI53" s="386"/>
      <c r="BJ53" s="386"/>
      <c r="BK53" s="386"/>
      <c r="BL53" s="386"/>
      <c r="BM53" s="386"/>
      <c r="BN53" s="387"/>
      <c r="BO53" s="388"/>
    </row>
    <row r="54" spans="2:67" x14ac:dyDescent="0.2">
      <c r="B54" s="385" t="s">
        <v>138</v>
      </c>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6"/>
      <c r="AL54" s="386"/>
      <c r="AM54" s="386"/>
      <c r="AN54" s="386"/>
      <c r="AO54" s="386"/>
      <c r="AP54" s="386"/>
      <c r="AQ54" s="386"/>
      <c r="AR54" s="386"/>
      <c r="AS54" s="386"/>
      <c r="AT54" s="386"/>
      <c r="AU54" s="386"/>
      <c r="AV54" s="386"/>
      <c r="AW54" s="386"/>
      <c r="AX54" s="386"/>
      <c r="AY54" s="386"/>
      <c r="AZ54" s="386"/>
      <c r="BA54" s="386"/>
      <c r="BB54" s="386"/>
      <c r="BC54" s="386"/>
      <c r="BD54" s="386"/>
      <c r="BE54" s="386"/>
      <c r="BF54" s="386"/>
      <c r="BG54" s="386"/>
      <c r="BH54" s="386"/>
      <c r="BI54" s="386"/>
      <c r="BJ54" s="386"/>
      <c r="BK54" s="386"/>
      <c r="BL54" s="386"/>
      <c r="BM54" s="386"/>
      <c r="BN54" s="387"/>
      <c r="BO54" s="388"/>
    </row>
    <row r="55" spans="2:67" x14ac:dyDescent="0.2">
      <c r="B55" s="385" t="s">
        <v>139</v>
      </c>
      <c r="C55" s="386"/>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6"/>
      <c r="AL55" s="386"/>
      <c r="AM55" s="386"/>
      <c r="AN55" s="386"/>
      <c r="AO55" s="386"/>
      <c r="AP55" s="386"/>
      <c r="AQ55" s="386"/>
      <c r="AR55" s="386"/>
      <c r="AS55" s="386"/>
      <c r="AT55" s="386"/>
      <c r="AU55" s="386"/>
      <c r="AV55" s="386"/>
      <c r="AW55" s="386"/>
      <c r="AX55" s="386"/>
      <c r="AY55" s="386"/>
      <c r="AZ55" s="386"/>
      <c r="BA55" s="386"/>
      <c r="BB55" s="386"/>
      <c r="BC55" s="386"/>
      <c r="BD55" s="386"/>
      <c r="BE55" s="386"/>
      <c r="BF55" s="386"/>
      <c r="BG55" s="386"/>
      <c r="BH55" s="386"/>
      <c r="BI55" s="386"/>
      <c r="BJ55" s="386"/>
      <c r="BK55" s="386"/>
      <c r="BL55" s="386"/>
      <c r="BM55" s="386"/>
      <c r="BN55" s="387"/>
      <c r="BO55" s="388"/>
    </row>
    <row r="56" spans="2:67" x14ac:dyDescent="0.2">
      <c r="B56" s="385" t="s">
        <v>130</v>
      </c>
      <c r="C56" s="386"/>
      <c r="D56" s="386"/>
      <c r="E56" s="386"/>
      <c r="F56" s="386"/>
      <c r="G56" s="386"/>
      <c r="H56" s="386"/>
      <c r="I56" s="386"/>
      <c r="J56" s="386"/>
      <c r="K56" s="386"/>
      <c r="L56" s="386"/>
      <c r="M56" s="386"/>
      <c r="N56" s="386"/>
      <c r="O56" s="386"/>
      <c r="P56" s="386"/>
      <c r="Q56" s="386"/>
      <c r="R56" s="386"/>
      <c r="S56" s="386"/>
      <c r="T56" s="386"/>
      <c r="U56" s="386"/>
      <c r="V56" s="386"/>
      <c r="W56" s="386"/>
      <c r="X56" s="386"/>
      <c r="Y56" s="386"/>
      <c r="Z56" s="386"/>
      <c r="AA56" s="386"/>
      <c r="AB56" s="386"/>
      <c r="AC56" s="386"/>
      <c r="AD56" s="386"/>
      <c r="AE56" s="386"/>
      <c r="AF56" s="386"/>
      <c r="AG56" s="386"/>
      <c r="AH56" s="386"/>
      <c r="AI56" s="386"/>
      <c r="AJ56" s="386"/>
      <c r="AK56" s="386"/>
      <c r="AL56" s="386"/>
      <c r="AM56" s="386"/>
      <c r="AN56" s="386"/>
      <c r="AO56" s="386"/>
      <c r="AP56" s="386"/>
      <c r="AQ56" s="386"/>
      <c r="AR56" s="386"/>
      <c r="AS56" s="386"/>
      <c r="AT56" s="386"/>
      <c r="AU56" s="386"/>
      <c r="AV56" s="386"/>
      <c r="AW56" s="386"/>
      <c r="AX56" s="386"/>
      <c r="AY56" s="386"/>
      <c r="AZ56" s="386"/>
      <c r="BA56" s="386"/>
      <c r="BB56" s="386"/>
      <c r="BC56" s="386"/>
      <c r="BD56" s="386"/>
      <c r="BE56" s="386"/>
      <c r="BF56" s="386"/>
      <c r="BG56" s="386"/>
      <c r="BH56" s="386"/>
      <c r="BI56" s="386"/>
      <c r="BJ56" s="386"/>
      <c r="BK56" s="386"/>
      <c r="BL56" s="386"/>
      <c r="BM56" s="386"/>
      <c r="BN56" s="387"/>
      <c r="BO56" s="388"/>
    </row>
    <row r="57" spans="2:67" x14ac:dyDescent="0.2">
      <c r="B57" s="385" t="s">
        <v>140</v>
      </c>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6"/>
      <c r="AL57" s="386"/>
      <c r="AM57" s="386"/>
      <c r="AN57" s="386"/>
      <c r="AO57" s="386"/>
      <c r="AP57" s="386"/>
      <c r="AQ57" s="386"/>
      <c r="AR57" s="386"/>
      <c r="AS57" s="386"/>
      <c r="AT57" s="386"/>
      <c r="AU57" s="386"/>
      <c r="AV57" s="386"/>
      <c r="AW57" s="386"/>
      <c r="AX57" s="386"/>
      <c r="AY57" s="386"/>
      <c r="AZ57" s="386"/>
      <c r="BA57" s="386"/>
      <c r="BB57" s="386"/>
      <c r="BC57" s="386"/>
      <c r="BD57" s="386"/>
      <c r="BE57" s="386"/>
      <c r="BF57" s="386"/>
      <c r="BG57" s="386"/>
      <c r="BH57" s="386"/>
      <c r="BI57" s="386"/>
      <c r="BJ57" s="386"/>
      <c r="BK57" s="386"/>
      <c r="BL57" s="386"/>
      <c r="BM57" s="386"/>
      <c r="BN57" s="387"/>
      <c r="BO57" s="388"/>
    </row>
    <row r="58" spans="2:67" ht="17" thickBot="1" x14ac:dyDescent="0.25">
      <c r="B58" s="385" t="s">
        <v>141</v>
      </c>
      <c r="C58" s="386"/>
      <c r="D58" s="386"/>
      <c r="E58" s="386"/>
      <c r="F58" s="386"/>
      <c r="G58" s="386"/>
      <c r="H58" s="386"/>
      <c r="I58" s="386"/>
      <c r="J58" s="386"/>
      <c r="K58" s="386"/>
      <c r="L58" s="386"/>
      <c r="M58" s="386"/>
      <c r="N58" s="386"/>
      <c r="O58" s="386"/>
      <c r="P58" s="386"/>
      <c r="Q58" s="386"/>
      <c r="R58" s="386"/>
      <c r="S58" s="386"/>
      <c r="T58" s="386"/>
      <c r="U58" s="386"/>
      <c r="V58" s="386"/>
      <c r="W58" s="386"/>
      <c r="X58" s="386"/>
      <c r="Y58" s="386"/>
      <c r="Z58" s="386"/>
      <c r="AA58" s="386"/>
      <c r="AB58" s="386"/>
      <c r="AC58" s="386"/>
      <c r="AD58" s="386"/>
      <c r="AE58" s="386"/>
      <c r="AF58" s="386"/>
      <c r="AG58" s="386"/>
      <c r="AH58" s="386"/>
      <c r="AI58" s="386"/>
      <c r="AJ58" s="386"/>
      <c r="AK58" s="386"/>
      <c r="AL58" s="386"/>
      <c r="AM58" s="386"/>
      <c r="AN58" s="386"/>
      <c r="AO58" s="386"/>
      <c r="AP58" s="386"/>
      <c r="AQ58" s="386"/>
      <c r="AR58" s="386"/>
      <c r="AS58" s="386"/>
      <c r="AT58" s="386"/>
      <c r="AU58" s="386"/>
      <c r="AV58" s="386"/>
      <c r="AW58" s="386"/>
      <c r="AX58" s="386"/>
      <c r="AY58" s="386"/>
      <c r="AZ58" s="386"/>
      <c r="BA58" s="386"/>
      <c r="BB58" s="386"/>
      <c r="BC58" s="386"/>
      <c r="BD58" s="386"/>
      <c r="BE58" s="386"/>
      <c r="BF58" s="386"/>
      <c r="BG58" s="386"/>
      <c r="BH58" s="386"/>
      <c r="BI58" s="386"/>
      <c r="BJ58" s="386"/>
      <c r="BK58" s="386"/>
      <c r="BL58" s="386"/>
      <c r="BM58" s="386"/>
      <c r="BN58" s="387"/>
      <c r="BO58" s="388"/>
    </row>
    <row r="59" spans="2:67" ht="17" thickBot="1" x14ac:dyDescent="0.25">
      <c r="B59" s="389" t="s">
        <v>142</v>
      </c>
      <c r="C59" s="390"/>
      <c r="D59" s="390"/>
      <c r="E59" s="390"/>
      <c r="F59" s="390"/>
      <c r="G59" s="390"/>
      <c r="H59" s="390"/>
      <c r="I59" s="390"/>
      <c r="J59" s="390"/>
      <c r="K59" s="390"/>
      <c r="L59" s="390"/>
      <c r="M59" s="390"/>
      <c r="N59" s="390"/>
      <c r="O59" s="390"/>
      <c r="P59" s="390"/>
      <c r="Q59" s="390"/>
      <c r="R59" s="390"/>
      <c r="S59" s="390"/>
      <c r="T59" s="390"/>
      <c r="U59" s="390"/>
      <c r="V59" s="390"/>
      <c r="W59" s="390"/>
      <c r="X59" s="390"/>
      <c r="Y59" s="390"/>
      <c r="Z59" s="390"/>
      <c r="AA59" s="390"/>
      <c r="AB59" s="390"/>
      <c r="AC59" s="390"/>
      <c r="AD59" s="390"/>
      <c r="AE59" s="390"/>
      <c r="AF59" s="390"/>
      <c r="AG59" s="390"/>
      <c r="AH59" s="390"/>
      <c r="AI59" s="390"/>
      <c r="AJ59" s="390"/>
      <c r="AK59" s="390"/>
      <c r="AL59" s="390"/>
      <c r="AM59" s="390"/>
      <c r="AN59" s="390"/>
      <c r="AO59" s="390"/>
      <c r="AP59" s="390"/>
      <c r="AQ59" s="390"/>
      <c r="AR59" s="390"/>
      <c r="AS59" s="390"/>
      <c r="AT59" s="390"/>
      <c r="AU59" s="390"/>
      <c r="AV59" s="390"/>
      <c r="AW59" s="390"/>
      <c r="AX59" s="390"/>
      <c r="AY59" s="390"/>
      <c r="AZ59" s="390"/>
      <c r="BA59" s="390"/>
      <c r="BB59" s="390"/>
      <c r="BC59" s="390"/>
      <c r="BD59" s="390"/>
      <c r="BE59" s="390"/>
      <c r="BF59" s="390"/>
      <c r="BG59" s="390"/>
      <c r="BH59" s="390"/>
      <c r="BI59" s="390"/>
      <c r="BJ59" s="390"/>
      <c r="BK59" s="390"/>
      <c r="BL59" s="390"/>
      <c r="BM59" s="390"/>
      <c r="BN59" s="391"/>
      <c r="BO59" s="392"/>
    </row>
    <row r="60" spans="2:67" ht="17" thickBot="1" x14ac:dyDescent="0.25">
      <c r="B60" s="389" t="s">
        <v>25</v>
      </c>
      <c r="C60" s="390"/>
      <c r="D60" s="390"/>
      <c r="E60" s="390"/>
      <c r="F60" s="390"/>
      <c r="G60" s="390"/>
      <c r="H60" s="390"/>
      <c r="I60" s="390"/>
      <c r="J60" s="390"/>
      <c r="K60" s="390"/>
      <c r="L60" s="390"/>
      <c r="M60" s="390"/>
      <c r="N60" s="390"/>
      <c r="O60" s="390"/>
      <c r="P60" s="390"/>
      <c r="Q60" s="390"/>
      <c r="R60" s="390"/>
      <c r="S60" s="390"/>
      <c r="T60" s="390"/>
      <c r="U60" s="390"/>
      <c r="V60" s="390"/>
      <c r="W60" s="390"/>
      <c r="X60" s="390"/>
      <c r="Y60" s="390"/>
      <c r="Z60" s="390"/>
      <c r="AA60" s="390"/>
      <c r="AB60" s="390"/>
      <c r="AC60" s="390"/>
      <c r="AD60" s="390"/>
      <c r="AE60" s="390"/>
      <c r="AF60" s="390"/>
      <c r="AG60" s="390"/>
      <c r="AH60" s="390"/>
      <c r="AI60" s="390"/>
      <c r="AJ60" s="390"/>
      <c r="AK60" s="390"/>
      <c r="AL60" s="390"/>
      <c r="AM60" s="390"/>
      <c r="AN60" s="390"/>
      <c r="AO60" s="390"/>
      <c r="AP60" s="390"/>
      <c r="AQ60" s="390"/>
      <c r="AR60" s="390"/>
      <c r="AS60" s="390"/>
      <c r="AT60" s="390"/>
      <c r="AU60" s="390"/>
      <c r="AV60" s="390"/>
      <c r="AW60" s="390"/>
      <c r="AX60" s="390"/>
      <c r="AY60" s="390"/>
      <c r="AZ60" s="390"/>
      <c r="BA60" s="390"/>
      <c r="BB60" s="390"/>
      <c r="BC60" s="390"/>
      <c r="BD60" s="390"/>
      <c r="BE60" s="390"/>
      <c r="BF60" s="390"/>
      <c r="BG60" s="390"/>
      <c r="BH60" s="390"/>
      <c r="BI60" s="390"/>
      <c r="BJ60" s="390"/>
      <c r="BK60" s="390"/>
      <c r="BL60" s="390"/>
      <c r="BM60" s="390"/>
      <c r="BN60" s="391"/>
      <c r="BO60" s="392"/>
    </row>
    <row r="61" spans="2:67" x14ac:dyDescent="0.2">
      <c r="B61" s="385" t="s">
        <v>143</v>
      </c>
      <c r="C61" s="386"/>
      <c r="D61" s="386"/>
      <c r="E61" s="386"/>
      <c r="F61" s="386"/>
      <c r="G61" s="386"/>
      <c r="H61" s="386"/>
      <c r="I61" s="386"/>
      <c r="J61" s="386"/>
      <c r="K61" s="386"/>
      <c r="L61" s="386"/>
      <c r="M61" s="386"/>
      <c r="N61" s="386"/>
      <c r="O61" s="386"/>
      <c r="P61" s="386"/>
      <c r="Q61" s="386"/>
      <c r="R61" s="386"/>
      <c r="S61" s="386"/>
      <c r="T61" s="386"/>
      <c r="U61" s="386"/>
      <c r="V61" s="386"/>
      <c r="W61" s="386"/>
      <c r="X61" s="386"/>
      <c r="Y61" s="386"/>
      <c r="Z61" s="386"/>
      <c r="AA61" s="386"/>
      <c r="AB61" s="386"/>
      <c r="AC61" s="386"/>
      <c r="AD61" s="386"/>
      <c r="AE61" s="386"/>
      <c r="AF61" s="386"/>
      <c r="AG61" s="386"/>
      <c r="AH61" s="386"/>
      <c r="AI61" s="386"/>
      <c r="AJ61" s="386"/>
      <c r="AK61" s="386"/>
      <c r="AL61" s="386"/>
      <c r="AM61" s="386"/>
      <c r="AN61" s="386"/>
      <c r="AO61" s="386"/>
      <c r="AP61" s="386"/>
      <c r="AQ61" s="386"/>
      <c r="AR61" s="386"/>
      <c r="AS61" s="386"/>
      <c r="AT61" s="386"/>
      <c r="AU61" s="386"/>
      <c r="AV61" s="386"/>
      <c r="AW61" s="386"/>
      <c r="AX61" s="386"/>
      <c r="AY61" s="386"/>
      <c r="AZ61" s="386"/>
      <c r="BA61" s="386"/>
      <c r="BB61" s="386"/>
      <c r="BC61" s="386"/>
      <c r="BD61" s="386"/>
      <c r="BE61" s="386"/>
      <c r="BF61" s="386"/>
      <c r="BG61" s="386"/>
      <c r="BH61" s="386"/>
      <c r="BI61" s="386"/>
      <c r="BJ61" s="386"/>
      <c r="BK61" s="386"/>
      <c r="BL61" s="386"/>
      <c r="BM61" s="386"/>
      <c r="BN61" s="387"/>
      <c r="BO61" s="388"/>
    </row>
    <row r="62" spans="2:67" x14ac:dyDescent="0.2">
      <c r="B62" s="385" t="s">
        <v>144</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6"/>
      <c r="AC62" s="386"/>
      <c r="AD62" s="386"/>
      <c r="AE62" s="386"/>
      <c r="AF62" s="386"/>
      <c r="AG62" s="386"/>
      <c r="AH62" s="386"/>
      <c r="AI62" s="386"/>
      <c r="AJ62" s="386"/>
      <c r="AK62" s="386"/>
      <c r="AL62" s="386"/>
      <c r="AM62" s="386"/>
      <c r="AN62" s="386"/>
      <c r="AO62" s="386"/>
      <c r="AP62" s="386"/>
      <c r="AQ62" s="386"/>
      <c r="AR62" s="386"/>
      <c r="AS62" s="386"/>
      <c r="AT62" s="386"/>
      <c r="AU62" s="386"/>
      <c r="AV62" s="386"/>
      <c r="AW62" s="386"/>
      <c r="AX62" s="386"/>
      <c r="AY62" s="386"/>
      <c r="AZ62" s="386"/>
      <c r="BA62" s="386"/>
      <c r="BB62" s="386"/>
      <c r="BC62" s="386"/>
      <c r="BD62" s="386"/>
      <c r="BE62" s="386"/>
      <c r="BF62" s="386"/>
      <c r="BG62" s="386"/>
      <c r="BH62" s="386"/>
      <c r="BI62" s="386"/>
      <c r="BJ62" s="386"/>
      <c r="BK62" s="386"/>
      <c r="BL62" s="386"/>
      <c r="BM62" s="386"/>
      <c r="BN62" s="387"/>
      <c r="BO62" s="388"/>
    </row>
    <row r="63" spans="2:67" x14ac:dyDescent="0.2">
      <c r="B63" s="385" t="s">
        <v>145</v>
      </c>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6"/>
      <c r="AC63" s="386"/>
      <c r="AD63" s="386"/>
      <c r="AE63" s="386"/>
      <c r="AF63" s="386"/>
      <c r="AG63" s="386"/>
      <c r="AH63" s="386"/>
      <c r="AI63" s="386"/>
      <c r="AJ63" s="386"/>
      <c r="AK63" s="386"/>
      <c r="AL63" s="386"/>
      <c r="AM63" s="386"/>
      <c r="AN63" s="386"/>
      <c r="AO63" s="386"/>
      <c r="AP63" s="386"/>
      <c r="AQ63" s="386"/>
      <c r="AR63" s="386"/>
      <c r="AS63" s="386"/>
      <c r="AT63" s="386"/>
      <c r="AU63" s="386"/>
      <c r="AV63" s="386"/>
      <c r="AW63" s="386"/>
      <c r="AX63" s="386"/>
      <c r="AY63" s="386"/>
      <c r="AZ63" s="386"/>
      <c r="BA63" s="386"/>
      <c r="BB63" s="386"/>
      <c r="BC63" s="386"/>
      <c r="BD63" s="386"/>
      <c r="BE63" s="386"/>
      <c r="BF63" s="386"/>
      <c r="BG63" s="386"/>
      <c r="BH63" s="386"/>
      <c r="BI63" s="386"/>
      <c r="BJ63" s="386"/>
      <c r="BK63" s="386"/>
      <c r="BL63" s="386"/>
      <c r="BM63" s="386"/>
      <c r="BN63" s="387"/>
      <c r="BO63" s="388"/>
    </row>
    <row r="64" spans="2:67" x14ac:dyDescent="0.2">
      <c r="B64" s="385" t="s">
        <v>146</v>
      </c>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c r="AA64" s="386"/>
      <c r="AB64" s="386"/>
      <c r="AC64" s="386"/>
      <c r="AD64" s="386"/>
      <c r="AE64" s="386"/>
      <c r="AF64" s="386"/>
      <c r="AG64" s="386"/>
      <c r="AH64" s="386"/>
      <c r="AI64" s="386"/>
      <c r="AJ64" s="386"/>
      <c r="AK64" s="386"/>
      <c r="AL64" s="386"/>
      <c r="AM64" s="386"/>
      <c r="AN64" s="386"/>
      <c r="AO64" s="386"/>
      <c r="AP64" s="386"/>
      <c r="AQ64" s="386"/>
      <c r="AR64" s="386"/>
      <c r="AS64" s="386"/>
      <c r="AT64" s="386"/>
      <c r="AU64" s="386"/>
      <c r="AV64" s="386"/>
      <c r="AW64" s="386"/>
      <c r="AX64" s="386"/>
      <c r="AY64" s="386"/>
      <c r="AZ64" s="386"/>
      <c r="BA64" s="386"/>
      <c r="BB64" s="386"/>
      <c r="BC64" s="386"/>
      <c r="BD64" s="386"/>
      <c r="BE64" s="386"/>
      <c r="BF64" s="386"/>
      <c r="BG64" s="386"/>
      <c r="BH64" s="386"/>
      <c r="BI64" s="386"/>
      <c r="BJ64" s="386"/>
      <c r="BK64" s="386"/>
      <c r="BL64" s="386"/>
      <c r="BM64" s="386"/>
      <c r="BN64" s="387"/>
      <c r="BO64" s="388"/>
    </row>
    <row r="65" spans="2:67" x14ac:dyDescent="0.2">
      <c r="B65" s="385" t="s">
        <v>147</v>
      </c>
      <c r="C65" s="386"/>
      <c r="D65" s="386"/>
      <c r="E65" s="386"/>
      <c r="F65" s="386"/>
      <c r="G65" s="386"/>
      <c r="H65" s="386"/>
      <c r="I65" s="386"/>
      <c r="J65" s="386"/>
      <c r="K65" s="386"/>
      <c r="L65" s="386"/>
      <c r="M65" s="386"/>
      <c r="N65" s="386"/>
      <c r="O65" s="386"/>
      <c r="P65" s="386"/>
      <c r="Q65" s="386"/>
      <c r="R65" s="386"/>
      <c r="S65" s="386"/>
      <c r="T65" s="386"/>
      <c r="U65" s="386"/>
      <c r="V65" s="386"/>
      <c r="W65" s="386"/>
      <c r="X65" s="386"/>
      <c r="Y65" s="386"/>
      <c r="Z65" s="386"/>
      <c r="AA65" s="386"/>
      <c r="AB65" s="386"/>
      <c r="AC65" s="386"/>
      <c r="AD65" s="386"/>
      <c r="AE65" s="386"/>
      <c r="AF65" s="386"/>
      <c r="AG65" s="386"/>
      <c r="AH65" s="386"/>
      <c r="AI65" s="386"/>
      <c r="AJ65" s="386"/>
      <c r="AK65" s="386"/>
      <c r="AL65" s="386"/>
      <c r="AM65" s="386"/>
      <c r="AN65" s="386"/>
      <c r="AO65" s="386"/>
      <c r="AP65" s="386"/>
      <c r="AQ65" s="386"/>
      <c r="AR65" s="386"/>
      <c r="AS65" s="386"/>
      <c r="AT65" s="386"/>
      <c r="AU65" s="386"/>
      <c r="AV65" s="386"/>
      <c r="AW65" s="386"/>
      <c r="AX65" s="386"/>
      <c r="AY65" s="386"/>
      <c r="AZ65" s="386"/>
      <c r="BA65" s="386"/>
      <c r="BB65" s="386"/>
      <c r="BC65" s="386"/>
      <c r="BD65" s="386"/>
      <c r="BE65" s="386"/>
      <c r="BF65" s="386"/>
      <c r="BG65" s="386"/>
      <c r="BH65" s="386"/>
      <c r="BI65" s="386"/>
      <c r="BJ65" s="386"/>
      <c r="BK65" s="386"/>
      <c r="BL65" s="386"/>
      <c r="BM65" s="386"/>
      <c r="BN65" s="387"/>
      <c r="BO65" s="388"/>
    </row>
    <row r="66" spans="2:67" x14ac:dyDescent="0.2">
      <c r="B66" s="385" t="s">
        <v>148</v>
      </c>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c r="AA66" s="386"/>
      <c r="AB66" s="386"/>
      <c r="AC66" s="386"/>
      <c r="AD66" s="386"/>
      <c r="AE66" s="386"/>
      <c r="AF66" s="386"/>
      <c r="AG66" s="386"/>
      <c r="AH66" s="386"/>
      <c r="AI66" s="386"/>
      <c r="AJ66" s="386"/>
      <c r="AK66" s="386"/>
      <c r="AL66" s="386"/>
      <c r="AM66" s="386"/>
      <c r="AN66" s="386"/>
      <c r="AO66" s="386"/>
      <c r="AP66" s="386"/>
      <c r="AQ66" s="386"/>
      <c r="AR66" s="386"/>
      <c r="AS66" s="386"/>
      <c r="AT66" s="386"/>
      <c r="AU66" s="386"/>
      <c r="AV66" s="386"/>
      <c r="AW66" s="386"/>
      <c r="AX66" s="386"/>
      <c r="AY66" s="386"/>
      <c r="AZ66" s="386"/>
      <c r="BA66" s="386"/>
      <c r="BB66" s="386"/>
      <c r="BC66" s="386"/>
      <c r="BD66" s="386"/>
      <c r="BE66" s="386"/>
      <c r="BF66" s="386"/>
      <c r="BG66" s="386"/>
      <c r="BH66" s="386"/>
      <c r="BI66" s="386"/>
      <c r="BJ66" s="386"/>
      <c r="BK66" s="386"/>
      <c r="BL66" s="386"/>
      <c r="BM66" s="386"/>
      <c r="BN66" s="387"/>
      <c r="BO66" s="388"/>
    </row>
    <row r="67" spans="2:67" x14ac:dyDescent="0.2">
      <c r="B67" s="385" t="s">
        <v>149</v>
      </c>
      <c r="C67" s="386"/>
      <c r="D67" s="386"/>
      <c r="E67" s="386"/>
      <c r="F67" s="386"/>
      <c r="G67" s="386"/>
      <c r="H67" s="386"/>
      <c r="I67" s="386"/>
      <c r="J67" s="386"/>
      <c r="K67" s="386"/>
      <c r="L67" s="386"/>
      <c r="M67" s="386"/>
      <c r="N67" s="386"/>
      <c r="O67" s="386"/>
      <c r="P67" s="386"/>
      <c r="Q67" s="386"/>
      <c r="R67" s="386"/>
      <c r="S67" s="386"/>
      <c r="T67" s="386"/>
      <c r="U67" s="386"/>
      <c r="V67" s="386"/>
      <c r="W67" s="386"/>
      <c r="X67" s="386"/>
      <c r="Y67" s="386"/>
      <c r="Z67" s="386"/>
      <c r="AA67" s="386"/>
      <c r="AB67" s="386"/>
      <c r="AC67" s="386"/>
      <c r="AD67" s="386"/>
      <c r="AE67" s="386"/>
      <c r="AF67" s="386"/>
      <c r="AG67" s="386"/>
      <c r="AH67" s="386"/>
      <c r="AI67" s="386"/>
      <c r="AJ67" s="386"/>
      <c r="AK67" s="386"/>
      <c r="AL67" s="386"/>
      <c r="AM67" s="386"/>
      <c r="AN67" s="386"/>
      <c r="AO67" s="386"/>
      <c r="AP67" s="386"/>
      <c r="AQ67" s="386"/>
      <c r="AR67" s="386"/>
      <c r="AS67" s="386"/>
      <c r="AT67" s="386"/>
      <c r="AU67" s="386"/>
      <c r="AV67" s="386"/>
      <c r="AW67" s="386"/>
      <c r="AX67" s="386"/>
      <c r="AY67" s="386"/>
      <c r="AZ67" s="386"/>
      <c r="BA67" s="386"/>
      <c r="BB67" s="386"/>
      <c r="BC67" s="386"/>
      <c r="BD67" s="386"/>
      <c r="BE67" s="386"/>
      <c r="BF67" s="386"/>
      <c r="BG67" s="386"/>
      <c r="BH67" s="386"/>
      <c r="BI67" s="386"/>
      <c r="BJ67" s="386"/>
      <c r="BK67" s="386"/>
      <c r="BL67" s="386"/>
      <c r="BM67" s="386"/>
      <c r="BN67" s="387"/>
      <c r="BO67" s="388"/>
    </row>
    <row r="68" spans="2:67" x14ac:dyDescent="0.2">
      <c r="B68" s="385" t="s">
        <v>150</v>
      </c>
      <c r="C68" s="386"/>
      <c r="D68" s="386"/>
      <c r="E68" s="386"/>
      <c r="F68" s="386"/>
      <c r="G68" s="386"/>
      <c r="H68" s="386"/>
      <c r="I68" s="386"/>
      <c r="J68" s="386"/>
      <c r="K68" s="386"/>
      <c r="L68" s="386"/>
      <c r="M68" s="386"/>
      <c r="N68" s="386"/>
      <c r="O68" s="386"/>
      <c r="P68" s="386"/>
      <c r="Q68" s="386"/>
      <c r="R68" s="386"/>
      <c r="S68" s="386"/>
      <c r="T68" s="386"/>
      <c r="U68" s="386"/>
      <c r="V68" s="386"/>
      <c r="W68" s="386"/>
      <c r="X68" s="386"/>
      <c r="Y68" s="386"/>
      <c r="Z68" s="386"/>
      <c r="AA68" s="386"/>
      <c r="AB68" s="386"/>
      <c r="AC68" s="386"/>
      <c r="AD68" s="386"/>
      <c r="AE68" s="386"/>
      <c r="AF68" s="386"/>
      <c r="AG68" s="386"/>
      <c r="AH68" s="386"/>
      <c r="AI68" s="386"/>
      <c r="AJ68" s="386"/>
      <c r="AK68" s="386"/>
      <c r="AL68" s="386"/>
      <c r="AM68" s="386"/>
      <c r="AN68" s="386"/>
      <c r="AO68" s="386"/>
      <c r="AP68" s="386"/>
      <c r="AQ68" s="386"/>
      <c r="AR68" s="386"/>
      <c r="AS68" s="386"/>
      <c r="AT68" s="386"/>
      <c r="AU68" s="386"/>
      <c r="AV68" s="386"/>
      <c r="AW68" s="386"/>
      <c r="AX68" s="386"/>
      <c r="AY68" s="386"/>
      <c r="AZ68" s="386"/>
      <c r="BA68" s="386"/>
      <c r="BB68" s="386"/>
      <c r="BC68" s="386"/>
      <c r="BD68" s="386"/>
      <c r="BE68" s="386"/>
      <c r="BF68" s="386"/>
      <c r="BG68" s="386"/>
      <c r="BH68" s="386"/>
      <c r="BI68" s="386"/>
      <c r="BJ68" s="386"/>
      <c r="BK68" s="386"/>
      <c r="BL68" s="386"/>
      <c r="BM68" s="386"/>
      <c r="BN68" s="387"/>
      <c r="BO68" s="388"/>
    </row>
    <row r="69" spans="2:67" x14ac:dyDescent="0.2">
      <c r="B69" s="385" t="s">
        <v>151</v>
      </c>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c r="AA69" s="386"/>
      <c r="AB69" s="386"/>
      <c r="AC69" s="386"/>
      <c r="AD69" s="386"/>
      <c r="AE69" s="386"/>
      <c r="AF69" s="386"/>
      <c r="AG69" s="386"/>
      <c r="AH69" s="386"/>
      <c r="AI69" s="386"/>
      <c r="AJ69" s="386"/>
      <c r="AK69" s="386"/>
      <c r="AL69" s="386"/>
      <c r="AM69" s="386"/>
      <c r="AN69" s="386"/>
      <c r="AO69" s="386"/>
      <c r="AP69" s="386"/>
      <c r="AQ69" s="386"/>
      <c r="AR69" s="386"/>
      <c r="AS69" s="386"/>
      <c r="AT69" s="386"/>
      <c r="AU69" s="386"/>
      <c r="AV69" s="386"/>
      <c r="AW69" s="386"/>
      <c r="AX69" s="386"/>
      <c r="AY69" s="386"/>
      <c r="AZ69" s="386"/>
      <c r="BA69" s="386"/>
      <c r="BB69" s="386"/>
      <c r="BC69" s="386"/>
      <c r="BD69" s="386"/>
      <c r="BE69" s="386"/>
      <c r="BF69" s="386"/>
      <c r="BG69" s="386"/>
      <c r="BH69" s="386"/>
      <c r="BI69" s="386"/>
      <c r="BJ69" s="386"/>
      <c r="BK69" s="386"/>
      <c r="BL69" s="386"/>
      <c r="BM69" s="386"/>
      <c r="BN69" s="387"/>
      <c r="BO69" s="388"/>
    </row>
    <row r="70" spans="2:67" x14ac:dyDescent="0.2">
      <c r="B70" s="385" t="s">
        <v>152</v>
      </c>
      <c r="C70" s="386"/>
      <c r="D70" s="386"/>
      <c r="E70" s="386"/>
      <c r="F70" s="386"/>
      <c r="G70" s="386"/>
      <c r="H70" s="386"/>
      <c r="I70" s="386"/>
      <c r="J70" s="386"/>
      <c r="K70" s="386"/>
      <c r="L70" s="386"/>
      <c r="M70" s="386"/>
      <c r="N70" s="386"/>
      <c r="O70" s="386"/>
      <c r="P70" s="386"/>
      <c r="Q70" s="386"/>
      <c r="R70" s="386"/>
      <c r="S70" s="386"/>
      <c r="T70" s="386"/>
      <c r="U70" s="386"/>
      <c r="V70" s="386"/>
      <c r="W70" s="386"/>
      <c r="X70" s="386"/>
      <c r="Y70" s="386"/>
      <c r="Z70" s="386"/>
      <c r="AA70" s="386"/>
      <c r="AB70" s="386"/>
      <c r="AC70" s="386"/>
      <c r="AD70" s="386"/>
      <c r="AE70" s="386"/>
      <c r="AF70" s="386"/>
      <c r="AG70" s="386"/>
      <c r="AH70" s="386"/>
      <c r="AI70" s="386"/>
      <c r="AJ70" s="386"/>
      <c r="AK70" s="386"/>
      <c r="AL70" s="386"/>
      <c r="AM70" s="386"/>
      <c r="AN70" s="386"/>
      <c r="AO70" s="386"/>
      <c r="AP70" s="386"/>
      <c r="AQ70" s="386"/>
      <c r="AR70" s="386"/>
      <c r="AS70" s="386"/>
      <c r="AT70" s="386"/>
      <c r="AU70" s="386"/>
      <c r="AV70" s="386"/>
      <c r="AW70" s="386"/>
      <c r="AX70" s="386"/>
      <c r="AY70" s="386"/>
      <c r="AZ70" s="386"/>
      <c r="BA70" s="386"/>
      <c r="BB70" s="386"/>
      <c r="BC70" s="386"/>
      <c r="BD70" s="386"/>
      <c r="BE70" s="386"/>
      <c r="BF70" s="386"/>
      <c r="BG70" s="386"/>
      <c r="BH70" s="386"/>
      <c r="BI70" s="386"/>
      <c r="BJ70" s="386"/>
      <c r="BK70" s="386"/>
      <c r="BL70" s="386"/>
      <c r="BM70" s="386"/>
      <c r="BN70" s="387"/>
      <c r="BO70" s="388"/>
    </row>
    <row r="71" spans="2:67" x14ac:dyDescent="0.2">
      <c r="B71" s="385" t="s">
        <v>153</v>
      </c>
      <c r="C71" s="386"/>
      <c r="D71" s="386"/>
      <c r="E71" s="386"/>
      <c r="F71" s="386"/>
      <c r="G71" s="386"/>
      <c r="H71" s="386"/>
      <c r="I71" s="386"/>
      <c r="J71" s="386"/>
      <c r="K71" s="386"/>
      <c r="L71" s="386"/>
      <c r="M71" s="386"/>
      <c r="N71" s="386"/>
      <c r="O71" s="386"/>
      <c r="P71" s="386"/>
      <c r="Q71" s="386"/>
      <c r="R71" s="386"/>
      <c r="S71" s="386"/>
      <c r="T71" s="386"/>
      <c r="U71" s="386"/>
      <c r="V71" s="386"/>
      <c r="W71" s="386"/>
      <c r="X71" s="386"/>
      <c r="Y71" s="386"/>
      <c r="Z71" s="386"/>
      <c r="AA71" s="386"/>
      <c r="AB71" s="386"/>
      <c r="AC71" s="386"/>
      <c r="AD71" s="386"/>
      <c r="AE71" s="386"/>
      <c r="AF71" s="386"/>
      <c r="AG71" s="386"/>
      <c r="AH71" s="386"/>
      <c r="AI71" s="386"/>
      <c r="AJ71" s="386"/>
      <c r="AK71" s="386"/>
      <c r="AL71" s="386"/>
      <c r="AM71" s="386"/>
      <c r="AN71" s="386"/>
      <c r="AO71" s="386"/>
      <c r="AP71" s="386"/>
      <c r="AQ71" s="386"/>
      <c r="AR71" s="386"/>
      <c r="AS71" s="386"/>
      <c r="AT71" s="386"/>
      <c r="AU71" s="386"/>
      <c r="AV71" s="386"/>
      <c r="AW71" s="386"/>
      <c r="AX71" s="386"/>
      <c r="AY71" s="386"/>
      <c r="AZ71" s="386"/>
      <c r="BA71" s="386"/>
      <c r="BB71" s="386"/>
      <c r="BC71" s="386"/>
      <c r="BD71" s="386"/>
      <c r="BE71" s="386"/>
      <c r="BF71" s="386"/>
      <c r="BG71" s="386"/>
      <c r="BH71" s="386"/>
      <c r="BI71" s="386"/>
      <c r="BJ71" s="386"/>
      <c r="BK71" s="386"/>
      <c r="BL71" s="386"/>
      <c r="BM71" s="386"/>
      <c r="BN71" s="387"/>
      <c r="BO71" s="388"/>
    </row>
    <row r="72" spans="2:67" x14ac:dyDescent="0.2">
      <c r="B72" s="385" t="s">
        <v>154</v>
      </c>
      <c r="C72" s="386"/>
      <c r="D72" s="386"/>
      <c r="E72" s="386"/>
      <c r="F72" s="386"/>
      <c r="G72" s="386"/>
      <c r="H72" s="386"/>
      <c r="I72" s="386"/>
      <c r="J72" s="386"/>
      <c r="K72" s="386"/>
      <c r="L72" s="386"/>
      <c r="M72" s="386"/>
      <c r="N72" s="386"/>
      <c r="O72" s="386"/>
      <c r="P72" s="386"/>
      <c r="Q72" s="386"/>
      <c r="R72" s="386"/>
      <c r="S72" s="386"/>
      <c r="T72" s="386"/>
      <c r="U72" s="386"/>
      <c r="V72" s="386"/>
      <c r="W72" s="386"/>
      <c r="X72" s="386"/>
      <c r="Y72" s="386"/>
      <c r="Z72" s="386"/>
      <c r="AA72" s="386"/>
      <c r="AB72" s="386"/>
      <c r="AC72" s="386"/>
      <c r="AD72" s="386"/>
      <c r="AE72" s="386"/>
      <c r="AF72" s="386"/>
      <c r="AG72" s="386"/>
      <c r="AH72" s="386"/>
      <c r="AI72" s="386"/>
      <c r="AJ72" s="386"/>
      <c r="AK72" s="386"/>
      <c r="AL72" s="386"/>
      <c r="AM72" s="386"/>
      <c r="AN72" s="386"/>
      <c r="AO72" s="386"/>
      <c r="AP72" s="386"/>
      <c r="AQ72" s="386"/>
      <c r="AR72" s="386"/>
      <c r="AS72" s="386"/>
      <c r="AT72" s="386"/>
      <c r="AU72" s="386"/>
      <c r="AV72" s="386"/>
      <c r="AW72" s="386"/>
      <c r="AX72" s="386"/>
      <c r="AY72" s="386"/>
      <c r="AZ72" s="386"/>
      <c r="BA72" s="386"/>
      <c r="BB72" s="386"/>
      <c r="BC72" s="386"/>
      <c r="BD72" s="386"/>
      <c r="BE72" s="386"/>
      <c r="BF72" s="386"/>
      <c r="BG72" s="386"/>
      <c r="BH72" s="386"/>
      <c r="BI72" s="386"/>
      <c r="BJ72" s="386"/>
      <c r="BK72" s="386"/>
      <c r="BL72" s="386"/>
      <c r="BM72" s="386"/>
      <c r="BN72" s="387"/>
      <c r="BO72" s="388"/>
    </row>
    <row r="73" spans="2:67" ht="17" thickBot="1" x14ac:dyDescent="0.25">
      <c r="B73" s="385" t="s">
        <v>155</v>
      </c>
      <c r="C73" s="386"/>
      <c r="D73" s="386"/>
      <c r="E73" s="386"/>
      <c r="F73" s="386"/>
      <c r="G73" s="386"/>
      <c r="H73" s="386"/>
      <c r="I73" s="386"/>
      <c r="J73" s="386"/>
      <c r="K73" s="386"/>
      <c r="L73" s="386"/>
      <c r="M73" s="386"/>
      <c r="N73" s="386"/>
      <c r="O73" s="386"/>
      <c r="P73" s="386"/>
      <c r="Q73" s="386"/>
      <c r="R73" s="386"/>
      <c r="S73" s="386"/>
      <c r="T73" s="386"/>
      <c r="U73" s="386"/>
      <c r="V73" s="386"/>
      <c r="W73" s="386"/>
      <c r="X73" s="386"/>
      <c r="Y73" s="386"/>
      <c r="Z73" s="386"/>
      <c r="AA73" s="386"/>
      <c r="AB73" s="386"/>
      <c r="AC73" s="386"/>
      <c r="AD73" s="386"/>
      <c r="AE73" s="386"/>
      <c r="AF73" s="386"/>
      <c r="AG73" s="386"/>
      <c r="AH73" s="386"/>
      <c r="AI73" s="386"/>
      <c r="AJ73" s="386"/>
      <c r="AK73" s="386"/>
      <c r="AL73" s="386"/>
      <c r="AM73" s="386"/>
      <c r="AN73" s="386"/>
      <c r="AO73" s="386"/>
      <c r="AP73" s="386"/>
      <c r="AQ73" s="386"/>
      <c r="AR73" s="386"/>
      <c r="AS73" s="386"/>
      <c r="AT73" s="386"/>
      <c r="AU73" s="386"/>
      <c r="AV73" s="386"/>
      <c r="AW73" s="386"/>
      <c r="AX73" s="386"/>
      <c r="AY73" s="386"/>
      <c r="AZ73" s="386"/>
      <c r="BA73" s="386"/>
      <c r="BB73" s="386"/>
      <c r="BC73" s="386"/>
      <c r="BD73" s="386"/>
      <c r="BE73" s="386"/>
      <c r="BF73" s="386"/>
      <c r="BG73" s="386"/>
      <c r="BH73" s="386"/>
      <c r="BI73" s="386"/>
      <c r="BJ73" s="386"/>
      <c r="BK73" s="386"/>
      <c r="BL73" s="386"/>
      <c r="BM73" s="386"/>
      <c r="BN73" s="387"/>
      <c r="BO73" s="388"/>
    </row>
    <row r="74" spans="2:67" ht="17" thickBot="1" x14ac:dyDescent="0.25">
      <c r="B74" s="389" t="s">
        <v>156</v>
      </c>
      <c r="C74" s="390"/>
      <c r="D74" s="390"/>
      <c r="E74" s="390"/>
      <c r="F74" s="390"/>
      <c r="G74" s="390"/>
      <c r="H74" s="390"/>
      <c r="I74" s="390"/>
      <c r="J74" s="390"/>
      <c r="K74" s="390"/>
      <c r="L74" s="390"/>
      <c r="M74" s="390"/>
      <c r="N74" s="390"/>
      <c r="O74" s="390"/>
      <c r="P74" s="390"/>
      <c r="Q74" s="390"/>
      <c r="R74" s="390"/>
      <c r="S74" s="390"/>
      <c r="T74" s="390"/>
      <c r="U74" s="390"/>
      <c r="V74" s="390"/>
      <c r="W74" s="390"/>
      <c r="X74" s="390"/>
      <c r="Y74" s="390"/>
      <c r="Z74" s="390"/>
      <c r="AA74" s="390"/>
      <c r="AB74" s="390"/>
      <c r="AC74" s="390"/>
      <c r="AD74" s="390"/>
      <c r="AE74" s="390"/>
      <c r="AF74" s="390"/>
      <c r="AG74" s="390"/>
      <c r="AH74" s="390"/>
      <c r="AI74" s="390"/>
      <c r="AJ74" s="390"/>
      <c r="AK74" s="390"/>
      <c r="AL74" s="390"/>
      <c r="AM74" s="390"/>
      <c r="AN74" s="390"/>
      <c r="AO74" s="390"/>
      <c r="AP74" s="390"/>
      <c r="AQ74" s="390"/>
      <c r="AR74" s="390"/>
      <c r="AS74" s="390"/>
      <c r="AT74" s="390"/>
      <c r="AU74" s="390"/>
      <c r="AV74" s="390"/>
      <c r="AW74" s="390"/>
      <c r="AX74" s="390"/>
      <c r="AY74" s="390"/>
      <c r="AZ74" s="390"/>
      <c r="BA74" s="390"/>
      <c r="BB74" s="390"/>
      <c r="BC74" s="390"/>
      <c r="BD74" s="390"/>
      <c r="BE74" s="390"/>
      <c r="BF74" s="390"/>
      <c r="BG74" s="390"/>
      <c r="BH74" s="390"/>
      <c r="BI74" s="390"/>
      <c r="BJ74" s="390"/>
      <c r="BK74" s="390"/>
      <c r="BL74" s="390"/>
      <c r="BM74" s="390"/>
      <c r="BN74" s="391"/>
      <c r="BO74" s="392"/>
    </row>
    <row r="75" spans="2:67" x14ac:dyDescent="0.2">
      <c r="B75" s="385" t="s">
        <v>157</v>
      </c>
      <c r="C75" s="386"/>
      <c r="D75" s="386"/>
      <c r="E75" s="386"/>
      <c r="F75" s="386"/>
      <c r="G75" s="386"/>
      <c r="H75" s="386"/>
      <c r="I75" s="386"/>
      <c r="J75" s="386"/>
      <c r="K75" s="386"/>
      <c r="L75" s="386"/>
      <c r="M75" s="386"/>
      <c r="N75" s="386"/>
      <c r="O75" s="386"/>
      <c r="P75" s="386"/>
      <c r="Q75" s="386"/>
      <c r="R75" s="386"/>
      <c r="S75" s="386"/>
      <c r="T75" s="386"/>
      <c r="U75" s="386"/>
      <c r="V75" s="386"/>
      <c r="W75" s="386"/>
      <c r="X75" s="386"/>
      <c r="Y75" s="386"/>
      <c r="Z75" s="386"/>
      <c r="AA75" s="386"/>
      <c r="AB75" s="386"/>
      <c r="AC75" s="386"/>
      <c r="AD75" s="386"/>
      <c r="AE75" s="386"/>
      <c r="AF75" s="386"/>
      <c r="AG75" s="386"/>
      <c r="AH75" s="386"/>
      <c r="AI75" s="386"/>
      <c r="AJ75" s="386"/>
      <c r="AK75" s="386"/>
      <c r="AL75" s="386"/>
      <c r="AM75" s="386"/>
      <c r="AN75" s="386"/>
      <c r="AO75" s="386"/>
      <c r="AP75" s="386"/>
      <c r="AQ75" s="386"/>
      <c r="AR75" s="386"/>
      <c r="AS75" s="386"/>
      <c r="AT75" s="386"/>
      <c r="AU75" s="386"/>
      <c r="AV75" s="386"/>
      <c r="AW75" s="386"/>
      <c r="AX75" s="386"/>
      <c r="AY75" s="386"/>
      <c r="AZ75" s="386"/>
      <c r="BA75" s="386"/>
      <c r="BB75" s="386"/>
      <c r="BC75" s="386"/>
      <c r="BD75" s="386"/>
      <c r="BE75" s="386"/>
      <c r="BF75" s="386"/>
      <c r="BG75" s="386"/>
      <c r="BH75" s="386"/>
      <c r="BI75" s="386"/>
      <c r="BJ75" s="386"/>
      <c r="BK75" s="386"/>
      <c r="BL75" s="386"/>
      <c r="BM75" s="386"/>
      <c r="BN75" s="387"/>
      <c r="BO75" s="388"/>
    </row>
    <row r="76" spans="2:67" x14ac:dyDescent="0.2">
      <c r="B76" s="385" t="s">
        <v>158</v>
      </c>
      <c r="C76" s="386"/>
      <c r="D76" s="386"/>
      <c r="E76" s="386"/>
      <c r="F76" s="386"/>
      <c r="G76" s="386"/>
      <c r="H76" s="386"/>
      <c r="I76" s="386"/>
      <c r="J76" s="386"/>
      <c r="K76" s="386"/>
      <c r="L76" s="386"/>
      <c r="M76" s="386"/>
      <c r="N76" s="386"/>
      <c r="O76" s="386"/>
      <c r="P76" s="386"/>
      <c r="Q76" s="386"/>
      <c r="R76" s="386"/>
      <c r="S76" s="386"/>
      <c r="T76" s="386"/>
      <c r="U76" s="386"/>
      <c r="V76" s="386"/>
      <c r="W76" s="386"/>
      <c r="X76" s="386"/>
      <c r="Y76" s="386"/>
      <c r="Z76" s="386"/>
      <c r="AA76" s="386"/>
      <c r="AB76" s="386"/>
      <c r="AC76" s="386"/>
      <c r="AD76" s="386"/>
      <c r="AE76" s="386"/>
      <c r="AF76" s="386"/>
      <c r="AG76" s="386"/>
      <c r="AH76" s="386"/>
      <c r="AI76" s="386"/>
      <c r="AJ76" s="386"/>
      <c r="AK76" s="386"/>
      <c r="AL76" s="386"/>
      <c r="AM76" s="386"/>
      <c r="AN76" s="386"/>
      <c r="AO76" s="386"/>
      <c r="AP76" s="386"/>
      <c r="AQ76" s="386"/>
      <c r="AR76" s="386"/>
      <c r="AS76" s="386"/>
      <c r="AT76" s="386"/>
      <c r="AU76" s="386"/>
      <c r="AV76" s="386"/>
      <c r="AW76" s="386"/>
      <c r="AX76" s="386"/>
      <c r="AY76" s="386"/>
      <c r="AZ76" s="386"/>
      <c r="BA76" s="386"/>
      <c r="BB76" s="386"/>
      <c r="BC76" s="386"/>
      <c r="BD76" s="386"/>
      <c r="BE76" s="386"/>
      <c r="BF76" s="386"/>
      <c r="BG76" s="386"/>
      <c r="BH76" s="386"/>
      <c r="BI76" s="386"/>
      <c r="BJ76" s="386"/>
      <c r="BK76" s="386"/>
      <c r="BL76" s="386"/>
      <c r="BM76" s="386"/>
      <c r="BN76" s="387"/>
      <c r="BO76" s="388"/>
    </row>
    <row r="77" spans="2:67" x14ac:dyDescent="0.2">
      <c r="B77" s="385" t="s">
        <v>159</v>
      </c>
      <c r="C77" s="386"/>
      <c r="D77" s="386"/>
      <c r="E77" s="386"/>
      <c r="F77" s="386"/>
      <c r="G77" s="386"/>
      <c r="H77" s="386"/>
      <c r="I77" s="386"/>
      <c r="J77" s="386"/>
      <c r="K77" s="386"/>
      <c r="L77" s="386"/>
      <c r="M77" s="386"/>
      <c r="N77" s="386"/>
      <c r="O77" s="386"/>
      <c r="P77" s="386"/>
      <c r="Q77" s="386"/>
      <c r="R77" s="386"/>
      <c r="S77" s="386"/>
      <c r="T77" s="386"/>
      <c r="U77" s="386"/>
      <c r="V77" s="386"/>
      <c r="W77" s="386"/>
      <c r="X77" s="386"/>
      <c r="Y77" s="386"/>
      <c r="Z77" s="386"/>
      <c r="AA77" s="386"/>
      <c r="AB77" s="386"/>
      <c r="AC77" s="386"/>
      <c r="AD77" s="386"/>
      <c r="AE77" s="386"/>
      <c r="AF77" s="386"/>
      <c r="AG77" s="386"/>
      <c r="AH77" s="386"/>
      <c r="AI77" s="386"/>
      <c r="AJ77" s="386"/>
      <c r="AK77" s="386"/>
      <c r="AL77" s="386"/>
      <c r="AM77" s="386"/>
      <c r="AN77" s="386"/>
      <c r="AO77" s="386"/>
      <c r="AP77" s="386"/>
      <c r="AQ77" s="386"/>
      <c r="AR77" s="386"/>
      <c r="AS77" s="386"/>
      <c r="AT77" s="386"/>
      <c r="AU77" s="386"/>
      <c r="AV77" s="386"/>
      <c r="AW77" s="386"/>
      <c r="AX77" s="386"/>
      <c r="AY77" s="386"/>
      <c r="AZ77" s="386"/>
      <c r="BA77" s="386"/>
      <c r="BB77" s="386"/>
      <c r="BC77" s="386"/>
      <c r="BD77" s="386"/>
      <c r="BE77" s="386"/>
      <c r="BF77" s="386"/>
      <c r="BG77" s="386"/>
      <c r="BH77" s="386"/>
      <c r="BI77" s="386"/>
      <c r="BJ77" s="386"/>
      <c r="BK77" s="386"/>
      <c r="BL77" s="386"/>
      <c r="BM77" s="386"/>
      <c r="BN77" s="387"/>
      <c r="BO77" s="388"/>
    </row>
    <row r="78" spans="2:67" x14ac:dyDescent="0.2">
      <c r="B78" s="385" t="s">
        <v>160</v>
      </c>
      <c r="C78" s="386"/>
      <c r="D78" s="386"/>
      <c r="E78" s="386"/>
      <c r="F78" s="386"/>
      <c r="G78" s="386"/>
      <c r="H78" s="386"/>
      <c r="I78" s="386"/>
      <c r="J78" s="386"/>
      <c r="K78" s="386"/>
      <c r="L78" s="386"/>
      <c r="M78" s="386"/>
      <c r="N78" s="386"/>
      <c r="O78" s="386"/>
      <c r="P78" s="386"/>
      <c r="Q78" s="386"/>
      <c r="R78" s="386"/>
      <c r="S78" s="386"/>
      <c r="T78" s="386"/>
      <c r="U78" s="386"/>
      <c r="V78" s="386"/>
      <c r="W78" s="386"/>
      <c r="X78" s="386"/>
      <c r="Y78" s="386"/>
      <c r="Z78" s="386"/>
      <c r="AA78" s="386"/>
      <c r="AB78" s="386"/>
      <c r="AC78" s="386"/>
      <c r="AD78" s="386"/>
      <c r="AE78" s="386"/>
      <c r="AF78" s="386"/>
      <c r="AG78" s="386"/>
      <c r="AH78" s="386"/>
      <c r="AI78" s="386"/>
      <c r="AJ78" s="386"/>
      <c r="AK78" s="386"/>
      <c r="AL78" s="386"/>
      <c r="AM78" s="386"/>
      <c r="AN78" s="386"/>
      <c r="AO78" s="386"/>
      <c r="AP78" s="386"/>
      <c r="AQ78" s="386"/>
      <c r="AR78" s="386"/>
      <c r="AS78" s="386"/>
      <c r="AT78" s="386"/>
      <c r="AU78" s="386"/>
      <c r="AV78" s="386"/>
      <c r="AW78" s="386"/>
      <c r="AX78" s="386"/>
      <c r="AY78" s="386"/>
      <c r="AZ78" s="386"/>
      <c r="BA78" s="386"/>
      <c r="BB78" s="386"/>
      <c r="BC78" s="386"/>
      <c r="BD78" s="386"/>
      <c r="BE78" s="386"/>
      <c r="BF78" s="386"/>
      <c r="BG78" s="386"/>
      <c r="BH78" s="386"/>
      <c r="BI78" s="386"/>
      <c r="BJ78" s="386"/>
      <c r="BK78" s="386"/>
      <c r="BL78" s="386"/>
      <c r="BM78" s="386"/>
      <c r="BN78" s="387"/>
      <c r="BO78" s="388"/>
    </row>
    <row r="79" spans="2:67" x14ac:dyDescent="0.2">
      <c r="B79" s="385" t="s">
        <v>161</v>
      </c>
      <c r="C79" s="386"/>
      <c r="D79" s="386"/>
      <c r="E79" s="386"/>
      <c r="F79" s="386"/>
      <c r="G79" s="386"/>
      <c r="H79" s="386"/>
      <c r="I79" s="386"/>
      <c r="J79" s="386"/>
      <c r="K79" s="386"/>
      <c r="L79" s="386"/>
      <c r="M79" s="386"/>
      <c r="N79" s="386"/>
      <c r="O79" s="386"/>
      <c r="P79" s="386"/>
      <c r="Q79" s="386"/>
      <c r="R79" s="386"/>
      <c r="S79" s="386"/>
      <c r="T79" s="386"/>
      <c r="U79" s="386"/>
      <c r="V79" s="386"/>
      <c r="W79" s="386"/>
      <c r="X79" s="386"/>
      <c r="Y79" s="386"/>
      <c r="Z79" s="386"/>
      <c r="AA79" s="386"/>
      <c r="AB79" s="386"/>
      <c r="AC79" s="386"/>
      <c r="AD79" s="386"/>
      <c r="AE79" s="386"/>
      <c r="AF79" s="386"/>
      <c r="AG79" s="386"/>
      <c r="AH79" s="386"/>
      <c r="AI79" s="386"/>
      <c r="AJ79" s="386"/>
      <c r="AK79" s="386"/>
      <c r="AL79" s="386"/>
      <c r="AM79" s="386"/>
      <c r="AN79" s="386"/>
      <c r="AO79" s="386"/>
      <c r="AP79" s="386"/>
      <c r="AQ79" s="386"/>
      <c r="AR79" s="386"/>
      <c r="AS79" s="386"/>
      <c r="AT79" s="386"/>
      <c r="AU79" s="386"/>
      <c r="AV79" s="386"/>
      <c r="AW79" s="386"/>
      <c r="AX79" s="386"/>
      <c r="AY79" s="386"/>
      <c r="AZ79" s="386"/>
      <c r="BA79" s="386"/>
      <c r="BB79" s="386"/>
      <c r="BC79" s="386"/>
      <c r="BD79" s="386"/>
      <c r="BE79" s="386"/>
      <c r="BF79" s="386"/>
      <c r="BG79" s="386"/>
      <c r="BH79" s="386"/>
      <c r="BI79" s="386"/>
      <c r="BJ79" s="386"/>
      <c r="BK79" s="386"/>
      <c r="BL79" s="386"/>
      <c r="BM79" s="386"/>
      <c r="BN79" s="387"/>
      <c r="BO79" s="388"/>
    </row>
    <row r="80" spans="2:67" ht="17" thickBot="1" x14ac:dyDescent="0.25">
      <c r="B80" s="385" t="s">
        <v>162</v>
      </c>
      <c r="C80" s="386"/>
      <c r="D80" s="386"/>
      <c r="E80" s="386"/>
      <c r="F80" s="386"/>
      <c r="G80" s="386"/>
      <c r="H80" s="386"/>
      <c r="I80" s="386"/>
      <c r="J80" s="386"/>
      <c r="K80" s="386"/>
      <c r="L80" s="386"/>
      <c r="M80" s="386"/>
      <c r="N80" s="386"/>
      <c r="O80" s="386"/>
      <c r="P80" s="386"/>
      <c r="Q80" s="386"/>
      <c r="R80" s="386"/>
      <c r="S80" s="386"/>
      <c r="T80" s="386"/>
      <c r="U80" s="386"/>
      <c r="V80" s="386"/>
      <c r="W80" s="386"/>
      <c r="X80" s="386"/>
      <c r="Y80" s="386"/>
      <c r="Z80" s="386"/>
      <c r="AA80" s="386"/>
      <c r="AB80" s="386"/>
      <c r="AC80" s="386"/>
      <c r="AD80" s="386"/>
      <c r="AE80" s="386"/>
      <c r="AF80" s="386"/>
      <c r="AG80" s="386"/>
      <c r="AH80" s="386"/>
      <c r="AI80" s="386"/>
      <c r="AJ80" s="386"/>
      <c r="AK80" s="386"/>
      <c r="AL80" s="386"/>
      <c r="AM80" s="386"/>
      <c r="AN80" s="386"/>
      <c r="AO80" s="386"/>
      <c r="AP80" s="386"/>
      <c r="AQ80" s="386"/>
      <c r="AR80" s="386"/>
      <c r="AS80" s="386"/>
      <c r="AT80" s="386"/>
      <c r="AU80" s="386"/>
      <c r="AV80" s="386"/>
      <c r="AW80" s="386"/>
      <c r="AX80" s="386"/>
      <c r="AY80" s="386"/>
      <c r="AZ80" s="386"/>
      <c r="BA80" s="386"/>
      <c r="BB80" s="386"/>
      <c r="BC80" s="386"/>
      <c r="BD80" s="386"/>
      <c r="BE80" s="386"/>
      <c r="BF80" s="386"/>
      <c r="BG80" s="386"/>
      <c r="BH80" s="386"/>
      <c r="BI80" s="386"/>
      <c r="BJ80" s="386"/>
      <c r="BK80" s="386"/>
      <c r="BL80" s="386"/>
      <c r="BM80" s="386"/>
      <c r="BN80" s="387"/>
      <c r="BO80" s="388"/>
    </row>
    <row r="81" spans="2:67" ht="17" thickBot="1" x14ac:dyDescent="0.25">
      <c r="B81" s="389" t="s">
        <v>82</v>
      </c>
      <c r="C81" s="390"/>
      <c r="D81" s="390"/>
      <c r="E81" s="390"/>
      <c r="F81" s="390"/>
      <c r="G81" s="390"/>
      <c r="H81" s="390"/>
      <c r="I81" s="390"/>
      <c r="J81" s="390"/>
      <c r="K81" s="390"/>
      <c r="L81" s="390"/>
      <c r="M81" s="390"/>
      <c r="N81" s="390"/>
      <c r="O81" s="390"/>
      <c r="P81" s="390"/>
      <c r="Q81" s="390"/>
      <c r="R81" s="390"/>
      <c r="S81" s="390"/>
      <c r="T81" s="390"/>
      <c r="U81" s="390"/>
      <c r="V81" s="390"/>
      <c r="W81" s="390"/>
      <c r="X81" s="390"/>
      <c r="Y81" s="390"/>
      <c r="Z81" s="390"/>
      <c r="AA81" s="390"/>
      <c r="AB81" s="390"/>
      <c r="AC81" s="390"/>
      <c r="AD81" s="390"/>
      <c r="AE81" s="390"/>
      <c r="AF81" s="390"/>
      <c r="AG81" s="390"/>
      <c r="AH81" s="390"/>
      <c r="AI81" s="390"/>
      <c r="AJ81" s="390"/>
      <c r="AK81" s="390"/>
      <c r="AL81" s="390"/>
      <c r="AM81" s="390"/>
      <c r="AN81" s="390"/>
      <c r="AO81" s="390"/>
      <c r="AP81" s="390"/>
      <c r="AQ81" s="390"/>
      <c r="AR81" s="390"/>
      <c r="AS81" s="390"/>
      <c r="AT81" s="390"/>
      <c r="AU81" s="390"/>
      <c r="AV81" s="390"/>
      <c r="AW81" s="390"/>
      <c r="AX81" s="390"/>
      <c r="AY81" s="390"/>
      <c r="AZ81" s="390"/>
      <c r="BA81" s="390"/>
      <c r="BB81" s="390"/>
      <c r="BC81" s="390"/>
      <c r="BD81" s="390"/>
      <c r="BE81" s="390"/>
      <c r="BF81" s="390"/>
      <c r="BG81" s="390"/>
      <c r="BH81" s="390"/>
      <c r="BI81" s="390"/>
      <c r="BJ81" s="390"/>
      <c r="BK81" s="390"/>
      <c r="BL81" s="390"/>
      <c r="BM81" s="390"/>
      <c r="BN81" s="391"/>
      <c r="BO81" s="392"/>
    </row>
    <row r="82" spans="2:67" x14ac:dyDescent="0.2">
      <c r="B82" s="385" t="s">
        <v>163</v>
      </c>
      <c r="C82" s="386"/>
      <c r="D82" s="386"/>
      <c r="E82" s="386"/>
      <c r="F82" s="386"/>
      <c r="G82" s="386"/>
      <c r="H82" s="386"/>
      <c r="I82" s="386"/>
      <c r="J82" s="386"/>
      <c r="K82" s="386"/>
      <c r="L82" s="386"/>
      <c r="M82" s="386"/>
      <c r="N82" s="386"/>
      <c r="O82" s="386"/>
      <c r="P82" s="386"/>
      <c r="Q82" s="386"/>
      <c r="R82" s="386"/>
      <c r="S82" s="386"/>
      <c r="T82" s="386"/>
      <c r="U82" s="386"/>
      <c r="V82" s="386"/>
      <c r="W82" s="386"/>
      <c r="X82" s="386"/>
      <c r="Y82" s="386"/>
      <c r="Z82" s="386"/>
      <c r="AA82" s="386"/>
      <c r="AB82" s="386"/>
      <c r="AC82" s="386"/>
      <c r="AD82" s="386"/>
      <c r="AE82" s="386"/>
      <c r="AF82" s="386"/>
      <c r="AG82" s="386"/>
      <c r="AH82" s="386"/>
      <c r="AI82" s="386"/>
      <c r="AJ82" s="386"/>
      <c r="AK82" s="386"/>
      <c r="AL82" s="386"/>
      <c r="AM82" s="386"/>
      <c r="AN82" s="386"/>
      <c r="AO82" s="386"/>
      <c r="AP82" s="386"/>
      <c r="AQ82" s="386"/>
      <c r="AR82" s="386"/>
      <c r="AS82" s="386"/>
      <c r="AT82" s="386"/>
      <c r="AU82" s="386"/>
      <c r="AV82" s="386"/>
      <c r="AW82" s="386"/>
      <c r="AX82" s="386"/>
      <c r="AY82" s="386"/>
      <c r="AZ82" s="386"/>
      <c r="BA82" s="386"/>
      <c r="BB82" s="386"/>
      <c r="BC82" s="386"/>
      <c r="BD82" s="386"/>
      <c r="BE82" s="386"/>
      <c r="BF82" s="386"/>
      <c r="BG82" s="386"/>
      <c r="BH82" s="386"/>
      <c r="BI82" s="386"/>
      <c r="BJ82" s="386"/>
      <c r="BK82" s="386"/>
      <c r="BL82" s="386"/>
      <c r="BM82" s="386"/>
      <c r="BN82" s="387"/>
      <c r="BO82" s="388"/>
    </row>
    <row r="83" spans="2:67" x14ac:dyDescent="0.2">
      <c r="B83" s="385" t="s">
        <v>164</v>
      </c>
      <c r="C83" s="397"/>
      <c r="D83" s="397"/>
      <c r="E83" s="397"/>
      <c r="F83" s="397"/>
      <c r="G83" s="397"/>
      <c r="H83" s="397"/>
      <c r="I83" s="397"/>
      <c r="J83" s="397"/>
      <c r="K83" s="397"/>
      <c r="L83" s="397"/>
      <c r="M83" s="397"/>
      <c r="N83" s="397"/>
      <c r="O83" s="397"/>
      <c r="P83" s="397"/>
      <c r="Q83" s="397"/>
      <c r="R83" s="397"/>
      <c r="S83" s="397"/>
      <c r="T83" s="397"/>
      <c r="U83" s="397"/>
      <c r="V83" s="397"/>
      <c r="W83" s="397"/>
      <c r="X83" s="397"/>
      <c r="Y83" s="397"/>
      <c r="Z83" s="397"/>
      <c r="AA83" s="397"/>
      <c r="AB83" s="397"/>
      <c r="AC83" s="397"/>
      <c r="AD83" s="397"/>
      <c r="AE83" s="397"/>
      <c r="AF83" s="397"/>
      <c r="AG83" s="397"/>
      <c r="AH83" s="397"/>
      <c r="AI83" s="397"/>
      <c r="AJ83" s="397"/>
      <c r="AK83" s="397"/>
      <c r="AL83" s="397"/>
      <c r="AM83" s="397"/>
      <c r="AN83" s="397"/>
      <c r="AO83" s="397"/>
      <c r="AP83" s="397"/>
      <c r="AQ83" s="397"/>
      <c r="AR83" s="397"/>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8"/>
      <c r="BO83" s="399"/>
    </row>
    <row r="84" spans="2:67" x14ac:dyDescent="0.2">
      <c r="B84" s="385" t="s">
        <v>165</v>
      </c>
      <c r="C84" s="386"/>
      <c r="D84" s="386"/>
      <c r="E84" s="386"/>
      <c r="F84" s="386"/>
      <c r="G84" s="386"/>
      <c r="H84" s="386"/>
      <c r="I84" s="386"/>
      <c r="J84" s="386"/>
      <c r="K84" s="386"/>
      <c r="L84" s="386"/>
      <c r="M84" s="386"/>
      <c r="N84" s="386"/>
      <c r="O84" s="386"/>
      <c r="P84" s="386"/>
      <c r="Q84" s="386"/>
      <c r="R84" s="386"/>
      <c r="S84" s="386"/>
      <c r="T84" s="386"/>
      <c r="U84" s="386"/>
      <c r="V84" s="386"/>
      <c r="W84" s="386"/>
      <c r="X84" s="386"/>
      <c r="Y84" s="386"/>
      <c r="Z84" s="386"/>
      <c r="AA84" s="386"/>
      <c r="AB84" s="386"/>
      <c r="AC84" s="386"/>
      <c r="AD84" s="386"/>
      <c r="AE84" s="386"/>
      <c r="AF84" s="386"/>
      <c r="AG84" s="386"/>
      <c r="AH84" s="386"/>
      <c r="AI84" s="386"/>
      <c r="AJ84" s="386"/>
      <c r="AK84" s="386"/>
      <c r="AL84" s="386"/>
      <c r="AM84" s="386"/>
      <c r="AN84" s="386"/>
      <c r="AO84" s="386"/>
      <c r="AP84" s="386"/>
      <c r="AQ84" s="386"/>
      <c r="AR84" s="386"/>
      <c r="AS84" s="386"/>
      <c r="AT84" s="386"/>
      <c r="AU84" s="386"/>
      <c r="AV84" s="386"/>
      <c r="AW84" s="386"/>
      <c r="AX84" s="386"/>
      <c r="AY84" s="386"/>
      <c r="AZ84" s="386"/>
      <c r="BA84" s="386"/>
      <c r="BB84" s="386"/>
      <c r="BC84" s="386"/>
      <c r="BD84" s="386"/>
      <c r="BE84" s="386"/>
      <c r="BF84" s="386"/>
      <c r="BG84" s="386"/>
      <c r="BH84" s="386"/>
      <c r="BI84" s="386"/>
      <c r="BJ84" s="386"/>
      <c r="BK84" s="386"/>
      <c r="BL84" s="386"/>
      <c r="BM84" s="386"/>
      <c r="BN84" s="387"/>
      <c r="BO84" s="388"/>
    </row>
    <row r="85" spans="2:67" x14ac:dyDescent="0.2">
      <c r="B85" s="385" t="s">
        <v>166</v>
      </c>
      <c r="C85" s="386"/>
      <c r="D85" s="386"/>
      <c r="E85" s="386"/>
      <c r="F85" s="386"/>
      <c r="G85" s="386"/>
      <c r="H85" s="386"/>
      <c r="I85" s="386"/>
      <c r="J85" s="386"/>
      <c r="K85" s="386"/>
      <c r="L85" s="386"/>
      <c r="M85" s="386"/>
      <c r="N85" s="386"/>
      <c r="O85" s="386"/>
      <c r="P85" s="386"/>
      <c r="Q85" s="386"/>
      <c r="R85" s="386"/>
      <c r="S85" s="386"/>
      <c r="T85" s="386"/>
      <c r="U85" s="386"/>
      <c r="V85" s="386"/>
      <c r="W85" s="386"/>
      <c r="X85" s="386"/>
      <c r="Y85" s="386"/>
      <c r="Z85" s="386"/>
      <c r="AA85" s="386"/>
      <c r="AB85" s="386"/>
      <c r="AC85" s="386"/>
      <c r="AD85" s="386"/>
      <c r="AE85" s="386"/>
      <c r="AF85" s="386"/>
      <c r="AG85" s="386"/>
      <c r="AH85" s="386"/>
      <c r="AI85" s="386"/>
      <c r="AJ85" s="386"/>
      <c r="AK85" s="386"/>
      <c r="AL85" s="386"/>
      <c r="AM85" s="386"/>
      <c r="AN85" s="386"/>
      <c r="AO85" s="386"/>
      <c r="AP85" s="386"/>
      <c r="AQ85" s="386"/>
      <c r="AR85" s="386"/>
      <c r="AS85" s="386"/>
      <c r="AT85" s="386"/>
      <c r="AU85" s="386"/>
      <c r="AV85" s="386"/>
      <c r="AW85" s="386"/>
      <c r="AX85" s="386"/>
      <c r="AY85" s="386"/>
      <c r="AZ85" s="386"/>
      <c r="BA85" s="386"/>
      <c r="BB85" s="386"/>
      <c r="BC85" s="386"/>
      <c r="BD85" s="386"/>
      <c r="BE85" s="386"/>
      <c r="BF85" s="386"/>
      <c r="BG85" s="386"/>
      <c r="BH85" s="386"/>
      <c r="BI85" s="386"/>
      <c r="BJ85" s="386"/>
      <c r="BK85" s="386"/>
      <c r="BL85" s="386"/>
      <c r="BM85" s="386"/>
      <c r="BN85" s="387"/>
      <c r="BO85" s="388"/>
    </row>
    <row r="86" spans="2:67" ht="17" thickBot="1" x14ac:dyDescent="0.25">
      <c r="B86" s="385" t="s">
        <v>167</v>
      </c>
      <c r="C86" s="386"/>
      <c r="D86" s="386"/>
      <c r="E86" s="386"/>
      <c r="F86" s="386"/>
      <c r="G86" s="386"/>
      <c r="H86" s="386"/>
      <c r="I86" s="386"/>
      <c r="J86" s="386"/>
      <c r="K86" s="386"/>
      <c r="L86" s="386"/>
      <c r="M86" s="386"/>
      <c r="N86" s="386"/>
      <c r="O86" s="386"/>
      <c r="P86" s="386"/>
      <c r="Q86" s="386"/>
      <c r="R86" s="386"/>
      <c r="S86" s="386"/>
      <c r="T86" s="386"/>
      <c r="U86" s="386"/>
      <c r="V86" s="386"/>
      <c r="W86" s="386"/>
      <c r="X86" s="386"/>
      <c r="Y86" s="386"/>
      <c r="Z86" s="386"/>
      <c r="AA86" s="386"/>
      <c r="AB86" s="386"/>
      <c r="AC86" s="386"/>
      <c r="AD86" s="386"/>
      <c r="AE86" s="386"/>
      <c r="AF86" s="386"/>
      <c r="AG86" s="386"/>
      <c r="AH86" s="386"/>
      <c r="AI86" s="386"/>
      <c r="AJ86" s="386"/>
      <c r="AK86" s="386"/>
      <c r="AL86" s="386"/>
      <c r="AM86" s="386"/>
      <c r="AN86" s="386"/>
      <c r="AO86" s="386"/>
      <c r="AP86" s="386"/>
      <c r="AQ86" s="386"/>
      <c r="AR86" s="386"/>
      <c r="AS86" s="386"/>
      <c r="AT86" s="386"/>
      <c r="AU86" s="386"/>
      <c r="AV86" s="386"/>
      <c r="AW86" s="386"/>
      <c r="AX86" s="386"/>
      <c r="AY86" s="386"/>
      <c r="AZ86" s="386"/>
      <c r="BA86" s="386"/>
      <c r="BB86" s="386"/>
      <c r="BC86" s="386"/>
      <c r="BD86" s="386"/>
      <c r="BE86" s="386"/>
      <c r="BF86" s="386"/>
      <c r="BG86" s="386"/>
      <c r="BH86" s="386"/>
      <c r="BI86" s="386"/>
      <c r="BJ86" s="386"/>
      <c r="BK86" s="386"/>
      <c r="BL86" s="386"/>
      <c r="BM86" s="386"/>
      <c r="BN86" s="387"/>
      <c r="BO86" s="388"/>
    </row>
    <row r="87" spans="2:67" ht="17" thickBot="1" x14ac:dyDescent="0.25">
      <c r="B87" s="389" t="s">
        <v>168</v>
      </c>
      <c r="C87" s="390"/>
      <c r="D87" s="390"/>
      <c r="E87" s="390"/>
      <c r="F87" s="390"/>
      <c r="G87" s="390"/>
      <c r="H87" s="390"/>
      <c r="I87" s="390"/>
      <c r="J87" s="390"/>
      <c r="K87" s="390"/>
      <c r="L87" s="390"/>
      <c r="M87" s="390"/>
      <c r="N87" s="390"/>
      <c r="O87" s="390"/>
      <c r="P87" s="390"/>
      <c r="Q87" s="390"/>
      <c r="R87" s="390"/>
      <c r="S87" s="390"/>
      <c r="T87" s="390"/>
      <c r="U87" s="390"/>
      <c r="V87" s="390"/>
      <c r="W87" s="390"/>
      <c r="X87" s="390"/>
      <c r="Y87" s="390"/>
      <c r="Z87" s="390"/>
      <c r="AA87" s="390"/>
      <c r="AB87" s="390"/>
      <c r="AC87" s="390"/>
      <c r="AD87" s="390"/>
      <c r="AE87" s="390"/>
      <c r="AF87" s="390"/>
      <c r="AG87" s="390"/>
      <c r="AH87" s="390"/>
      <c r="AI87" s="390"/>
      <c r="AJ87" s="390"/>
      <c r="AK87" s="390"/>
      <c r="AL87" s="390"/>
      <c r="AM87" s="390"/>
      <c r="AN87" s="390"/>
      <c r="AO87" s="390"/>
      <c r="AP87" s="390"/>
      <c r="AQ87" s="390"/>
      <c r="AR87" s="390"/>
      <c r="AS87" s="390"/>
      <c r="AT87" s="390"/>
      <c r="AU87" s="390"/>
      <c r="AV87" s="390"/>
      <c r="AW87" s="390"/>
      <c r="AX87" s="390"/>
      <c r="AY87" s="390"/>
      <c r="AZ87" s="390"/>
      <c r="BA87" s="390"/>
      <c r="BB87" s="390"/>
      <c r="BC87" s="390"/>
      <c r="BD87" s="390"/>
      <c r="BE87" s="390"/>
      <c r="BF87" s="390"/>
      <c r="BG87" s="390"/>
      <c r="BH87" s="390"/>
      <c r="BI87" s="390"/>
      <c r="BJ87" s="390"/>
      <c r="BK87" s="390"/>
      <c r="BL87" s="390"/>
      <c r="BM87" s="390"/>
      <c r="BN87" s="391"/>
      <c r="BO87" s="392"/>
    </row>
    <row r="88" spans="2:67" x14ac:dyDescent="0.2">
      <c r="B88" s="385" t="s">
        <v>169</v>
      </c>
      <c r="C88" s="386"/>
      <c r="D88" s="386"/>
      <c r="E88" s="386"/>
      <c r="F88" s="386"/>
      <c r="G88" s="386"/>
      <c r="H88" s="386"/>
      <c r="I88" s="386"/>
      <c r="J88" s="386"/>
      <c r="K88" s="386"/>
      <c r="L88" s="386"/>
      <c r="M88" s="386"/>
      <c r="N88" s="386"/>
      <c r="O88" s="386"/>
      <c r="P88" s="386"/>
      <c r="Q88" s="386"/>
      <c r="R88" s="386"/>
      <c r="S88" s="386"/>
      <c r="T88" s="386"/>
      <c r="U88" s="386"/>
      <c r="V88" s="386"/>
      <c r="W88" s="386"/>
      <c r="X88" s="386"/>
      <c r="Y88" s="386"/>
      <c r="Z88" s="386"/>
      <c r="AA88" s="386"/>
      <c r="AB88" s="386"/>
      <c r="AC88" s="386"/>
      <c r="AD88" s="386"/>
      <c r="AE88" s="386"/>
      <c r="AF88" s="386"/>
      <c r="AG88" s="386"/>
      <c r="AH88" s="386"/>
      <c r="AI88" s="386"/>
      <c r="AJ88" s="386"/>
      <c r="AK88" s="386"/>
      <c r="AL88" s="386"/>
      <c r="AM88" s="386"/>
      <c r="AN88" s="386"/>
      <c r="AO88" s="386"/>
      <c r="AP88" s="386"/>
      <c r="AQ88" s="386"/>
      <c r="AR88" s="386"/>
      <c r="AS88" s="386"/>
      <c r="AT88" s="386"/>
      <c r="AU88" s="386"/>
      <c r="AV88" s="386"/>
      <c r="AW88" s="386"/>
      <c r="AX88" s="386"/>
      <c r="AY88" s="386"/>
      <c r="AZ88" s="386"/>
      <c r="BA88" s="386"/>
      <c r="BB88" s="386"/>
      <c r="BC88" s="386"/>
      <c r="BD88" s="386"/>
      <c r="BE88" s="386"/>
      <c r="BF88" s="386"/>
      <c r="BG88" s="386"/>
      <c r="BH88" s="386"/>
      <c r="BI88" s="386"/>
      <c r="BJ88" s="386"/>
      <c r="BK88" s="386"/>
      <c r="BL88" s="386"/>
      <c r="BM88" s="386"/>
      <c r="BN88" s="387"/>
      <c r="BO88" s="388"/>
    </row>
    <row r="89" spans="2:67" x14ac:dyDescent="0.2">
      <c r="B89" s="385" t="s">
        <v>170</v>
      </c>
      <c r="C89" s="386"/>
      <c r="D89" s="386"/>
      <c r="E89" s="386"/>
      <c r="F89" s="386"/>
      <c r="G89" s="386"/>
      <c r="H89" s="386"/>
      <c r="I89" s="386"/>
      <c r="J89" s="386"/>
      <c r="K89" s="386"/>
      <c r="L89" s="386"/>
      <c r="M89" s="386"/>
      <c r="N89" s="386"/>
      <c r="O89" s="386"/>
      <c r="P89" s="386"/>
      <c r="Q89" s="386"/>
      <c r="R89" s="386"/>
      <c r="S89" s="386"/>
      <c r="T89" s="386"/>
      <c r="U89" s="386"/>
      <c r="V89" s="386"/>
      <c r="W89" s="386"/>
      <c r="X89" s="386"/>
      <c r="Y89" s="386"/>
      <c r="Z89" s="386"/>
      <c r="AA89" s="386"/>
      <c r="AB89" s="386"/>
      <c r="AC89" s="386"/>
      <c r="AD89" s="386"/>
      <c r="AE89" s="386"/>
      <c r="AF89" s="386"/>
      <c r="AG89" s="386"/>
      <c r="AH89" s="386"/>
      <c r="AI89" s="386"/>
      <c r="AJ89" s="386"/>
      <c r="AK89" s="386"/>
      <c r="AL89" s="386"/>
      <c r="AM89" s="386"/>
      <c r="AN89" s="386"/>
      <c r="AO89" s="386"/>
      <c r="AP89" s="386"/>
      <c r="AQ89" s="386"/>
      <c r="AR89" s="386"/>
      <c r="AS89" s="386"/>
      <c r="AT89" s="386"/>
      <c r="AU89" s="386"/>
      <c r="AV89" s="386"/>
      <c r="AW89" s="386"/>
      <c r="AX89" s="386"/>
      <c r="AY89" s="386"/>
      <c r="AZ89" s="386"/>
      <c r="BA89" s="386"/>
      <c r="BB89" s="386"/>
      <c r="BC89" s="386"/>
      <c r="BD89" s="386"/>
      <c r="BE89" s="386"/>
      <c r="BF89" s="386"/>
      <c r="BG89" s="386"/>
      <c r="BH89" s="386"/>
      <c r="BI89" s="386"/>
      <c r="BJ89" s="386"/>
      <c r="BK89" s="386"/>
      <c r="BL89" s="386"/>
      <c r="BM89" s="386"/>
      <c r="BN89" s="387"/>
      <c r="BO89" s="388"/>
    </row>
    <row r="90" spans="2:67" x14ac:dyDescent="0.2">
      <c r="B90" s="385" t="s">
        <v>171</v>
      </c>
      <c r="C90" s="386"/>
      <c r="D90" s="386"/>
      <c r="E90" s="386"/>
      <c r="F90" s="386"/>
      <c r="G90" s="386"/>
      <c r="H90" s="386"/>
      <c r="I90" s="386"/>
      <c r="J90" s="386"/>
      <c r="K90" s="386"/>
      <c r="L90" s="386"/>
      <c r="M90" s="386"/>
      <c r="N90" s="386"/>
      <c r="O90" s="386"/>
      <c r="P90" s="386"/>
      <c r="Q90" s="386"/>
      <c r="R90" s="386"/>
      <c r="S90" s="386"/>
      <c r="T90" s="386"/>
      <c r="U90" s="386"/>
      <c r="V90" s="386"/>
      <c r="W90" s="386"/>
      <c r="X90" s="386"/>
      <c r="Y90" s="386"/>
      <c r="Z90" s="386"/>
      <c r="AA90" s="386"/>
      <c r="AB90" s="386"/>
      <c r="AC90" s="386"/>
      <c r="AD90" s="386"/>
      <c r="AE90" s="386"/>
      <c r="AF90" s="386"/>
      <c r="AG90" s="386"/>
      <c r="AH90" s="386"/>
      <c r="AI90" s="386"/>
      <c r="AJ90" s="386"/>
      <c r="AK90" s="386"/>
      <c r="AL90" s="386"/>
      <c r="AM90" s="386"/>
      <c r="AN90" s="386"/>
      <c r="AO90" s="386"/>
      <c r="AP90" s="386"/>
      <c r="AQ90" s="386"/>
      <c r="AR90" s="386"/>
      <c r="AS90" s="386"/>
      <c r="AT90" s="386"/>
      <c r="AU90" s="386"/>
      <c r="AV90" s="386"/>
      <c r="AW90" s="386"/>
      <c r="AX90" s="386"/>
      <c r="AY90" s="386"/>
      <c r="AZ90" s="386"/>
      <c r="BA90" s="386"/>
      <c r="BB90" s="386"/>
      <c r="BC90" s="386"/>
      <c r="BD90" s="386"/>
      <c r="BE90" s="386"/>
      <c r="BF90" s="386"/>
      <c r="BG90" s="386"/>
      <c r="BH90" s="386"/>
      <c r="BI90" s="386"/>
      <c r="BJ90" s="386"/>
      <c r="BK90" s="386"/>
      <c r="BL90" s="386"/>
      <c r="BM90" s="386"/>
      <c r="BN90" s="387"/>
      <c r="BO90" s="388"/>
    </row>
    <row r="91" spans="2:67" ht="17" thickBot="1" x14ac:dyDescent="0.25">
      <c r="B91" s="385" t="s">
        <v>172</v>
      </c>
      <c r="C91" s="386"/>
      <c r="D91" s="386"/>
      <c r="E91" s="386"/>
      <c r="F91" s="386"/>
      <c r="G91" s="386"/>
      <c r="H91" s="386"/>
      <c r="I91" s="386"/>
      <c r="J91" s="386"/>
      <c r="K91" s="386"/>
      <c r="L91" s="386"/>
      <c r="M91" s="386"/>
      <c r="N91" s="386"/>
      <c r="O91" s="386"/>
      <c r="P91" s="386"/>
      <c r="Q91" s="386"/>
      <c r="R91" s="386"/>
      <c r="S91" s="386"/>
      <c r="T91" s="386"/>
      <c r="U91" s="386"/>
      <c r="V91" s="386"/>
      <c r="W91" s="386"/>
      <c r="X91" s="386"/>
      <c r="Y91" s="386"/>
      <c r="Z91" s="386"/>
      <c r="AA91" s="386"/>
      <c r="AB91" s="386"/>
      <c r="AC91" s="386"/>
      <c r="AD91" s="386"/>
      <c r="AE91" s="386"/>
      <c r="AF91" s="386"/>
      <c r="AG91" s="386"/>
      <c r="AH91" s="386"/>
      <c r="AI91" s="386"/>
      <c r="AJ91" s="386"/>
      <c r="AK91" s="386"/>
      <c r="AL91" s="386"/>
      <c r="AM91" s="386"/>
      <c r="AN91" s="386"/>
      <c r="AO91" s="386"/>
      <c r="AP91" s="386"/>
      <c r="AQ91" s="386"/>
      <c r="AR91" s="386"/>
      <c r="AS91" s="386"/>
      <c r="AT91" s="386"/>
      <c r="AU91" s="386"/>
      <c r="AV91" s="386"/>
      <c r="AW91" s="386"/>
      <c r="AX91" s="386"/>
      <c r="AY91" s="386"/>
      <c r="AZ91" s="386"/>
      <c r="BA91" s="386"/>
      <c r="BB91" s="386"/>
      <c r="BC91" s="386"/>
      <c r="BD91" s="386"/>
      <c r="BE91" s="386"/>
      <c r="BF91" s="386"/>
      <c r="BG91" s="386"/>
      <c r="BH91" s="386"/>
      <c r="BI91" s="386"/>
      <c r="BJ91" s="386"/>
      <c r="BK91" s="386"/>
      <c r="BL91" s="386"/>
      <c r="BM91" s="386"/>
      <c r="BN91" s="387"/>
      <c r="BO91" s="388"/>
    </row>
    <row r="92" spans="2:67" ht="17" thickBot="1" x14ac:dyDescent="0.25">
      <c r="B92" s="389" t="s">
        <v>173</v>
      </c>
      <c r="C92" s="390"/>
      <c r="D92" s="390"/>
      <c r="E92" s="390"/>
      <c r="F92" s="390"/>
      <c r="G92" s="390"/>
      <c r="H92" s="390"/>
      <c r="I92" s="390"/>
      <c r="J92" s="390"/>
      <c r="K92" s="390"/>
      <c r="L92" s="390"/>
      <c r="M92" s="390"/>
      <c r="N92" s="390"/>
      <c r="O92" s="390"/>
      <c r="P92" s="390"/>
      <c r="Q92" s="390"/>
      <c r="R92" s="390"/>
      <c r="S92" s="390"/>
      <c r="T92" s="390"/>
      <c r="U92" s="390"/>
      <c r="V92" s="390"/>
      <c r="W92" s="390"/>
      <c r="X92" s="390"/>
      <c r="Y92" s="390"/>
      <c r="Z92" s="390"/>
      <c r="AA92" s="390"/>
      <c r="AB92" s="390"/>
      <c r="AC92" s="390"/>
      <c r="AD92" s="390"/>
      <c r="AE92" s="390"/>
      <c r="AF92" s="390"/>
      <c r="AG92" s="390"/>
      <c r="AH92" s="390"/>
      <c r="AI92" s="390"/>
      <c r="AJ92" s="390"/>
      <c r="AK92" s="390"/>
      <c r="AL92" s="390"/>
      <c r="AM92" s="390"/>
      <c r="AN92" s="390"/>
      <c r="AO92" s="390"/>
      <c r="AP92" s="390"/>
      <c r="AQ92" s="390"/>
      <c r="AR92" s="390"/>
      <c r="AS92" s="390"/>
      <c r="AT92" s="390"/>
      <c r="AU92" s="390"/>
      <c r="AV92" s="390"/>
      <c r="AW92" s="390"/>
      <c r="AX92" s="390"/>
      <c r="AY92" s="390"/>
      <c r="AZ92" s="390"/>
      <c r="BA92" s="390"/>
      <c r="BB92" s="390"/>
      <c r="BC92" s="390"/>
      <c r="BD92" s="390"/>
      <c r="BE92" s="390"/>
      <c r="BF92" s="390"/>
      <c r="BG92" s="390"/>
      <c r="BH92" s="390"/>
      <c r="BI92" s="390"/>
      <c r="BJ92" s="390"/>
      <c r="BK92" s="390"/>
      <c r="BL92" s="390"/>
      <c r="BM92" s="390"/>
      <c r="BN92" s="391"/>
      <c r="BO92" s="392"/>
    </row>
    <row r="93" spans="2:67" x14ac:dyDescent="0.2">
      <c r="B93" s="385" t="s">
        <v>174</v>
      </c>
      <c r="C93" s="386"/>
      <c r="D93" s="386"/>
      <c r="E93" s="386"/>
      <c r="F93" s="386"/>
      <c r="G93" s="386"/>
      <c r="H93" s="386"/>
      <c r="I93" s="386"/>
      <c r="J93" s="386"/>
      <c r="K93" s="386"/>
      <c r="L93" s="386"/>
      <c r="M93" s="386"/>
      <c r="N93" s="386"/>
      <c r="O93" s="386"/>
      <c r="P93" s="386"/>
      <c r="Q93" s="386"/>
      <c r="R93" s="386"/>
      <c r="S93" s="386"/>
      <c r="T93" s="386"/>
      <c r="U93" s="386"/>
      <c r="V93" s="386"/>
      <c r="W93" s="386"/>
      <c r="X93" s="386"/>
      <c r="Y93" s="386"/>
      <c r="Z93" s="386"/>
      <c r="AA93" s="386"/>
      <c r="AB93" s="386"/>
      <c r="AC93" s="386"/>
      <c r="AD93" s="386"/>
      <c r="AE93" s="386"/>
      <c r="AF93" s="386"/>
      <c r="AG93" s="386"/>
      <c r="AH93" s="386"/>
      <c r="AI93" s="386"/>
      <c r="AJ93" s="386"/>
      <c r="AK93" s="386"/>
      <c r="AL93" s="386"/>
      <c r="AM93" s="386"/>
      <c r="AN93" s="386"/>
      <c r="AO93" s="386"/>
      <c r="AP93" s="386"/>
      <c r="AQ93" s="386"/>
      <c r="AR93" s="386"/>
      <c r="AS93" s="386"/>
      <c r="AT93" s="386"/>
      <c r="AU93" s="386"/>
      <c r="AV93" s="386"/>
      <c r="AW93" s="386"/>
      <c r="AX93" s="386"/>
      <c r="AY93" s="386"/>
      <c r="AZ93" s="386"/>
      <c r="BA93" s="386"/>
      <c r="BB93" s="386"/>
      <c r="BC93" s="386"/>
      <c r="BD93" s="386"/>
      <c r="BE93" s="386"/>
      <c r="BF93" s="386"/>
      <c r="BG93" s="386"/>
      <c r="BH93" s="386"/>
      <c r="BI93" s="386"/>
      <c r="BJ93" s="386"/>
      <c r="BK93" s="386"/>
      <c r="BL93" s="386"/>
      <c r="BM93" s="386"/>
      <c r="BN93" s="387"/>
      <c r="BO93" s="388"/>
    </row>
    <row r="94" spans="2:67" x14ac:dyDescent="0.2">
      <c r="B94" s="385" t="s">
        <v>175</v>
      </c>
      <c r="C94" s="386"/>
      <c r="D94" s="386"/>
      <c r="E94" s="386"/>
      <c r="F94" s="386"/>
      <c r="G94" s="386"/>
      <c r="H94" s="386"/>
      <c r="I94" s="386"/>
      <c r="J94" s="386"/>
      <c r="K94" s="386"/>
      <c r="L94" s="386"/>
      <c r="M94" s="386"/>
      <c r="N94" s="386"/>
      <c r="O94" s="386"/>
      <c r="P94" s="386"/>
      <c r="Q94" s="386"/>
      <c r="R94" s="386"/>
      <c r="S94" s="386"/>
      <c r="T94" s="386"/>
      <c r="U94" s="386"/>
      <c r="V94" s="386"/>
      <c r="W94" s="386"/>
      <c r="X94" s="386"/>
      <c r="Y94" s="386"/>
      <c r="Z94" s="386"/>
      <c r="AA94" s="386"/>
      <c r="AB94" s="386"/>
      <c r="AC94" s="386"/>
      <c r="AD94" s="386"/>
      <c r="AE94" s="386"/>
      <c r="AF94" s="386"/>
      <c r="AG94" s="386"/>
      <c r="AH94" s="386"/>
      <c r="AI94" s="386"/>
      <c r="AJ94" s="386"/>
      <c r="AK94" s="386"/>
      <c r="AL94" s="386"/>
      <c r="AM94" s="386"/>
      <c r="AN94" s="386"/>
      <c r="AO94" s="386"/>
      <c r="AP94" s="386"/>
      <c r="AQ94" s="386"/>
      <c r="AR94" s="386"/>
      <c r="AS94" s="386"/>
      <c r="AT94" s="386"/>
      <c r="AU94" s="386"/>
      <c r="AV94" s="386"/>
      <c r="AW94" s="386"/>
      <c r="AX94" s="386"/>
      <c r="AY94" s="386"/>
      <c r="AZ94" s="386"/>
      <c r="BA94" s="386"/>
      <c r="BB94" s="386"/>
      <c r="BC94" s="386"/>
      <c r="BD94" s="386"/>
      <c r="BE94" s="386"/>
      <c r="BF94" s="386"/>
      <c r="BG94" s="386"/>
      <c r="BH94" s="386"/>
      <c r="BI94" s="386"/>
      <c r="BJ94" s="386"/>
      <c r="BK94" s="386"/>
      <c r="BL94" s="386"/>
      <c r="BM94" s="386"/>
      <c r="BN94" s="387"/>
      <c r="BO94" s="388"/>
    </row>
    <row r="95" spans="2:67" x14ac:dyDescent="0.2">
      <c r="B95" s="385" t="s">
        <v>176</v>
      </c>
      <c r="C95" s="386"/>
      <c r="D95" s="386"/>
      <c r="E95" s="386"/>
      <c r="F95" s="386"/>
      <c r="G95" s="386"/>
      <c r="H95" s="386"/>
      <c r="I95" s="386"/>
      <c r="J95" s="386"/>
      <c r="K95" s="386"/>
      <c r="L95" s="386"/>
      <c r="M95" s="386"/>
      <c r="N95" s="386"/>
      <c r="O95" s="386"/>
      <c r="P95" s="386"/>
      <c r="Q95" s="386"/>
      <c r="R95" s="386"/>
      <c r="S95" s="386"/>
      <c r="T95" s="386"/>
      <c r="U95" s="386"/>
      <c r="V95" s="386"/>
      <c r="W95" s="386"/>
      <c r="X95" s="386"/>
      <c r="Y95" s="386"/>
      <c r="Z95" s="386"/>
      <c r="AA95" s="386"/>
      <c r="AB95" s="386"/>
      <c r="AC95" s="386"/>
      <c r="AD95" s="386"/>
      <c r="AE95" s="386"/>
      <c r="AF95" s="386"/>
      <c r="AG95" s="386"/>
      <c r="AH95" s="386"/>
      <c r="AI95" s="386"/>
      <c r="AJ95" s="386"/>
      <c r="AK95" s="386"/>
      <c r="AL95" s="386"/>
      <c r="AM95" s="386"/>
      <c r="AN95" s="386"/>
      <c r="AO95" s="386"/>
      <c r="AP95" s="386"/>
      <c r="AQ95" s="386"/>
      <c r="AR95" s="386"/>
      <c r="AS95" s="386"/>
      <c r="AT95" s="386"/>
      <c r="AU95" s="386"/>
      <c r="AV95" s="386"/>
      <c r="AW95" s="386"/>
      <c r="AX95" s="386"/>
      <c r="AY95" s="386"/>
      <c r="AZ95" s="386"/>
      <c r="BA95" s="386"/>
      <c r="BB95" s="386"/>
      <c r="BC95" s="386"/>
      <c r="BD95" s="386"/>
      <c r="BE95" s="386"/>
      <c r="BF95" s="386"/>
      <c r="BG95" s="386"/>
      <c r="BH95" s="386"/>
      <c r="BI95" s="386"/>
      <c r="BJ95" s="386"/>
      <c r="BK95" s="386"/>
      <c r="BL95" s="386"/>
      <c r="BM95" s="386"/>
      <c r="BN95" s="387"/>
      <c r="BO95" s="388"/>
    </row>
    <row r="96" spans="2:67" ht="17" thickBot="1" x14ac:dyDescent="0.25">
      <c r="B96" s="385" t="s">
        <v>177</v>
      </c>
      <c r="C96" s="386"/>
      <c r="D96" s="386"/>
      <c r="E96" s="386"/>
      <c r="F96" s="386"/>
      <c r="G96" s="386"/>
      <c r="H96" s="386"/>
      <c r="I96" s="386"/>
      <c r="J96" s="386"/>
      <c r="K96" s="386"/>
      <c r="L96" s="386"/>
      <c r="M96" s="386"/>
      <c r="N96" s="386"/>
      <c r="O96" s="386"/>
      <c r="P96" s="386"/>
      <c r="Q96" s="386"/>
      <c r="R96" s="386"/>
      <c r="S96" s="386"/>
      <c r="T96" s="386"/>
      <c r="U96" s="386"/>
      <c r="V96" s="386"/>
      <c r="W96" s="386"/>
      <c r="X96" s="386"/>
      <c r="Y96" s="386"/>
      <c r="Z96" s="386"/>
      <c r="AA96" s="386"/>
      <c r="AB96" s="386"/>
      <c r="AC96" s="386"/>
      <c r="AD96" s="386"/>
      <c r="AE96" s="386"/>
      <c r="AF96" s="386"/>
      <c r="AG96" s="386"/>
      <c r="AH96" s="386"/>
      <c r="AI96" s="386"/>
      <c r="AJ96" s="386"/>
      <c r="AK96" s="386"/>
      <c r="AL96" s="386"/>
      <c r="AM96" s="386"/>
      <c r="AN96" s="386"/>
      <c r="AO96" s="386"/>
      <c r="AP96" s="386"/>
      <c r="AQ96" s="386"/>
      <c r="AR96" s="386"/>
      <c r="AS96" s="386"/>
      <c r="AT96" s="386"/>
      <c r="AU96" s="386"/>
      <c r="AV96" s="386"/>
      <c r="AW96" s="386"/>
      <c r="AX96" s="386"/>
      <c r="AY96" s="386"/>
      <c r="AZ96" s="386"/>
      <c r="BA96" s="386"/>
      <c r="BB96" s="386"/>
      <c r="BC96" s="386"/>
      <c r="BD96" s="386"/>
      <c r="BE96" s="386"/>
      <c r="BF96" s="386"/>
      <c r="BG96" s="386"/>
      <c r="BH96" s="386"/>
      <c r="BI96" s="386"/>
      <c r="BJ96" s="386"/>
      <c r="BK96" s="386"/>
      <c r="BL96" s="386"/>
      <c r="BM96" s="386"/>
      <c r="BN96" s="387"/>
      <c r="BO96" s="388"/>
    </row>
    <row r="97" spans="2:67" ht="17" thickBot="1" x14ac:dyDescent="0.25">
      <c r="B97" s="389" t="s">
        <v>178</v>
      </c>
      <c r="C97" s="390"/>
      <c r="D97" s="390"/>
      <c r="E97" s="390"/>
      <c r="F97" s="390"/>
      <c r="G97" s="390"/>
      <c r="H97" s="390"/>
      <c r="I97" s="390"/>
      <c r="J97" s="390"/>
      <c r="K97" s="390"/>
      <c r="L97" s="390"/>
      <c r="M97" s="390"/>
      <c r="N97" s="390"/>
      <c r="O97" s="390"/>
      <c r="P97" s="390"/>
      <c r="Q97" s="390"/>
      <c r="R97" s="390"/>
      <c r="S97" s="390"/>
      <c r="T97" s="390"/>
      <c r="U97" s="390"/>
      <c r="V97" s="390"/>
      <c r="W97" s="390"/>
      <c r="X97" s="390"/>
      <c r="Y97" s="390"/>
      <c r="Z97" s="390"/>
      <c r="AA97" s="390"/>
      <c r="AB97" s="390"/>
      <c r="AC97" s="390"/>
      <c r="AD97" s="390"/>
      <c r="AE97" s="390"/>
      <c r="AF97" s="390"/>
      <c r="AG97" s="390"/>
      <c r="AH97" s="390"/>
      <c r="AI97" s="390"/>
      <c r="AJ97" s="390"/>
      <c r="AK97" s="390"/>
      <c r="AL97" s="390"/>
      <c r="AM97" s="390"/>
      <c r="AN97" s="390"/>
      <c r="AO97" s="390"/>
      <c r="AP97" s="390"/>
      <c r="AQ97" s="390"/>
      <c r="AR97" s="390"/>
      <c r="AS97" s="390"/>
      <c r="AT97" s="390"/>
      <c r="AU97" s="390"/>
      <c r="AV97" s="390"/>
      <c r="AW97" s="390"/>
      <c r="AX97" s="390"/>
      <c r="AY97" s="390"/>
      <c r="AZ97" s="390"/>
      <c r="BA97" s="390"/>
      <c r="BB97" s="390"/>
      <c r="BC97" s="390"/>
      <c r="BD97" s="390"/>
      <c r="BE97" s="390"/>
      <c r="BF97" s="390"/>
      <c r="BG97" s="390"/>
      <c r="BH97" s="390"/>
      <c r="BI97" s="390"/>
      <c r="BJ97" s="390"/>
      <c r="BK97" s="390"/>
      <c r="BL97" s="390"/>
      <c r="BM97" s="390"/>
      <c r="BN97" s="391"/>
      <c r="BO97" s="392"/>
    </row>
    <row r="98" spans="2:67" x14ac:dyDescent="0.2">
      <c r="B98" s="385" t="s">
        <v>179</v>
      </c>
      <c r="C98" s="386"/>
      <c r="D98" s="386"/>
      <c r="E98" s="386"/>
      <c r="F98" s="386"/>
      <c r="G98" s="386"/>
      <c r="H98" s="386"/>
      <c r="I98" s="386"/>
      <c r="J98" s="386"/>
      <c r="K98" s="386"/>
      <c r="L98" s="386"/>
      <c r="M98" s="386"/>
      <c r="N98" s="386"/>
      <c r="O98" s="386"/>
      <c r="P98" s="386"/>
      <c r="Q98" s="386"/>
      <c r="R98" s="386"/>
      <c r="S98" s="386"/>
      <c r="T98" s="386"/>
      <c r="U98" s="386"/>
      <c r="V98" s="386"/>
      <c r="W98" s="386"/>
      <c r="X98" s="386"/>
      <c r="Y98" s="386"/>
      <c r="Z98" s="386"/>
      <c r="AA98" s="386"/>
      <c r="AB98" s="386"/>
      <c r="AC98" s="386"/>
      <c r="AD98" s="386"/>
      <c r="AE98" s="386"/>
      <c r="AF98" s="386"/>
      <c r="AG98" s="386"/>
      <c r="AH98" s="386"/>
      <c r="AI98" s="386"/>
      <c r="AJ98" s="386"/>
      <c r="AK98" s="386"/>
      <c r="AL98" s="386"/>
      <c r="AM98" s="386"/>
      <c r="AN98" s="386"/>
      <c r="AO98" s="386"/>
      <c r="AP98" s="386"/>
      <c r="AQ98" s="386"/>
      <c r="AR98" s="386"/>
      <c r="AS98" s="386"/>
      <c r="AT98" s="386"/>
      <c r="AU98" s="386"/>
      <c r="AV98" s="386"/>
      <c r="AW98" s="386"/>
      <c r="AX98" s="386"/>
      <c r="AY98" s="386"/>
      <c r="AZ98" s="386"/>
      <c r="BA98" s="386"/>
      <c r="BB98" s="386"/>
      <c r="BC98" s="386"/>
      <c r="BD98" s="386"/>
      <c r="BE98" s="386"/>
      <c r="BF98" s="386"/>
      <c r="BG98" s="386"/>
      <c r="BH98" s="386"/>
      <c r="BI98" s="386"/>
      <c r="BJ98" s="386"/>
      <c r="BK98" s="386"/>
      <c r="BL98" s="386"/>
      <c r="BM98" s="386"/>
      <c r="BN98" s="387"/>
      <c r="BO98" s="388"/>
    </row>
    <row r="99" spans="2:67" x14ac:dyDescent="0.2">
      <c r="B99" s="385" t="s">
        <v>180</v>
      </c>
      <c r="C99" s="386"/>
      <c r="D99" s="386"/>
      <c r="E99" s="386"/>
      <c r="F99" s="386"/>
      <c r="G99" s="386"/>
      <c r="H99" s="386"/>
      <c r="I99" s="386"/>
      <c r="J99" s="386"/>
      <c r="K99" s="386"/>
      <c r="L99" s="386"/>
      <c r="M99" s="386"/>
      <c r="N99" s="386"/>
      <c r="O99" s="386"/>
      <c r="P99" s="386"/>
      <c r="Q99" s="386"/>
      <c r="R99" s="386"/>
      <c r="S99" s="386"/>
      <c r="T99" s="386"/>
      <c r="U99" s="386"/>
      <c r="V99" s="386"/>
      <c r="W99" s="386"/>
      <c r="X99" s="386"/>
      <c r="Y99" s="386"/>
      <c r="Z99" s="386"/>
      <c r="AA99" s="386"/>
      <c r="AB99" s="386"/>
      <c r="AC99" s="386"/>
      <c r="AD99" s="386"/>
      <c r="AE99" s="386"/>
      <c r="AF99" s="386"/>
      <c r="AG99" s="386"/>
      <c r="AH99" s="386"/>
      <c r="AI99" s="386"/>
      <c r="AJ99" s="386"/>
      <c r="AK99" s="386"/>
      <c r="AL99" s="386"/>
      <c r="AM99" s="386"/>
      <c r="AN99" s="386"/>
      <c r="AO99" s="386"/>
      <c r="AP99" s="386"/>
      <c r="AQ99" s="386"/>
      <c r="AR99" s="386"/>
      <c r="AS99" s="386"/>
      <c r="AT99" s="386"/>
      <c r="AU99" s="386"/>
      <c r="AV99" s="386"/>
      <c r="AW99" s="386"/>
      <c r="AX99" s="386"/>
      <c r="AY99" s="386"/>
      <c r="AZ99" s="386"/>
      <c r="BA99" s="386"/>
      <c r="BB99" s="386"/>
      <c r="BC99" s="386"/>
      <c r="BD99" s="386"/>
      <c r="BE99" s="386"/>
      <c r="BF99" s="386"/>
      <c r="BG99" s="386"/>
      <c r="BH99" s="386"/>
      <c r="BI99" s="386"/>
      <c r="BJ99" s="386"/>
      <c r="BK99" s="386"/>
      <c r="BL99" s="386"/>
      <c r="BM99" s="386"/>
      <c r="BN99" s="387"/>
      <c r="BO99" s="388"/>
    </row>
    <row r="100" spans="2:67" x14ac:dyDescent="0.2">
      <c r="B100" s="385" t="s">
        <v>181</v>
      </c>
      <c r="C100" s="386"/>
      <c r="D100" s="386"/>
      <c r="E100" s="386"/>
      <c r="F100" s="386"/>
      <c r="G100" s="386"/>
      <c r="H100" s="386"/>
      <c r="I100" s="386"/>
      <c r="J100" s="386"/>
      <c r="K100" s="386"/>
      <c r="L100" s="386"/>
      <c r="M100" s="386"/>
      <c r="N100" s="386"/>
      <c r="O100" s="386"/>
      <c r="P100" s="386"/>
      <c r="Q100" s="386"/>
      <c r="R100" s="386"/>
      <c r="S100" s="386"/>
      <c r="T100" s="386"/>
      <c r="U100" s="386"/>
      <c r="V100" s="386"/>
      <c r="W100" s="386"/>
      <c r="X100" s="386"/>
      <c r="Y100" s="386"/>
      <c r="Z100" s="386"/>
      <c r="AA100" s="386"/>
      <c r="AB100" s="386"/>
      <c r="AC100" s="386"/>
      <c r="AD100" s="386"/>
      <c r="AE100" s="386"/>
      <c r="AF100" s="386"/>
      <c r="AG100" s="386"/>
      <c r="AH100" s="386"/>
      <c r="AI100" s="386"/>
      <c r="AJ100" s="386"/>
      <c r="AK100" s="386"/>
      <c r="AL100" s="386"/>
      <c r="AM100" s="386"/>
      <c r="AN100" s="386"/>
      <c r="AO100" s="386"/>
      <c r="AP100" s="386"/>
      <c r="AQ100" s="386"/>
      <c r="AR100" s="386"/>
      <c r="AS100" s="386"/>
      <c r="AT100" s="386"/>
      <c r="AU100" s="386"/>
      <c r="AV100" s="386"/>
      <c r="AW100" s="386"/>
      <c r="AX100" s="386"/>
      <c r="AY100" s="386"/>
      <c r="AZ100" s="386"/>
      <c r="BA100" s="386"/>
      <c r="BB100" s="386"/>
      <c r="BC100" s="386"/>
      <c r="BD100" s="386"/>
      <c r="BE100" s="386"/>
      <c r="BF100" s="386"/>
      <c r="BG100" s="386"/>
      <c r="BH100" s="386"/>
      <c r="BI100" s="386"/>
      <c r="BJ100" s="386"/>
      <c r="BK100" s="386"/>
      <c r="BL100" s="386"/>
      <c r="BM100" s="386"/>
      <c r="BN100" s="387"/>
      <c r="BO100" s="388"/>
    </row>
    <row r="101" spans="2:67" ht="17" thickBot="1" x14ac:dyDescent="0.25">
      <c r="B101" s="400" t="s">
        <v>182</v>
      </c>
      <c r="C101" s="401"/>
      <c r="D101" s="401"/>
      <c r="E101" s="401"/>
      <c r="F101" s="401"/>
      <c r="G101" s="401"/>
      <c r="H101" s="401"/>
      <c r="I101" s="401"/>
      <c r="J101" s="401"/>
      <c r="K101" s="401"/>
      <c r="L101" s="401"/>
      <c r="M101" s="401"/>
      <c r="N101" s="401"/>
      <c r="O101" s="401"/>
      <c r="P101" s="401"/>
      <c r="Q101" s="401"/>
      <c r="R101" s="401"/>
      <c r="S101" s="401"/>
      <c r="T101" s="401"/>
      <c r="U101" s="401"/>
      <c r="V101" s="401"/>
      <c r="W101" s="401"/>
      <c r="X101" s="401"/>
      <c r="Y101" s="401"/>
      <c r="Z101" s="401"/>
      <c r="AA101" s="401"/>
      <c r="AB101" s="401"/>
      <c r="AC101" s="401"/>
      <c r="AD101" s="401"/>
      <c r="AE101" s="401"/>
      <c r="AF101" s="401"/>
      <c r="AG101" s="401"/>
      <c r="AH101" s="401"/>
      <c r="AI101" s="401"/>
      <c r="AJ101" s="401"/>
      <c r="AK101" s="401"/>
      <c r="AL101" s="401"/>
      <c r="AM101" s="401"/>
      <c r="AN101" s="401"/>
      <c r="AO101" s="401"/>
      <c r="AP101" s="401"/>
      <c r="AQ101" s="401"/>
      <c r="AR101" s="401"/>
      <c r="AS101" s="401"/>
      <c r="AT101" s="401"/>
      <c r="AU101" s="401"/>
      <c r="AV101" s="401"/>
      <c r="AW101" s="401"/>
      <c r="AX101" s="401"/>
      <c r="AY101" s="401"/>
      <c r="AZ101" s="401"/>
      <c r="BA101" s="401"/>
      <c r="BB101" s="401"/>
      <c r="BC101" s="401"/>
      <c r="BD101" s="401"/>
      <c r="BE101" s="401"/>
      <c r="BF101" s="401"/>
      <c r="BG101" s="401"/>
      <c r="BH101" s="401"/>
      <c r="BI101" s="401"/>
      <c r="BJ101" s="401"/>
      <c r="BK101" s="401"/>
      <c r="BL101" s="401"/>
      <c r="BM101" s="401"/>
      <c r="BN101" s="402"/>
      <c r="BO101" s="40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U94"/>
  <sheetViews>
    <sheetView topLeftCell="A7" zoomScale="80" zoomScaleNormal="80" zoomScalePageLayoutView="80" workbookViewId="0"/>
  </sheetViews>
  <sheetFormatPr baseColWidth="10" defaultRowHeight="16" x14ac:dyDescent="0.2"/>
  <cols>
    <col min="1" max="1" width="10.83203125" style="1"/>
    <col min="2" max="2" width="21.6640625" style="1" customWidth="1"/>
    <col min="3" max="3" width="41.1640625" style="1" bestFit="1" customWidth="1"/>
    <col min="4" max="4" width="16.1640625" style="1" bestFit="1" customWidth="1"/>
    <col min="5" max="5" width="52.33203125" style="1" bestFit="1" customWidth="1"/>
    <col min="6" max="19" width="14.1640625" style="1" customWidth="1"/>
    <col min="20" max="21" width="20.83203125" style="1" customWidth="1"/>
    <col min="22" max="16384" width="10.83203125" style="1"/>
  </cols>
  <sheetData>
    <row r="2" spans="2:21" ht="21" x14ac:dyDescent="0.25">
      <c r="B2" s="80" t="s">
        <v>234</v>
      </c>
      <c r="C2" s="8"/>
    </row>
    <row r="4" spans="2:21" x14ac:dyDescent="0.2">
      <c r="B4" s="3" t="s">
        <v>83</v>
      </c>
      <c r="C4" s="4"/>
      <c r="D4" s="4"/>
      <c r="E4" s="5"/>
      <c r="F4" s="8"/>
      <c r="G4" s="8"/>
      <c r="H4" s="8"/>
      <c r="I4" s="8"/>
      <c r="J4" s="8"/>
      <c r="K4" s="8"/>
      <c r="L4" s="8"/>
      <c r="M4" s="8"/>
    </row>
    <row r="5" spans="2:21" ht="45" customHeight="1" x14ac:dyDescent="0.2">
      <c r="B5" s="663" t="s">
        <v>586</v>
      </c>
      <c r="C5" s="664"/>
      <c r="D5" s="664"/>
      <c r="E5" s="665"/>
      <c r="F5" s="47"/>
      <c r="G5" s="47"/>
      <c r="H5" s="47"/>
      <c r="I5" s="47"/>
      <c r="J5" s="47"/>
      <c r="K5" s="47"/>
      <c r="L5" s="47"/>
      <c r="M5" s="47"/>
    </row>
    <row r="6" spans="2:21" ht="15" customHeight="1" thickBot="1" x14ac:dyDescent="0.25">
      <c r="B6" s="538"/>
      <c r="C6" s="538"/>
      <c r="D6" s="538"/>
    </row>
    <row r="7" spans="2:21" ht="15" customHeight="1" x14ac:dyDescent="0.2">
      <c r="B7" s="539" t="s">
        <v>85</v>
      </c>
      <c r="C7" s="540"/>
      <c r="D7" s="541"/>
      <c r="E7" s="542" t="s">
        <v>545</v>
      </c>
      <c r="F7" s="542"/>
      <c r="G7" s="542"/>
      <c r="H7" s="542"/>
      <c r="I7" s="542"/>
      <c r="J7" s="542"/>
      <c r="K7" s="542"/>
      <c r="L7" s="542"/>
      <c r="M7" s="542"/>
      <c r="N7" s="543"/>
      <c r="O7" s="543"/>
      <c r="P7" s="543"/>
      <c r="Q7" s="543"/>
      <c r="R7" s="543"/>
      <c r="S7" s="543"/>
      <c r="T7" s="589" t="s">
        <v>584</v>
      </c>
      <c r="U7" s="546" t="s">
        <v>546</v>
      </c>
    </row>
    <row r="8" spans="2:21" ht="15" customHeight="1" x14ac:dyDescent="0.2">
      <c r="B8" s="30"/>
      <c r="C8" s="13"/>
      <c r="D8" s="506"/>
      <c r="E8" s="544" t="s">
        <v>538</v>
      </c>
      <c r="F8" s="544" t="s">
        <v>539</v>
      </c>
      <c r="G8" s="544"/>
      <c r="H8" s="544"/>
      <c r="I8" s="544"/>
      <c r="J8" s="544"/>
      <c r="K8" s="544"/>
      <c r="L8" s="544"/>
      <c r="M8" s="544"/>
      <c r="N8" s="544"/>
      <c r="O8" s="544"/>
      <c r="P8" s="544"/>
      <c r="Q8" s="544"/>
      <c r="R8" s="544"/>
      <c r="S8" s="544"/>
      <c r="T8" s="18"/>
      <c r="U8" s="31"/>
    </row>
    <row r="9" spans="2:21" ht="15" customHeight="1" thickBot="1" x14ac:dyDescent="0.25">
      <c r="B9" s="598"/>
      <c r="C9" s="599"/>
      <c r="D9" s="600"/>
      <c r="E9" s="601"/>
      <c r="F9" s="552" t="s">
        <v>453</v>
      </c>
      <c r="G9" s="552" t="s">
        <v>455</v>
      </c>
      <c r="H9" s="552" t="s">
        <v>454</v>
      </c>
      <c r="I9" s="552" t="s">
        <v>535</v>
      </c>
      <c r="J9" s="552" t="s">
        <v>456</v>
      </c>
      <c r="K9" s="552" t="s">
        <v>561</v>
      </c>
      <c r="L9" s="552" t="s">
        <v>519</v>
      </c>
      <c r="M9" s="602" t="s">
        <v>442</v>
      </c>
      <c r="N9" s="602" t="s">
        <v>443</v>
      </c>
      <c r="O9" s="602" t="s">
        <v>576</v>
      </c>
      <c r="P9" s="602" t="s">
        <v>562</v>
      </c>
      <c r="Q9" s="552" t="s">
        <v>441</v>
      </c>
      <c r="R9" s="552" t="s">
        <v>585</v>
      </c>
      <c r="S9" s="602" t="s">
        <v>540</v>
      </c>
      <c r="T9" s="603"/>
      <c r="U9" s="604"/>
    </row>
    <row r="10" spans="2:21" ht="15" customHeight="1" thickTop="1" x14ac:dyDescent="0.2">
      <c r="B10" s="30" t="s">
        <v>494</v>
      </c>
      <c r="C10" s="8"/>
      <c r="D10" s="40"/>
      <c r="E10" s="122"/>
      <c r="F10" s="122"/>
      <c r="G10" s="122"/>
      <c r="H10" s="122"/>
      <c r="I10" s="122"/>
      <c r="J10" s="122"/>
      <c r="K10" s="122"/>
      <c r="L10" s="122"/>
      <c r="M10" s="122"/>
      <c r="N10" s="122"/>
      <c r="O10" s="122"/>
      <c r="P10" s="122"/>
      <c r="Q10" s="122"/>
      <c r="R10" s="122"/>
      <c r="S10" s="122"/>
      <c r="T10" s="16"/>
      <c r="U10" s="31"/>
    </row>
    <row r="11" spans="2:21" ht="15" customHeight="1" x14ac:dyDescent="0.2">
      <c r="B11" s="27"/>
      <c r="C11" s="8"/>
      <c r="D11" s="40"/>
      <c r="E11" s="557"/>
      <c r="F11" s="544"/>
      <c r="G11" s="544"/>
      <c r="H11" s="544"/>
      <c r="I11" s="544"/>
      <c r="J11" s="544"/>
      <c r="K11" s="544"/>
      <c r="L11" s="544"/>
      <c r="M11" s="544"/>
      <c r="N11" s="565"/>
      <c r="O11" s="565"/>
      <c r="P11" s="565"/>
      <c r="Q11" s="565"/>
      <c r="R11" s="565"/>
      <c r="S11" s="565"/>
      <c r="T11" s="591"/>
      <c r="U11" s="28"/>
    </row>
    <row r="12" spans="2:21" ht="15" customHeight="1" x14ac:dyDescent="0.2">
      <c r="B12" s="89" t="s">
        <v>580</v>
      </c>
      <c r="C12" s="90" t="s">
        <v>235</v>
      </c>
      <c r="D12" s="558" t="s">
        <v>236</v>
      </c>
      <c r="E12" s="556"/>
      <c r="F12" s="556"/>
      <c r="G12" s="556"/>
      <c r="H12" s="556"/>
      <c r="I12" s="556"/>
      <c r="J12" s="556"/>
      <c r="K12" s="556"/>
      <c r="L12" s="556"/>
      <c r="M12" s="556"/>
      <c r="N12" s="556"/>
      <c r="O12" s="556"/>
      <c r="P12" s="556"/>
      <c r="Q12" s="556"/>
      <c r="R12" s="556"/>
      <c r="S12" s="556"/>
      <c r="T12" s="592"/>
      <c r="U12" s="567"/>
    </row>
    <row r="13" spans="2:21" ht="15" customHeight="1" x14ac:dyDescent="0.2">
      <c r="B13" s="36" t="s">
        <v>240</v>
      </c>
      <c r="C13" s="93"/>
      <c r="D13" s="559"/>
      <c r="E13" s="93"/>
      <c r="F13" s="93"/>
      <c r="G13" s="93"/>
      <c r="H13" s="93"/>
      <c r="I13" s="93"/>
      <c r="J13" s="93"/>
      <c r="K13" s="93"/>
      <c r="L13" s="93"/>
      <c r="M13" s="93"/>
      <c r="N13" s="93"/>
      <c r="O13" s="93"/>
      <c r="P13" s="93"/>
      <c r="Q13" s="93"/>
      <c r="R13" s="93"/>
      <c r="S13" s="93"/>
      <c r="T13" s="376"/>
      <c r="U13" s="210"/>
    </row>
    <row r="14" spans="2:21" ht="15" customHeight="1" x14ac:dyDescent="0.2">
      <c r="B14" s="36"/>
      <c r="C14" s="431" t="s">
        <v>237</v>
      </c>
      <c r="D14" s="560">
        <f>S14</f>
        <v>0</v>
      </c>
      <c r="E14" s="431" t="s">
        <v>541</v>
      </c>
      <c r="F14" s="431"/>
      <c r="G14" s="431"/>
      <c r="H14" s="431"/>
      <c r="I14" s="431"/>
      <c r="J14" s="431"/>
      <c r="K14" s="431"/>
      <c r="L14" s="431"/>
      <c r="M14" s="431"/>
      <c r="N14" s="431"/>
      <c r="O14" s="431"/>
      <c r="P14" s="431"/>
      <c r="Q14" s="431"/>
      <c r="R14" s="431"/>
      <c r="S14" s="431"/>
      <c r="T14" s="547" t="s">
        <v>336</v>
      </c>
      <c r="U14" s="68" t="s">
        <v>336</v>
      </c>
    </row>
    <row r="15" spans="2:21" ht="15" customHeight="1" x14ac:dyDescent="0.2">
      <c r="B15" s="36"/>
      <c r="C15" s="431" t="s">
        <v>241</v>
      </c>
      <c r="D15" s="560">
        <f>S15</f>
        <v>0</v>
      </c>
      <c r="E15" s="431" t="s">
        <v>542</v>
      </c>
      <c r="F15" s="431"/>
      <c r="G15" s="431"/>
      <c r="H15" s="431"/>
      <c r="I15" s="431"/>
      <c r="J15" s="431"/>
      <c r="K15" s="431"/>
      <c r="L15" s="431"/>
      <c r="M15" s="431"/>
      <c r="N15" s="431"/>
      <c r="O15" s="431"/>
      <c r="P15" s="431"/>
      <c r="Q15" s="431"/>
      <c r="R15" s="431"/>
      <c r="S15" s="431"/>
      <c r="T15" s="547" t="s">
        <v>336</v>
      </c>
      <c r="U15" s="68" t="s">
        <v>336</v>
      </c>
    </row>
    <row r="16" spans="2:21" ht="15" customHeight="1" x14ac:dyDescent="0.2">
      <c r="B16" s="36"/>
      <c r="C16" s="93"/>
      <c r="D16" s="561"/>
      <c r="E16" s="93"/>
      <c r="F16" s="93"/>
      <c r="G16" s="93"/>
      <c r="H16" s="93"/>
      <c r="I16" s="93"/>
      <c r="J16" s="93"/>
      <c r="K16" s="93"/>
      <c r="L16" s="93"/>
      <c r="M16" s="93"/>
      <c r="N16" s="93"/>
      <c r="O16" s="93"/>
      <c r="P16" s="93"/>
      <c r="Q16" s="93"/>
      <c r="R16" s="93"/>
      <c r="S16" s="93"/>
      <c r="T16" s="376"/>
      <c r="U16" s="210"/>
    </row>
    <row r="17" spans="2:21" ht="15" customHeight="1" x14ac:dyDescent="0.2">
      <c r="B17" s="435" t="s">
        <v>242</v>
      </c>
      <c r="C17" s="95"/>
      <c r="D17" s="562"/>
      <c r="E17" s="95"/>
      <c r="F17" s="95"/>
      <c r="G17" s="95"/>
      <c r="H17" s="95"/>
      <c r="I17" s="95"/>
      <c r="J17" s="95"/>
      <c r="K17" s="95"/>
      <c r="L17" s="95"/>
      <c r="M17" s="95"/>
      <c r="N17" s="95"/>
      <c r="O17" s="95"/>
      <c r="P17" s="95"/>
      <c r="Q17" s="95"/>
      <c r="R17" s="95"/>
      <c r="S17" s="95"/>
      <c r="T17" s="593"/>
      <c r="U17" s="568"/>
    </row>
    <row r="18" spans="2:21" ht="15" customHeight="1" x14ac:dyDescent="0.2">
      <c r="B18" s="36"/>
      <c r="C18" s="431" t="s">
        <v>243</v>
      </c>
      <c r="D18" s="560">
        <f>S18</f>
        <v>0</v>
      </c>
      <c r="E18" s="431" t="s">
        <v>543</v>
      </c>
      <c r="F18" s="431"/>
      <c r="G18" s="431"/>
      <c r="H18" s="431"/>
      <c r="I18" s="431"/>
      <c r="J18" s="431"/>
      <c r="K18" s="431"/>
      <c r="L18" s="431"/>
      <c r="M18" s="431"/>
      <c r="N18" s="431"/>
      <c r="O18" s="431"/>
      <c r="P18" s="431"/>
      <c r="Q18" s="431"/>
      <c r="R18" s="431"/>
      <c r="S18" s="431"/>
      <c r="T18" s="547" t="s">
        <v>336</v>
      </c>
      <c r="U18" s="68" t="s">
        <v>336</v>
      </c>
    </row>
    <row r="19" spans="2:21" ht="15" customHeight="1" x14ac:dyDescent="0.2">
      <c r="B19" s="436"/>
      <c r="C19" s="45"/>
      <c r="D19" s="563"/>
      <c r="E19" s="45"/>
      <c r="F19" s="45"/>
      <c r="G19" s="45"/>
      <c r="H19" s="45"/>
      <c r="I19" s="45"/>
      <c r="J19" s="45"/>
      <c r="K19" s="45"/>
      <c r="L19" s="45"/>
      <c r="M19" s="45"/>
      <c r="N19" s="45"/>
      <c r="O19" s="45"/>
      <c r="P19" s="45"/>
      <c r="Q19" s="45"/>
      <c r="R19" s="45"/>
      <c r="S19" s="45"/>
      <c r="T19" s="570"/>
      <c r="U19" s="569"/>
    </row>
    <row r="20" spans="2:21" ht="15" customHeight="1" x14ac:dyDescent="0.2">
      <c r="B20" s="36" t="s">
        <v>82</v>
      </c>
      <c r="C20" s="93"/>
      <c r="D20" s="561"/>
      <c r="E20" s="93"/>
      <c r="F20" s="93"/>
      <c r="G20" s="93"/>
      <c r="H20" s="93"/>
      <c r="I20" s="93"/>
      <c r="J20" s="93"/>
      <c r="K20" s="93"/>
      <c r="L20" s="93"/>
      <c r="M20" s="93"/>
      <c r="N20" s="93"/>
      <c r="O20" s="93"/>
      <c r="P20" s="93"/>
      <c r="Q20" s="93"/>
      <c r="R20" s="93"/>
      <c r="S20" s="93"/>
      <c r="T20" s="376"/>
      <c r="U20" s="210"/>
    </row>
    <row r="21" spans="2:21" ht="15" customHeight="1" x14ac:dyDescent="0.2">
      <c r="B21" s="36"/>
      <c r="C21" s="431" t="s">
        <v>244</v>
      </c>
      <c r="D21" s="560">
        <f>S21</f>
        <v>0</v>
      </c>
      <c r="E21" s="431" t="s">
        <v>544</v>
      </c>
      <c r="F21" s="431"/>
      <c r="G21" s="431"/>
      <c r="H21" s="431"/>
      <c r="I21" s="431"/>
      <c r="J21" s="431"/>
      <c r="K21" s="431"/>
      <c r="L21" s="431"/>
      <c r="M21" s="431"/>
      <c r="N21" s="431"/>
      <c r="O21" s="431"/>
      <c r="P21" s="431"/>
      <c r="Q21" s="431"/>
      <c r="R21" s="431"/>
      <c r="S21" s="431"/>
      <c r="T21" s="547" t="s">
        <v>336</v>
      </c>
      <c r="U21" s="68" t="s">
        <v>336</v>
      </c>
    </row>
    <row r="22" spans="2:21" ht="15" customHeight="1" x14ac:dyDescent="0.2">
      <c r="B22" s="36"/>
      <c r="C22" s="93"/>
      <c r="D22" s="561"/>
      <c r="E22" s="93"/>
      <c r="F22" s="93"/>
      <c r="G22" s="93"/>
      <c r="H22" s="93"/>
      <c r="I22" s="93"/>
      <c r="J22" s="93"/>
      <c r="K22" s="93"/>
      <c r="L22" s="93"/>
      <c r="M22" s="93"/>
      <c r="N22" s="93"/>
      <c r="O22" s="93"/>
      <c r="P22" s="93"/>
      <c r="Q22" s="93"/>
      <c r="R22" s="93"/>
      <c r="S22" s="93"/>
      <c r="T22" s="376"/>
      <c r="U22" s="210"/>
    </row>
    <row r="23" spans="2:21" ht="15" customHeight="1" thickBot="1" x14ac:dyDescent="0.25">
      <c r="B23" s="549"/>
      <c r="C23" s="552"/>
      <c r="D23" s="564"/>
      <c r="E23" s="550"/>
      <c r="F23" s="550"/>
      <c r="G23" s="550"/>
      <c r="H23" s="550"/>
      <c r="I23" s="550"/>
      <c r="J23" s="550"/>
      <c r="K23" s="550"/>
      <c r="L23" s="550"/>
      <c r="M23" s="550"/>
      <c r="N23" s="550"/>
      <c r="O23" s="550"/>
      <c r="P23" s="550"/>
      <c r="Q23" s="550"/>
      <c r="R23" s="550"/>
      <c r="S23" s="550"/>
      <c r="T23" s="594"/>
      <c r="U23" s="551"/>
    </row>
    <row r="24" spans="2:21" ht="15" customHeight="1" thickTop="1" x14ac:dyDescent="0.2">
      <c r="B24" s="432" t="s">
        <v>495</v>
      </c>
      <c r="C24" s="538"/>
      <c r="D24" s="121"/>
      <c r="E24" s="16"/>
      <c r="F24" s="8"/>
      <c r="G24" s="8"/>
      <c r="H24" s="8"/>
      <c r="I24" s="8"/>
      <c r="J24" s="8"/>
      <c r="K24" s="8"/>
      <c r="L24" s="8"/>
      <c r="M24" s="8"/>
      <c r="N24" s="8"/>
      <c r="O24" s="8"/>
      <c r="P24" s="8"/>
      <c r="Q24" s="8"/>
      <c r="R24" s="8"/>
      <c r="S24" s="8"/>
      <c r="T24" s="16"/>
      <c r="U24" s="28"/>
    </row>
    <row r="25" spans="2:21" x14ac:dyDescent="0.2">
      <c r="B25" s="432"/>
      <c r="C25" s="93"/>
      <c r="D25" s="376"/>
      <c r="E25" s="376"/>
      <c r="F25" s="93"/>
      <c r="G25" s="93"/>
      <c r="H25" s="93"/>
      <c r="I25" s="93"/>
      <c r="J25" s="93"/>
      <c r="K25" s="93"/>
      <c r="L25" s="93"/>
      <c r="M25" s="93"/>
      <c r="N25" s="8"/>
      <c r="O25" s="8"/>
      <c r="P25" s="8"/>
      <c r="Q25" s="8"/>
      <c r="R25" s="8"/>
      <c r="S25" s="8"/>
      <c r="T25" s="16"/>
      <c r="U25" s="28"/>
    </row>
    <row r="26" spans="2:21" s="50" customFormat="1" x14ac:dyDescent="0.2">
      <c r="B26" s="433" t="s">
        <v>235</v>
      </c>
      <c r="C26" s="434" t="s">
        <v>581</v>
      </c>
      <c r="D26" s="438" t="s">
        <v>438</v>
      </c>
      <c r="E26" s="438"/>
      <c r="F26" s="434"/>
      <c r="G26" s="434"/>
      <c r="H26" s="434"/>
      <c r="I26" s="434"/>
      <c r="J26" s="434"/>
      <c r="K26" s="434"/>
      <c r="L26" s="434"/>
      <c r="M26" s="434"/>
      <c r="N26" s="545"/>
      <c r="O26" s="545"/>
      <c r="P26" s="545"/>
      <c r="Q26" s="545"/>
      <c r="R26" s="545"/>
      <c r="S26" s="545"/>
      <c r="T26" s="590"/>
      <c r="U26" s="67"/>
    </row>
    <row r="27" spans="2:21" x14ac:dyDescent="0.2">
      <c r="B27" s="36" t="s">
        <v>215</v>
      </c>
      <c r="C27" s="93"/>
      <c r="D27" s="527"/>
      <c r="E27" s="376"/>
      <c r="F27" s="93"/>
      <c r="G27" s="93"/>
      <c r="H27" s="93"/>
      <c r="I27" s="93"/>
      <c r="J27" s="93"/>
      <c r="K27" s="93"/>
      <c r="L27" s="93"/>
      <c r="M27" s="93"/>
      <c r="N27" s="93"/>
      <c r="O27" s="93"/>
      <c r="P27" s="93"/>
      <c r="Q27" s="93"/>
      <c r="R27" s="93"/>
      <c r="S27" s="93"/>
      <c r="T27" s="376"/>
      <c r="U27" s="210"/>
    </row>
    <row r="28" spans="2:21" x14ac:dyDescent="0.2">
      <c r="B28" s="36"/>
      <c r="C28" s="431" t="s">
        <v>252</v>
      </c>
      <c r="D28" s="605"/>
      <c r="E28" s="547" t="s">
        <v>563</v>
      </c>
      <c r="F28" s="431"/>
      <c r="G28" s="431"/>
      <c r="H28" s="431"/>
      <c r="I28" s="431"/>
      <c r="J28" s="431"/>
      <c r="K28" s="431"/>
      <c r="L28" s="431"/>
      <c r="M28" s="431"/>
      <c r="N28" s="431"/>
      <c r="O28" s="431"/>
      <c r="P28" s="431"/>
      <c r="Q28" s="431"/>
      <c r="R28" s="431"/>
      <c r="S28" s="431"/>
      <c r="T28" s="547"/>
      <c r="U28" s="68"/>
    </row>
    <row r="29" spans="2:21" x14ac:dyDescent="0.2">
      <c r="B29" s="36"/>
      <c r="C29" s="597" t="s">
        <v>216</v>
      </c>
      <c r="D29" s="528" t="e">
        <f>T29</f>
        <v>#DIV/0!</v>
      </c>
      <c r="E29" s="547"/>
      <c r="F29" s="431"/>
      <c r="G29" s="431"/>
      <c r="H29" s="431"/>
      <c r="I29" s="431"/>
      <c r="J29" s="431"/>
      <c r="K29" s="431"/>
      <c r="L29" s="431"/>
      <c r="M29" s="431"/>
      <c r="N29" s="431"/>
      <c r="O29" s="431"/>
      <c r="P29" s="431"/>
      <c r="Q29" s="431"/>
      <c r="R29" s="431"/>
      <c r="S29" s="431"/>
      <c r="T29" s="547" t="e">
        <f>(J28/Q28)*1000</f>
        <v>#DIV/0!</v>
      </c>
      <c r="U29" s="68" t="s">
        <v>336</v>
      </c>
    </row>
    <row r="30" spans="2:21" x14ac:dyDescent="0.2">
      <c r="B30" s="36"/>
      <c r="C30" s="597" t="s">
        <v>217</v>
      </c>
      <c r="D30" s="528" t="e">
        <f>T30</f>
        <v>#DIV/0!</v>
      </c>
      <c r="E30" s="547"/>
      <c r="F30" s="431"/>
      <c r="G30" s="431"/>
      <c r="H30" s="431"/>
      <c r="I30" s="431"/>
      <c r="J30" s="431"/>
      <c r="K30" s="431"/>
      <c r="L30" s="431"/>
      <c r="M30" s="431"/>
      <c r="N30" s="431"/>
      <c r="O30" s="431"/>
      <c r="P30" s="431"/>
      <c r="Q30" s="431"/>
      <c r="R30" s="431"/>
      <c r="S30" s="431"/>
      <c r="T30" s="547" t="e">
        <f>(L28/Q28)*1000</f>
        <v>#DIV/0!</v>
      </c>
      <c r="U30" s="68" t="s">
        <v>336</v>
      </c>
    </row>
    <row r="31" spans="2:21" x14ac:dyDescent="0.2">
      <c r="B31" s="36"/>
      <c r="C31" s="431" t="s">
        <v>208</v>
      </c>
      <c r="D31" s="528"/>
      <c r="E31" s="547" t="s">
        <v>564</v>
      </c>
      <c r="F31" s="431"/>
      <c r="G31" s="431"/>
      <c r="H31" s="431"/>
      <c r="I31" s="431"/>
      <c r="J31" s="431"/>
      <c r="K31" s="431"/>
      <c r="L31" s="431"/>
      <c r="M31" s="431"/>
      <c r="N31" s="431"/>
      <c r="O31" s="431"/>
      <c r="P31" s="431"/>
      <c r="Q31" s="431"/>
      <c r="R31" s="431"/>
      <c r="S31" s="431"/>
      <c r="T31" s="547"/>
      <c r="U31" s="68"/>
    </row>
    <row r="32" spans="2:21" x14ac:dyDescent="0.2">
      <c r="B32" s="36"/>
      <c r="C32" s="597" t="s">
        <v>577</v>
      </c>
      <c r="D32" s="528" t="e">
        <f>U32</f>
        <v>#DIV/0!</v>
      </c>
      <c r="E32" s="547"/>
      <c r="F32" s="431"/>
      <c r="G32" s="431"/>
      <c r="H32" s="431"/>
      <c r="I32" s="431"/>
      <c r="J32" s="431"/>
      <c r="K32" s="431"/>
      <c r="L32" s="431"/>
      <c r="M32" s="431"/>
      <c r="N32" s="431"/>
      <c r="O32" s="431"/>
      <c r="P32" s="431"/>
      <c r="Q32" s="431"/>
      <c r="R32" s="431"/>
      <c r="S32" s="431"/>
      <c r="T32" s="547" t="s">
        <v>336</v>
      </c>
      <c r="U32" s="68" t="e">
        <f>-'Fuel aggregation'!E11/(steel_production*share_steel_blast_furnace_current+0.9*steel_production*share_steel_blast_furnace_bat)</f>
        <v>#DIV/0!</v>
      </c>
    </row>
    <row r="33" spans="2:21" x14ac:dyDescent="0.2">
      <c r="B33" s="36"/>
      <c r="C33" s="597" t="s">
        <v>578</v>
      </c>
      <c r="D33" s="528" t="e">
        <f>U33</f>
        <v>#DIV/0!</v>
      </c>
      <c r="E33" s="547"/>
      <c r="F33" s="431"/>
      <c r="G33" s="431"/>
      <c r="H33" s="431"/>
      <c r="I33" s="431"/>
      <c r="J33" s="431"/>
      <c r="K33" s="431"/>
      <c r="L33" s="431"/>
      <c r="M33" s="431"/>
      <c r="N33" s="431"/>
      <c r="O33" s="431"/>
      <c r="P33" s="431"/>
      <c r="Q33" s="431"/>
      <c r="R33" s="431"/>
      <c r="S33" s="431"/>
      <c r="T33" s="547" t="s">
        <v>336</v>
      </c>
      <c r="U33" s="68" t="e">
        <f>-'Fuel aggregation'!F11/(steel_production*share_steel_blast_furnace_current+0.9*steel_production*share_steel_blast_furnace_bat)</f>
        <v>#DIV/0!</v>
      </c>
    </row>
    <row r="34" spans="2:21" x14ac:dyDescent="0.2">
      <c r="B34" s="36"/>
      <c r="C34" s="597" t="s">
        <v>579</v>
      </c>
      <c r="D34" s="528" t="e">
        <f>U34</f>
        <v>#DIV/0!</v>
      </c>
      <c r="E34" s="547"/>
      <c r="F34" s="431"/>
      <c r="G34" s="431"/>
      <c r="H34" s="431"/>
      <c r="I34" s="431"/>
      <c r="J34" s="431"/>
      <c r="K34" s="431"/>
      <c r="L34" s="431"/>
      <c r="M34" s="431"/>
      <c r="N34" s="431"/>
      <c r="O34" s="431"/>
      <c r="P34" s="431"/>
      <c r="Q34" s="431"/>
      <c r="R34" s="431"/>
      <c r="S34" s="431"/>
      <c r="T34" s="547" t="s">
        <v>336</v>
      </c>
      <c r="U34" s="68" t="e">
        <f>'Fuel aggregation'!G11/(steel_production*share_steel_blast_furnace_current+0.9*steel_production*share_steel_blast_furnace_bat)</f>
        <v>#DIV/0!</v>
      </c>
    </row>
    <row r="35" spans="2:21" x14ac:dyDescent="0.2">
      <c r="B35" s="36"/>
      <c r="C35" s="597" t="s">
        <v>254</v>
      </c>
      <c r="D35" s="528" t="e">
        <f>U35</f>
        <v>#DIV/0!</v>
      </c>
      <c r="E35" s="547"/>
      <c r="F35" s="431"/>
      <c r="G35" s="431"/>
      <c r="H35" s="431"/>
      <c r="I35" s="431"/>
      <c r="J35" s="431"/>
      <c r="K35" s="431"/>
      <c r="L35" s="431"/>
      <c r="M35" s="431"/>
      <c r="N35" s="431"/>
      <c r="O35" s="431"/>
      <c r="P35" s="431"/>
      <c r="Q35" s="431"/>
      <c r="R35" s="431"/>
      <c r="S35" s="431"/>
      <c r="T35" s="547" t="s">
        <v>336</v>
      </c>
      <c r="U35" s="68" t="e">
        <f>-SUM('Fuel aggregation'!E11:G11)/(steel_production*share_steel_blast_furnace_current+0.9*steel_production*share_steel_blast_furnace_bat)</f>
        <v>#DIV/0!</v>
      </c>
    </row>
    <row r="36" spans="2:21" x14ac:dyDescent="0.2">
      <c r="B36" s="436"/>
      <c r="C36" s="45"/>
      <c r="D36" s="529"/>
      <c r="E36" s="570"/>
      <c r="F36" s="45"/>
      <c r="G36" s="45"/>
      <c r="H36" s="45"/>
      <c r="I36" s="45"/>
      <c r="J36" s="45"/>
      <c r="K36" s="45"/>
      <c r="L36" s="45"/>
      <c r="M36" s="45"/>
      <c r="N36" s="45"/>
      <c r="O36" s="45"/>
      <c r="P36" s="45"/>
      <c r="Q36" s="45"/>
      <c r="R36" s="45"/>
      <c r="S36" s="45"/>
      <c r="T36" s="570"/>
      <c r="U36" s="569"/>
    </row>
    <row r="37" spans="2:21" x14ac:dyDescent="0.2">
      <c r="B37" s="36" t="s">
        <v>218</v>
      </c>
      <c r="C37" s="93"/>
      <c r="D37" s="527"/>
      <c r="E37" s="376"/>
      <c r="F37" s="93"/>
      <c r="G37" s="93"/>
      <c r="H37" s="93"/>
      <c r="I37" s="93"/>
      <c r="J37" s="93"/>
      <c r="K37" s="93"/>
      <c r="L37" s="93"/>
      <c r="M37" s="93"/>
      <c r="N37" s="93"/>
      <c r="O37" s="93"/>
      <c r="P37" s="93"/>
      <c r="Q37" s="93"/>
      <c r="R37" s="93"/>
      <c r="S37" s="93"/>
      <c r="T37" s="376"/>
      <c r="U37" s="210"/>
    </row>
    <row r="38" spans="2:21" x14ac:dyDescent="0.2">
      <c r="B38" s="36"/>
      <c r="C38" s="431" t="s">
        <v>252</v>
      </c>
      <c r="D38" s="605"/>
      <c r="E38" s="547" t="s">
        <v>565</v>
      </c>
      <c r="F38" s="431"/>
      <c r="G38" s="431"/>
      <c r="H38" s="431"/>
      <c r="I38" s="431"/>
      <c r="J38" s="431"/>
      <c r="K38" s="431"/>
      <c r="L38" s="431"/>
      <c r="M38" s="431"/>
      <c r="N38" s="431"/>
      <c r="O38" s="431"/>
      <c r="P38" s="431"/>
      <c r="Q38" s="431"/>
      <c r="R38" s="431"/>
      <c r="S38" s="431"/>
      <c r="T38" s="547"/>
      <c r="U38" s="68"/>
    </row>
    <row r="39" spans="2:21" x14ac:dyDescent="0.2">
      <c r="B39" s="36"/>
      <c r="C39" s="597" t="s">
        <v>216</v>
      </c>
      <c r="D39" s="528" t="e">
        <f>T39</f>
        <v>#DIV/0!</v>
      </c>
      <c r="E39" s="547"/>
      <c r="F39" s="431"/>
      <c r="G39" s="431"/>
      <c r="H39" s="431"/>
      <c r="I39" s="431"/>
      <c r="J39" s="431"/>
      <c r="K39" s="431"/>
      <c r="L39" s="431"/>
      <c r="M39" s="431"/>
      <c r="N39" s="431"/>
      <c r="O39" s="431"/>
      <c r="P39" s="431"/>
      <c r="Q39" s="431"/>
      <c r="R39" s="431"/>
      <c r="S39" s="431"/>
      <c r="T39" s="547" t="e">
        <f>T29*0.9</f>
        <v>#DIV/0!</v>
      </c>
      <c r="U39" s="68" t="s">
        <v>336</v>
      </c>
    </row>
    <row r="40" spans="2:21" x14ac:dyDescent="0.2">
      <c r="B40" s="36"/>
      <c r="C40" s="597" t="s">
        <v>217</v>
      </c>
      <c r="D40" s="528" t="e">
        <f>T40</f>
        <v>#DIV/0!</v>
      </c>
      <c r="E40" s="547"/>
      <c r="F40" s="431"/>
      <c r="G40" s="431"/>
      <c r="H40" s="431"/>
      <c r="I40" s="431"/>
      <c r="J40" s="431"/>
      <c r="K40" s="431"/>
      <c r="L40" s="431"/>
      <c r="M40" s="431"/>
      <c r="N40" s="431"/>
      <c r="O40" s="431"/>
      <c r="P40" s="431"/>
      <c r="Q40" s="431"/>
      <c r="R40" s="431"/>
      <c r="S40" s="431"/>
      <c r="T40" s="547" t="e">
        <f>T30*0.9</f>
        <v>#DIV/0!</v>
      </c>
      <c r="U40" s="68" t="s">
        <v>336</v>
      </c>
    </row>
    <row r="41" spans="2:21" x14ac:dyDescent="0.2">
      <c r="B41" s="36"/>
      <c r="C41" s="431" t="s">
        <v>208</v>
      </c>
      <c r="D41" s="528"/>
      <c r="E41" s="547" t="s">
        <v>566</v>
      </c>
      <c r="F41" s="431"/>
      <c r="G41" s="431"/>
      <c r="H41" s="431"/>
      <c r="I41" s="431"/>
      <c r="J41" s="431"/>
      <c r="K41" s="431"/>
      <c r="L41" s="431"/>
      <c r="M41" s="431"/>
      <c r="N41" s="431"/>
      <c r="O41" s="431"/>
      <c r="P41" s="431"/>
      <c r="Q41" s="431"/>
      <c r="R41" s="431"/>
      <c r="S41" s="431"/>
      <c r="T41" s="547"/>
      <c r="U41" s="68"/>
    </row>
    <row r="42" spans="2:21" x14ac:dyDescent="0.2">
      <c r="B42" s="36"/>
      <c r="C42" s="597" t="s">
        <v>577</v>
      </c>
      <c r="D42" s="528" t="e">
        <f>U42</f>
        <v>#DIV/0!</v>
      </c>
      <c r="E42" s="547"/>
      <c r="F42" s="431"/>
      <c r="G42" s="431"/>
      <c r="H42" s="431"/>
      <c r="I42" s="431"/>
      <c r="J42" s="431"/>
      <c r="K42" s="431"/>
      <c r="L42" s="431"/>
      <c r="M42" s="431"/>
      <c r="N42" s="431"/>
      <c r="O42" s="431"/>
      <c r="P42" s="431"/>
      <c r="Q42" s="431"/>
      <c r="R42" s="431"/>
      <c r="S42" s="431"/>
      <c r="T42" s="547" t="s">
        <v>336</v>
      </c>
      <c r="U42" s="68" t="e">
        <f>U32*0.9</f>
        <v>#DIV/0!</v>
      </c>
    </row>
    <row r="43" spans="2:21" x14ac:dyDescent="0.2">
      <c r="B43" s="36"/>
      <c r="C43" s="597" t="s">
        <v>578</v>
      </c>
      <c r="D43" s="528" t="e">
        <f>U43</f>
        <v>#DIV/0!</v>
      </c>
      <c r="E43" s="547"/>
      <c r="F43" s="431"/>
      <c r="G43" s="431"/>
      <c r="H43" s="431"/>
      <c r="I43" s="431"/>
      <c r="J43" s="431"/>
      <c r="K43" s="431"/>
      <c r="L43" s="431"/>
      <c r="M43" s="431"/>
      <c r="N43" s="431"/>
      <c r="O43" s="431"/>
      <c r="P43" s="431"/>
      <c r="Q43" s="431"/>
      <c r="R43" s="431"/>
      <c r="S43" s="431"/>
      <c r="T43" s="547" t="s">
        <v>336</v>
      </c>
      <c r="U43" s="68" t="e">
        <f>U33*0.9</f>
        <v>#DIV/0!</v>
      </c>
    </row>
    <row r="44" spans="2:21" x14ac:dyDescent="0.2">
      <c r="B44" s="36"/>
      <c r="C44" s="597" t="s">
        <v>579</v>
      </c>
      <c r="D44" s="528" t="e">
        <f>U44</f>
        <v>#DIV/0!</v>
      </c>
      <c r="E44" s="547"/>
      <c r="F44" s="431"/>
      <c r="G44" s="431"/>
      <c r="H44" s="431"/>
      <c r="I44" s="431"/>
      <c r="J44" s="431"/>
      <c r="K44" s="431"/>
      <c r="L44" s="431"/>
      <c r="M44" s="431"/>
      <c r="N44" s="431"/>
      <c r="O44" s="431"/>
      <c r="P44" s="431"/>
      <c r="Q44" s="431"/>
      <c r="R44" s="431"/>
      <c r="S44" s="431"/>
      <c r="T44" s="547" t="s">
        <v>336</v>
      </c>
      <c r="U44" s="68" t="e">
        <f>U34*0.9</f>
        <v>#DIV/0!</v>
      </c>
    </row>
    <row r="45" spans="2:21" x14ac:dyDescent="0.2">
      <c r="B45" s="436"/>
      <c r="C45" s="45"/>
      <c r="D45" s="529"/>
      <c r="E45" s="570"/>
      <c r="F45" s="45"/>
      <c r="G45" s="45"/>
      <c r="H45" s="45"/>
      <c r="I45" s="45"/>
      <c r="J45" s="45"/>
      <c r="K45" s="45"/>
      <c r="L45" s="45"/>
      <c r="M45" s="45"/>
      <c r="N45" s="45"/>
      <c r="O45" s="45"/>
      <c r="P45" s="45"/>
      <c r="Q45" s="45"/>
      <c r="R45" s="45"/>
      <c r="S45" s="45"/>
      <c r="T45" s="570"/>
      <c r="U45" s="569"/>
    </row>
    <row r="46" spans="2:21" x14ac:dyDescent="0.2">
      <c r="B46" s="36" t="s">
        <v>219</v>
      </c>
      <c r="C46" s="93"/>
      <c r="D46" s="527"/>
      <c r="E46" s="376"/>
      <c r="F46" s="93"/>
      <c r="G46" s="93"/>
      <c r="H46" s="93"/>
      <c r="I46" s="93"/>
      <c r="J46" s="93"/>
      <c r="K46" s="93"/>
      <c r="L46" s="93"/>
      <c r="M46" s="93"/>
      <c r="N46" s="93"/>
      <c r="O46" s="93"/>
      <c r="P46" s="93"/>
      <c r="Q46" s="93"/>
      <c r="R46" s="93"/>
      <c r="S46" s="93"/>
      <c r="T46" s="376"/>
      <c r="U46" s="210"/>
    </row>
    <row r="47" spans="2:21" x14ac:dyDescent="0.2">
      <c r="B47" s="36"/>
      <c r="C47" s="431" t="s">
        <v>252</v>
      </c>
      <c r="D47" s="605"/>
      <c r="E47" s="547" t="s">
        <v>575</v>
      </c>
      <c r="F47" s="431"/>
      <c r="G47" s="431"/>
      <c r="H47" s="431"/>
      <c r="I47" s="431"/>
      <c r="J47" s="431"/>
      <c r="K47" s="431"/>
      <c r="L47" s="431"/>
      <c r="M47" s="431"/>
      <c r="N47" s="431"/>
      <c r="O47" s="431"/>
      <c r="P47" s="431"/>
      <c r="Q47" s="431"/>
      <c r="R47" s="431"/>
      <c r="S47" s="431"/>
      <c r="T47" s="547"/>
      <c r="U47" s="68"/>
    </row>
    <row r="48" spans="2:21" x14ac:dyDescent="0.2">
      <c r="B48" s="36"/>
      <c r="C48" s="597" t="s">
        <v>216</v>
      </c>
      <c r="D48" s="528" t="e">
        <f>T48</f>
        <v>#DIV/0!</v>
      </c>
      <c r="E48" s="547"/>
      <c r="F48" s="431"/>
      <c r="G48" s="431"/>
      <c r="H48" s="431"/>
      <c r="I48" s="431"/>
      <c r="J48" s="431"/>
      <c r="K48" s="431"/>
      <c r="L48" s="431"/>
      <c r="M48" s="431"/>
      <c r="N48" s="431"/>
      <c r="O48" s="431"/>
      <c r="P48" s="431"/>
      <c r="Q48" s="431"/>
      <c r="R48" s="431"/>
      <c r="S48" s="431"/>
      <c r="T48" s="547" t="e">
        <f>(J47/Q47)*1000</f>
        <v>#DIV/0!</v>
      </c>
      <c r="U48" s="68" t="s">
        <v>336</v>
      </c>
    </row>
    <row r="49" spans="2:21" x14ac:dyDescent="0.2">
      <c r="B49" s="36"/>
      <c r="C49" s="597" t="s">
        <v>217</v>
      </c>
      <c r="D49" s="528" t="e">
        <f>T49</f>
        <v>#DIV/0!</v>
      </c>
      <c r="E49" s="547"/>
      <c r="F49" s="431"/>
      <c r="G49" s="431"/>
      <c r="H49" s="431"/>
      <c r="I49" s="431"/>
      <c r="J49" s="431"/>
      <c r="K49" s="431"/>
      <c r="L49" s="431"/>
      <c r="M49" s="431"/>
      <c r="N49" s="431"/>
      <c r="O49" s="431"/>
      <c r="P49" s="431"/>
      <c r="Q49" s="431"/>
      <c r="R49" s="431"/>
      <c r="S49" s="431"/>
      <c r="T49" s="547" t="e">
        <f>(L47/Q47)*1000</f>
        <v>#DIV/0!</v>
      </c>
      <c r="U49" s="68" t="s">
        <v>336</v>
      </c>
    </row>
    <row r="50" spans="2:21" x14ac:dyDescent="0.2">
      <c r="B50" s="36"/>
      <c r="C50" s="431" t="s">
        <v>208</v>
      </c>
      <c r="D50" s="528"/>
      <c r="E50" s="547" t="s">
        <v>567</v>
      </c>
      <c r="F50" s="431"/>
      <c r="G50" s="431"/>
      <c r="H50" s="431"/>
      <c r="I50" s="431"/>
      <c r="J50" s="431"/>
      <c r="K50" s="431"/>
      <c r="L50" s="431"/>
      <c r="M50" s="431"/>
      <c r="N50" s="431"/>
      <c r="O50" s="431"/>
      <c r="P50" s="431"/>
      <c r="Q50" s="431"/>
      <c r="R50" s="431"/>
      <c r="S50" s="431"/>
      <c r="T50" s="547"/>
      <c r="U50" s="68"/>
    </row>
    <row r="51" spans="2:21" x14ac:dyDescent="0.2">
      <c r="B51" s="36"/>
      <c r="C51" s="597" t="s">
        <v>577</v>
      </c>
      <c r="D51" s="528" t="e">
        <f>T51</f>
        <v>#DIV/0!</v>
      </c>
      <c r="E51" s="547"/>
      <c r="F51" s="431"/>
      <c r="G51" s="431"/>
      <c r="H51" s="431"/>
      <c r="I51" s="431"/>
      <c r="J51" s="431"/>
      <c r="K51" s="431"/>
      <c r="L51" s="431"/>
      <c r="M51" s="431"/>
      <c r="N51" s="431"/>
      <c r="O51" s="431"/>
      <c r="P51" s="431"/>
      <c r="Q51" s="431"/>
      <c r="R51" s="431"/>
      <c r="S51" s="431"/>
      <c r="T51" s="547" t="e">
        <f>(T48+T49)*I47*F50</f>
        <v>#DIV/0!</v>
      </c>
      <c r="U51" s="68" t="s">
        <v>336</v>
      </c>
    </row>
    <row r="52" spans="2:21" x14ac:dyDescent="0.2">
      <c r="B52" s="36"/>
      <c r="C52" s="597" t="s">
        <v>582</v>
      </c>
      <c r="D52" s="528" t="e">
        <f>T52</f>
        <v>#DIV/0!</v>
      </c>
      <c r="E52" s="547"/>
      <c r="F52" s="431"/>
      <c r="G52" s="431"/>
      <c r="H52" s="431"/>
      <c r="I52" s="431"/>
      <c r="J52" s="431"/>
      <c r="K52" s="431"/>
      <c r="L52" s="431"/>
      <c r="M52" s="431"/>
      <c r="N52" s="431"/>
      <c r="O52" s="431"/>
      <c r="P52" s="431"/>
      <c r="Q52" s="431"/>
      <c r="R52" s="431"/>
      <c r="S52" s="431"/>
      <c r="T52" s="547" t="e">
        <f>(T48+T49)*I47*K50</f>
        <v>#DIV/0!</v>
      </c>
      <c r="U52" s="68" t="s">
        <v>336</v>
      </c>
    </row>
    <row r="53" spans="2:21" x14ac:dyDescent="0.2">
      <c r="B53" s="36"/>
      <c r="C53" s="597" t="s">
        <v>178</v>
      </c>
      <c r="D53" s="528" t="e">
        <f>T53</f>
        <v>#DIV/0!</v>
      </c>
      <c r="E53" s="547"/>
      <c r="F53" s="431"/>
      <c r="G53" s="431"/>
      <c r="H53" s="431"/>
      <c r="I53" s="431"/>
      <c r="J53" s="431"/>
      <c r="K53" s="431"/>
      <c r="L53" s="431"/>
      <c r="M53" s="431"/>
      <c r="N53" s="431"/>
      <c r="O53" s="431"/>
      <c r="P53" s="431"/>
      <c r="Q53" s="431"/>
      <c r="R53" s="431"/>
      <c r="S53" s="431"/>
      <c r="T53" s="547" t="e">
        <f>(T51+T52)*R50</f>
        <v>#DIV/0!</v>
      </c>
      <c r="U53" s="68" t="s">
        <v>336</v>
      </c>
    </row>
    <row r="54" spans="2:21" x14ac:dyDescent="0.2">
      <c r="B54" s="436"/>
      <c r="C54" s="45"/>
      <c r="D54" s="529"/>
      <c r="E54" s="570"/>
      <c r="F54" s="45"/>
      <c r="G54" s="45"/>
      <c r="H54" s="45"/>
      <c r="I54" s="45"/>
      <c r="J54" s="45"/>
      <c r="K54" s="45"/>
      <c r="L54" s="45"/>
      <c r="M54" s="45"/>
      <c r="N54" s="45"/>
      <c r="O54" s="45"/>
      <c r="P54" s="45"/>
      <c r="Q54" s="45"/>
      <c r="R54" s="45"/>
      <c r="S54" s="45"/>
      <c r="T54" s="570"/>
      <c r="U54" s="569"/>
    </row>
    <row r="55" spans="2:21" x14ac:dyDescent="0.2">
      <c r="B55" s="36" t="s">
        <v>220</v>
      </c>
      <c r="C55" s="93"/>
      <c r="D55" s="527"/>
      <c r="E55" s="376"/>
      <c r="F55" s="93"/>
      <c r="G55" s="93"/>
      <c r="H55" s="93"/>
      <c r="I55" s="93"/>
      <c r="J55" s="93"/>
      <c r="K55" s="93"/>
      <c r="L55" s="93"/>
      <c r="M55" s="93"/>
      <c r="N55" s="93"/>
      <c r="O55" s="93"/>
      <c r="P55" s="93"/>
      <c r="Q55" s="93"/>
      <c r="R55" s="93"/>
      <c r="S55" s="93"/>
      <c r="T55" s="376"/>
      <c r="U55" s="210"/>
    </row>
    <row r="56" spans="2:21" x14ac:dyDescent="0.2">
      <c r="B56" s="36"/>
      <c r="C56" s="431" t="s">
        <v>252</v>
      </c>
      <c r="D56" s="605"/>
      <c r="E56" s="547" t="s">
        <v>568</v>
      </c>
      <c r="F56" s="431"/>
      <c r="G56" s="431"/>
      <c r="H56" s="431"/>
      <c r="I56" s="431"/>
      <c r="J56" s="431"/>
      <c r="K56" s="431"/>
      <c r="L56" s="431"/>
      <c r="M56" s="431"/>
      <c r="N56" s="431"/>
      <c r="O56" s="431"/>
      <c r="P56" s="431"/>
      <c r="Q56" s="431"/>
      <c r="R56" s="431"/>
      <c r="S56" s="431"/>
      <c r="T56" s="547"/>
      <c r="U56" s="68"/>
    </row>
    <row r="57" spans="2:21" x14ac:dyDescent="0.2">
      <c r="B57" s="36"/>
      <c r="C57" s="597" t="s">
        <v>216</v>
      </c>
      <c r="D57" s="528" t="e">
        <f>T57</f>
        <v>#DIV/0!</v>
      </c>
      <c r="E57" s="547"/>
      <c r="F57" s="431"/>
      <c r="G57" s="431"/>
      <c r="H57" s="431"/>
      <c r="I57" s="431"/>
      <c r="J57" s="431"/>
      <c r="K57" s="431"/>
      <c r="L57" s="431"/>
      <c r="M57" s="431"/>
      <c r="N57" s="431"/>
      <c r="O57" s="431"/>
      <c r="P57" s="431"/>
      <c r="Q57" s="431"/>
      <c r="R57" s="431"/>
      <c r="S57" s="190"/>
      <c r="T57" s="547" t="e">
        <f>(J56/Q56)*1000</f>
        <v>#DIV/0!</v>
      </c>
      <c r="U57" s="68" t="s">
        <v>336</v>
      </c>
    </row>
    <row r="58" spans="2:21" x14ac:dyDescent="0.2">
      <c r="B58" s="36"/>
      <c r="C58" s="597" t="s">
        <v>217</v>
      </c>
      <c r="D58" s="528" t="e">
        <f>T58</f>
        <v>#DIV/0!</v>
      </c>
      <c r="E58" s="547"/>
      <c r="F58" s="431"/>
      <c r="G58" s="431"/>
      <c r="H58" s="431"/>
      <c r="I58" s="431"/>
      <c r="J58" s="431"/>
      <c r="K58" s="431"/>
      <c r="L58" s="431"/>
      <c r="M58" s="431"/>
      <c r="N58" s="431"/>
      <c r="O58" s="431"/>
      <c r="P58" s="431"/>
      <c r="Q58" s="431"/>
      <c r="R58" s="431"/>
      <c r="S58" s="431"/>
      <c r="T58" s="547" t="e">
        <f>(L56/Q56)*1000</f>
        <v>#DIV/0!</v>
      </c>
      <c r="U58" s="68" t="s">
        <v>336</v>
      </c>
    </row>
    <row r="59" spans="2:21" ht="17" thickBot="1" x14ac:dyDescent="0.25">
      <c r="B59" s="549"/>
      <c r="C59" s="552"/>
      <c r="D59" s="553"/>
      <c r="E59" s="571"/>
      <c r="F59" s="552"/>
      <c r="G59" s="552"/>
      <c r="H59" s="552"/>
      <c r="I59" s="552"/>
      <c r="J59" s="552"/>
      <c r="K59" s="552"/>
      <c r="L59" s="552"/>
      <c r="M59" s="552"/>
      <c r="N59" s="552"/>
      <c r="O59" s="552"/>
      <c r="P59" s="552"/>
      <c r="Q59" s="552"/>
      <c r="R59" s="552"/>
      <c r="S59" s="552"/>
      <c r="T59" s="571"/>
      <c r="U59" s="572"/>
    </row>
    <row r="60" spans="2:21" ht="17" thickTop="1" x14ac:dyDescent="0.2">
      <c r="B60" s="432" t="s">
        <v>496</v>
      </c>
      <c r="C60" s="93"/>
      <c r="D60" s="439"/>
      <c r="E60" s="376"/>
      <c r="F60" s="93"/>
      <c r="G60" s="93"/>
      <c r="H60" s="93"/>
      <c r="I60" s="93"/>
      <c r="J60" s="93"/>
      <c r="K60" s="93"/>
      <c r="L60" s="93"/>
      <c r="M60" s="93"/>
      <c r="N60" s="8"/>
      <c r="O60" s="8"/>
      <c r="P60" s="8"/>
      <c r="Q60" s="8"/>
      <c r="R60" s="8"/>
      <c r="S60" s="8"/>
      <c r="T60" s="16"/>
      <c r="U60" s="28"/>
    </row>
    <row r="61" spans="2:21" x14ac:dyDescent="0.2">
      <c r="B61" s="94"/>
      <c r="C61" s="93"/>
      <c r="D61" s="439"/>
      <c r="E61" s="376"/>
      <c r="F61" s="93"/>
      <c r="G61" s="93"/>
      <c r="H61" s="93"/>
      <c r="I61" s="93"/>
      <c r="J61" s="93"/>
      <c r="K61" s="93"/>
      <c r="L61" s="93"/>
      <c r="M61" s="93"/>
      <c r="N61" s="8"/>
      <c r="O61" s="8"/>
      <c r="P61" s="8"/>
      <c r="Q61" s="8"/>
      <c r="R61" s="8"/>
      <c r="S61" s="8"/>
      <c r="T61" s="16"/>
      <c r="U61" s="28"/>
    </row>
    <row r="62" spans="2:21" x14ac:dyDescent="0.2">
      <c r="B62" s="433" t="s">
        <v>235</v>
      </c>
      <c r="C62" s="434" t="s">
        <v>581</v>
      </c>
      <c r="D62" s="440" t="s">
        <v>493</v>
      </c>
      <c r="E62" s="438"/>
      <c r="F62" s="434"/>
      <c r="G62" s="434"/>
      <c r="H62" s="434"/>
      <c r="I62" s="434"/>
      <c r="J62" s="434"/>
      <c r="K62" s="434"/>
      <c r="L62" s="434"/>
      <c r="M62" s="434"/>
      <c r="N62" s="9"/>
      <c r="O62" s="9"/>
      <c r="P62" s="9"/>
      <c r="Q62" s="9"/>
      <c r="R62" s="9"/>
      <c r="S62" s="9"/>
      <c r="T62" s="17"/>
      <c r="U62" s="217"/>
    </row>
    <row r="63" spans="2:21" x14ac:dyDescent="0.2">
      <c r="B63" s="36" t="s">
        <v>221</v>
      </c>
      <c r="C63" s="93"/>
      <c r="D63" s="439"/>
      <c r="E63" s="376"/>
      <c r="F63" s="93"/>
      <c r="G63" s="93"/>
      <c r="H63" s="93"/>
      <c r="I63" s="93"/>
      <c r="J63" s="93"/>
      <c r="K63" s="93"/>
      <c r="L63" s="93"/>
      <c r="M63" s="93"/>
      <c r="N63" s="8"/>
      <c r="O63" s="8"/>
      <c r="P63" s="8"/>
      <c r="Q63" s="8"/>
      <c r="R63" s="8"/>
      <c r="S63" s="8"/>
      <c r="T63" s="16"/>
      <c r="U63" s="28"/>
    </row>
    <row r="64" spans="2:21" x14ac:dyDescent="0.2">
      <c r="B64" s="36"/>
      <c r="C64" s="431" t="s">
        <v>252</v>
      </c>
      <c r="D64" s="606"/>
      <c r="E64" s="547" t="s">
        <v>569</v>
      </c>
      <c r="F64" s="431"/>
      <c r="G64" s="431"/>
      <c r="H64" s="431"/>
      <c r="I64" s="431"/>
      <c r="J64" s="431"/>
      <c r="K64" s="431"/>
      <c r="L64" s="431"/>
      <c r="M64" s="431"/>
      <c r="N64" s="14"/>
      <c r="O64" s="14"/>
      <c r="P64" s="14"/>
      <c r="Q64" s="14"/>
      <c r="R64" s="14"/>
      <c r="S64" s="14"/>
      <c r="T64" s="595"/>
      <c r="U64" s="33"/>
    </row>
    <row r="65" spans="2:21" x14ac:dyDescent="0.2">
      <c r="B65" s="94"/>
      <c r="C65" s="597" t="s">
        <v>583</v>
      </c>
      <c r="D65" s="573" t="e">
        <f>U65</f>
        <v>#DIV/0!</v>
      </c>
      <c r="E65" s="431"/>
      <c r="F65" s="431"/>
      <c r="G65" s="431"/>
      <c r="H65" s="431"/>
      <c r="I65" s="431"/>
      <c r="J65" s="431"/>
      <c r="K65" s="431"/>
      <c r="L65" s="431"/>
      <c r="M65" s="431"/>
      <c r="N65" s="14"/>
      <c r="O65" s="14"/>
      <c r="P65" s="14"/>
      <c r="Q65" s="14"/>
      <c r="R65" s="14"/>
      <c r="S65" s="14"/>
      <c r="T65" s="595" t="s">
        <v>336</v>
      </c>
      <c r="U65" s="566" t="e">
        <f>-'Fuel aggregation'!G17/'Fuel aggregation'!F12</f>
        <v>#DIV/0!</v>
      </c>
    </row>
    <row r="66" spans="2:21" x14ac:dyDescent="0.2">
      <c r="B66" s="94"/>
      <c r="C66" s="597" t="s">
        <v>216</v>
      </c>
      <c r="D66" s="573" t="e">
        <f>U66</f>
        <v>#DIV/0!</v>
      </c>
      <c r="E66" s="431"/>
      <c r="F66" s="431"/>
      <c r="G66" s="431"/>
      <c r="H66" s="431"/>
      <c r="I66" s="431"/>
      <c r="J66" s="431"/>
      <c r="K66" s="431"/>
      <c r="L66" s="431"/>
      <c r="M66" s="431"/>
      <c r="N66" s="14"/>
      <c r="O66" s="14"/>
      <c r="P66" s="14"/>
      <c r="Q66" s="14"/>
      <c r="R66" s="14"/>
      <c r="S66" s="14"/>
      <c r="T66" s="595" t="s">
        <v>336</v>
      </c>
      <c r="U66" s="566" t="e">
        <f>-'Fuel aggregation'!L17/'Fuel aggregation'!F12</f>
        <v>#DIV/0!</v>
      </c>
    </row>
    <row r="67" spans="2:21" x14ac:dyDescent="0.2">
      <c r="B67" s="94"/>
      <c r="C67" s="431" t="s">
        <v>208</v>
      </c>
      <c r="D67" s="573"/>
      <c r="E67" s="431" t="s">
        <v>570</v>
      </c>
      <c r="F67" s="431"/>
      <c r="G67" s="431"/>
      <c r="H67" s="431"/>
      <c r="I67" s="431"/>
      <c r="J67" s="431"/>
      <c r="K67" s="431"/>
      <c r="L67" s="431"/>
      <c r="M67" s="431"/>
      <c r="N67" s="14"/>
      <c r="O67" s="14"/>
      <c r="P67" s="14"/>
      <c r="Q67" s="14"/>
      <c r="R67" s="14"/>
      <c r="S67" s="14"/>
      <c r="T67" s="595"/>
      <c r="U67" s="566"/>
    </row>
    <row r="68" spans="2:21" x14ac:dyDescent="0.2">
      <c r="B68" s="94"/>
      <c r="C68" s="597" t="s">
        <v>577</v>
      </c>
      <c r="D68" s="573" t="e">
        <f>U68</f>
        <v>#DIV/0!</v>
      </c>
      <c r="E68" s="431"/>
      <c r="F68" s="431"/>
      <c r="G68" s="431"/>
      <c r="H68" s="431"/>
      <c r="I68" s="431"/>
      <c r="J68" s="431"/>
      <c r="K68" s="431"/>
      <c r="L68" s="431"/>
      <c r="M68" s="431"/>
      <c r="N68" s="14"/>
      <c r="O68" s="14"/>
      <c r="P68" s="14"/>
      <c r="Q68" s="14"/>
      <c r="R68" s="14"/>
      <c r="S68" s="14"/>
      <c r="T68" s="595" t="s">
        <v>336</v>
      </c>
      <c r="U68" s="566" t="e">
        <f>-'Fuel aggregation'!E12/'Fuel aggregation'!F12</f>
        <v>#DIV/0!</v>
      </c>
    </row>
    <row r="69" spans="2:21" x14ac:dyDescent="0.2">
      <c r="B69" s="94"/>
      <c r="C69" s="597" t="s">
        <v>578</v>
      </c>
      <c r="D69" s="573" t="e">
        <f>U69</f>
        <v>#DIV/0!</v>
      </c>
      <c r="E69" s="431"/>
      <c r="F69" s="431"/>
      <c r="G69" s="431"/>
      <c r="H69" s="431"/>
      <c r="I69" s="431"/>
      <c r="J69" s="431"/>
      <c r="K69" s="431"/>
      <c r="L69" s="431"/>
      <c r="M69" s="431"/>
      <c r="N69" s="14"/>
      <c r="O69" s="14"/>
      <c r="P69" s="14"/>
      <c r="Q69" s="14"/>
      <c r="R69" s="14"/>
      <c r="S69" s="14"/>
      <c r="T69" s="596" t="s">
        <v>336</v>
      </c>
      <c r="U69" s="33" t="e">
        <f>'Fuel aggregation'!F12/'Fuel aggregation'!F12</f>
        <v>#DIV/0!</v>
      </c>
    </row>
    <row r="70" spans="2:21" x14ac:dyDescent="0.2">
      <c r="B70" s="94"/>
      <c r="C70" s="597" t="s">
        <v>579</v>
      </c>
      <c r="D70" s="573" t="e">
        <f>U70</f>
        <v>#DIV/0!</v>
      </c>
      <c r="E70" s="431"/>
      <c r="F70" s="431"/>
      <c r="G70" s="431"/>
      <c r="H70" s="431"/>
      <c r="I70" s="431"/>
      <c r="J70" s="431"/>
      <c r="K70" s="431"/>
      <c r="L70" s="431"/>
      <c r="M70" s="431"/>
      <c r="N70" s="14"/>
      <c r="O70" s="14"/>
      <c r="P70" s="14"/>
      <c r="Q70" s="14"/>
      <c r="R70" s="14"/>
      <c r="S70" s="14"/>
      <c r="T70" s="595" t="s">
        <v>336</v>
      </c>
      <c r="U70" s="566" t="e">
        <f>'Fuel aggregation'!G12/'Fuel aggregation'!F12</f>
        <v>#DIV/0!</v>
      </c>
    </row>
    <row r="71" spans="2:21" ht="17" thickBot="1" x14ac:dyDescent="0.25">
      <c r="B71" s="554"/>
      <c r="C71" s="552"/>
      <c r="D71" s="555"/>
      <c r="E71" s="571"/>
      <c r="F71" s="552"/>
      <c r="G71" s="552"/>
      <c r="H71" s="552"/>
      <c r="I71" s="552"/>
      <c r="J71" s="552"/>
      <c r="K71" s="552"/>
      <c r="L71" s="552"/>
      <c r="M71" s="552"/>
      <c r="N71" s="550"/>
      <c r="O71" s="550"/>
      <c r="P71" s="550"/>
      <c r="Q71" s="550"/>
      <c r="R71" s="550"/>
      <c r="S71" s="550"/>
      <c r="T71" s="594"/>
      <c r="U71" s="551"/>
    </row>
    <row r="72" spans="2:21" ht="17" thickTop="1" x14ac:dyDescent="0.2">
      <c r="B72" s="432" t="s">
        <v>497</v>
      </c>
      <c r="C72" s="93"/>
      <c r="D72" s="439"/>
      <c r="E72" s="376"/>
      <c r="F72" s="93"/>
      <c r="G72" s="93"/>
      <c r="H72" s="93"/>
      <c r="I72" s="93"/>
      <c r="J72" s="93"/>
      <c r="K72" s="93"/>
      <c r="L72" s="93"/>
      <c r="M72" s="93"/>
      <c r="N72" s="8"/>
      <c r="O72" s="8"/>
      <c r="P72" s="8"/>
      <c r="Q72" s="8"/>
      <c r="R72" s="8"/>
      <c r="S72" s="8"/>
      <c r="T72" s="16"/>
      <c r="U72" s="28"/>
    </row>
    <row r="73" spans="2:21" x14ac:dyDescent="0.2">
      <c r="B73" s="94"/>
      <c r="C73" s="93"/>
      <c r="D73" s="527"/>
      <c r="E73" s="376"/>
      <c r="F73" s="93"/>
      <c r="G73" s="93"/>
      <c r="H73" s="93"/>
      <c r="I73" s="93"/>
      <c r="J73" s="93"/>
      <c r="K73" s="93"/>
      <c r="L73" s="93"/>
      <c r="M73" s="93"/>
      <c r="N73" s="8"/>
      <c r="O73" s="8"/>
      <c r="P73" s="8"/>
      <c r="Q73" s="8"/>
      <c r="R73" s="8"/>
      <c r="S73" s="8"/>
      <c r="T73" s="16"/>
      <c r="U73" s="28"/>
    </row>
    <row r="74" spans="2:21" x14ac:dyDescent="0.2">
      <c r="B74" s="433" t="s">
        <v>235</v>
      </c>
      <c r="C74" s="434" t="s">
        <v>581</v>
      </c>
      <c r="D74" s="530" t="s">
        <v>438</v>
      </c>
      <c r="E74" s="438"/>
      <c r="F74" s="434"/>
      <c r="G74" s="434"/>
      <c r="H74" s="434"/>
      <c r="I74" s="434"/>
      <c r="J74" s="434"/>
      <c r="K74" s="434"/>
      <c r="L74" s="434"/>
      <c r="M74" s="434"/>
      <c r="N74" s="9"/>
      <c r="O74" s="9"/>
      <c r="P74" s="9"/>
      <c r="Q74" s="9"/>
      <c r="R74" s="9"/>
      <c r="S74" s="9"/>
      <c r="T74" s="17"/>
      <c r="U74" s="217"/>
    </row>
    <row r="75" spans="2:21" x14ac:dyDescent="0.2">
      <c r="B75" s="36" t="s">
        <v>227</v>
      </c>
      <c r="C75" s="93"/>
      <c r="D75" s="527"/>
      <c r="E75" s="376"/>
      <c r="F75" s="93"/>
      <c r="G75" s="93"/>
      <c r="H75" s="93"/>
      <c r="I75" s="93"/>
      <c r="J75" s="93"/>
      <c r="K75" s="93"/>
      <c r="L75" s="93"/>
      <c r="M75" s="93"/>
      <c r="N75" s="93"/>
      <c r="O75" s="93"/>
      <c r="P75" s="93"/>
      <c r="Q75" s="93"/>
      <c r="R75" s="93"/>
      <c r="S75" s="93"/>
      <c r="T75" s="376"/>
      <c r="U75" s="210"/>
    </row>
    <row r="76" spans="2:21" x14ac:dyDescent="0.2">
      <c r="B76" s="36"/>
      <c r="C76" s="431" t="s">
        <v>252</v>
      </c>
      <c r="D76" s="605"/>
      <c r="E76" s="547" t="s">
        <v>571</v>
      </c>
      <c r="F76" s="431"/>
      <c r="G76" s="431"/>
      <c r="H76" s="431"/>
      <c r="I76" s="431"/>
      <c r="J76" s="431"/>
      <c r="K76" s="431"/>
      <c r="L76" s="431"/>
      <c r="M76" s="431"/>
      <c r="N76" s="431"/>
      <c r="O76" s="431"/>
      <c r="P76" s="431"/>
      <c r="Q76" s="431"/>
      <c r="R76" s="431"/>
      <c r="S76" s="431"/>
      <c r="T76" s="547"/>
      <c r="U76" s="68"/>
    </row>
    <row r="77" spans="2:21" x14ac:dyDescent="0.2">
      <c r="B77" s="36"/>
      <c r="C77" s="597" t="s">
        <v>216</v>
      </c>
      <c r="D77" s="528" t="e">
        <f>T77</f>
        <v>#DIV/0!</v>
      </c>
      <c r="E77" s="547"/>
      <c r="F77" s="431"/>
      <c r="G77" s="431"/>
      <c r="H77" s="431"/>
      <c r="I77" s="431"/>
      <c r="J77" s="431"/>
      <c r="K77" s="431"/>
      <c r="L77" s="431"/>
      <c r="M77" s="431"/>
      <c r="N77" s="431"/>
      <c r="O77" s="431"/>
      <c r="P77" s="431"/>
      <c r="Q77" s="431"/>
      <c r="R77" s="431"/>
      <c r="S77" s="431"/>
      <c r="T77" s="547" t="e">
        <f>(J76/Q76)*1000</f>
        <v>#DIV/0!</v>
      </c>
      <c r="U77" s="68" t="s">
        <v>336</v>
      </c>
    </row>
    <row r="78" spans="2:21" x14ac:dyDescent="0.2">
      <c r="B78" s="36"/>
      <c r="C78" s="597" t="s">
        <v>217</v>
      </c>
      <c r="D78" s="528" t="e">
        <f>T78</f>
        <v>#DIV/0!</v>
      </c>
      <c r="E78" s="547"/>
      <c r="F78" s="431"/>
      <c r="G78" s="431"/>
      <c r="H78" s="431"/>
      <c r="I78" s="431"/>
      <c r="J78" s="431"/>
      <c r="K78" s="431"/>
      <c r="L78" s="431"/>
      <c r="M78" s="431"/>
      <c r="N78" s="431"/>
      <c r="O78" s="431"/>
      <c r="P78" s="431"/>
      <c r="Q78" s="431"/>
      <c r="R78" s="431"/>
      <c r="S78" s="431"/>
      <c r="T78" s="547" t="e">
        <f>(L76/Q76)*1000</f>
        <v>#DIV/0!</v>
      </c>
      <c r="U78" s="68" t="s">
        <v>336</v>
      </c>
    </row>
    <row r="79" spans="2:21" x14ac:dyDescent="0.2">
      <c r="B79" s="436"/>
      <c r="C79" s="45"/>
      <c r="D79" s="529"/>
      <c r="E79" s="570"/>
      <c r="F79" s="45"/>
      <c r="G79" s="45"/>
      <c r="H79" s="45"/>
      <c r="I79" s="45"/>
      <c r="J79" s="45"/>
      <c r="K79" s="45"/>
      <c r="L79" s="45"/>
      <c r="M79" s="45"/>
      <c r="N79" s="45"/>
      <c r="O79" s="45"/>
      <c r="P79" s="45"/>
      <c r="Q79" s="45"/>
      <c r="R79" s="45"/>
      <c r="S79" s="45"/>
      <c r="T79" s="570"/>
      <c r="U79" s="569"/>
    </row>
    <row r="80" spans="2:21" x14ac:dyDescent="0.2">
      <c r="B80" s="36" t="s">
        <v>228</v>
      </c>
      <c r="C80" s="93"/>
      <c r="D80" s="527"/>
      <c r="E80" s="376"/>
      <c r="F80" s="93"/>
      <c r="G80" s="93"/>
      <c r="H80" s="93"/>
      <c r="I80" s="93"/>
      <c r="J80" s="93"/>
      <c r="K80" s="93"/>
      <c r="L80" s="93"/>
      <c r="M80" s="93"/>
      <c r="N80" s="93"/>
      <c r="O80" s="93"/>
      <c r="P80" s="93"/>
      <c r="Q80" s="93"/>
      <c r="R80" s="93"/>
      <c r="S80" s="93"/>
      <c r="T80" s="376"/>
      <c r="U80" s="210"/>
    </row>
    <row r="81" spans="2:21" x14ac:dyDescent="0.2">
      <c r="B81" s="36"/>
      <c r="C81" s="431" t="s">
        <v>252</v>
      </c>
      <c r="D81" s="605"/>
      <c r="E81" s="547" t="s">
        <v>572</v>
      </c>
      <c r="F81" s="431"/>
      <c r="G81" s="431"/>
      <c r="H81" s="431"/>
      <c r="I81" s="431"/>
      <c r="J81" s="431"/>
      <c r="K81" s="431"/>
      <c r="L81" s="431"/>
      <c r="M81" s="431"/>
      <c r="N81" s="431"/>
      <c r="O81" s="431"/>
      <c r="P81" s="431"/>
      <c r="Q81" s="431"/>
      <c r="R81" s="431"/>
      <c r="S81" s="431"/>
      <c r="T81" s="547"/>
      <c r="U81" s="68"/>
    </row>
    <row r="82" spans="2:21" x14ac:dyDescent="0.2">
      <c r="B82" s="36"/>
      <c r="C82" s="597" t="s">
        <v>216</v>
      </c>
      <c r="D82" s="528" t="e">
        <f>T82</f>
        <v>#DIV/0!</v>
      </c>
      <c r="E82" s="547"/>
      <c r="F82" s="431"/>
      <c r="G82" s="431"/>
      <c r="H82" s="431"/>
      <c r="I82" s="431"/>
      <c r="J82" s="431"/>
      <c r="K82" s="431"/>
      <c r="L82" s="431"/>
      <c r="M82" s="431"/>
      <c r="N82" s="431"/>
      <c r="O82" s="431"/>
      <c r="P82" s="431"/>
      <c r="Q82" s="431"/>
      <c r="R82" s="431"/>
      <c r="S82" s="431"/>
      <c r="T82" s="547" t="e">
        <f>(J81/Q81)*1000</f>
        <v>#DIV/0!</v>
      </c>
      <c r="U82" s="68" t="s">
        <v>336</v>
      </c>
    </row>
    <row r="83" spans="2:21" x14ac:dyDescent="0.2">
      <c r="B83" s="36"/>
      <c r="C83" s="597" t="s">
        <v>217</v>
      </c>
      <c r="D83" s="528" t="e">
        <f>T83</f>
        <v>#DIV/0!</v>
      </c>
      <c r="E83" s="547"/>
      <c r="F83" s="431"/>
      <c r="G83" s="431"/>
      <c r="H83" s="431"/>
      <c r="I83" s="431"/>
      <c r="J83" s="431"/>
      <c r="K83" s="431"/>
      <c r="L83" s="431"/>
      <c r="M83" s="431"/>
      <c r="N83" s="431"/>
      <c r="O83" s="431"/>
      <c r="P83" s="431"/>
      <c r="Q83" s="431"/>
      <c r="R83" s="431"/>
      <c r="S83" s="431"/>
      <c r="T83" s="547" t="e">
        <f>(L81/Q81)*1000</f>
        <v>#DIV/0!</v>
      </c>
      <c r="U83" s="68" t="s">
        <v>336</v>
      </c>
    </row>
    <row r="84" spans="2:21" x14ac:dyDescent="0.2">
      <c r="B84" s="436"/>
      <c r="C84" s="45"/>
      <c r="D84" s="529"/>
      <c r="E84" s="570"/>
      <c r="F84" s="45"/>
      <c r="G84" s="45"/>
      <c r="H84" s="45"/>
      <c r="I84" s="45"/>
      <c r="J84" s="45"/>
      <c r="K84" s="45"/>
      <c r="L84" s="45"/>
      <c r="M84" s="45"/>
      <c r="N84" s="45"/>
      <c r="O84" s="45"/>
      <c r="P84" s="45"/>
      <c r="Q84" s="45"/>
      <c r="R84" s="45"/>
      <c r="S84" s="45"/>
      <c r="T84" s="570"/>
      <c r="U84" s="569"/>
    </row>
    <row r="85" spans="2:21" x14ac:dyDescent="0.2">
      <c r="B85" s="36" t="s">
        <v>229</v>
      </c>
      <c r="C85" s="93"/>
      <c r="D85" s="527"/>
      <c r="E85" s="376"/>
      <c r="F85" s="93"/>
      <c r="G85" s="93"/>
      <c r="H85" s="93"/>
      <c r="I85" s="93"/>
      <c r="J85" s="93"/>
      <c r="K85" s="93"/>
      <c r="L85" s="93"/>
      <c r="M85" s="93"/>
      <c r="N85" s="93"/>
      <c r="O85" s="93"/>
      <c r="P85" s="93"/>
      <c r="Q85" s="93"/>
      <c r="R85" s="93"/>
      <c r="S85" s="93"/>
      <c r="T85" s="376"/>
      <c r="U85" s="210"/>
    </row>
    <row r="86" spans="2:21" x14ac:dyDescent="0.2">
      <c r="B86" s="36"/>
      <c r="C86" s="431" t="s">
        <v>252</v>
      </c>
      <c r="D86" s="605"/>
      <c r="E86" s="547" t="s">
        <v>573</v>
      </c>
      <c r="F86" s="431"/>
      <c r="G86" s="431"/>
      <c r="H86" s="431"/>
      <c r="I86" s="431"/>
      <c r="J86" s="431"/>
      <c r="K86" s="431"/>
      <c r="L86" s="431"/>
      <c r="M86" s="431"/>
      <c r="N86" s="431"/>
      <c r="O86" s="431"/>
      <c r="P86" s="431"/>
      <c r="Q86" s="431"/>
      <c r="R86" s="431"/>
      <c r="S86" s="431"/>
      <c r="T86" s="547"/>
      <c r="U86" s="68"/>
    </row>
    <row r="87" spans="2:21" x14ac:dyDescent="0.2">
      <c r="B87" s="36"/>
      <c r="C87" s="597" t="s">
        <v>216</v>
      </c>
      <c r="D87" s="528" t="e">
        <f>T87</f>
        <v>#DIV/0!</v>
      </c>
      <c r="E87" s="547"/>
      <c r="F87" s="431"/>
      <c r="G87" s="431"/>
      <c r="H87" s="431"/>
      <c r="I87" s="431"/>
      <c r="J87" s="431"/>
      <c r="K87" s="431"/>
      <c r="L87" s="431"/>
      <c r="M87" s="431"/>
      <c r="N87" s="431"/>
      <c r="O87" s="431"/>
      <c r="P87" s="431"/>
      <c r="Q87" s="431"/>
      <c r="R87" s="431"/>
      <c r="S87" s="431"/>
      <c r="T87" s="547" t="e">
        <f>(J86/Q86)*1000</f>
        <v>#DIV/0!</v>
      </c>
      <c r="U87" s="68" t="s">
        <v>336</v>
      </c>
    </row>
    <row r="88" spans="2:21" x14ac:dyDescent="0.2">
      <c r="B88" s="36"/>
      <c r="C88" s="597" t="s">
        <v>217</v>
      </c>
      <c r="D88" s="528" t="e">
        <f>T88</f>
        <v>#DIV/0!</v>
      </c>
      <c r="E88" s="547"/>
      <c r="F88" s="431"/>
      <c r="G88" s="431"/>
      <c r="H88" s="431"/>
      <c r="I88" s="431"/>
      <c r="J88" s="431"/>
      <c r="K88" s="431"/>
      <c r="L88" s="431"/>
      <c r="M88" s="431"/>
      <c r="N88" s="431"/>
      <c r="O88" s="431"/>
      <c r="P88" s="431"/>
      <c r="Q88" s="431"/>
      <c r="R88" s="431"/>
      <c r="S88" s="431"/>
      <c r="T88" s="547" t="e">
        <f>(L86/Q86)*1000</f>
        <v>#DIV/0!</v>
      </c>
      <c r="U88" s="68" t="s">
        <v>336</v>
      </c>
    </row>
    <row r="89" spans="2:21" x14ac:dyDescent="0.2">
      <c r="B89" s="436"/>
      <c r="C89" s="45"/>
      <c r="D89" s="529"/>
      <c r="E89" s="570"/>
      <c r="F89" s="45"/>
      <c r="G89" s="45"/>
      <c r="H89" s="45"/>
      <c r="I89" s="45"/>
      <c r="J89" s="45"/>
      <c r="K89" s="45"/>
      <c r="L89" s="45"/>
      <c r="M89" s="45"/>
      <c r="N89" s="45"/>
      <c r="O89" s="45"/>
      <c r="P89" s="45"/>
      <c r="Q89" s="45"/>
      <c r="R89" s="45"/>
      <c r="S89" s="45"/>
      <c r="T89" s="570"/>
      <c r="U89" s="569"/>
    </row>
    <row r="90" spans="2:21" x14ac:dyDescent="0.2">
      <c r="B90" s="36" t="s">
        <v>230</v>
      </c>
      <c r="C90" s="93"/>
      <c r="D90" s="527"/>
      <c r="E90" s="376"/>
      <c r="F90" s="93"/>
      <c r="G90" s="93"/>
      <c r="H90" s="93"/>
      <c r="I90" s="93"/>
      <c r="J90" s="93"/>
      <c r="K90" s="93"/>
      <c r="L90" s="93"/>
      <c r="M90" s="93"/>
      <c r="N90" s="93"/>
      <c r="O90" s="93"/>
      <c r="P90" s="93"/>
      <c r="Q90" s="93"/>
      <c r="R90" s="93"/>
      <c r="S90" s="93"/>
      <c r="T90" s="376"/>
      <c r="U90" s="210"/>
    </row>
    <row r="91" spans="2:21" x14ac:dyDescent="0.2">
      <c r="B91" s="36"/>
      <c r="C91" s="431" t="s">
        <v>252</v>
      </c>
      <c r="D91" s="605"/>
      <c r="E91" s="547" t="s">
        <v>574</v>
      </c>
      <c r="F91" s="431"/>
      <c r="G91" s="431"/>
      <c r="H91" s="431"/>
      <c r="I91" s="431"/>
      <c r="J91" s="431"/>
      <c r="K91" s="431"/>
      <c r="L91" s="431"/>
      <c r="M91" s="431"/>
      <c r="N91" s="431"/>
      <c r="O91" s="431"/>
      <c r="P91" s="431"/>
      <c r="Q91" s="431"/>
      <c r="R91" s="431"/>
      <c r="S91" s="431"/>
      <c r="T91" s="547"/>
      <c r="U91" s="68"/>
    </row>
    <row r="92" spans="2:21" x14ac:dyDescent="0.2">
      <c r="B92" s="36"/>
      <c r="C92" s="597" t="s">
        <v>216</v>
      </c>
      <c r="D92" s="528" t="e">
        <f>T92</f>
        <v>#DIV/0!</v>
      </c>
      <c r="E92" s="547"/>
      <c r="F92" s="431"/>
      <c r="G92" s="431"/>
      <c r="H92" s="431"/>
      <c r="I92" s="431"/>
      <c r="J92" s="431"/>
      <c r="K92" s="431"/>
      <c r="L92" s="431"/>
      <c r="M92" s="431"/>
      <c r="N92" s="431"/>
      <c r="O92" s="431"/>
      <c r="P92" s="431"/>
      <c r="Q92" s="431"/>
      <c r="R92" s="431"/>
      <c r="S92" s="431"/>
      <c r="T92" s="547" t="e">
        <f>(J91/Q91)*1000</f>
        <v>#DIV/0!</v>
      </c>
      <c r="U92" s="68" t="s">
        <v>336</v>
      </c>
    </row>
    <row r="93" spans="2:21" x14ac:dyDescent="0.2">
      <c r="B93" s="36"/>
      <c r="C93" s="597" t="s">
        <v>217</v>
      </c>
      <c r="D93" s="528" t="e">
        <f>T93</f>
        <v>#DIV/0!</v>
      </c>
      <c r="E93" s="547"/>
      <c r="F93" s="431"/>
      <c r="G93" s="431"/>
      <c r="H93" s="431"/>
      <c r="I93" s="431"/>
      <c r="J93" s="431"/>
      <c r="K93" s="431"/>
      <c r="L93" s="431"/>
      <c r="M93" s="431"/>
      <c r="N93" s="431"/>
      <c r="O93" s="431"/>
      <c r="P93" s="431"/>
      <c r="Q93" s="431"/>
      <c r="R93" s="431"/>
      <c r="S93" s="431"/>
      <c r="T93" s="547" t="e">
        <f>(L91/Q91)*1000</f>
        <v>#DIV/0!</v>
      </c>
      <c r="U93" s="68" t="s">
        <v>336</v>
      </c>
    </row>
    <row r="94" spans="2:21" ht="17" thickBot="1" x14ac:dyDescent="0.25">
      <c r="B94" s="437"/>
      <c r="C94" s="97"/>
      <c r="D94" s="531"/>
      <c r="E94" s="548"/>
      <c r="F94" s="97"/>
      <c r="G94" s="97"/>
      <c r="H94" s="97"/>
      <c r="I94" s="97"/>
      <c r="J94" s="97"/>
      <c r="K94" s="97"/>
      <c r="L94" s="97"/>
      <c r="M94" s="97"/>
      <c r="N94" s="48"/>
      <c r="O94" s="48"/>
      <c r="P94" s="48"/>
      <c r="Q94" s="48"/>
      <c r="R94" s="48"/>
      <c r="S94" s="48"/>
      <c r="T94" s="310"/>
      <c r="U94" s="49"/>
    </row>
  </sheetData>
  <sortState xmlns:xlrd2="http://schemas.microsoft.com/office/spreadsheetml/2017/richdata2" columnSort="1" ref="F9:P9">
    <sortCondition ref="F9:P9"/>
  </sortState>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34</vt:i4>
      </vt:variant>
      <vt:variant>
        <vt:lpstr>Named Ranges</vt:lpstr>
      </vt:variant>
      <vt:variant>
        <vt:i4>18</vt:i4>
      </vt:variant>
    </vt:vector>
  </HeadingPairs>
  <TitlesOfParts>
    <vt:vector size="52"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per carrier per tech</vt:lpstr>
      <vt:lpstr>Shares per burner per tech</vt:lpstr>
      <vt:lpstr>Trans cons factors</vt:lpstr>
      <vt:lpstr>Steel and alu demand</vt:lpstr>
      <vt:lpstr>Steel and alu prod</vt:lpstr>
      <vt:lpstr>Steel and alu eff</vt:lpstr>
      <vt:lpstr>Cokes demand</vt:lpstr>
      <vt:lpstr>Cokes eff</vt:lpstr>
      <vt:lpstr>Other energy use</vt:lpstr>
      <vt:lpstr>Fuel aggregation</vt:lpstr>
      <vt:lpstr>csv_export_to_industry_analysis</vt:lpstr>
      <vt:lpstr>csv_metals_coal_parent_share</vt:lpstr>
      <vt:lpstr>csv_metals_electricity_parent</vt:lpstr>
      <vt:lpstr>csv_metals_network_gas_parent</vt:lpstr>
      <vt:lpstr>csv_metals_steam_hot_water_pare</vt:lpstr>
      <vt:lpstr>csv_industry_burner_aluminium_p</vt:lpstr>
      <vt:lpstr>csv_industry_burner_blastfurnac</vt:lpstr>
      <vt:lpstr>csv_blast_curr_cons_efficiency</vt:lpstr>
      <vt:lpstr>csv_blast_bat_cons_efficiency</vt:lpstr>
      <vt:lpstr>csv_blast_curr_trans_efficiency</vt:lpstr>
      <vt:lpstr>csv_blast_bat_trans_efficiency</vt:lpstr>
      <vt:lpstr>csv_cokesoven_cons_coal_gas</vt:lpstr>
      <vt:lpstr>csv_cokesoven_cons_trans_coal</vt:lpstr>
      <vt:lpstr>csv_metal_demands</vt:lpstr>
      <vt:lpstr>aluminium_production</vt:lpstr>
      <vt:lpstr>base_year</vt:lpstr>
      <vt:lpstr>country</vt:lpstr>
      <vt:lpstr>'Final demand'!Eff_Gas_Heat_Pump</vt:lpstr>
      <vt:lpstr>'Final demand'!Eff_Gas_Heater</vt:lpstr>
      <vt:lpstr>'Final demand'!Eff_Incan_Lamp</vt:lpstr>
      <vt:lpstr>share_aluminium_carbothermal_reduction</vt:lpstr>
      <vt:lpstr>share_aluminium_electrolysis_bat</vt:lpstr>
      <vt:lpstr>share_aluminium_electrolysis_current</vt:lpstr>
      <vt:lpstr>share_aluminium_melting_oven</vt:lpstr>
      <vt:lpstr>share_blast_furnace_burner_coal</vt:lpstr>
      <vt:lpstr>share_blast_furnace_burner_coal_gas</vt:lpstr>
      <vt:lpstr>share_blast_furnace_burner_network_gas</vt:lpstr>
      <vt:lpstr>share_steel_blast_furnace_bat</vt:lpstr>
      <vt:lpstr>share_steel_blast_furnace_current</vt:lpstr>
      <vt:lpstr>share_steel_cyclone</vt:lpstr>
      <vt:lpstr>share_steel_electric</vt:lpstr>
      <vt:lpstr>steel_production</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Mathijs Bijkerk</cp:lastModifiedBy>
  <cp:lastPrinted>2013-07-12T12:54:24Z</cp:lastPrinted>
  <dcterms:created xsi:type="dcterms:W3CDTF">2013-06-25T11:11:29Z</dcterms:created>
  <dcterms:modified xsi:type="dcterms:W3CDTF">2021-06-22T15:17:43Z</dcterms:modified>
  <cp:category/>
</cp:coreProperties>
</file>