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iekeverweij/Projects/etdataset/source_analyses/nl/2015/5_industry/"/>
    </mc:Choice>
  </mc:AlternateContent>
  <xr:revisionPtr revIDLastSave="0" documentId="13_ncr:1_{6CBC36F9-8DAD-0D45-A98C-FDD20FF8425D}" xr6:coauthVersionLast="45" xr6:coauthVersionMax="45" xr10:uidLastSave="{00000000-0000-0000-0000-000000000000}"/>
  <bookViews>
    <workbookView xWindow="0" yWindow="460" windowWidth="25600" windowHeight="28340" xr2:uid="{5D412156-C054-0D45-BDBC-04ABAE19B944}"/>
  </bookViews>
  <sheets>
    <sheet name="Introduction" sheetId="2" r:id="rId1"/>
    <sheet name="Calcu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E28" i="2"/>
  <c r="E27" i="2"/>
  <c r="E23" i="2"/>
  <c r="E22" i="2"/>
  <c r="E18" i="2"/>
  <c r="E17" i="2"/>
  <c r="E33" i="2"/>
  <c r="E29" i="2" l="1"/>
  <c r="E24" i="2"/>
  <c r="E19" i="2"/>
  <c r="D37" i="1" l="1"/>
  <c r="F37" i="1" s="1"/>
  <c r="G37" i="1" s="1"/>
  <c r="E37" i="1" l="1"/>
  <c r="C57" i="1" l="1"/>
  <c r="C58" i="1" s="1"/>
  <c r="C47" i="1"/>
  <c r="C48" i="1" s="1"/>
  <c r="D50" i="1" l="1"/>
  <c r="D51" i="1"/>
  <c r="C41" i="1"/>
  <c r="D38" i="1"/>
  <c r="F38" i="1" s="1"/>
  <c r="G38" i="1" s="1"/>
  <c r="D52" i="1" l="1"/>
  <c r="H37" i="1"/>
  <c r="E38" i="1"/>
  <c r="H38" i="1" s="1"/>
  <c r="G39" i="1"/>
  <c r="D39" i="1"/>
  <c r="E39" i="1" s="1"/>
</calcChain>
</file>

<file path=xl/sharedStrings.xml><?xml version="1.0" encoding="utf-8"?>
<sst xmlns="http://schemas.openxmlformats.org/spreadsheetml/2006/main" count="60" uniqueCount="39">
  <si>
    <t>warmte 80 graden</t>
  </si>
  <si>
    <t>Processen/vloeistof</t>
  </si>
  <si>
    <t>Chemie</t>
  </si>
  <si>
    <t>shares</t>
  </si>
  <si>
    <t>Totaal rookgassen</t>
  </si>
  <si>
    <t>Overige warmte</t>
  </si>
  <si>
    <t>Kunstmest</t>
  </si>
  <si>
    <t>Totale warmtevraag ETM (PJ)</t>
  </si>
  <si>
    <t>Totale warmtevraag rapport (PJ)</t>
  </si>
  <si>
    <t>Demand Haber-Bosch</t>
  </si>
  <si>
    <t>shares t.o.v. HB</t>
  </si>
  <si>
    <t>Rapport</t>
  </si>
  <si>
    <t>Totaal gemodelleerde restwarmte chemie</t>
  </si>
  <si>
    <t>Raffinaderijen</t>
  </si>
  <si>
    <t>Finaal energiebruik rapport</t>
  </si>
  <si>
    <t>Finaal energiebruik ETM</t>
  </si>
  <si>
    <t>Warmtevraag ETM</t>
  </si>
  <si>
    <t>Aangenomen warmtevraag rapport</t>
  </si>
  <si>
    <t>Totaal rookgassenwarmte (80C)</t>
  </si>
  <si>
    <t>Processen/vloeistof (80C)</t>
  </si>
  <si>
    <t>Datacenters</t>
  </si>
  <si>
    <t>PUE</t>
  </si>
  <si>
    <t>Elektriciteit naar servers</t>
  </si>
  <si>
    <t>Dus bruikbare warmte</t>
  </si>
  <si>
    <t>restwarmte (PJ)</t>
  </si>
  <si>
    <t>Restwarmtebenutting. Potentiëlen, besparing, alternatieven (ECN, 2011) p.35-38</t>
  </si>
  <si>
    <t>Omdat de kunstmestindustrie uitvoeriger is gemodelleerd in het ETM dan de chemie, hebben we meer bewerkingstappen moeten uitvoeren om de shares te bepalen</t>
  </si>
  <si>
    <t>Opmerkingen:</t>
  </si>
  <si>
    <t>De restwarmtepotenties voor de kunstmestindustrie zijn gelijk getrokken aan de chemie (o.b.v. interview Wouter Wetzels TNO)</t>
  </si>
  <si>
    <t xml:space="preserve">Residual heat from chemical sector [% of useful heat demand] </t>
  </si>
  <si>
    <t>Residual heat from flue gasses</t>
  </si>
  <si>
    <t>%</t>
  </si>
  <si>
    <t>Residual heat from processes</t>
  </si>
  <si>
    <t>Heat that cannot be recovered</t>
  </si>
  <si>
    <t xml:space="preserve">Residual heat from refineries [% of useful heat demand] </t>
  </si>
  <si>
    <t xml:space="preserve">Residual heat from fertilizer industry [% of useful heat demand] </t>
  </si>
  <si>
    <t xml:space="preserve">Residual heat from ICT [% of useful electricity demand] </t>
  </si>
  <si>
    <t>Residual heat from servers</t>
  </si>
  <si>
    <t>Outcomes (see next sheet for calculations)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</si>
</sst>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0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0" xfId="0" applyFont="1" applyBorder="1"/>
    <xf numFmtId="9" fontId="2" fillId="0" borderId="0" xfId="1" applyFont="1" applyBorder="1"/>
    <xf numFmtId="2" fontId="0" fillId="0" borderId="0" xfId="0" applyNumberFormat="1" applyFont="1" applyBorder="1"/>
    <xf numFmtId="2" fontId="1" fillId="0" borderId="5" xfId="0" applyNumberFormat="1" applyFont="1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2" xfId="0" applyBorder="1"/>
    <xf numFmtId="166" fontId="0" fillId="0" borderId="0" xfId="0" applyNumberFormat="1" applyBorder="1"/>
    <xf numFmtId="164" fontId="0" fillId="0" borderId="5" xfId="0" applyNumberFormat="1" applyBorder="1"/>
    <xf numFmtId="9" fontId="2" fillId="0" borderId="5" xfId="1" applyFont="1" applyBorder="1"/>
    <xf numFmtId="9" fontId="2" fillId="0" borderId="8" xfId="1" applyFont="1" applyBorder="1"/>
    <xf numFmtId="9" fontId="0" fillId="0" borderId="5" xfId="1" applyFont="1" applyBorder="1"/>
    <xf numFmtId="0" fontId="5" fillId="0" borderId="0" xfId="0" applyFont="1"/>
    <xf numFmtId="0" fontId="0" fillId="2" borderId="0" xfId="0" applyFill="1"/>
    <xf numFmtId="1" fontId="0" fillId="2" borderId="0" xfId="0" applyNumberFormat="1" applyFill="1"/>
    <xf numFmtId="9" fontId="0" fillId="2" borderId="9" xfId="1" applyFont="1" applyFill="1" applyBorder="1"/>
    <xf numFmtId="9" fontId="0" fillId="2" borderId="10" xfId="1" applyFont="1" applyFill="1" applyBorder="1"/>
    <xf numFmtId="9" fontId="0" fillId="2" borderId="0" xfId="1" applyFont="1" applyFill="1" applyBorder="1"/>
    <xf numFmtId="0" fontId="6" fillId="2" borderId="0" xfId="0" applyFont="1" applyFill="1" applyBorder="1"/>
    <xf numFmtId="0" fontId="0" fillId="2" borderId="0" xfId="0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63500</xdr:rowOff>
    </xdr:from>
    <xdr:to>
      <xdr:col>9</xdr:col>
      <xdr:colOff>228600</xdr:colOff>
      <xdr:row>11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4A3A00-D14F-3B49-87BF-52F55B3B2AE2}"/>
            </a:ext>
          </a:extLst>
        </xdr:cNvPr>
        <xdr:cNvSpPr txBox="1"/>
      </xdr:nvSpPr>
      <xdr:spPr>
        <a:xfrm>
          <a:off x="355600" y="266700"/>
          <a:ext cx="730250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analysis calculates</a:t>
          </a:r>
          <a:r>
            <a:rPr lang="en-GB" sz="1100" baseline="0"/>
            <a:t> the potential residual heat shares for the following industrial sectors:</a:t>
          </a:r>
        </a:p>
        <a:p>
          <a:r>
            <a:rPr lang="en-GB" sz="1100" baseline="0"/>
            <a:t>- chemical industry</a:t>
          </a:r>
        </a:p>
        <a:p>
          <a:r>
            <a:rPr lang="en-GB" sz="1100" baseline="0"/>
            <a:t>- refineries</a:t>
          </a:r>
        </a:p>
        <a:p>
          <a:r>
            <a:rPr lang="en-GB" sz="1100" baseline="0"/>
            <a:t>- fertilizers</a:t>
          </a:r>
        </a:p>
        <a:p>
          <a:r>
            <a:rPr lang="en-GB" sz="1100" baseline="0"/>
            <a:t>- ICT</a:t>
          </a:r>
        </a:p>
        <a:p>
          <a:endParaRPr lang="en-GB" sz="1100" baseline="0"/>
        </a:p>
        <a:p>
          <a:r>
            <a:rPr lang="en-GB" sz="1100" baseline="0"/>
            <a:t>The potential shares are based on this report: </a:t>
          </a:r>
          <a:r>
            <a:rPr lang="en-GB"/>
            <a:t>Restwarmtebenutting. Potentiëlen, besparing, alternatieven (ECN, 2011)</a:t>
          </a:r>
          <a:br>
            <a:rPr lang="en-GB"/>
          </a:br>
          <a:r>
            <a:rPr lang="en-GB"/>
            <a:t>Link: https://publicaties.ecn.nl/ECN-E--11-058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Marlieke Verweij</a:t>
          </a:r>
          <a:r>
            <a:rPr lang="en-GB"/>
            <a:t> </a:t>
          </a: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Quintel Intelligence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/>
            <a:t> </a:t>
          </a:r>
          <a:endParaRPr lang="en-GB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</xdr:row>
      <xdr:rowOff>152400</xdr:rowOff>
    </xdr:from>
    <xdr:to>
      <xdr:col>7</xdr:col>
      <xdr:colOff>742422</xdr:colOff>
      <xdr:row>28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E5E0E4-6779-3545-97E6-91472EFA3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558800"/>
          <a:ext cx="7968722" cy="524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66B6-58A5-D44A-A6F0-3A80A0DCEF3D}">
  <dimension ref="B14:E34"/>
  <sheetViews>
    <sheetView tabSelected="1" workbookViewId="0">
      <selection activeCell="D13" sqref="D13"/>
    </sheetView>
  </sheetViews>
  <sheetFormatPr baseColWidth="10" defaultRowHeight="16" x14ac:dyDescent="0.2"/>
  <cols>
    <col min="3" max="3" width="35.33203125" customWidth="1"/>
    <col min="4" max="4" width="6.5" customWidth="1"/>
  </cols>
  <sheetData>
    <row r="14" spans="2:5" x14ac:dyDescent="0.2">
      <c r="B14" t="s">
        <v>38</v>
      </c>
    </row>
    <row r="16" spans="2:5" ht="17" thickBot="1" x14ac:dyDescent="0.25">
      <c r="B16" s="31" t="s">
        <v>29</v>
      </c>
      <c r="C16" s="26"/>
      <c r="D16" s="27"/>
      <c r="E16" s="26"/>
    </row>
    <row r="17" spans="2:5" ht="17" thickBot="1" x14ac:dyDescent="0.25">
      <c r="B17" s="32"/>
      <c r="C17" s="26" t="s">
        <v>30</v>
      </c>
      <c r="D17" s="27" t="s">
        <v>31</v>
      </c>
      <c r="E17" s="28">
        <f>Calculation!D37</f>
        <v>0.1125</v>
      </c>
    </row>
    <row r="18" spans="2:5" ht="17" thickBot="1" x14ac:dyDescent="0.25">
      <c r="B18" s="32"/>
      <c r="C18" s="26" t="s">
        <v>32</v>
      </c>
      <c r="D18" s="27" t="s">
        <v>31</v>
      </c>
      <c r="E18" s="29">
        <f>Calculation!D38</f>
        <v>0.16250000000000001</v>
      </c>
    </row>
    <row r="19" spans="2:5" x14ac:dyDescent="0.2">
      <c r="B19" s="32"/>
      <c r="C19" s="26" t="s">
        <v>33</v>
      </c>
      <c r="D19" s="27" t="s">
        <v>31</v>
      </c>
      <c r="E19" s="30">
        <f>1-E17-E18</f>
        <v>0.72499999999999998</v>
      </c>
    </row>
    <row r="20" spans="2:5" x14ac:dyDescent="0.2">
      <c r="B20" s="32"/>
      <c r="C20" s="26"/>
      <c r="D20" s="27"/>
      <c r="E20" s="26"/>
    </row>
    <row r="21" spans="2:5" ht="17" thickBot="1" x14ac:dyDescent="0.25">
      <c r="B21" s="31" t="s">
        <v>34</v>
      </c>
      <c r="C21" s="26"/>
      <c r="D21" s="27"/>
      <c r="E21" s="26"/>
    </row>
    <row r="22" spans="2:5" ht="17" thickBot="1" x14ac:dyDescent="0.25">
      <c r="B22" s="32"/>
      <c r="C22" s="26" t="s">
        <v>30</v>
      </c>
      <c r="D22" s="27" t="s">
        <v>31</v>
      </c>
      <c r="E22" s="28">
        <f>Calculation!D50</f>
        <v>0.18118934137110551</v>
      </c>
    </row>
    <row r="23" spans="2:5" ht="17" thickBot="1" x14ac:dyDescent="0.25">
      <c r="B23" s="32"/>
      <c r="C23" s="26" t="s">
        <v>32</v>
      </c>
      <c r="D23" s="27" t="s">
        <v>31</v>
      </c>
      <c r="E23" s="29">
        <f>Calculation!D51</f>
        <v>0.28990294619376883</v>
      </c>
    </row>
    <row r="24" spans="2:5" x14ac:dyDescent="0.2">
      <c r="B24" s="32"/>
      <c r="C24" s="26" t="s">
        <v>33</v>
      </c>
      <c r="D24" s="27" t="s">
        <v>31</v>
      </c>
      <c r="E24" s="30">
        <f>1-E22-E23</f>
        <v>0.52890771243512558</v>
      </c>
    </row>
    <row r="25" spans="2:5" x14ac:dyDescent="0.2">
      <c r="B25" s="32"/>
      <c r="C25" s="26"/>
      <c r="D25" s="27"/>
      <c r="E25" s="26"/>
    </row>
    <row r="26" spans="2:5" ht="17" thickBot="1" x14ac:dyDescent="0.25">
      <c r="B26" s="31" t="s">
        <v>35</v>
      </c>
      <c r="C26" s="26"/>
      <c r="D26" s="27"/>
      <c r="E26" s="26"/>
    </row>
    <row r="27" spans="2:5" ht="17" thickBot="1" x14ac:dyDescent="0.25">
      <c r="B27" s="32"/>
      <c r="C27" s="26" t="s">
        <v>30</v>
      </c>
      <c r="D27" s="27" t="s">
        <v>31</v>
      </c>
      <c r="E27" s="28">
        <f>Calculation!G37</f>
        <v>2.6100000000000002E-2</v>
      </c>
    </row>
    <row r="28" spans="2:5" ht="17" thickBot="1" x14ac:dyDescent="0.25">
      <c r="B28" s="32"/>
      <c r="C28" s="26" t="s">
        <v>32</v>
      </c>
      <c r="D28" s="27" t="s">
        <v>31</v>
      </c>
      <c r="E28" s="29">
        <f>Calculation!G38</f>
        <v>3.7699999999999997E-2</v>
      </c>
    </row>
    <row r="29" spans="2:5" x14ac:dyDescent="0.2">
      <c r="B29" s="32"/>
      <c r="C29" s="26" t="s">
        <v>33</v>
      </c>
      <c r="D29" s="27" t="s">
        <v>31</v>
      </c>
      <c r="E29" s="30">
        <f>1-E27-E28</f>
        <v>0.93620000000000003</v>
      </c>
    </row>
    <row r="30" spans="2:5" x14ac:dyDescent="0.2">
      <c r="B30" s="32"/>
      <c r="C30" s="26"/>
      <c r="D30" s="27"/>
      <c r="E30" s="26"/>
    </row>
    <row r="31" spans="2:5" ht="17" thickBot="1" x14ac:dyDescent="0.25">
      <c r="B31" s="31" t="s">
        <v>36</v>
      </c>
      <c r="C31" s="26"/>
      <c r="D31" s="27"/>
      <c r="E31" s="26"/>
    </row>
    <row r="32" spans="2:5" ht="17" thickBot="1" x14ac:dyDescent="0.25">
      <c r="B32" s="32"/>
      <c r="C32" s="26" t="s">
        <v>37</v>
      </c>
      <c r="D32" s="27" t="s">
        <v>31</v>
      </c>
      <c r="E32" s="29">
        <f>Calculation!C58</f>
        <v>0.76923076923076916</v>
      </c>
    </row>
    <row r="33" spans="2:5" x14ac:dyDescent="0.2">
      <c r="B33" s="32"/>
      <c r="C33" s="26" t="s">
        <v>33</v>
      </c>
      <c r="D33" s="27" t="s">
        <v>31</v>
      </c>
      <c r="E33" s="30">
        <f>1-E32</f>
        <v>0.23076923076923084</v>
      </c>
    </row>
    <row r="34" spans="2:5" x14ac:dyDescent="0.2">
      <c r="B34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1B9E-3B2D-FE48-BB76-74256A8BCA4D}">
  <dimension ref="B2:H62"/>
  <sheetViews>
    <sheetView zoomScaleNormal="100" workbookViewId="0">
      <selection activeCell="B33" sqref="B33"/>
    </sheetView>
  </sheetViews>
  <sheetFormatPr baseColWidth="10" defaultRowHeight="16" x14ac:dyDescent="0.2"/>
  <cols>
    <col min="2" max="2" width="26.6640625" customWidth="1"/>
    <col min="3" max="3" width="16.33203125" customWidth="1"/>
    <col min="4" max="4" width="11.83203125" customWidth="1"/>
    <col min="5" max="5" width="13.6640625" customWidth="1"/>
    <col min="6" max="6" width="13.83203125" customWidth="1"/>
    <col min="7" max="7" width="14.1640625" customWidth="1"/>
  </cols>
  <sheetData>
    <row r="2" spans="2:2" ht="24" x14ac:dyDescent="0.3">
      <c r="B2" s="25" t="s">
        <v>25</v>
      </c>
    </row>
    <row r="31" spans="2:2" x14ac:dyDescent="0.2">
      <c r="B31" s="1" t="s">
        <v>27</v>
      </c>
    </row>
    <row r="32" spans="2:2" x14ac:dyDescent="0.2">
      <c r="B32" t="s">
        <v>28</v>
      </c>
    </row>
    <row r="33" spans="2:8" x14ac:dyDescent="0.2">
      <c r="B33" t="s">
        <v>26</v>
      </c>
    </row>
    <row r="35" spans="2:8" x14ac:dyDescent="0.2">
      <c r="B35" s="2"/>
      <c r="C35" s="3" t="s">
        <v>11</v>
      </c>
      <c r="D35" s="4" t="s">
        <v>2</v>
      </c>
      <c r="E35" s="4"/>
      <c r="F35" s="4" t="s">
        <v>6</v>
      </c>
      <c r="G35" s="4"/>
      <c r="H35" s="5" t="s">
        <v>12</v>
      </c>
    </row>
    <row r="36" spans="2:8" x14ac:dyDescent="0.2">
      <c r="B36" s="6"/>
      <c r="C36" s="7" t="s">
        <v>0</v>
      </c>
      <c r="D36" s="8" t="s">
        <v>3</v>
      </c>
      <c r="E36" s="7" t="s">
        <v>24</v>
      </c>
      <c r="F36" s="7" t="s">
        <v>24</v>
      </c>
      <c r="G36" s="7" t="s">
        <v>10</v>
      </c>
      <c r="H36" s="9"/>
    </row>
    <row r="37" spans="2:8" x14ac:dyDescent="0.2">
      <c r="B37" s="6" t="s">
        <v>4</v>
      </c>
      <c r="C37" s="10">
        <v>27</v>
      </c>
      <c r="D37" s="11">
        <f>C37/C$40</f>
        <v>0.1125</v>
      </c>
      <c r="E37" s="12">
        <f>D37*D$41</f>
        <v>21.092625000000002</v>
      </c>
      <c r="F37" s="12">
        <f>D37*F$41</f>
        <v>2.3591250000000001</v>
      </c>
      <c r="G37" s="11">
        <f>ROUND(F37/F$42,4)</f>
        <v>2.6100000000000002E-2</v>
      </c>
      <c r="H37" s="13">
        <f>E37+F37</f>
        <v>23.451750000000001</v>
      </c>
    </row>
    <row r="38" spans="2:8" x14ac:dyDescent="0.2">
      <c r="B38" s="6" t="s">
        <v>1</v>
      </c>
      <c r="C38" s="10">
        <v>39</v>
      </c>
      <c r="D38" s="11">
        <f>C38/C$40</f>
        <v>0.16250000000000001</v>
      </c>
      <c r="E38" s="12">
        <f t="shared" ref="E38:E39" si="0">D38*D$41</f>
        <v>30.467125000000003</v>
      </c>
      <c r="F38" s="12">
        <f>D38*F$41</f>
        <v>3.4076249999999999</v>
      </c>
      <c r="G38" s="11">
        <f>ROUND(F38/F$42,4)</f>
        <v>3.7699999999999997E-2</v>
      </c>
      <c r="H38" s="13">
        <f>E38+F38</f>
        <v>33.874750000000006</v>
      </c>
    </row>
    <row r="39" spans="2:8" x14ac:dyDescent="0.2">
      <c r="B39" s="6" t="s">
        <v>5</v>
      </c>
      <c r="C39" s="10"/>
      <c r="D39" s="11">
        <f>1-SUM(D37:D38)</f>
        <v>0.72499999999999998</v>
      </c>
      <c r="E39" s="12">
        <f t="shared" si="0"/>
        <v>135.93025</v>
      </c>
      <c r="F39" s="12"/>
      <c r="G39" s="14">
        <f>1-G38-G37</f>
        <v>0.93620000000000003</v>
      </c>
      <c r="H39" s="9"/>
    </row>
    <row r="40" spans="2:8" x14ac:dyDescent="0.2">
      <c r="B40" s="6" t="s">
        <v>8</v>
      </c>
      <c r="C40" s="10">
        <v>240</v>
      </c>
      <c r="D40" s="7"/>
      <c r="E40" s="7"/>
      <c r="F40" s="7"/>
      <c r="G40" s="7"/>
      <c r="H40" s="9"/>
    </row>
    <row r="41" spans="2:8" x14ac:dyDescent="0.2">
      <c r="B41" s="6" t="s">
        <v>7</v>
      </c>
      <c r="C41" s="7">
        <f>SUM(D41:F41)</f>
        <v>208.46</v>
      </c>
      <c r="D41" s="7">
        <v>187.49</v>
      </c>
      <c r="E41" s="7"/>
      <c r="F41" s="7">
        <v>20.97</v>
      </c>
      <c r="G41" s="7"/>
      <c r="H41" s="9"/>
    </row>
    <row r="42" spans="2:8" x14ac:dyDescent="0.2">
      <c r="B42" s="15" t="s">
        <v>9</v>
      </c>
      <c r="C42" s="16"/>
      <c r="D42" s="16"/>
      <c r="E42" s="16"/>
      <c r="F42" s="16">
        <v>90.37</v>
      </c>
      <c r="G42" s="16"/>
      <c r="H42" s="17"/>
    </row>
    <row r="44" spans="2:8" x14ac:dyDescent="0.2">
      <c r="B44" s="18" t="s">
        <v>13</v>
      </c>
      <c r="C44" s="19"/>
      <c r="D44" s="5"/>
    </row>
    <row r="45" spans="2:8" x14ac:dyDescent="0.2">
      <c r="B45" s="6" t="s">
        <v>14</v>
      </c>
      <c r="C45" s="20">
        <v>170</v>
      </c>
      <c r="D45" s="9"/>
    </row>
    <row r="46" spans="2:8" x14ac:dyDescent="0.2">
      <c r="B46" s="6" t="s">
        <v>15</v>
      </c>
      <c r="C46" s="20">
        <v>159.01</v>
      </c>
      <c r="D46" s="9"/>
    </row>
    <row r="47" spans="2:8" x14ac:dyDescent="0.2">
      <c r="B47" s="6" t="s">
        <v>16</v>
      </c>
      <c r="C47" s="20">
        <f>129057390200/1000000000</f>
        <v>129.05739019999999</v>
      </c>
      <c r="D47" s="9"/>
    </row>
    <row r="48" spans="2:8" x14ac:dyDescent="0.2">
      <c r="B48" s="6" t="s">
        <v>17</v>
      </c>
      <c r="C48" s="20">
        <f>(C47/C46)*C45</f>
        <v>137.97721108106407</v>
      </c>
      <c r="D48" s="9"/>
    </row>
    <row r="49" spans="2:4" x14ac:dyDescent="0.2">
      <c r="B49" s="6"/>
      <c r="C49" s="7" t="s">
        <v>0</v>
      </c>
      <c r="D49" s="21" t="s">
        <v>3</v>
      </c>
    </row>
    <row r="50" spans="2:4" x14ac:dyDescent="0.2">
      <c r="B50" s="6" t="s">
        <v>18</v>
      </c>
      <c r="C50" s="7">
        <v>25</v>
      </c>
      <c r="D50" s="22">
        <f>C50/C$48</f>
        <v>0.18118934137110551</v>
      </c>
    </row>
    <row r="51" spans="2:4" x14ac:dyDescent="0.2">
      <c r="B51" s="6" t="s">
        <v>19</v>
      </c>
      <c r="C51" s="7">
        <v>40</v>
      </c>
      <c r="D51" s="22">
        <f>C51/C$48</f>
        <v>0.28990294619376883</v>
      </c>
    </row>
    <row r="52" spans="2:4" x14ac:dyDescent="0.2">
      <c r="B52" s="15" t="s">
        <v>5</v>
      </c>
      <c r="C52" s="16"/>
      <c r="D52" s="23">
        <f>1-D50-D51</f>
        <v>0.52890771243512558</v>
      </c>
    </row>
    <row r="55" spans="2:4" x14ac:dyDescent="0.2">
      <c r="B55" s="18" t="s">
        <v>20</v>
      </c>
      <c r="C55" s="5"/>
    </row>
    <row r="56" spans="2:4" x14ac:dyDescent="0.2">
      <c r="B56" s="6" t="s">
        <v>21</v>
      </c>
      <c r="C56" s="9">
        <v>1.3</v>
      </c>
    </row>
    <row r="57" spans="2:4" x14ac:dyDescent="0.2">
      <c r="B57" s="6" t="s">
        <v>22</v>
      </c>
      <c r="C57" s="24">
        <f>1/C56</f>
        <v>0.76923076923076916</v>
      </c>
    </row>
    <row r="58" spans="2:4" x14ac:dyDescent="0.2">
      <c r="B58" s="15" t="s">
        <v>23</v>
      </c>
      <c r="C58" s="23">
        <f>C57</f>
        <v>0.76923076923076916</v>
      </c>
    </row>
    <row r="62" spans="2:4" x14ac:dyDescent="0.2">
      <c r="B62" s="1"/>
    </row>
  </sheetData>
  <mergeCells count="2">
    <mergeCell ref="D35:E35"/>
    <mergeCell ref="F35:G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Marlieke Verweij</dc:creator>
  <cp:lastModifiedBy>Marlieke Verweij</cp:lastModifiedBy>
  <dcterms:created xsi:type="dcterms:W3CDTF">2020-01-27T08:21:42Z</dcterms:created>
  <dcterms:modified xsi:type="dcterms:W3CDTF">2020-02-11T15:07:45Z</dcterms:modified>
</cp:coreProperties>
</file>