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ijsbijkerk/Projects/etdataset/source_analyses/nl/2019/7_services/"/>
    </mc:Choice>
  </mc:AlternateContent>
  <xr:revisionPtr revIDLastSave="0" documentId="13_ncr:1_{F175A127-7748-9D46-BC5C-7E819D3C42F4}" xr6:coauthVersionLast="47" xr6:coauthVersionMax="47" xr10:uidLastSave="{00000000-0000-0000-0000-000000000000}"/>
  <bookViews>
    <workbookView xWindow="0" yWindow="500" windowWidth="38400" windowHeight="19920" tabRatio="500" activeTab="1" xr2:uid="{00000000-000D-0000-FFFF-FFFF00000000}"/>
  </bookViews>
  <sheets>
    <sheet name="Source and Assumptions" sheetId="8" r:id="rId1"/>
    <sheet name="Final demand" sheetId="5" r:id="rId2"/>
    <sheet name="Space heating" sheetId="6" r:id="rId3"/>
  </sheets>
  <externalReferences>
    <externalReference r:id="rId4"/>
  </externalReferences>
  <definedNames>
    <definedName name="Final_demand_space_heating">[1]Dashboard!$E$23</definedName>
    <definedName name="TWh_to_TJ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5" l="1"/>
  <c r="D6" i="5" s="1"/>
  <c r="E30" i="5"/>
  <c r="E31" i="5"/>
  <c r="E29" i="5"/>
  <c r="C6" i="5"/>
  <c r="D12" i="5"/>
  <c r="E44" i="6" l="1"/>
  <c r="E41" i="6"/>
  <c r="C32" i="6"/>
  <c r="C37" i="6"/>
  <c r="C41" i="6"/>
  <c r="D22" i="6"/>
  <c r="C33" i="6"/>
  <c r="D33" i="6" s="1"/>
  <c r="B17" i="6"/>
  <c r="B16" i="6"/>
  <c r="H15" i="6"/>
  <c r="G15" i="6"/>
  <c r="E15" i="6"/>
  <c r="D15" i="6"/>
  <c r="C23" i="6"/>
  <c r="C22" i="6"/>
  <c r="H17" i="6"/>
  <c r="G17" i="6"/>
  <c r="E17" i="6"/>
  <c r="D17" i="6"/>
  <c r="C17" i="6"/>
  <c r="C16" i="6"/>
  <c r="H16" i="6"/>
  <c r="G16" i="6"/>
  <c r="E16" i="6"/>
  <c r="D16" i="6"/>
  <c r="D32" i="6" l="1"/>
  <c r="D9" i="5"/>
  <c r="C37" i="5"/>
  <c r="F30" i="5" s="1"/>
  <c r="F29" i="5"/>
  <c r="F31" i="5"/>
  <c r="C8" i="5" l="1"/>
  <c r="D8" i="5" s="1"/>
  <c r="C7" i="5"/>
  <c r="D7" i="5" s="1"/>
  <c r="D23" i="6" l="1"/>
  <c r="C18" i="6"/>
  <c r="F16" i="6" s="1"/>
  <c r="F17" i="6" l="1"/>
  <c r="C42" i="6"/>
  <c r="E42" i="6" s="1"/>
  <c r="F42" i="6" l="1"/>
  <c r="C48" i="6" s="1"/>
  <c r="F41" i="6"/>
  <c r="C47" i="6" s="1"/>
  <c r="C49" i="6"/>
</calcChain>
</file>

<file path=xl/sharedStrings.xml><?xml version="1.0" encoding="utf-8"?>
<sst xmlns="http://schemas.openxmlformats.org/spreadsheetml/2006/main" count="215" uniqueCount="114">
  <si>
    <t>TJ</t>
  </si>
  <si>
    <t>Data extracted from CBS and conversion definitions</t>
  </si>
  <si>
    <t>Geleverd vermogen [MWh]</t>
  </si>
  <si>
    <t>Warmtepompen</t>
  </si>
  <si>
    <t xml:space="preserve"> aantallen, thermisch vermogen en energiestromen</t>
  </si>
  <si>
    <t>Onderwerpen</t>
  </si>
  <si>
    <t>Aantal warmtepompen</t>
  </si>
  <si>
    <t>Thermisch vermogen</t>
  </si>
  <si>
    <t>Energiestromen</t>
  </si>
  <si>
    <t>Vermeden verbruik van fossiele energie</t>
  </si>
  <si>
    <t>Vermeden emissie kooldioxide (CO2)</t>
  </si>
  <si>
    <t>Conversion MWh to TJ</t>
  </si>
  <si>
    <t>MWh/TJ</t>
  </si>
  <si>
    <t xml:space="preserve"> </t>
  </si>
  <si>
    <t>Sector</t>
  </si>
  <si>
    <t>Perioden</t>
  </si>
  <si>
    <t>aantal</t>
  </si>
  <si>
    <t>MW-thermisch</t>
  </si>
  <si>
    <t>mln kg</t>
  </si>
  <si>
    <t>Technology specifications ETM</t>
  </si>
  <si>
    <t>ambient_heat</t>
  </si>
  <si>
    <t>buildings_space_heater_collective_heatpump_water_water_ts_electricity</t>
  </si>
  <si>
    <t>agriculture_heatpump_water_water_ts_electricity</t>
  </si>
  <si>
    <t>Energy usage heat pumps with thermal storage</t>
  </si>
  <si>
    <t>Ambient heat usage [TJ]</t>
  </si>
  <si>
    <t>Electric heat pump with thermal storage</t>
  </si>
  <si>
    <t>Gas-fired heater</t>
  </si>
  <si>
    <t>Oil-fired heater</t>
  </si>
  <si>
    <t>Biomass-fired heater</t>
  </si>
  <si>
    <t>Woningen</t>
  </si>
  <si>
    <t>Geothermal</t>
  </si>
  <si>
    <t>CHP and heat network</t>
  </si>
  <si>
    <t>Technology</t>
  </si>
  <si>
    <t>Final demand converted per technology (TJ)</t>
  </si>
  <si>
    <t>Effiency per technology</t>
  </si>
  <si>
    <t>Useful demand created per technology (TJ)</t>
  </si>
  <si>
    <t>Percentage of heat delivered per technology (%)</t>
  </si>
  <si>
    <t>Utiliteitsgebouwen, kassen en stallen</t>
  </si>
  <si>
    <t>Paste in 7_services_analysis</t>
  </si>
  <si>
    <t xml:space="preserve">Remaining final energy demand for space heating, after solar thermal panels, biomass heaters and district heating: </t>
  </si>
  <si>
    <t>Assumption: just heat pumps with thermal storage and gas-fired heaters</t>
  </si>
  <si>
    <t>Source</t>
  </si>
  <si>
    <t>RVO, energiecijfers databank</t>
  </si>
  <si>
    <t>link</t>
  </si>
  <si>
    <t>Energieverbruik per functie   [PJ]     -  Nederland</t>
  </si>
  <si>
    <t>2017</t>
  </si>
  <si>
    <t>2018</t>
  </si>
  <si>
    <t>2019</t>
  </si>
  <si>
    <t>Ruimteverwarming</t>
  </si>
  <si>
    <t>Productbereiding en -koeling, horeca</t>
  </si>
  <si>
    <t>Tapwaterverwarming</t>
  </si>
  <si>
    <t>Ruimtekoeling en ventilatie</t>
  </si>
  <si>
    <t>Diversen</t>
  </si>
  <si>
    <t>Verlichting</t>
  </si>
  <si>
    <t>ICT</t>
  </si>
  <si>
    <t>Transport</t>
  </si>
  <si>
    <t>Energieverbruik dienstensector totaal</t>
  </si>
  <si>
    <t>https://energiecijfers.databank.nl/jive?workspace_guid=485754f9-7b9f-4b9e-b141-8fbaf6c02571</t>
  </si>
  <si>
    <t>Dashboard inputs</t>
  </si>
  <si>
    <t>Final energy demand used for Space Heating</t>
  </si>
  <si>
    <t>Final energy demand used for Space Cooling</t>
  </si>
  <si>
    <t>Final energy demand used for Lighting</t>
  </si>
  <si>
    <t>PJ</t>
  </si>
  <si>
    <t>Brondata voor schatting geleverde elektriciteit</t>
  </si>
  <si>
    <t>Elektriciteitsverbruik Informatie en communicatie (SBI J)  - Nederland</t>
  </si>
  <si>
    <t>Geleverde elektriciteit datacenters Nederland totaal</t>
  </si>
  <si>
    <t>Eenheid</t>
  </si>
  <si>
    <t>kWh</t>
  </si>
  <si>
    <t>GWh</t>
  </si>
  <si>
    <t>Bron</t>
  </si>
  <si>
    <t>Klimaatmonitor: CBS - Statistiek energieverbruik bedrijven en instellingen</t>
  </si>
  <si>
    <t>CBS - Publicatietabel datacenters elektriciteitsleveringen</t>
  </si>
  <si>
    <t>GWh to TJ</t>
  </si>
  <si>
    <t>Final electricity demand used for central ICT</t>
  </si>
  <si>
    <t>Warmtepompen buitenluchtwarmte; water</t>
  </si>
  <si>
    <t>Warmtepompen buitenluchtwarmte; lucht</t>
  </si>
  <si>
    <t>Warmtepompen buitenluchtwarmte; totaal</t>
  </si>
  <si>
    <t>Warmtepompen bodemwarmte; open</t>
  </si>
  <si>
    <t>Warmtepompen bodemwarmte; gesloten</t>
  </si>
  <si>
    <t>Warmtepompen bodemwarmte; totaal</t>
  </si>
  <si>
    <t>Warmtepompen; totaal</t>
  </si>
  <si>
    <t>Totaal gebouwen</t>
  </si>
  <si>
    <t>Energiestromen|Onttrekking warmte uit bodem of lucht</t>
  </si>
  <si>
    <t>Energiestromen|Verbruik van elektriciteit en aardgas</t>
  </si>
  <si>
    <t>Energiestromen|Bruto warmteproductie warmtepompen</t>
  </si>
  <si>
    <t>Thermisch vermogen van warmtepompen|Opgesteld thermisch vermogen einde jaar</t>
  </si>
  <si>
    <t>Thermisch vermogen van warmtepompen|Uit gebruik genomen thermisch vermogen</t>
  </si>
  <si>
    <t>Thermisch vermogen van warmtepompen|In gebruik genomen thermisch vermogen</t>
  </si>
  <si>
    <t>Warmtepompen|Opgestelde warmtepompen einde van jaar</t>
  </si>
  <si>
    <t>Warmtepompen|Uit gebruik genomen warmtepompen</t>
  </si>
  <si>
    <t>Warmtepompen|In gebruik genomen warmtepompen</t>
  </si>
  <si>
    <t>https://opendata.cbs.nl/statline/#/CBS/nl/dataset/82380NED/table?dl=3BB87</t>
  </si>
  <si>
    <t>Final demand for coal (TJ)</t>
  </si>
  <si>
    <t>Final demand for network gas (TJ)</t>
  </si>
  <si>
    <t>Final demand for oil (TJ)</t>
  </si>
  <si>
    <t>Final demand for woodpellets (TJ)</t>
  </si>
  <si>
    <t>Final demand for Solar thermal (TJ)</t>
  </si>
  <si>
    <t>Final demand for electricity (TJ)</t>
  </si>
  <si>
    <t>Final demand for heat (TJ)</t>
  </si>
  <si>
    <t>INSERT FROM SERVICES ANALYSIS</t>
  </si>
  <si>
    <t>Solar thermal panels</t>
  </si>
  <si>
    <t>District heating</t>
  </si>
  <si>
    <t>Split between buildings and agticulture</t>
  </si>
  <si>
    <t>Buildings</t>
  </si>
  <si>
    <t>Agriculture</t>
  </si>
  <si>
    <t>electricity</t>
  </si>
  <si>
    <t>Electricity [TJ}</t>
  </si>
  <si>
    <t>Ambient heat</t>
  </si>
  <si>
    <t>Oil heater</t>
  </si>
  <si>
    <t>OIl</t>
  </si>
  <si>
    <t xml:space="preserve">Removed, because in the ETM it is not possible to change the oil in the heating section. </t>
  </si>
  <si>
    <t>Elektriciteitsverbruik SBI J [TJ]</t>
  </si>
  <si>
    <t>Elektriciteitsverbruik datacenters [TJ]</t>
  </si>
  <si>
    <t>The final demand post in the source analysis does not include ambient heat.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</si>
</sst>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%"/>
    <numFmt numFmtId="166" formatCode="0.0"/>
    <numFmt numFmtId="167" formatCode="#,##0.000000000"/>
    <numFmt numFmtId="168" formatCode="0.00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333333"/>
      <name val="Helvetica Neue"/>
      <family val="2"/>
    </font>
    <font>
      <sz val="13"/>
      <color theme="1"/>
      <name val="Helvetica Neue"/>
      <family val="2"/>
    </font>
    <font>
      <b/>
      <sz val="10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CDCDC"/>
      </patternFill>
    </fill>
    <fill>
      <patternFill patternType="solid">
        <fgColor rgb="FFDCDCDC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/>
      <right style="thin">
        <color rgb="FFFF0000"/>
      </right>
      <top style="thin">
        <color rgb="FFFF0000"/>
      </top>
      <bottom style="thin">
        <color auto="1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</borders>
  <cellStyleXfs count="8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0" fontId="0" fillId="2" borderId="5" xfId="0" applyFill="1" applyBorder="1"/>
    <xf numFmtId="0" fontId="0" fillId="2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11" xfId="0" applyFill="1" applyBorder="1"/>
    <xf numFmtId="10" fontId="0" fillId="0" borderId="7" xfId="0" applyNumberFormat="1" applyFill="1" applyBorder="1"/>
    <xf numFmtId="9" fontId="0" fillId="0" borderId="7" xfId="0" applyNumberFormat="1" applyFill="1" applyBorder="1"/>
    <xf numFmtId="10" fontId="6" fillId="0" borderId="7" xfId="0" applyNumberFormat="1" applyFont="1" applyBorder="1"/>
    <xf numFmtId="0" fontId="0" fillId="2" borderId="1" xfId="0" applyFill="1" applyBorder="1"/>
    <xf numFmtId="0" fontId="0" fillId="2" borderId="2" xfId="0" applyFill="1" applyBorder="1"/>
    <xf numFmtId="0" fontId="0" fillId="0" borderId="12" xfId="0" applyFill="1" applyBorder="1"/>
    <xf numFmtId="2" fontId="0" fillId="0" borderId="0" xfId="0" applyNumberFormat="1" applyFill="1" applyBorder="1"/>
    <xf numFmtId="2" fontId="0" fillId="0" borderId="2" xfId="0" applyNumberFormat="1" applyFill="1" applyBorder="1"/>
    <xf numFmtId="0" fontId="0" fillId="0" borderId="5" xfId="0" applyFill="1" applyBorder="1" applyAlignment="1">
      <alignment horizontal="left" indent="1"/>
    </xf>
    <xf numFmtId="165" fontId="1" fillId="0" borderId="11" xfId="85" applyNumberFormat="1" applyFont="1" applyFill="1" applyBorder="1"/>
    <xf numFmtId="165" fontId="5" fillId="0" borderId="11" xfId="85" applyNumberFormat="1" applyFont="1" applyFill="1" applyBorder="1"/>
    <xf numFmtId="0" fontId="0" fillId="0" borderId="6" xfId="0" applyFill="1" applyBorder="1" applyAlignment="1">
      <alignment horizontal="left" indent="1"/>
    </xf>
    <xf numFmtId="165" fontId="5" fillId="0" borderId="12" xfId="85" applyNumberFormat="1" applyFont="1" applyFill="1" applyBorder="1"/>
    <xf numFmtId="0" fontId="1" fillId="0" borderId="3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wrapText="1"/>
    </xf>
    <xf numFmtId="166" fontId="0" fillId="0" borderId="0" xfId="86" applyNumberFormat="1" applyFont="1" applyFill="1" applyBorder="1"/>
    <xf numFmtId="4" fontId="5" fillId="0" borderId="0" xfId="86" applyNumberFormat="1" applyFont="1" applyFill="1" applyBorder="1"/>
    <xf numFmtId="166" fontId="0" fillId="0" borderId="2" xfId="86" applyNumberFormat="1" applyFont="1" applyFill="1" applyBorder="1"/>
    <xf numFmtId="4" fontId="5" fillId="0" borderId="2" xfId="86" applyNumberFormat="1" applyFont="1" applyFill="1" applyBorder="1"/>
    <xf numFmtId="0" fontId="0" fillId="0" borderId="3" xfId="0" applyFont="1" applyFill="1" applyBorder="1" applyAlignment="1">
      <alignment wrapText="1"/>
    </xf>
    <xf numFmtId="0" fontId="0" fillId="0" borderId="4" xfId="0" applyFill="1" applyBorder="1"/>
    <xf numFmtId="3" fontId="5" fillId="0" borderId="7" xfId="85" applyNumberFormat="1" applyFont="1" applyFill="1" applyBorder="1"/>
    <xf numFmtId="4" fontId="0" fillId="0" borderId="0" xfId="86" applyNumberFormat="1" applyFont="1" applyFill="1" applyBorder="1"/>
    <xf numFmtId="165" fontId="2" fillId="0" borderId="11" xfId="86" applyNumberFormat="1" applyFont="1" applyFill="1" applyBorder="1"/>
    <xf numFmtId="167" fontId="0" fillId="0" borderId="2" xfId="86" applyNumberFormat="1" applyFont="1" applyFill="1" applyBorder="1"/>
    <xf numFmtId="0" fontId="1" fillId="0" borderId="4" xfId="0" applyFont="1" applyFill="1" applyBorder="1" applyAlignment="1">
      <alignment wrapText="1"/>
    </xf>
    <xf numFmtId="164" fontId="0" fillId="0" borderId="0" xfId="0" applyNumberFormat="1"/>
    <xf numFmtId="0" fontId="8" fillId="3" borderId="4" xfId="0" applyFont="1" applyFill="1" applyBorder="1"/>
    <xf numFmtId="0" fontId="0" fillId="0" borderId="13" xfId="0" applyBorder="1"/>
    <xf numFmtId="0" fontId="8" fillId="4" borderId="13" xfId="0" applyFont="1" applyFill="1" applyBorder="1" applyAlignment="1">
      <alignment wrapText="1"/>
    </xf>
    <xf numFmtId="0" fontId="8" fillId="4" borderId="4" xfId="0" applyFont="1" applyFill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8" fillId="4" borderId="14" xfId="0" applyFont="1" applyFill="1" applyBorder="1"/>
    <xf numFmtId="0" fontId="10" fillId="0" borderId="12" xfId="0" applyFont="1" applyBorder="1"/>
    <xf numFmtId="0" fontId="10" fillId="6" borderId="0" xfId="0" applyFont="1" applyFill="1"/>
    <xf numFmtId="0" fontId="10" fillId="0" borderId="13" xfId="0" applyFont="1" applyBorder="1"/>
    <xf numFmtId="0" fontId="10" fillId="0" borderId="4" xfId="0" applyFont="1" applyBorder="1"/>
    <xf numFmtId="0" fontId="10" fillId="0" borderId="14" xfId="0" applyFont="1" applyBorder="1"/>
    <xf numFmtId="0" fontId="10" fillId="0" borderId="12" xfId="0" applyFont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7" borderId="0" xfId="0" applyFill="1"/>
    <xf numFmtId="0" fontId="3" fillId="2" borderId="0" xfId="87" applyFill="1"/>
    <xf numFmtId="0" fontId="0" fillId="2" borderId="0" xfId="0" applyFill="1" applyBorder="1"/>
    <xf numFmtId="0" fontId="1" fillId="2" borderId="0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1" fillId="2" borderId="18" xfId="0" applyFont="1" applyFill="1" applyBorder="1" applyAlignment="1">
      <alignment vertical="top" wrapText="1"/>
    </xf>
    <xf numFmtId="0" fontId="1" fillId="2" borderId="19" xfId="0" applyFont="1" applyFill="1" applyBorder="1" applyAlignment="1">
      <alignment vertical="top" wrapText="1"/>
    </xf>
    <xf numFmtId="3" fontId="0" fillId="0" borderId="20" xfId="0" applyNumberFormat="1" applyBorder="1" applyAlignment="1">
      <alignment vertical="top" wrapText="1"/>
    </xf>
    <xf numFmtId="3" fontId="0" fillId="0" borderId="21" xfId="0" applyNumberFormat="1" applyBorder="1" applyAlignment="1">
      <alignment vertical="top" wrapText="1"/>
    </xf>
    <xf numFmtId="3" fontId="0" fillId="0" borderId="22" xfId="0" applyNumberFormat="1" applyBorder="1" applyAlignment="1">
      <alignment vertical="top" wrapText="1"/>
    </xf>
    <xf numFmtId="3" fontId="0" fillId="0" borderId="0" xfId="0" applyNumberFormat="1" applyBorder="1" applyAlignment="1">
      <alignment vertical="top" wrapText="1"/>
    </xf>
    <xf numFmtId="3" fontId="0" fillId="0" borderId="0" xfId="0" applyNumberFormat="1"/>
    <xf numFmtId="0" fontId="11" fillId="2" borderId="23" xfId="0" applyFont="1" applyFill="1" applyBorder="1"/>
    <xf numFmtId="0" fontId="0" fillId="2" borderId="24" xfId="0" applyFill="1" applyBorder="1"/>
    <xf numFmtId="0" fontId="0" fillId="2" borderId="18" xfId="0" applyFill="1" applyBorder="1"/>
    <xf numFmtId="3" fontId="0" fillId="0" borderId="18" xfId="0" applyNumberFormat="1" applyBorder="1" applyAlignment="1">
      <alignment vertical="top" wrapText="1"/>
    </xf>
    <xf numFmtId="0" fontId="0" fillId="2" borderId="19" xfId="0" applyFill="1" applyBorder="1"/>
    <xf numFmtId="0" fontId="0" fillId="2" borderId="20" xfId="0" applyFill="1" applyBorder="1"/>
    <xf numFmtId="0" fontId="0" fillId="2" borderId="22" xfId="0" applyFill="1" applyBorder="1"/>
    <xf numFmtId="9" fontId="7" fillId="0" borderId="7" xfId="0" applyNumberFormat="1" applyFont="1" applyFill="1" applyBorder="1"/>
    <xf numFmtId="3" fontId="0" fillId="2" borderId="0" xfId="0" applyNumberFormat="1" applyFill="1"/>
    <xf numFmtId="1" fontId="0" fillId="0" borderId="13" xfId="0" applyNumberFormat="1" applyBorder="1"/>
    <xf numFmtId="1" fontId="0" fillId="0" borderId="0" xfId="0" applyNumberFormat="1"/>
    <xf numFmtId="168" fontId="0" fillId="0" borderId="0" xfId="0" applyNumberFormat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7" builtinId="8"/>
    <cellStyle name="Normal" xfId="0" builtinId="0"/>
    <cellStyle name="Per cent" xfId="85" builtinId="5"/>
    <cellStyle name="Percent 2" xfId="86" xr:uid="{00000000-0005-0000-0000-000056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4</xdr:row>
      <xdr:rowOff>50800</xdr:rowOff>
    </xdr:from>
    <xdr:to>
      <xdr:col>8</xdr:col>
      <xdr:colOff>215900</xdr:colOff>
      <xdr:row>35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5247C1-6CB0-2340-9B03-DA7758B163A7}"/>
            </a:ext>
          </a:extLst>
        </xdr:cNvPr>
        <xdr:cNvSpPr txBox="1"/>
      </xdr:nvSpPr>
      <xdr:spPr>
        <a:xfrm>
          <a:off x="876300" y="863600"/>
          <a:ext cx="8051800" cy="6362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Applicance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Final demand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Final energy demand used for Space ,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Space 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Cooling and and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Lighting</a:t>
          </a:r>
          <a:r>
            <a:rPr lang="en-GB"/>
            <a:t> are</a:t>
          </a:r>
          <a:r>
            <a:rPr lang="en-GB" baseline="0"/>
            <a:t> derived from the RVO: https://energiecijfers.databank.nl/jive?workspace_guid=7f9277c8-426b-460d-8780-c45a3dec57d7</a:t>
          </a:r>
        </a:p>
        <a:p>
          <a:r>
            <a:rPr lang="en-GB" baseline="0"/>
            <a:t>The space heating is reduced with oil (moved to transport sector) and ambient heat (not part of the final energy demand in the services analysis.)</a:t>
          </a:r>
        </a:p>
        <a:p>
          <a:endParaRPr lang="en-GB" baseline="0"/>
        </a:p>
        <a:p>
          <a:r>
            <a:rPr lang="en-GB" baseline="0"/>
            <a:t>Datacenters are derived from the CBS, this is not equal to SBI J, but a separate post: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CBS - Publicatietabel datacenters elektriciteitsleveringen</a:t>
          </a:r>
          <a:r>
            <a:rPr lang="en-GB"/>
            <a:t> </a:t>
          </a:r>
        </a:p>
        <a:p>
          <a:endParaRPr lang="en-GB" baseline="0"/>
        </a:p>
        <a:p>
          <a:r>
            <a:rPr lang="en-GB" baseline="0"/>
            <a:t>Space heating</a:t>
          </a:r>
        </a:p>
        <a:p>
          <a:r>
            <a:rPr lang="en-GB" baseline="0"/>
            <a:t>The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Percentage of useful heat delivered by the remaining technologies 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caculated in the tab space heatin. CBS is the main source. It is assumed that nog gas-fired heat pumps are used</a:t>
          </a:r>
          <a:r>
            <a:rPr lang="en-GB" baseline="0"/>
            <a:t>. All heat pumps are labeled as '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Electric heat pumps with thermal storage'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because the ETM does not have other heat pumps. Due to this the ambient heat is overestimated. </a:t>
          </a:r>
        </a:p>
        <a:p>
          <a:endParaRPr lang="en-GB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Lighting</a:t>
          </a:r>
        </a:p>
        <a:p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Lighting is based on a rough estimation of the market penetration of LED. see 2020052021_rough_led_lighting_estimation in folder  source_analysis &gt; residences</a:t>
          </a:r>
        </a:p>
        <a:p>
          <a:endParaRPr lang="en-GB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Space cooling</a:t>
          </a:r>
        </a:p>
        <a:p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is assumed that the % of </a:t>
          </a:r>
          <a:r>
            <a:rPr lang="en-GB" baseline="0"/>
            <a:t>as '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Electric heat pumps with thermal storage' is equal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heating. The other space cooling is assumed to be done with air conditioning. </a:t>
          </a:r>
        </a:p>
        <a:p>
          <a:endParaRPr lang="en-GB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</xdr:row>
      <xdr:rowOff>76200</xdr:rowOff>
    </xdr:from>
    <xdr:to>
      <xdr:col>5</xdr:col>
      <xdr:colOff>203200</xdr:colOff>
      <xdr:row>3</xdr:row>
      <xdr:rowOff>118533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23900" y="279400"/>
          <a:ext cx="11078633" cy="4487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CBS only provides data about installed capacity and delivered heat for agriculture and utilities sector combined</a:t>
          </a:r>
        </a:p>
        <a:p>
          <a:r>
            <a:rPr lang="en-US" sz="1100"/>
            <a:t>It is assumed that the split of heat pumps between the agriculture and the utilities sector is the same as for the 2013 dataset</a:t>
          </a:r>
        </a:p>
      </xdr:txBody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304800</xdr:colOff>
      <xdr:row>26</xdr:row>
      <xdr:rowOff>88900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9CF16503-4289-1942-9E41-303C4339B5BB}"/>
            </a:ext>
          </a:extLst>
        </xdr:cNvPr>
        <xdr:cNvSpPr>
          <a:spLocks noChangeAspect="1" noChangeArrowheads="1"/>
        </xdr:cNvSpPr>
      </xdr:nvSpPr>
      <xdr:spPr bwMode="auto">
        <a:xfrm>
          <a:off x="10033000" y="760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592666</xdr:colOff>
      <xdr:row>21</xdr:row>
      <xdr:rowOff>203200</xdr:rowOff>
    </xdr:from>
    <xdr:to>
      <xdr:col>6</xdr:col>
      <xdr:colOff>3136900</xdr:colOff>
      <xdr:row>36</xdr:row>
      <xdr:rowOff>285594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8685E1-6C90-224E-90DC-EC4AA1185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4133" y="6993467"/>
          <a:ext cx="5880100" cy="32827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tlubben/Projects/etdataset/analyses/7_services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echnical_specs"/>
      <sheetName val="Application shares"/>
      <sheetName val="Technology shares"/>
      <sheetName val="Final demand per energy carrier"/>
      <sheetName val="Technology split final demand"/>
      <sheetName val="Final demand extracted from EB"/>
      <sheetName val="Fuel aggregation"/>
      <sheetName val="Tech split of useful demand"/>
      <sheetName val="csv_ps_final_demand_lighting"/>
      <sheetName val="csv_ps_space_heating_electricit"/>
      <sheetName val="csv_ps_cooling_electricity"/>
      <sheetName val="csv_ps_space_heating_gas"/>
      <sheetName val="csv_ps_final_demand_coal"/>
      <sheetName val="csv_ps_final_demand_gas"/>
      <sheetName val="csv_ps_final_demand_oil"/>
      <sheetName val="csv_ps_final_demand_electricity"/>
      <sheetName val="csv_ps_final_demand_wood_p"/>
      <sheetName val="csv_heating_useful_insulation"/>
      <sheetName val="csv_cooling_useful_insulation"/>
      <sheetName val="csv_light_saving_detection"/>
      <sheetName val="csv_light_saving_control"/>
      <sheetName val="csv_ps_sector_electric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opendata.cbs.nl/statli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C8DEB-8740-F94D-BA36-9AAC5844DD5F}">
  <dimension ref="B2:B4"/>
  <sheetViews>
    <sheetView workbookViewId="0">
      <selection activeCell="B2" sqref="B2"/>
    </sheetView>
  </sheetViews>
  <sheetFormatPr baseColWidth="10" defaultRowHeight="16" x14ac:dyDescent="0.2"/>
  <cols>
    <col min="2" max="2" width="38.5" bestFit="1" customWidth="1"/>
  </cols>
  <sheetData>
    <row r="2" spans="2:2" x14ac:dyDescent="0.2">
      <c r="B2" s="4"/>
    </row>
    <row r="3" spans="2:2" x14ac:dyDescent="0.2">
      <c r="B3" s="4"/>
    </row>
    <row r="4" spans="2:2" x14ac:dyDescent="0.2">
      <c r="B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D6" sqref="D6"/>
    </sheetView>
  </sheetViews>
  <sheetFormatPr baseColWidth="10" defaultRowHeight="16" x14ac:dyDescent="0.2"/>
  <cols>
    <col min="2" max="2" width="39.6640625" customWidth="1"/>
    <col min="3" max="3" width="19.1640625" customWidth="1"/>
    <col min="4" max="4" width="12.6640625" customWidth="1"/>
    <col min="5" max="5" width="18.1640625" customWidth="1"/>
    <col min="6" max="6" width="19.5" customWidth="1"/>
  </cols>
  <sheetData>
    <row r="1" spans="1:5" x14ac:dyDescent="0.2">
      <c r="A1" t="s">
        <v>41</v>
      </c>
      <c r="B1" t="s">
        <v>42</v>
      </c>
    </row>
    <row r="2" spans="1:5" x14ac:dyDescent="0.2">
      <c r="A2" t="s">
        <v>43</v>
      </c>
      <c r="B2" t="s">
        <v>57</v>
      </c>
    </row>
    <row r="5" spans="1:5" x14ac:dyDescent="0.2">
      <c r="B5" t="s">
        <v>58</v>
      </c>
      <c r="C5" t="s">
        <v>62</v>
      </c>
      <c r="D5" t="s">
        <v>0</v>
      </c>
    </row>
    <row r="6" spans="1:5" x14ac:dyDescent="0.2">
      <c r="B6" s="4" t="s">
        <v>59</v>
      </c>
      <c r="C6">
        <f>E17</f>
        <v>149.5</v>
      </c>
      <c r="D6" s="79">
        <f>C6*1000-D11-D12</f>
        <v>138755.14942999999</v>
      </c>
    </row>
    <row r="7" spans="1:5" x14ac:dyDescent="0.2">
      <c r="B7" s="4" t="s">
        <v>60</v>
      </c>
      <c r="C7">
        <f>E20</f>
        <v>14.7</v>
      </c>
      <c r="D7" s="43">
        <f t="shared" ref="D7:D8" si="0">C7*1000</f>
        <v>14700</v>
      </c>
    </row>
    <row r="8" spans="1:5" x14ac:dyDescent="0.2">
      <c r="B8" s="4" t="s">
        <v>61</v>
      </c>
      <c r="C8">
        <f>E22</f>
        <v>41.9</v>
      </c>
      <c r="D8" s="43">
        <f t="shared" si="0"/>
        <v>41900</v>
      </c>
    </row>
    <row r="9" spans="1:5" x14ac:dyDescent="0.2">
      <c r="B9" s="4" t="s">
        <v>73</v>
      </c>
      <c r="D9" s="43">
        <f>F31</f>
        <v>9864</v>
      </c>
    </row>
    <row r="11" spans="1:5" x14ac:dyDescent="0.2">
      <c r="B11" s="4" t="s">
        <v>107</v>
      </c>
      <c r="D11">
        <f>'Space heating'!U51+'Space heating'!U57</f>
        <v>6363</v>
      </c>
      <c r="E11" t="s">
        <v>113</v>
      </c>
    </row>
    <row r="12" spans="1:5" x14ac:dyDescent="0.2">
      <c r="B12" s="4" t="s">
        <v>109</v>
      </c>
      <c r="D12" s="69">
        <f>'Space heating'!C44</f>
        <v>4381.8505699999996</v>
      </c>
      <c r="E12" t="s">
        <v>110</v>
      </c>
    </row>
    <row r="15" spans="1:5" x14ac:dyDescent="0.2">
      <c r="B15" s="42" t="s">
        <v>44</v>
      </c>
    </row>
    <row r="16" spans="1:5" x14ac:dyDescent="0.2">
      <c r="B16" s="42"/>
      <c r="C16" s="42" t="s">
        <v>45</v>
      </c>
      <c r="D16" s="42" t="s">
        <v>46</v>
      </c>
      <c r="E16" s="42" t="s">
        <v>47</v>
      </c>
    </row>
    <row r="17" spans="2:7" x14ac:dyDescent="0.2">
      <c r="B17" s="42" t="s">
        <v>48</v>
      </c>
      <c r="C17" s="43">
        <v>153.6</v>
      </c>
      <c r="D17" s="43">
        <v>153.4</v>
      </c>
      <c r="E17" s="43">
        <v>149.5</v>
      </c>
    </row>
    <row r="18" spans="2:7" x14ac:dyDescent="0.2">
      <c r="B18" s="42" t="s">
        <v>49</v>
      </c>
      <c r="C18" s="43">
        <v>19.600000000000001</v>
      </c>
      <c r="D18" s="43">
        <v>20.2</v>
      </c>
      <c r="E18" s="43">
        <v>20.100000000000001</v>
      </c>
    </row>
    <row r="19" spans="2:7" x14ac:dyDescent="0.2">
      <c r="B19" s="42" t="s">
        <v>50</v>
      </c>
      <c r="C19" s="43">
        <v>3.6</v>
      </c>
      <c r="D19" s="43">
        <v>3.7</v>
      </c>
      <c r="E19" s="43">
        <v>3.6</v>
      </c>
    </row>
    <row r="20" spans="2:7" x14ac:dyDescent="0.2">
      <c r="B20" s="42" t="s">
        <v>51</v>
      </c>
      <c r="C20" s="43">
        <v>14.4</v>
      </c>
      <c r="D20" s="43">
        <v>14.8</v>
      </c>
      <c r="E20" s="43">
        <v>14.7</v>
      </c>
    </row>
    <row r="21" spans="2:7" x14ac:dyDescent="0.2">
      <c r="B21" s="42" t="s">
        <v>52</v>
      </c>
      <c r="C21" s="43">
        <v>16.600000000000001</v>
      </c>
      <c r="D21" s="43">
        <v>17.3</v>
      </c>
      <c r="E21" s="43">
        <v>17.5</v>
      </c>
    </row>
    <row r="22" spans="2:7" x14ac:dyDescent="0.2">
      <c r="B22" s="42" t="s">
        <v>53</v>
      </c>
      <c r="C22" s="43">
        <v>44.7</v>
      </c>
      <c r="D22" s="43">
        <v>44.5</v>
      </c>
      <c r="E22" s="43">
        <v>41.9</v>
      </c>
    </row>
    <row r="23" spans="2:7" x14ac:dyDescent="0.2">
      <c r="B23" s="42" t="s">
        <v>54</v>
      </c>
      <c r="C23" s="43">
        <v>12.3</v>
      </c>
      <c r="D23" s="43">
        <v>12.2</v>
      </c>
      <c r="E23" s="43">
        <v>11.8</v>
      </c>
    </row>
    <row r="24" spans="2:7" x14ac:dyDescent="0.2">
      <c r="B24" s="42" t="s">
        <v>55</v>
      </c>
      <c r="C24" s="43">
        <v>2.7</v>
      </c>
      <c r="D24" s="43">
        <v>2.8</v>
      </c>
      <c r="E24" s="43">
        <v>2.8</v>
      </c>
      <c r="G24" s="1"/>
    </row>
    <row r="25" spans="2:7" x14ac:dyDescent="0.2">
      <c r="B25" s="42" t="s">
        <v>56</v>
      </c>
      <c r="C25" s="43">
        <v>267.5</v>
      </c>
      <c r="D25" s="43">
        <v>269</v>
      </c>
      <c r="E25" s="43">
        <v>262</v>
      </c>
      <c r="G25" s="1"/>
    </row>
    <row r="26" spans="2:7" x14ac:dyDescent="0.2">
      <c r="G26" s="41"/>
    </row>
    <row r="27" spans="2:7" x14ac:dyDescent="0.2">
      <c r="G27" s="41"/>
    </row>
    <row r="28" spans="2:7" ht="85" x14ac:dyDescent="0.2">
      <c r="B28" s="44" t="s">
        <v>63</v>
      </c>
      <c r="C28" s="45" t="s">
        <v>64</v>
      </c>
      <c r="D28" s="46" t="s">
        <v>65</v>
      </c>
      <c r="E28" s="2" t="s">
        <v>111</v>
      </c>
      <c r="F28" s="2" t="s">
        <v>112</v>
      </c>
    </row>
    <row r="29" spans="2:7" x14ac:dyDescent="0.2">
      <c r="B29" s="47">
        <v>2017</v>
      </c>
      <c r="C29" s="48">
        <v>2829223000</v>
      </c>
      <c r="D29" s="48">
        <v>1647</v>
      </c>
      <c r="E29" s="80">
        <f>C29/1000000*$C$37</f>
        <v>10185.202800000001</v>
      </c>
      <c r="F29">
        <f>D29*$C$37</f>
        <v>5929.2</v>
      </c>
    </row>
    <row r="30" spans="2:7" x14ac:dyDescent="0.2">
      <c r="B30" s="47">
        <v>2018</v>
      </c>
      <c r="C30" s="48">
        <v>3629873000</v>
      </c>
      <c r="D30" s="48">
        <v>2360</v>
      </c>
      <c r="E30" s="80">
        <f t="shared" ref="E30:E31" si="1">C30/1000000*$C$37</f>
        <v>13067.542800000001</v>
      </c>
      <c r="F30">
        <f>D30*$C$37</f>
        <v>8496</v>
      </c>
    </row>
    <row r="31" spans="2:7" x14ac:dyDescent="0.2">
      <c r="B31" s="47">
        <v>2019</v>
      </c>
      <c r="C31" s="48">
        <v>4018758000</v>
      </c>
      <c r="D31" s="48">
        <v>2740</v>
      </c>
      <c r="E31" s="81">
        <f t="shared" si="1"/>
        <v>14467.5288</v>
      </c>
      <c r="F31">
        <f>D31*$C$37</f>
        <v>9864</v>
      </c>
    </row>
    <row r="32" spans="2:7" x14ac:dyDescent="0.2">
      <c r="B32" s="49"/>
      <c r="C32" s="49"/>
      <c r="D32" s="49"/>
    </row>
    <row r="33" spans="2:4" x14ac:dyDescent="0.2">
      <c r="B33" s="50" t="s">
        <v>66</v>
      </c>
      <c r="C33" s="51" t="s">
        <v>67</v>
      </c>
      <c r="D33" s="51" t="s">
        <v>68</v>
      </c>
    </row>
    <row r="34" spans="2:4" ht="102" x14ac:dyDescent="0.2">
      <c r="B34" s="52" t="s">
        <v>69</v>
      </c>
      <c r="C34" s="53" t="s">
        <v>70</v>
      </c>
      <c r="D34" s="53" t="s">
        <v>71</v>
      </c>
    </row>
    <row r="37" spans="2:4" x14ac:dyDescent="0.2">
      <c r="B37" t="s">
        <v>72</v>
      </c>
      <c r="C37">
        <f>3.6</f>
        <v>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Z78"/>
  <sheetViews>
    <sheetView topLeftCell="I15" zoomScale="75" workbookViewId="0">
      <selection activeCell="U63" sqref="U63"/>
    </sheetView>
  </sheetViews>
  <sheetFormatPr baseColWidth="10" defaultRowHeight="16" x14ac:dyDescent="0.2"/>
  <cols>
    <col min="1" max="1" width="10.83203125" style="4"/>
    <col min="2" max="2" width="75.33203125" style="4" customWidth="1"/>
    <col min="3" max="3" width="19.83203125" style="4" bestFit="1" customWidth="1"/>
    <col min="4" max="4" width="25.6640625" style="4" bestFit="1" customWidth="1"/>
    <col min="5" max="5" width="20.5" style="4" bestFit="1" customWidth="1"/>
    <col min="6" max="6" width="23.33203125" style="4" bestFit="1" customWidth="1"/>
    <col min="7" max="7" width="48.1640625" style="4" customWidth="1"/>
    <col min="8" max="8" width="23.33203125" style="4" customWidth="1"/>
    <col min="9" max="9" width="23.33203125" style="3" customWidth="1"/>
    <col min="10" max="10" width="42.83203125" style="4" customWidth="1"/>
    <col min="11" max="11" width="42.83203125" style="4" bestFit="1" customWidth="1"/>
    <col min="12" max="12" width="12.5" style="4" bestFit="1" customWidth="1"/>
    <col min="13" max="14" width="20" style="4" bestFit="1" customWidth="1"/>
    <col min="15" max="15" width="31" style="4" bestFit="1" customWidth="1"/>
    <col min="16" max="16" width="34" style="4" bestFit="1" customWidth="1"/>
    <col min="17" max="17" width="18.1640625" style="4" bestFit="1" customWidth="1"/>
    <col min="18" max="18" width="31" style="4" bestFit="1" customWidth="1"/>
    <col min="19" max="19" width="34" style="4" bestFit="1" customWidth="1"/>
    <col min="20" max="20" width="30.5" style="4" bestFit="1" customWidth="1"/>
    <col min="21" max="21" width="33" style="4" bestFit="1" customWidth="1"/>
    <col min="22" max="22" width="33.33203125" style="4" bestFit="1" customWidth="1"/>
    <col min="23" max="23" width="31" style="4" bestFit="1" customWidth="1"/>
    <col min="24" max="16384" width="10.83203125" style="4"/>
  </cols>
  <sheetData>
    <row r="5" spans="1:11" ht="34" x14ac:dyDescent="0.2">
      <c r="A5" s="70" t="s">
        <v>99</v>
      </c>
      <c r="B5" s="71"/>
      <c r="C5" s="60" t="s">
        <v>92</v>
      </c>
      <c r="D5" s="61" t="s">
        <v>93</v>
      </c>
      <c r="E5" s="61" t="s">
        <v>94</v>
      </c>
      <c r="F5" s="61" t="s">
        <v>95</v>
      </c>
      <c r="G5" s="61" t="s">
        <v>96</v>
      </c>
      <c r="H5" s="61" t="s">
        <v>97</v>
      </c>
      <c r="I5" s="62" t="s">
        <v>98</v>
      </c>
    </row>
    <row r="6" spans="1:11" x14ac:dyDescent="0.2">
      <c r="A6" s="72"/>
      <c r="B6" s="58"/>
      <c r="C6" s="63"/>
      <c r="D6" s="59"/>
      <c r="E6" s="59"/>
      <c r="F6" s="59"/>
      <c r="G6" s="59"/>
      <c r="H6" s="59"/>
      <c r="I6" s="64"/>
    </row>
    <row r="7" spans="1:11" x14ac:dyDescent="0.2">
      <c r="A7" s="72"/>
      <c r="B7" s="58"/>
      <c r="C7" s="65">
        <v>126.148284</v>
      </c>
      <c r="D7" s="66">
        <v>121297.4575</v>
      </c>
      <c r="E7" s="66">
        <v>10398.462084000001</v>
      </c>
      <c r="F7" s="66">
        <v>3398.4255600000001</v>
      </c>
      <c r="G7" s="66">
        <v>240.99220800000001</v>
      </c>
      <c r="H7" s="66">
        <v>132016.62849999999</v>
      </c>
      <c r="I7" s="67">
        <v>10331.9736066</v>
      </c>
    </row>
    <row r="8" spans="1:11" ht="51" x14ac:dyDescent="0.2">
      <c r="A8" s="73" t="s">
        <v>100</v>
      </c>
      <c r="B8" s="68">
        <v>1.6119880133779266E-3</v>
      </c>
      <c r="C8" s="68"/>
      <c r="D8" s="68"/>
      <c r="E8" s="68"/>
      <c r="F8" s="68"/>
      <c r="G8" s="68">
        <v>240.99220800000001</v>
      </c>
      <c r="H8" s="58"/>
      <c r="I8" s="74"/>
    </row>
    <row r="9" spans="1:11" ht="34" x14ac:dyDescent="0.2">
      <c r="A9" s="73" t="s">
        <v>28</v>
      </c>
      <c r="B9" s="68">
        <v>2.2731943545150502E-2</v>
      </c>
      <c r="C9" s="68"/>
      <c r="D9" s="68"/>
      <c r="E9" s="68"/>
      <c r="F9" s="68">
        <v>3398.4255600000001</v>
      </c>
      <c r="G9" s="68"/>
      <c r="H9" s="58"/>
      <c r="I9" s="74"/>
    </row>
    <row r="10" spans="1:11" ht="34" x14ac:dyDescent="0.2">
      <c r="A10" s="73" t="s">
        <v>101</v>
      </c>
      <c r="B10" s="68">
        <v>6.9110191348494984E-2</v>
      </c>
      <c r="C10" s="68"/>
      <c r="D10" s="68"/>
      <c r="E10" s="68"/>
      <c r="F10" s="68"/>
      <c r="G10" s="68"/>
      <c r="H10" s="58"/>
      <c r="I10" s="74">
        <v>10331.9736066</v>
      </c>
    </row>
    <row r="11" spans="1:11" x14ac:dyDescent="0.2">
      <c r="A11" s="75"/>
      <c r="B11" s="66"/>
      <c r="C11" s="66"/>
      <c r="D11" s="66"/>
      <c r="E11" s="66"/>
      <c r="F11" s="66"/>
      <c r="G11" s="66"/>
      <c r="H11" s="66"/>
      <c r="I11" s="76"/>
    </row>
    <row r="14" spans="1:11" x14ac:dyDescent="0.2">
      <c r="B14" s="82" t="s">
        <v>1</v>
      </c>
      <c r="C14" s="83"/>
      <c r="D14" s="83"/>
      <c r="E14" s="83"/>
      <c r="F14" s="83"/>
      <c r="G14" s="83"/>
      <c r="H14" s="84"/>
    </row>
    <row r="15" spans="1:11" ht="51" customHeight="1" x14ac:dyDescent="0.2">
      <c r="B15" s="5"/>
      <c r="C15" s="6"/>
      <c r="D15" s="7" t="str">
        <f>R18</f>
        <v>Thermisch vermogen van warmtepompen|Opgesteld thermisch vermogen einde jaar</v>
      </c>
      <c r="E15" s="7" t="str">
        <f>S18</f>
        <v>Energiestromen|Bruto warmteproductie warmtepompen</v>
      </c>
      <c r="F15" s="6" t="s">
        <v>2</v>
      </c>
      <c r="G15" s="7" t="str">
        <f>T18</f>
        <v>Energiestromen|Verbruik van elektriciteit en aardgas</v>
      </c>
      <c r="H15" s="7" t="str">
        <f>U18</f>
        <v>Energiestromen|Onttrekking warmte uit bodem of lucht</v>
      </c>
      <c r="J15" s="57" t="s">
        <v>91</v>
      </c>
    </row>
    <row r="16" spans="1:11" x14ac:dyDescent="0.2">
      <c r="B16" s="8" t="str">
        <f>K51</f>
        <v>Warmtepompen bodemwarmte; totaal</v>
      </c>
      <c r="C16" s="9">
        <f>L51</f>
        <v>2019</v>
      </c>
      <c r="D16" s="9">
        <f>R51</f>
        <v>1060</v>
      </c>
      <c r="E16" s="9">
        <f>S51</f>
        <v>4196</v>
      </c>
      <c r="F16" s="9">
        <f>E16*$C$18</f>
        <v>1165555.5555555555</v>
      </c>
      <c r="G16" s="9">
        <f>T51</f>
        <v>1082</v>
      </c>
      <c r="H16" s="9">
        <f>U51</f>
        <v>3114</v>
      </c>
      <c r="J16" s="4" t="s">
        <v>3</v>
      </c>
      <c r="K16" s="4" t="s">
        <v>4</v>
      </c>
    </row>
    <row r="17" spans="2:26" ht="17" thickBot="1" x14ac:dyDescent="0.25">
      <c r="B17" s="8" t="str">
        <f>K57</f>
        <v>Warmtepompen buitenluchtwarmte; totaal</v>
      </c>
      <c r="C17" s="9">
        <f>L57</f>
        <v>2019</v>
      </c>
      <c r="D17" s="9">
        <f>R57</f>
        <v>3004</v>
      </c>
      <c r="E17" s="9">
        <f>S57</f>
        <v>5389</v>
      </c>
      <c r="F17" s="9">
        <f>E17*$C$18</f>
        <v>1496944.4444444445</v>
      </c>
      <c r="G17" s="9">
        <f>T57</f>
        <v>2140</v>
      </c>
      <c r="H17" s="9">
        <f>U57</f>
        <v>3249</v>
      </c>
      <c r="L17" s="4" t="s">
        <v>5</v>
      </c>
      <c r="M17" s="4" t="s">
        <v>6</v>
      </c>
      <c r="N17" s="4" t="s">
        <v>6</v>
      </c>
      <c r="O17" s="4" t="s">
        <v>6</v>
      </c>
      <c r="P17" s="4" t="s">
        <v>7</v>
      </c>
      <c r="Q17" s="4" t="s">
        <v>7</v>
      </c>
      <c r="R17" s="4" t="s">
        <v>7</v>
      </c>
      <c r="S17" s="4" t="s">
        <v>8</v>
      </c>
      <c r="T17" s="4" t="s">
        <v>8</v>
      </c>
      <c r="U17" s="4" t="s">
        <v>8</v>
      </c>
      <c r="V17" s="4" t="s">
        <v>9</v>
      </c>
      <c r="W17" s="4" t="s">
        <v>10</v>
      </c>
    </row>
    <row r="18" spans="2:26" ht="86" thickBot="1" x14ac:dyDescent="0.25">
      <c r="B18" s="10" t="s">
        <v>11</v>
      </c>
      <c r="C18" s="11">
        <f>1/0.0036</f>
        <v>277.77777777777777</v>
      </c>
      <c r="D18" s="12" t="s">
        <v>12</v>
      </c>
      <c r="E18" s="12"/>
      <c r="F18" s="12"/>
      <c r="G18" s="12"/>
      <c r="H18" s="12"/>
      <c r="J18" s="2"/>
      <c r="K18" s="2"/>
      <c r="L18" s="2"/>
      <c r="M18" s="2" t="s">
        <v>90</v>
      </c>
      <c r="N18" s="2" t="s">
        <v>89</v>
      </c>
      <c r="O18" s="2" t="s">
        <v>88</v>
      </c>
      <c r="P18" s="2" t="s">
        <v>87</v>
      </c>
      <c r="Q18" s="2" t="s">
        <v>86</v>
      </c>
      <c r="R18" s="2" t="s">
        <v>85</v>
      </c>
      <c r="S18" s="2" t="s">
        <v>84</v>
      </c>
      <c r="T18" s="2" t="s">
        <v>83</v>
      </c>
      <c r="U18" s="2" t="s">
        <v>82</v>
      </c>
      <c r="V18" s="2" t="s">
        <v>9</v>
      </c>
      <c r="W18" s="2" t="s">
        <v>10</v>
      </c>
      <c r="X18" s="55"/>
      <c r="Y18" s="55"/>
      <c r="Z18" s="55"/>
    </row>
    <row r="19" spans="2:26" x14ac:dyDescent="0.2">
      <c r="E19" s="4" t="s">
        <v>13</v>
      </c>
      <c r="J19" t="s">
        <v>14</v>
      </c>
      <c r="K19" t="s">
        <v>3</v>
      </c>
      <c r="L19" t="s">
        <v>15</v>
      </c>
      <c r="M19" t="s">
        <v>16</v>
      </c>
      <c r="N19" t="s">
        <v>16</v>
      </c>
      <c r="O19" t="s">
        <v>16</v>
      </c>
      <c r="P19" t="s">
        <v>17</v>
      </c>
      <c r="Q19" t="s">
        <v>17</v>
      </c>
      <c r="R19" t="s">
        <v>17</v>
      </c>
      <c r="S19" t="s">
        <v>0</v>
      </c>
      <c r="T19" t="s">
        <v>0</v>
      </c>
      <c r="U19" t="s">
        <v>0</v>
      </c>
      <c r="V19" t="s">
        <v>0</v>
      </c>
      <c r="W19" t="s">
        <v>18</v>
      </c>
    </row>
    <row r="20" spans="2:26" x14ac:dyDescent="0.2">
      <c r="B20" s="85" t="s">
        <v>19</v>
      </c>
      <c r="C20" s="86"/>
      <c r="D20" s="87"/>
      <c r="J20" t="s">
        <v>81</v>
      </c>
      <c r="K20" t="s">
        <v>80</v>
      </c>
      <c r="L20">
        <v>2018</v>
      </c>
      <c r="M20">
        <v>112771</v>
      </c>
      <c r="N20">
        <v>3973</v>
      </c>
      <c r="O20">
        <v>570030</v>
      </c>
      <c r="P20">
        <v>824</v>
      </c>
      <c r="Q20">
        <v>28</v>
      </c>
      <c r="R20">
        <v>5299</v>
      </c>
      <c r="S20">
        <v>13659</v>
      </c>
      <c r="T20">
        <v>4607</v>
      </c>
      <c r="U20">
        <v>9051</v>
      </c>
      <c r="V20">
        <v>4503</v>
      </c>
      <c r="W20">
        <v>119</v>
      </c>
    </row>
    <row r="21" spans="2:26" ht="17" thickBot="1" x14ac:dyDescent="0.25">
      <c r="B21" s="10"/>
      <c r="C21" s="9" t="s">
        <v>20</v>
      </c>
      <c r="D21" s="13" t="s">
        <v>105</v>
      </c>
      <c r="J21" t="s">
        <v>81</v>
      </c>
      <c r="K21" t="s">
        <v>80</v>
      </c>
      <c r="L21">
        <v>2019</v>
      </c>
      <c r="M21">
        <v>166010</v>
      </c>
      <c r="N21">
        <v>3849</v>
      </c>
      <c r="O21">
        <v>732191</v>
      </c>
      <c r="P21">
        <v>1147</v>
      </c>
      <c r="Q21">
        <v>53</v>
      </c>
      <c r="R21">
        <v>6392</v>
      </c>
      <c r="S21">
        <v>16542</v>
      </c>
      <c r="T21">
        <v>5659</v>
      </c>
      <c r="U21">
        <v>10883</v>
      </c>
      <c r="V21">
        <v>5611</v>
      </c>
      <c r="W21">
        <v>232</v>
      </c>
    </row>
    <row r="22" spans="2:26" ht="17" thickBot="1" x14ac:dyDescent="0.25">
      <c r="B22" s="8" t="s">
        <v>21</v>
      </c>
      <c r="C22" s="14">
        <f>3.76/(3.76+1)</f>
        <v>0.78991596638655459</v>
      </c>
      <c r="D22" s="15">
        <f>1-C22</f>
        <v>0.21008403361344541</v>
      </c>
      <c r="J22" t="s">
        <v>81</v>
      </c>
      <c r="K22" t="s">
        <v>79</v>
      </c>
      <c r="L22">
        <v>2018</v>
      </c>
      <c r="M22">
        <v>6504</v>
      </c>
      <c r="N22">
        <v>995</v>
      </c>
      <c r="O22">
        <v>60379</v>
      </c>
      <c r="P22">
        <v>125</v>
      </c>
      <c r="Q22">
        <v>23</v>
      </c>
      <c r="R22">
        <v>1489</v>
      </c>
      <c r="S22">
        <v>5897</v>
      </c>
      <c r="T22">
        <v>1514</v>
      </c>
      <c r="U22">
        <v>4383</v>
      </c>
      <c r="V22">
        <v>2905</v>
      </c>
      <c r="W22">
        <v>118</v>
      </c>
    </row>
    <row r="23" spans="2:26" ht="18" thickBot="1" x14ac:dyDescent="0.25">
      <c r="B23" s="10" t="s">
        <v>22</v>
      </c>
      <c r="C23" s="16">
        <f>23/(23+1)</f>
        <v>0.95833333333333337</v>
      </c>
      <c r="D23" s="14">
        <f>1-C23</f>
        <v>4.166666666666663E-2</v>
      </c>
      <c r="J23" t="s">
        <v>81</v>
      </c>
      <c r="K23" t="s">
        <v>79</v>
      </c>
      <c r="L23">
        <v>2019</v>
      </c>
      <c r="M23">
        <v>11755</v>
      </c>
      <c r="N23">
        <v>1427</v>
      </c>
      <c r="O23">
        <v>70708</v>
      </c>
      <c r="P23">
        <v>160</v>
      </c>
      <c r="Q23">
        <v>49</v>
      </c>
      <c r="R23">
        <v>1600</v>
      </c>
      <c r="S23">
        <v>6336</v>
      </c>
      <c r="T23">
        <v>1620</v>
      </c>
      <c r="U23">
        <v>4715</v>
      </c>
      <c r="V23">
        <v>3241</v>
      </c>
      <c r="W23">
        <v>158</v>
      </c>
    </row>
    <row r="24" spans="2:26" x14ac:dyDescent="0.2">
      <c r="J24" t="s">
        <v>81</v>
      </c>
      <c r="K24" t="s">
        <v>78</v>
      </c>
      <c r="L24">
        <v>2018</v>
      </c>
      <c r="M24">
        <v>5960</v>
      </c>
      <c r="N24">
        <v>376</v>
      </c>
      <c r="O24">
        <v>38561</v>
      </c>
      <c r="P24">
        <v>55</v>
      </c>
      <c r="Q24">
        <v>4</v>
      </c>
      <c r="R24">
        <v>428</v>
      </c>
      <c r="S24">
        <v>1696</v>
      </c>
      <c r="T24">
        <v>428</v>
      </c>
      <c r="U24">
        <v>1268</v>
      </c>
      <c r="V24">
        <v>848</v>
      </c>
      <c r="W24">
        <v>35</v>
      </c>
    </row>
    <row r="25" spans="2:26" x14ac:dyDescent="0.2">
      <c r="B25" s="85"/>
      <c r="C25" s="86"/>
      <c r="D25" s="87"/>
      <c r="J25" t="s">
        <v>81</v>
      </c>
      <c r="K25" t="s">
        <v>78</v>
      </c>
      <c r="L25">
        <v>2019</v>
      </c>
      <c r="M25">
        <v>10763</v>
      </c>
      <c r="N25">
        <v>354</v>
      </c>
      <c r="O25">
        <v>48971</v>
      </c>
      <c r="P25">
        <v>88</v>
      </c>
      <c r="Q25">
        <v>4</v>
      </c>
      <c r="R25">
        <v>512</v>
      </c>
      <c r="S25">
        <v>2027</v>
      </c>
      <c r="T25">
        <v>511</v>
      </c>
      <c r="U25">
        <v>1516</v>
      </c>
      <c r="V25">
        <v>1050</v>
      </c>
      <c r="W25">
        <v>51</v>
      </c>
    </row>
    <row r="26" spans="2:26" ht="17" thickBot="1" x14ac:dyDescent="0.25">
      <c r="B26" s="10" t="s">
        <v>102</v>
      </c>
      <c r="C26" s="9"/>
      <c r="D26" s="13"/>
      <c r="E26"/>
      <c r="J26" t="s">
        <v>81</v>
      </c>
      <c r="K26" t="s">
        <v>77</v>
      </c>
      <c r="L26">
        <v>2018</v>
      </c>
      <c r="M26">
        <v>544</v>
      </c>
      <c r="N26">
        <v>619</v>
      </c>
      <c r="O26">
        <v>21818</v>
      </c>
      <c r="P26">
        <v>70</v>
      </c>
      <c r="Q26">
        <v>20</v>
      </c>
      <c r="R26">
        <v>1061</v>
      </c>
      <c r="S26">
        <v>4202</v>
      </c>
      <c r="T26">
        <v>1086</v>
      </c>
      <c r="U26">
        <v>3116</v>
      </c>
      <c r="V26">
        <v>2057</v>
      </c>
      <c r="W26">
        <v>83</v>
      </c>
    </row>
    <row r="27" spans="2:26" ht="18" thickBot="1" x14ac:dyDescent="0.25">
      <c r="B27" s="8" t="s">
        <v>103</v>
      </c>
      <c r="C27" s="77">
        <v>1</v>
      </c>
      <c r="D27" s="77">
        <v>1</v>
      </c>
      <c r="J27" t="s">
        <v>81</v>
      </c>
      <c r="K27" t="s">
        <v>77</v>
      </c>
      <c r="L27">
        <v>2019</v>
      </c>
      <c r="M27">
        <v>992</v>
      </c>
      <c r="N27">
        <v>1073</v>
      </c>
      <c r="O27">
        <v>21737</v>
      </c>
      <c r="P27">
        <v>72</v>
      </c>
      <c r="Q27">
        <v>46</v>
      </c>
      <c r="R27">
        <v>1088</v>
      </c>
      <c r="S27">
        <v>4308</v>
      </c>
      <c r="T27">
        <v>1109</v>
      </c>
      <c r="U27">
        <v>3199</v>
      </c>
      <c r="V27">
        <v>2191</v>
      </c>
      <c r="W27">
        <v>107</v>
      </c>
    </row>
    <row r="28" spans="2:26" ht="18" thickBot="1" x14ac:dyDescent="0.25">
      <c r="B28" s="10" t="s">
        <v>104</v>
      </c>
      <c r="C28" s="77">
        <v>0</v>
      </c>
      <c r="D28" s="15">
        <v>0</v>
      </c>
      <c r="J28" t="s">
        <v>81</v>
      </c>
      <c r="K28" t="s">
        <v>76</v>
      </c>
      <c r="L28">
        <v>2018</v>
      </c>
      <c r="M28">
        <v>106267</v>
      </c>
      <c r="N28">
        <v>2978</v>
      </c>
      <c r="O28">
        <v>509650</v>
      </c>
      <c r="P28">
        <v>700</v>
      </c>
      <c r="Q28">
        <v>4</v>
      </c>
      <c r="R28">
        <v>3810</v>
      </c>
      <c r="S28">
        <v>7761</v>
      </c>
      <c r="T28">
        <v>3094</v>
      </c>
      <c r="U28">
        <v>4668</v>
      </c>
      <c r="V28">
        <v>1598</v>
      </c>
      <c r="W28">
        <v>1</v>
      </c>
    </row>
    <row r="29" spans="2:26" x14ac:dyDescent="0.2">
      <c r="B29" s="17"/>
      <c r="C29" s="18"/>
      <c r="D29" s="18"/>
      <c r="J29" t="s">
        <v>81</v>
      </c>
      <c r="K29" t="s">
        <v>76</v>
      </c>
      <c r="L29">
        <v>2019</v>
      </c>
      <c r="M29">
        <v>154255</v>
      </c>
      <c r="N29">
        <v>2422</v>
      </c>
      <c r="O29">
        <v>661483</v>
      </c>
      <c r="P29">
        <v>987</v>
      </c>
      <c r="Q29">
        <v>4</v>
      </c>
      <c r="R29">
        <v>4793</v>
      </c>
      <c r="S29">
        <v>10206</v>
      </c>
      <c r="T29">
        <v>4039</v>
      </c>
      <c r="U29">
        <v>6168</v>
      </c>
      <c r="V29">
        <v>2370</v>
      </c>
      <c r="W29">
        <v>74</v>
      </c>
    </row>
    <row r="30" spans="2:26" x14ac:dyDescent="0.2">
      <c r="B30" s="85" t="s">
        <v>23</v>
      </c>
      <c r="C30" s="86"/>
      <c r="D30" s="87"/>
      <c r="J30" t="s">
        <v>81</v>
      </c>
      <c r="K30" t="s">
        <v>75</v>
      </c>
      <c r="L30">
        <v>2018</v>
      </c>
      <c r="M30">
        <v>76933</v>
      </c>
      <c r="N30"/>
      <c r="O30">
        <v>408767</v>
      </c>
      <c r="P30">
        <v>471</v>
      </c>
      <c r="Q30"/>
      <c r="R30">
        <v>3028</v>
      </c>
      <c r="S30">
        <v>3150</v>
      </c>
      <c r="T30">
        <v>1212</v>
      </c>
      <c r="U30">
        <v>1937</v>
      </c>
      <c r="V30">
        <v>647</v>
      </c>
      <c r="W30">
        <v>-1</v>
      </c>
    </row>
    <row r="31" spans="2:26" x14ac:dyDescent="0.2">
      <c r="B31" s="10"/>
      <c r="C31" s="12" t="s">
        <v>106</v>
      </c>
      <c r="D31" s="19" t="s">
        <v>24</v>
      </c>
      <c r="J31" t="s">
        <v>81</v>
      </c>
      <c r="K31" t="s">
        <v>75</v>
      </c>
      <c r="L31">
        <v>2019</v>
      </c>
      <c r="M31">
        <v>120761</v>
      </c>
      <c r="N31"/>
      <c r="O31">
        <v>529528</v>
      </c>
      <c r="P31">
        <v>698</v>
      </c>
      <c r="Q31"/>
      <c r="R31">
        <v>3726</v>
      </c>
      <c r="S31">
        <v>3911</v>
      </c>
      <c r="T31">
        <v>1505</v>
      </c>
      <c r="U31">
        <v>2406</v>
      </c>
      <c r="V31">
        <v>910</v>
      </c>
      <c r="W31">
        <v>28</v>
      </c>
    </row>
    <row r="32" spans="2:26" x14ac:dyDescent="0.2">
      <c r="B32" s="8" t="s">
        <v>21</v>
      </c>
      <c r="C32" s="20">
        <f>(G16+G17)/SUM(D27:D28)*D27</f>
        <v>3222</v>
      </c>
      <c r="D32" s="13">
        <f>C32/D22*C22</f>
        <v>12114.719999999998</v>
      </c>
      <c r="J32" t="s">
        <v>81</v>
      </c>
      <c r="K32" t="s">
        <v>74</v>
      </c>
      <c r="L32">
        <v>2018</v>
      </c>
      <c r="M32">
        <v>29334</v>
      </c>
      <c r="N32">
        <v>2978</v>
      </c>
      <c r="O32">
        <v>100883</v>
      </c>
      <c r="P32">
        <v>228</v>
      </c>
      <c r="Q32">
        <v>4</v>
      </c>
      <c r="R32">
        <v>781</v>
      </c>
      <c r="S32">
        <v>4612</v>
      </c>
      <c r="T32">
        <v>1881</v>
      </c>
      <c r="U32">
        <v>2731</v>
      </c>
      <c r="V32">
        <v>951</v>
      </c>
      <c r="W32">
        <v>2</v>
      </c>
    </row>
    <row r="33" spans="2:23" x14ac:dyDescent="0.2">
      <c r="B33" s="10" t="s">
        <v>22</v>
      </c>
      <c r="C33" s="21">
        <f>G16/SUM(D27:D28)*D28</f>
        <v>0</v>
      </c>
      <c r="D33" s="19">
        <f>C33/D23*C23</f>
        <v>0</v>
      </c>
      <c r="J33" t="s">
        <v>81</v>
      </c>
      <c r="K33" t="s">
        <v>74</v>
      </c>
      <c r="L33">
        <v>2019</v>
      </c>
      <c r="M33">
        <v>33494</v>
      </c>
      <c r="N33">
        <v>2422</v>
      </c>
      <c r="O33">
        <v>131955</v>
      </c>
      <c r="P33">
        <v>289</v>
      </c>
      <c r="Q33">
        <v>4</v>
      </c>
      <c r="R33">
        <v>1066</v>
      </c>
      <c r="S33">
        <v>6295</v>
      </c>
      <c r="T33">
        <v>2533</v>
      </c>
      <c r="U33">
        <v>3762</v>
      </c>
      <c r="V33">
        <v>1461</v>
      </c>
      <c r="W33">
        <v>46</v>
      </c>
    </row>
    <row r="34" spans="2:23" x14ac:dyDescent="0.2">
      <c r="J34" t="s">
        <v>29</v>
      </c>
      <c r="K34" t="s">
        <v>80</v>
      </c>
      <c r="L34">
        <v>2018</v>
      </c>
      <c r="M34">
        <v>66667</v>
      </c>
      <c r="N34">
        <v>3718</v>
      </c>
      <c r="O34">
        <v>295031</v>
      </c>
      <c r="P34">
        <v>374</v>
      </c>
      <c r="Q34">
        <v>12</v>
      </c>
      <c r="R34">
        <v>1659</v>
      </c>
      <c r="S34">
        <v>5095</v>
      </c>
      <c r="T34">
        <v>1757</v>
      </c>
      <c r="U34">
        <v>3338</v>
      </c>
      <c r="V34">
        <v>1588</v>
      </c>
      <c r="W34">
        <v>38</v>
      </c>
    </row>
    <row r="35" spans="2:23" x14ac:dyDescent="0.2">
      <c r="B35" s="4" t="s">
        <v>40</v>
      </c>
      <c r="J35" t="s">
        <v>29</v>
      </c>
      <c r="K35" t="s">
        <v>80</v>
      </c>
      <c r="L35">
        <v>2019</v>
      </c>
      <c r="M35">
        <v>120201</v>
      </c>
      <c r="N35">
        <v>3119</v>
      </c>
      <c r="O35">
        <v>412113</v>
      </c>
      <c r="P35">
        <v>681</v>
      </c>
      <c r="Q35">
        <v>11</v>
      </c>
      <c r="R35">
        <v>2329</v>
      </c>
      <c r="S35">
        <v>6957</v>
      </c>
      <c r="T35">
        <v>2437</v>
      </c>
      <c r="U35">
        <v>4520</v>
      </c>
      <c r="V35">
        <v>2226</v>
      </c>
      <c r="W35">
        <v>89</v>
      </c>
    </row>
    <row r="36" spans="2:23" ht="17" thickBot="1" x14ac:dyDescent="0.25">
      <c r="J36" t="s">
        <v>29</v>
      </c>
      <c r="K36" t="s">
        <v>79</v>
      </c>
      <c r="L36">
        <v>2018</v>
      </c>
      <c r="M36">
        <v>6078</v>
      </c>
      <c r="N36">
        <v>753</v>
      </c>
      <c r="O36">
        <v>50360</v>
      </c>
      <c r="P36">
        <v>50</v>
      </c>
      <c r="Q36">
        <v>8</v>
      </c>
      <c r="R36">
        <v>461</v>
      </c>
      <c r="S36">
        <v>1824</v>
      </c>
      <c r="T36">
        <v>458</v>
      </c>
      <c r="U36">
        <v>1366</v>
      </c>
      <c r="V36">
        <v>915</v>
      </c>
      <c r="W36">
        <v>38</v>
      </c>
    </row>
    <row r="37" spans="2:23" ht="35" thickBot="1" x14ac:dyDescent="0.25">
      <c r="B37" s="34" t="s">
        <v>39</v>
      </c>
      <c r="C37" s="36">
        <f>'Final demand'!D6-'Space heating'!I10-'Space heating'!F9-'Space heating'!G8</f>
        <v>124783.75805539999</v>
      </c>
      <c r="D37" s="35" t="s">
        <v>0</v>
      </c>
      <c r="J37" t="s">
        <v>29</v>
      </c>
      <c r="K37" t="s">
        <v>79</v>
      </c>
      <c r="L37">
        <v>2019</v>
      </c>
      <c r="M37">
        <v>11232</v>
      </c>
      <c r="N37">
        <v>707</v>
      </c>
      <c r="O37">
        <v>60885</v>
      </c>
      <c r="P37">
        <v>87</v>
      </c>
      <c r="Q37">
        <v>8</v>
      </c>
      <c r="R37">
        <v>540</v>
      </c>
      <c r="S37">
        <v>2140</v>
      </c>
      <c r="T37">
        <v>539</v>
      </c>
      <c r="U37">
        <v>1601</v>
      </c>
      <c r="V37">
        <v>1107</v>
      </c>
      <c r="W37">
        <v>54</v>
      </c>
    </row>
    <row r="38" spans="2:23" x14ac:dyDescent="0.2">
      <c r="J38" t="s">
        <v>29</v>
      </c>
      <c r="K38" t="s">
        <v>78</v>
      </c>
      <c r="L38">
        <v>2018</v>
      </c>
      <c r="M38">
        <v>5877</v>
      </c>
      <c r="N38">
        <v>376</v>
      </c>
      <c r="O38">
        <v>35856</v>
      </c>
      <c r="P38">
        <v>49</v>
      </c>
      <c r="Q38">
        <v>4</v>
      </c>
      <c r="R38">
        <v>302</v>
      </c>
      <c r="S38">
        <v>1196</v>
      </c>
      <c r="T38">
        <v>301</v>
      </c>
      <c r="U38">
        <v>896</v>
      </c>
      <c r="V38">
        <v>600</v>
      </c>
      <c r="W38">
        <v>25</v>
      </c>
    </row>
    <row r="39" spans="2:23" x14ac:dyDescent="0.2">
      <c r="J39" t="s">
        <v>29</v>
      </c>
      <c r="K39" t="s">
        <v>78</v>
      </c>
      <c r="L39">
        <v>2019</v>
      </c>
      <c r="M39">
        <v>10633</v>
      </c>
      <c r="N39">
        <v>354</v>
      </c>
      <c r="O39">
        <v>46136</v>
      </c>
      <c r="P39">
        <v>77</v>
      </c>
      <c r="Q39">
        <v>4</v>
      </c>
      <c r="R39">
        <v>376</v>
      </c>
      <c r="S39">
        <v>1487</v>
      </c>
      <c r="T39">
        <v>373</v>
      </c>
      <c r="U39">
        <v>1114</v>
      </c>
      <c r="V39">
        <v>772</v>
      </c>
      <c r="W39">
        <v>38</v>
      </c>
    </row>
    <row r="40" spans="2:23" ht="51" x14ac:dyDescent="0.2">
      <c r="B40" s="27" t="s">
        <v>32</v>
      </c>
      <c r="C40" s="29" t="s">
        <v>33</v>
      </c>
      <c r="D40" s="28" t="s">
        <v>34</v>
      </c>
      <c r="E40" s="29" t="s">
        <v>35</v>
      </c>
      <c r="F40" s="40" t="s">
        <v>36</v>
      </c>
      <c r="H40" s="3"/>
      <c r="I40" s="4" t="s">
        <v>29</v>
      </c>
      <c r="J40" t="s">
        <v>29</v>
      </c>
      <c r="K40" t="s">
        <v>77</v>
      </c>
      <c r="L40">
        <v>2018</v>
      </c>
      <c r="M40">
        <v>201</v>
      </c>
      <c r="N40">
        <v>376</v>
      </c>
      <c r="O40">
        <v>14504</v>
      </c>
      <c r="P40">
        <v>1</v>
      </c>
      <c r="Q40">
        <v>4</v>
      </c>
      <c r="R40">
        <v>158</v>
      </c>
      <c r="S40">
        <v>627</v>
      </c>
      <c r="T40">
        <v>157</v>
      </c>
      <c r="U40">
        <v>470</v>
      </c>
      <c r="V40">
        <v>314</v>
      </c>
      <c r="W40">
        <v>13</v>
      </c>
    </row>
    <row r="41" spans="2:23" x14ac:dyDescent="0.2">
      <c r="B41" s="22" t="s">
        <v>25</v>
      </c>
      <c r="C41" s="37">
        <f>C32</f>
        <v>3222</v>
      </c>
      <c r="D41" s="30">
        <v>3.76</v>
      </c>
      <c r="E41" s="31">
        <f>C41*D41</f>
        <v>12114.72</v>
      </c>
      <c r="F41" s="38">
        <f>E41/SUM(E$41:E$42)</f>
        <v>9.9692971262453856E-2</v>
      </c>
      <c r="H41" s="3"/>
      <c r="I41" s="4" t="s">
        <v>29</v>
      </c>
      <c r="J41" t="s">
        <v>29</v>
      </c>
      <c r="K41" t="s">
        <v>77</v>
      </c>
      <c r="L41">
        <v>2019</v>
      </c>
      <c r="M41">
        <v>599</v>
      </c>
      <c r="N41">
        <v>354</v>
      </c>
      <c r="O41">
        <v>14750</v>
      </c>
      <c r="P41">
        <v>10</v>
      </c>
      <c r="Q41">
        <v>4</v>
      </c>
      <c r="R41">
        <v>165</v>
      </c>
      <c r="S41">
        <v>653</v>
      </c>
      <c r="T41">
        <v>165</v>
      </c>
      <c r="U41">
        <v>487</v>
      </c>
      <c r="V41">
        <v>334</v>
      </c>
      <c r="W41">
        <v>16</v>
      </c>
    </row>
    <row r="42" spans="2:23" x14ac:dyDescent="0.2">
      <c r="B42" s="10" t="s">
        <v>26</v>
      </c>
      <c r="C42" s="39">
        <f>C37-C32</f>
        <v>121561.75805539999</v>
      </c>
      <c r="D42" s="32">
        <v>0.9</v>
      </c>
      <c r="E42" s="33">
        <f>C42*D42</f>
        <v>109405.58224985999</v>
      </c>
      <c r="F42" s="38">
        <f>E42/SUM(E$41:E$42)</f>
        <v>0.90030702873754609</v>
      </c>
      <c r="H42" s="3"/>
      <c r="I42" s="4" t="s">
        <v>29</v>
      </c>
      <c r="J42" t="s">
        <v>29</v>
      </c>
      <c r="K42" t="s">
        <v>76</v>
      </c>
      <c r="L42">
        <v>2018</v>
      </c>
      <c r="M42">
        <v>60589</v>
      </c>
      <c r="N42">
        <v>2965</v>
      </c>
      <c r="O42">
        <v>244671</v>
      </c>
      <c r="P42">
        <v>324</v>
      </c>
      <c r="Q42">
        <v>4</v>
      </c>
      <c r="R42">
        <v>1199</v>
      </c>
      <c r="S42">
        <v>3271</v>
      </c>
      <c r="T42">
        <v>1299</v>
      </c>
      <c r="U42">
        <v>1972</v>
      </c>
      <c r="V42">
        <v>673</v>
      </c>
      <c r="W42">
        <v>0</v>
      </c>
    </row>
    <row r="43" spans="2:23" x14ac:dyDescent="0.2">
      <c r="J43" t="s">
        <v>29</v>
      </c>
      <c r="K43" t="s">
        <v>76</v>
      </c>
      <c r="L43">
        <v>2019</v>
      </c>
      <c r="M43">
        <v>108969</v>
      </c>
      <c r="N43">
        <v>2412</v>
      </c>
      <c r="O43">
        <v>351228</v>
      </c>
      <c r="P43">
        <v>594</v>
      </c>
      <c r="Q43">
        <v>4</v>
      </c>
      <c r="R43">
        <v>1789</v>
      </c>
      <c r="S43">
        <v>4817</v>
      </c>
      <c r="T43">
        <v>1898</v>
      </c>
      <c r="U43">
        <v>2919</v>
      </c>
      <c r="V43">
        <v>1119</v>
      </c>
      <c r="W43">
        <v>35</v>
      </c>
    </row>
    <row r="44" spans="2:23" x14ac:dyDescent="0.2">
      <c r="B44" s="4" t="s">
        <v>108</v>
      </c>
      <c r="C44" s="78">
        <v>4381.8505699999996</v>
      </c>
      <c r="D44" s="4">
        <v>0.85</v>
      </c>
      <c r="E44" s="33">
        <f>C44*D44</f>
        <v>3724.5729844999996</v>
      </c>
      <c r="F44" s="38"/>
      <c r="G44" t="s">
        <v>110</v>
      </c>
      <c r="J44" t="s">
        <v>29</v>
      </c>
      <c r="K44" t="s">
        <v>75</v>
      </c>
      <c r="L44">
        <v>2018</v>
      </c>
      <c r="M44">
        <v>34947</v>
      </c>
      <c r="N44"/>
      <c r="O44">
        <v>154015</v>
      </c>
      <c r="P44">
        <v>175</v>
      </c>
      <c r="Q44"/>
      <c r="R44">
        <v>753</v>
      </c>
      <c r="S44">
        <v>637</v>
      </c>
      <c r="T44">
        <v>245</v>
      </c>
      <c r="U44">
        <v>392</v>
      </c>
      <c r="V44">
        <v>131</v>
      </c>
      <c r="W44">
        <v>0</v>
      </c>
    </row>
    <row r="45" spans="2:23" x14ac:dyDescent="0.2">
      <c r="J45" t="s">
        <v>29</v>
      </c>
      <c r="K45" t="s">
        <v>75</v>
      </c>
      <c r="L45">
        <v>2019</v>
      </c>
      <c r="M45">
        <v>77010</v>
      </c>
      <c r="N45"/>
      <c r="O45">
        <v>231025</v>
      </c>
      <c r="P45">
        <v>390</v>
      </c>
      <c r="Q45"/>
      <c r="R45">
        <v>1143</v>
      </c>
      <c r="S45">
        <v>1005</v>
      </c>
      <c r="T45">
        <v>386</v>
      </c>
      <c r="U45">
        <v>618</v>
      </c>
      <c r="V45">
        <v>234</v>
      </c>
      <c r="W45">
        <v>7</v>
      </c>
    </row>
    <row r="46" spans="2:23" x14ac:dyDescent="0.2">
      <c r="B46" s="88" t="s">
        <v>38</v>
      </c>
      <c r="C46" s="89"/>
      <c r="J46" t="s">
        <v>29</v>
      </c>
      <c r="K46" t="s">
        <v>74</v>
      </c>
      <c r="L46">
        <v>2018</v>
      </c>
      <c r="M46">
        <v>25642</v>
      </c>
      <c r="N46">
        <v>2965</v>
      </c>
      <c r="O46">
        <v>90656</v>
      </c>
      <c r="P46">
        <v>150</v>
      </c>
      <c r="Q46">
        <v>4</v>
      </c>
      <c r="R46">
        <v>446</v>
      </c>
      <c r="S46">
        <v>2634</v>
      </c>
      <c r="T46">
        <v>1054</v>
      </c>
      <c r="U46">
        <v>1580</v>
      </c>
      <c r="V46">
        <v>542</v>
      </c>
      <c r="W46">
        <v>0</v>
      </c>
    </row>
    <row r="47" spans="2:23" x14ac:dyDescent="0.2">
      <c r="B47" s="22" t="s">
        <v>25</v>
      </c>
      <c r="C47" s="23">
        <f>F41</f>
        <v>9.9692971262453856E-2</v>
      </c>
      <c r="D47" s="4">
        <v>9.9460126126637877E-2</v>
      </c>
      <c r="J47" t="s">
        <v>29</v>
      </c>
      <c r="K47" t="s">
        <v>74</v>
      </c>
      <c r="L47">
        <v>2019</v>
      </c>
      <c r="M47">
        <v>31959</v>
      </c>
      <c r="N47">
        <v>2412</v>
      </c>
      <c r="O47">
        <v>120203</v>
      </c>
      <c r="P47">
        <v>203</v>
      </c>
      <c r="Q47">
        <v>4</v>
      </c>
      <c r="R47">
        <v>646</v>
      </c>
      <c r="S47">
        <v>3813</v>
      </c>
      <c r="T47">
        <v>1512</v>
      </c>
      <c r="U47">
        <v>2301</v>
      </c>
      <c r="V47">
        <v>885</v>
      </c>
      <c r="W47">
        <v>28</v>
      </c>
    </row>
    <row r="48" spans="2:23" x14ac:dyDescent="0.2">
      <c r="B48" s="22" t="s">
        <v>26</v>
      </c>
      <c r="C48" s="24">
        <f>F42</f>
        <v>0.90030702873754609</v>
      </c>
      <c r="D48" s="4">
        <v>0.9005398738733621</v>
      </c>
      <c r="J48" t="s">
        <v>37</v>
      </c>
      <c r="K48" t="s">
        <v>80</v>
      </c>
      <c r="L48">
        <v>2018</v>
      </c>
      <c r="M48">
        <v>46104</v>
      </c>
      <c r="N48">
        <v>255</v>
      </c>
      <c r="O48">
        <v>274999</v>
      </c>
      <c r="P48">
        <v>450</v>
      </c>
      <c r="Q48">
        <v>16</v>
      </c>
      <c r="R48">
        <v>3639</v>
      </c>
      <c r="S48">
        <v>8564</v>
      </c>
      <c r="T48">
        <v>2851</v>
      </c>
      <c r="U48">
        <v>5713</v>
      </c>
      <c r="V48">
        <v>2915</v>
      </c>
      <c r="W48">
        <v>81</v>
      </c>
    </row>
    <row r="49" spans="2:23" x14ac:dyDescent="0.2">
      <c r="B49" s="22" t="s">
        <v>27</v>
      </c>
      <c r="C49" s="24">
        <f>F44</f>
        <v>0</v>
      </c>
      <c r="J49" t="s">
        <v>37</v>
      </c>
      <c r="K49" t="s">
        <v>80</v>
      </c>
      <c r="L49">
        <v>2019</v>
      </c>
      <c r="M49">
        <v>45809</v>
      </c>
      <c r="N49">
        <v>730</v>
      </c>
      <c r="O49">
        <v>320078</v>
      </c>
      <c r="P49">
        <v>466</v>
      </c>
      <c r="Q49">
        <v>42</v>
      </c>
      <c r="R49">
        <v>4063</v>
      </c>
      <c r="S49">
        <v>9585</v>
      </c>
      <c r="T49">
        <v>3222</v>
      </c>
      <c r="U49">
        <v>6363</v>
      </c>
      <c r="V49">
        <v>3385</v>
      </c>
      <c r="W49">
        <v>143</v>
      </c>
    </row>
    <row r="50" spans="2:23" x14ac:dyDescent="0.2">
      <c r="B50" s="22" t="s">
        <v>28</v>
      </c>
      <c r="C50" s="24">
        <v>0</v>
      </c>
      <c r="J50" t="s">
        <v>37</v>
      </c>
      <c r="K50" t="s">
        <v>79</v>
      </c>
      <c r="L50">
        <v>2018</v>
      </c>
      <c r="M50">
        <v>426</v>
      </c>
      <c r="N50">
        <v>242</v>
      </c>
      <c r="O50">
        <v>10019</v>
      </c>
      <c r="P50">
        <v>75</v>
      </c>
      <c r="Q50">
        <v>16</v>
      </c>
      <c r="R50">
        <v>1029</v>
      </c>
      <c r="S50">
        <v>4074</v>
      </c>
      <c r="T50">
        <v>1056</v>
      </c>
      <c r="U50">
        <v>3017</v>
      </c>
      <c r="V50">
        <v>1990</v>
      </c>
      <c r="W50">
        <v>81</v>
      </c>
    </row>
    <row r="51" spans="2:23" x14ac:dyDescent="0.2">
      <c r="B51" s="22" t="s">
        <v>30</v>
      </c>
      <c r="C51" s="24">
        <v>0</v>
      </c>
      <c r="J51" t="s">
        <v>37</v>
      </c>
      <c r="K51" t="s">
        <v>79</v>
      </c>
      <c r="L51">
        <v>2019</v>
      </c>
      <c r="M51">
        <v>523</v>
      </c>
      <c r="N51">
        <v>720</v>
      </c>
      <c r="O51">
        <v>9823</v>
      </c>
      <c r="P51">
        <v>73</v>
      </c>
      <c r="Q51">
        <v>42</v>
      </c>
      <c r="R51" s="56">
        <v>1060</v>
      </c>
      <c r="S51">
        <v>4196</v>
      </c>
      <c r="T51">
        <v>1082</v>
      </c>
      <c r="U51">
        <v>3114</v>
      </c>
      <c r="V51">
        <v>2134</v>
      </c>
      <c r="W51">
        <v>104</v>
      </c>
    </row>
    <row r="52" spans="2:23" x14ac:dyDescent="0.2">
      <c r="B52" s="25" t="s">
        <v>31</v>
      </c>
      <c r="C52" s="26">
        <v>0</v>
      </c>
      <c r="I52" s="4"/>
      <c r="J52" t="s">
        <v>37</v>
      </c>
      <c r="K52" t="s">
        <v>78</v>
      </c>
      <c r="L52">
        <v>2018</v>
      </c>
      <c r="M52">
        <v>83</v>
      </c>
      <c r="N52"/>
      <c r="O52">
        <v>2705</v>
      </c>
      <c r="P52">
        <v>6</v>
      </c>
      <c r="Q52"/>
      <c r="R52">
        <v>126</v>
      </c>
      <c r="S52">
        <v>499</v>
      </c>
      <c r="T52">
        <v>127</v>
      </c>
      <c r="U52">
        <v>372</v>
      </c>
      <c r="V52">
        <v>247</v>
      </c>
      <c r="W52">
        <v>10</v>
      </c>
    </row>
    <row r="53" spans="2:23" x14ac:dyDescent="0.2">
      <c r="I53" s="4"/>
      <c r="J53" t="s">
        <v>37</v>
      </c>
      <c r="K53" t="s">
        <v>78</v>
      </c>
      <c r="L53">
        <v>2019</v>
      </c>
      <c r="M53">
        <v>130</v>
      </c>
      <c r="N53"/>
      <c r="O53">
        <v>2835</v>
      </c>
      <c r="P53">
        <v>10</v>
      </c>
      <c r="Q53"/>
      <c r="R53">
        <v>136</v>
      </c>
      <c r="S53">
        <v>540</v>
      </c>
      <c r="T53">
        <v>138</v>
      </c>
      <c r="U53">
        <v>402</v>
      </c>
      <c r="V53">
        <v>277</v>
      </c>
      <c r="W53">
        <v>14</v>
      </c>
    </row>
    <row r="54" spans="2:23" x14ac:dyDescent="0.2">
      <c r="I54" s="4"/>
      <c r="J54" t="s">
        <v>37</v>
      </c>
      <c r="K54" t="s">
        <v>77</v>
      </c>
      <c r="L54">
        <v>2018</v>
      </c>
      <c r="M54">
        <v>343</v>
      </c>
      <c r="N54">
        <v>242</v>
      </c>
      <c r="O54">
        <v>7314</v>
      </c>
      <c r="P54">
        <v>69</v>
      </c>
      <c r="Q54">
        <v>16</v>
      </c>
      <c r="R54">
        <v>903</v>
      </c>
      <c r="S54">
        <v>3574</v>
      </c>
      <c r="T54">
        <v>929</v>
      </c>
      <c r="U54">
        <v>2646</v>
      </c>
      <c r="V54">
        <v>1743</v>
      </c>
      <c r="W54">
        <v>70</v>
      </c>
    </row>
    <row r="55" spans="2:23" x14ac:dyDescent="0.2">
      <c r="I55" s="4"/>
      <c r="J55" t="s">
        <v>37</v>
      </c>
      <c r="K55" t="s">
        <v>77</v>
      </c>
      <c r="L55">
        <v>2019</v>
      </c>
      <c r="M55">
        <v>393</v>
      </c>
      <c r="N55">
        <v>720</v>
      </c>
      <c r="O55">
        <v>6988</v>
      </c>
      <c r="P55">
        <v>62</v>
      </c>
      <c r="Q55">
        <v>42</v>
      </c>
      <c r="R55">
        <v>923</v>
      </c>
      <c r="S55">
        <v>3656</v>
      </c>
      <c r="T55">
        <v>944</v>
      </c>
      <c r="U55">
        <v>2712</v>
      </c>
      <c r="V55">
        <v>1857</v>
      </c>
      <c r="W55">
        <v>90</v>
      </c>
    </row>
    <row r="56" spans="2:23" x14ac:dyDescent="0.2">
      <c r="I56" s="4"/>
      <c r="J56" t="s">
        <v>37</v>
      </c>
      <c r="K56" t="s">
        <v>76</v>
      </c>
      <c r="L56">
        <v>2018</v>
      </c>
      <c r="M56">
        <v>45678</v>
      </c>
      <c r="N56">
        <v>13</v>
      </c>
      <c r="O56">
        <v>264979</v>
      </c>
      <c r="P56">
        <v>375</v>
      </c>
      <c r="Q56">
        <v>0</v>
      </c>
      <c r="R56">
        <v>2611</v>
      </c>
      <c r="S56">
        <v>4490</v>
      </c>
      <c r="T56">
        <v>1795</v>
      </c>
      <c r="U56">
        <v>2695</v>
      </c>
      <c r="V56">
        <v>925</v>
      </c>
      <c r="W56">
        <v>1</v>
      </c>
    </row>
    <row r="57" spans="2:23" x14ac:dyDescent="0.2">
      <c r="I57" s="4"/>
      <c r="J57" s="56" t="s">
        <v>37</v>
      </c>
      <c r="K57" s="56" t="s">
        <v>76</v>
      </c>
      <c r="L57" s="56">
        <v>2019</v>
      </c>
      <c r="M57" s="56">
        <v>45286</v>
      </c>
      <c r="N57" s="56">
        <v>10</v>
      </c>
      <c r="O57" s="56">
        <v>310255</v>
      </c>
      <c r="P57" s="56">
        <v>393</v>
      </c>
      <c r="Q57" s="56">
        <v>0</v>
      </c>
      <c r="R57" s="56">
        <v>3004</v>
      </c>
      <c r="S57" s="56">
        <v>5389</v>
      </c>
      <c r="T57" s="56">
        <v>2140</v>
      </c>
      <c r="U57" s="56">
        <v>3249</v>
      </c>
      <c r="V57" s="56">
        <v>1251</v>
      </c>
      <c r="W57" s="56">
        <v>39</v>
      </c>
    </row>
    <row r="58" spans="2:23" x14ac:dyDescent="0.2">
      <c r="I58" s="4"/>
      <c r="J58" t="s">
        <v>37</v>
      </c>
      <c r="K58" t="s">
        <v>75</v>
      </c>
      <c r="L58">
        <v>2018</v>
      </c>
      <c r="M58">
        <v>41986</v>
      </c>
      <c r="N58"/>
      <c r="O58">
        <v>254752</v>
      </c>
      <c r="P58">
        <v>297</v>
      </c>
      <c r="Q58"/>
      <c r="R58">
        <v>2276</v>
      </c>
      <c r="S58">
        <v>2512</v>
      </c>
      <c r="T58">
        <v>967</v>
      </c>
      <c r="U58">
        <v>1545</v>
      </c>
      <c r="V58">
        <v>516</v>
      </c>
      <c r="W58">
        <v>-1</v>
      </c>
    </row>
    <row r="59" spans="2:23" x14ac:dyDescent="0.2">
      <c r="I59" s="4"/>
      <c r="J59" t="s">
        <v>37</v>
      </c>
      <c r="K59" t="s">
        <v>75</v>
      </c>
      <c r="L59">
        <v>2019</v>
      </c>
      <c r="M59">
        <v>43751</v>
      </c>
      <c r="N59"/>
      <c r="O59">
        <v>298503</v>
      </c>
      <c r="P59">
        <v>308</v>
      </c>
      <c r="Q59"/>
      <c r="R59">
        <v>2583</v>
      </c>
      <c r="S59">
        <v>2907</v>
      </c>
      <c r="T59">
        <v>1119</v>
      </c>
      <c r="U59">
        <v>1788</v>
      </c>
      <c r="V59">
        <v>676</v>
      </c>
      <c r="W59">
        <v>21</v>
      </c>
    </row>
    <row r="60" spans="2:23" x14ac:dyDescent="0.2">
      <c r="I60" s="4"/>
      <c r="J60" t="s">
        <v>37</v>
      </c>
      <c r="K60" t="s">
        <v>74</v>
      </c>
      <c r="L60">
        <v>2018</v>
      </c>
      <c r="M60">
        <v>3692</v>
      </c>
      <c r="N60">
        <v>13</v>
      </c>
      <c r="O60">
        <v>10227</v>
      </c>
      <c r="P60">
        <v>79</v>
      </c>
      <c r="Q60">
        <v>0</v>
      </c>
      <c r="R60">
        <v>335</v>
      </c>
      <c r="S60">
        <v>1978</v>
      </c>
      <c r="T60">
        <v>827</v>
      </c>
      <c r="U60">
        <v>1150</v>
      </c>
      <c r="V60">
        <v>408</v>
      </c>
      <c r="W60">
        <v>1</v>
      </c>
    </row>
    <row r="61" spans="2:23" x14ac:dyDescent="0.2">
      <c r="I61" s="4"/>
      <c r="J61" t="s">
        <v>37</v>
      </c>
      <c r="K61" t="s">
        <v>74</v>
      </c>
      <c r="L61">
        <v>2019</v>
      </c>
      <c r="M61">
        <v>1535</v>
      </c>
      <c r="N61">
        <v>10</v>
      </c>
      <c r="O61">
        <v>11752</v>
      </c>
      <c r="P61">
        <v>85</v>
      </c>
      <c r="Q61">
        <v>0</v>
      </c>
      <c r="R61">
        <v>420</v>
      </c>
      <c r="S61">
        <v>2482</v>
      </c>
      <c r="T61">
        <v>1021</v>
      </c>
      <c r="U61">
        <v>1461</v>
      </c>
      <c r="V61">
        <v>575</v>
      </c>
      <c r="W61">
        <v>18</v>
      </c>
    </row>
    <row r="62" spans="2:23" x14ac:dyDescent="0.2">
      <c r="I62" s="4"/>
    </row>
    <row r="63" spans="2:23" x14ac:dyDescent="0.2">
      <c r="I63" s="4"/>
    </row>
    <row r="64" spans="2:23" x14ac:dyDescent="0.2">
      <c r="I64" s="4"/>
    </row>
    <row r="65" spans="9:23" x14ac:dyDescent="0.2">
      <c r="I65" s="4"/>
    </row>
    <row r="66" spans="9:23" x14ac:dyDescent="0.2">
      <c r="I66" s="4"/>
    </row>
    <row r="67" spans="9:23" x14ac:dyDescent="0.2">
      <c r="I67" s="4"/>
    </row>
    <row r="68" spans="9:23" x14ac:dyDescent="0.2">
      <c r="I68" s="4"/>
    </row>
    <row r="69" spans="9:23" x14ac:dyDescent="0.2">
      <c r="I69" s="4"/>
    </row>
    <row r="70" spans="9:23" x14ac:dyDescent="0.2">
      <c r="I70" s="4"/>
    </row>
    <row r="71" spans="9:23" x14ac:dyDescent="0.2">
      <c r="I71" s="4"/>
    </row>
    <row r="72" spans="9:23" x14ac:dyDescent="0.2">
      <c r="I72" s="4"/>
    </row>
    <row r="75" spans="9:23" x14ac:dyDescent="0.2"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9:23" x14ac:dyDescent="0.2"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9:23" x14ac:dyDescent="0.2"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9:23" s="55" customFormat="1" x14ac:dyDescent="0.2">
      <c r="I78" s="54"/>
    </row>
  </sheetData>
  <mergeCells count="5">
    <mergeCell ref="B14:H14"/>
    <mergeCell ref="B20:D20"/>
    <mergeCell ref="B25:D25"/>
    <mergeCell ref="B30:D30"/>
    <mergeCell ref="B46:C46"/>
  </mergeCells>
  <hyperlinks>
    <hyperlink ref="J15" r:id="rId1" location="/CBS/nl/dataset/82380NED/table?dl=3BB87" xr:uid="{C1C23642-36DD-9041-99EF-B2DF530D8CD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and Assumptions</vt:lpstr>
      <vt:lpstr>Final demand</vt:lpstr>
      <vt:lpstr>Space heating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Terlouw</dc:creator>
  <cp:lastModifiedBy>Mathijs Bijkerk</cp:lastModifiedBy>
  <dcterms:created xsi:type="dcterms:W3CDTF">2014-06-16T12:25:15Z</dcterms:created>
  <dcterms:modified xsi:type="dcterms:W3CDTF">2021-09-09T14:36:31Z</dcterms:modified>
</cp:coreProperties>
</file>