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jsbijkerk/Projects/etdataset/source_analyses/nl/2019 (2015 copy)/8_transport/"/>
    </mc:Choice>
  </mc:AlternateContent>
  <xr:revisionPtr revIDLastSave="0" documentId="13_ncr:1_{E1076E89-3EB0-C545-AF1E-C21CE9165B36}" xr6:coauthVersionLast="47" xr6:coauthVersionMax="47" xr10:uidLastSave="{00000000-0000-0000-0000-000000000000}"/>
  <bookViews>
    <workbookView xWindow="0" yWindow="500" windowWidth="60160" windowHeight="32140" xr2:uid="{8713F9D1-264C-3947-9D9C-E197E0278D80}"/>
  </bookViews>
  <sheets>
    <sheet name="Cover sheet" sheetId="12" r:id="rId1"/>
    <sheet name="Assumptions" sheetId="8" r:id="rId2"/>
    <sheet name="Dashboard" sheetId="13" r:id="rId3"/>
    <sheet name="Analysis - road transport" sheetId="2" r:id="rId4"/>
    <sheet name="Analysis - rail transport" sheetId="5" r:id="rId5"/>
    <sheet name="Analysis - road LNG and CNG" sheetId="6" r:id="rId6"/>
    <sheet name="Datadump - road fuels" sheetId="1" r:id="rId7"/>
    <sheet name="Datadump - road E and H2" sheetId="4" r:id="rId8"/>
    <sheet name="Datadump - rail" sheetId="11" r:id="rId9"/>
  </sheets>
  <externalReferences>
    <externalReference r:id="rId10"/>
    <externalReference r:id="rId11"/>
  </externalReferences>
  <definedNames>
    <definedName name="ap_subfuel_allo">'[1]CEB allocation factors'!$F$12:$BC$12</definedName>
    <definedName name="base_year">[1]Dashboard!$E$13</definedName>
    <definedName name="country">[1]Dashboard!$E$12</definedName>
    <definedName name="Eff_cooking_biomass">[2]technical_specs!$M$50</definedName>
    <definedName name="Eff_cooking_electric">[2]technical_specs!$M$47</definedName>
    <definedName name="Eff_cooking_gas">[2]technical_specs!$M$46</definedName>
    <definedName name="Eff_cooking_halogen">[2]technical_specs!$M$48</definedName>
    <definedName name="Eff_cooking_induction">[2]technical_specs!$M$49</definedName>
    <definedName name="Eff_cooling_airco">[2]technical_specs!$M$43</definedName>
    <definedName name="Eff_cooling_pump_air">[2]technical_specs!$M$42</definedName>
    <definedName name="Eff_cooling_pump_ground">[2]technical_specs!$M$41</definedName>
    <definedName name="Eff_hot_water_coal">[2]technical_specs!$M$36</definedName>
    <definedName name="Eff_hot_water_combi_boiler">[2]technical_specs!$M$26</definedName>
    <definedName name="Eff_hot_water_district">[2]technical_specs!$M$30</definedName>
    <definedName name="Eff_hot_water_electric">[2]technical_specs!$M$33</definedName>
    <definedName name="Eff_hot_water_fuel_cell">[2]technical_specs!$M$37</definedName>
    <definedName name="Eff_hot_water_gas">[2]technical_specs!$M$34</definedName>
    <definedName name="Eff_hot_water_micro_CHP">[2]technical_specs!$M$29</definedName>
    <definedName name="Eff_hot_water_oil">[2]technical_specs!$M$35</definedName>
    <definedName name="Eff_hot_water_pump_air">[2]technical_specs!$M$31</definedName>
    <definedName name="Eff_hot_water_pump_ground">[2]technical_specs!$M$28</definedName>
    <definedName name="Eff_hot_water_solar_thermal_panel">[2]technical_specs!$M$27</definedName>
    <definedName name="Eff_hot_water_woodpellets">[2]technical_specs!$M$32</definedName>
    <definedName name="Eff_lighting_fluorescent">[2]technical_specs!$M$54</definedName>
    <definedName name="Eff_lighting_incandescent">[2]technical_specs!$M$53</definedName>
    <definedName name="Eff_lighting_led">[2]technical_specs!$M$55</definedName>
    <definedName name="Eff_space_heating_coal">[2]technical_specs!$M$21</definedName>
    <definedName name="Eff_space_heating_combi_boiler">[2]technical_specs!$M$11</definedName>
    <definedName name="Eff_space_heating_district">[2]technical_specs!$M$15</definedName>
    <definedName name="Eff_space_heating_electric">[2]technical_specs!$M$18</definedName>
    <definedName name="Eff_space_heating_gas">[2]technical_specs!$M$19</definedName>
    <definedName name="Eff_space_heating_micro_CHP">[2]technical_specs!$M$14</definedName>
    <definedName name="Eff_space_heating_oil">[2]technical_specs!$M$20</definedName>
    <definedName name="Eff_space_heating_pump_add_on">[2]technical_specs!$M$22</definedName>
    <definedName name="Eff_space_heating_pump_air">[2]technical_specs!$M$16</definedName>
    <definedName name="Eff_space_heating_pump_ground">[2]technical_specs!$M$13</definedName>
    <definedName name="Eff_space_heating_solar_thermal">[2]technical_specs!$M$12</definedName>
    <definedName name="Eff_space_heating_woodpellets">[2]technical_specs!$M$17</definedName>
    <definedName name="ei_subsector_allo">'[1]CEB allocation factors'!$D$17:$D$33</definedName>
    <definedName name="Final_demand_appliances">[2]Dashboard!$E$25</definedName>
    <definedName name="Final_demand_coal">'[2]Fuel aggregation'!$C$11</definedName>
    <definedName name="Final_demand_cooking">[2]Dashboard!$E$24</definedName>
    <definedName name="Final_demand_cooling">[2]Dashboard!$E$22</definedName>
    <definedName name="Final_demand_electricity">'[2]Fuel aggregation'!$I$11</definedName>
    <definedName name="Final_demand_gas">'[2]Fuel aggregation'!$D$11</definedName>
    <definedName name="Final_demand_heat">'[2]Fuel aggregation'!$J$11</definedName>
    <definedName name="Final_demand_hot_water">[2]Dashboard!$E$21</definedName>
    <definedName name="Final_demand_lighting">[2]Dashboard!$E$23</definedName>
    <definedName name="Final_demand_oil">'[2]Fuel aggregation'!$E$11</definedName>
    <definedName name="Final_demand_residences">'[2]Fuel aggregation'!$L$11</definedName>
    <definedName name="Final_demand_solar_thermal">'[2]Fuel aggregation'!$G$11</definedName>
    <definedName name="Final_demand_space_heating">[2]Dashboard!$E$20</definedName>
    <definedName name="Final_demand_woodpellets">'[2]Fuel aggregation'!$F$11</definedName>
    <definedName name="i_subsector_allo">'[1]CEB allocation factors'!$D$37:$D$49</definedName>
    <definedName name="kWh_MJ_conversion">[1]Assumptions!$C$174</definedName>
    <definedName name="net_gross_conv">'[1]AP net-gross conversion'!$D$12</definedName>
    <definedName name="_xlnm.Print_Titles" localSheetId="8">'Datadump - rail'!$1:$1</definedName>
    <definedName name="switch_decc">'[1]Fuel allocation'!$C$130</definedName>
    <definedName name="switch_iea">'[1]Fuel allocation'!$C$89</definedName>
    <definedName name="switch_protermo">'[1]Fuel allocation'!$C$48</definedName>
    <definedName name="Verkeersprestaties_personenauto_s__brandstof_uitgebreid__leeftijd_02062021_130906" localSheetId="5">'Analysis - road LNG and CNG'!$C$25:$E$34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13" l="1"/>
  <c r="E38" i="13"/>
  <c r="D44" i="2"/>
  <c r="D46" i="2"/>
  <c r="E47" i="13" s="1"/>
  <c r="D39" i="2"/>
  <c r="E40" i="13" s="1"/>
  <c r="C178" i="2"/>
  <c r="E51" i="13"/>
  <c r="E52" i="13"/>
  <c r="E54" i="13"/>
  <c r="E55" i="13"/>
  <c r="E57" i="13"/>
  <c r="E59" i="13"/>
  <c r="E60" i="13"/>
  <c r="E61" i="13"/>
  <c r="E63" i="13"/>
  <c r="E64" i="13"/>
  <c r="E66" i="13"/>
  <c r="E50" i="13"/>
  <c r="C162" i="2" l="1"/>
  <c r="G162" i="2" s="1"/>
  <c r="C163" i="2"/>
  <c r="C164" i="2"/>
  <c r="C165" i="2"/>
  <c r="G165" i="2" s="1"/>
  <c r="C166" i="2"/>
  <c r="G166" i="2" s="1"/>
  <c r="C161" i="2"/>
  <c r="G173" i="2" l="1"/>
  <c r="G179" i="2"/>
  <c r="G180" i="2"/>
  <c r="G174" i="2"/>
  <c r="G176" i="2"/>
  <c r="K170" i="2" s="1"/>
  <c r="G170" i="2"/>
  <c r="K164" i="2" s="1"/>
  <c r="D37" i="2" s="1"/>
  <c r="G161" i="2"/>
  <c r="G163" i="2"/>
  <c r="G164" i="2"/>
  <c r="D14" i="5"/>
  <c r="G38" i="5"/>
  <c r="G32" i="5"/>
  <c r="D21" i="5" s="1"/>
  <c r="G30" i="5"/>
  <c r="D18" i="5" s="1"/>
  <c r="G27" i="5"/>
  <c r="C37" i="5"/>
  <c r="G31" i="5" s="1"/>
  <c r="C36" i="5"/>
  <c r="C27" i="5"/>
  <c r="C29" i="5"/>
  <c r="G28" i="5" s="1"/>
  <c r="C30" i="5"/>
  <c r="G29" i="5" s="1"/>
  <c r="C28" i="5"/>
  <c r="C125" i="2"/>
  <c r="C94" i="2" a="1"/>
  <c r="C94" i="2" s="1"/>
  <c r="C99" i="2" a="1"/>
  <c r="C99" i="2" s="1"/>
  <c r="C92" i="2" a="1"/>
  <c r="C92" i="2" s="1"/>
  <c r="B79" i="2"/>
  <c r="C79" i="2"/>
  <c r="B80" i="2"/>
  <c r="C80" i="2"/>
  <c r="B75" i="2"/>
  <c r="C75" i="2"/>
  <c r="B76" i="2"/>
  <c r="C76" i="2"/>
  <c r="B77" i="2"/>
  <c r="C77" i="2"/>
  <c r="B78" i="2"/>
  <c r="C78" i="2"/>
  <c r="C74" i="2"/>
  <c r="B74" i="2"/>
  <c r="D17" i="6"/>
  <c r="C121" i="2"/>
  <c r="C122" i="2" s="1"/>
  <c r="C119" i="2"/>
  <c r="C115" i="2"/>
  <c r="C116" i="2" s="1"/>
  <c r="C111" i="2"/>
  <c r="C112" i="2" s="1"/>
  <c r="C113" i="2" s="1"/>
  <c r="C108" i="2"/>
  <c r="C109" i="2" s="1"/>
  <c r="C152" i="2"/>
  <c r="C153" i="2" s="1"/>
  <c r="C148" i="2"/>
  <c r="C149" i="2" s="1"/>
  <c r="C144" i="2"/>
  <c r="C145" i="2" s="1"/>
  <c r="K168" i="2" l="1"/>
  <c r="D42" i="2" s="1"/>
  <c r="E43" i="13" s="1"/>
  <c r="K162" i="2"/>
  <c r="D35" i="2" s="1"/>
  <c r="E36" i="13" s="1"/>
  <c r="G171" i="2"/>
  <c r="G177" i="2"/>
  <c r="G175" i="2"/>
  <c r="K171" i="2" s="1"/>
  <c r="D45" i="2" s="1"/>
  <c r="E46" i="13" s="1"/>
  <c r="G169" i="2"/>
  <c r="K165" i="2" s="1"/>
  <c r="D38" i="2" s="1"/>
  <c r="E39" i="13" s="1"/>
  <c r="G178" i="2"/>
  <c r="K167" i="2" s="1"/>
  <c r="G172" i="2"/>
  <c r="K161" i="2" s="1"/>
  <c r="C126" i="2"/>
  <c r="G95" i="2" s="1"/>
  <c r="G103" i="2" s="1"/>
  <c r="G36" i="5"/>
  <c r="D16" i="5"/>
  <c r="K29" i="5"/>
  <c r="D7" i="5" s="1"/>
  <c r="D19" i="5"/>
  <c r="K28" i="5"/>
  <c r="D6" i="5" s="1"/>
  <c r="D15" i="5"/>
  <c r="K27" i="5"/>
  <c r="D5" i="5" s="1"/>
  <c r="G37" i="5"/>
  <c r="K31" i="5" s="1"/>
  <c r="D10" i="5" s="1"/>
  <c r="K30" i="5"/>
  <c r="D9" i="5" s="1"/>
  <c r="K52" i="2"/>
  <c r="D20" i="2" s="1"/>
  <c r="E21" i="13" s="1"/>
  <c r="C117" i="2"/>
  <c r="C133" i="2" a="1"/>
  <c r="C133" i="2" s="1"/>
  <c r="C134" i="2" a="1"/>
  <c r="C134" i="2" s="1"/>
  <c r="C135" i="2" a="1"/>
  <c r="C135" i="2" s="1"/>
  <c r="G134" i="2" s="1"/>
  <c r="C132" i="2" a="1"/>
  <c r="C132" i="2" s="1"/>
  <c r="G132" i="2" s="1"/>
  <c r="C95" i="2" a="1"/>
  <c r="C95" i="2" s="1"/>
  <c r="G89" i="2" s="1"/>
  <c r="C96" i="2" a="1"/>
  <c r="C96" i="2" s="1"/>
  <c r="C97" i="2" a="1"/>
  <c r="C97" i="2" s="1"/>
  <c r="C98" i="2" a="1"/>
  <c r="C98" i="2" s="1"/>
  <c r="G93" i="2" s="1"/>
  <c r="C93" i="2" a="1"/>
  <c r="C93" i="2" s="1"/>
  <c r="C89" i="2" a="1"/>
  <c r="C89" i="2" s="1"/>
  <c r="C90" i="2" a="1"/>
  <c r="C90" i="2" s="1"/>
  <c r="C91" i="2" a="1"/>
  <c r="C91" i="2" s="1"/>
  <c r="G92" i="2" s="1"/>
  <c r="C88" i="2" a="1"/>
  <c r="C88" i="2" s="1"/>
  <c r="G88" i="2" s="1"/>
  <c r="C68" i="2"/>
  <c r="G63" i="2" s="1"/>
  <c r="C67" i="2"/>
  <c r="K175" i="2" l="1"/>
  <c r="K163" i="2"/>
  <c r="K169" i="2"/>
  <c r="D43" i="2" s="1"/>
  <c r="E44" i="13" s="1"/>
  <c r="D34" i="2"/>
  <c r="E35" i="13" s="1"/>
  <c r="D41" i="2"/>
  <c r="E42" i="13" s="1"/>
  <c r="K53" i="2"/>
  <c r="D21" i="2" s="1"/>
  <c r="E22" i="13" s="1"/>
  <c r="G91" i="2"/>
  <c r="G101" i="2"/>
  <c r="G99" i="2"/>
  <c r="G90" i="2"/>
  <c r="G94" i="2"/>
  <c r="G102" i="2" s="1"/>
  <c r="G133" i="2"/>
  <c r="K133" i="2" s="1"/>
  <c r="C52" i="2"/>
  <c r="G52" i="2" s="1"/>
  <c r="C53" i="2"/>
  <c r="G53" i="2" s="1"/>
  <c r="C54" i="2"/>
  <c r="G54" i="2" s="1"/>
  <c r="C55" i="2"/>
  <c r="G55" i="2" s="1"/>
  <c r="C56" i="2"/>
  <c r="G56" i="2" s="1"/>
  <c r="C57" i="2"/>
  <c r="G57" i="2" s="1"/>
  <c r="C66" i="2"/>
  <c r="C65" i="2"/>
  <c r="C58" i="2"/>
  <c r="G58" i="2" s="1"/>
  <c r="C59" i="2"/>
  <c r="C60" i="2"/>
  <c r="C61" i="2"/>
  <c r="C62" i="2"/>
  <c r="C63" i="2"/>
  <c r="C64" i="2"/>
  <c r="G62" i="2" s="1"/>
  <c r="D36" i="2" l="1"/>
  <c r="E37" i="13" s="1"/>
  <c r="K174" i="2"/>
  <c r="G100" i="2"/>
  <c r="K88" i="2" s="1"/>
  <c r="D14" i="2" s="1"/>
  <c r="E15" i="13" s="1"/>
  <c r="K132" i="2"/>
  <c r="K134" i="2"/>
  <c r="G60" i="2"/>
  <c r="G68" i="2" s="1"/>
  <c r="K61" i="2" s="1"/>
  <c r="D10" i="2" s="1"/>
  <c r="E11" i="13" s="1"/>
  <c r="G61" i="2"/>
  <c r="G69" i="2"/>
  <c r="G59" i="2"/>
  <c r="K89" i="2" l="1"/>
  <c r="D15" i="2" s="1"/>
  <c r="E16" i="13" s="1"/>
  <c r="K90" i="2"/>
  <c r="D16" i="2" s="1"/>
  <c r="E17" i="13" s="1"/>
  <c r="K92" i="2"/>
  <c r="D18" i="2" s="1"/>
  <c r="E19" i="13" s="1"/>
  <c r="K91" i="2"/>
  <c r="D17" i="2" s="1"/>
  <c r="E18" i="13" s="1"/>
  <c r="G70" i="2"/>
  <c r="K65" i="2" s="1"/>
  <c r="D24" i="2" s="1"/>
  <c r="E25" i="13" s="1"/>
  <c r="K62" i="2"/>
  <c r="D11" i="2" s="1"/>
  <c r="E12" i="13" s="1"/>
  <c r="K63" i="2"/>
  <c r="D12" i="2" s="1"/>
  <c r="E13" i="13" s="1"/>
  <c r="G67" i="2"/>
  <c r="K68" i="2" l="1"/>
  <c r="D32" i="2" s="1"/>
  <c r="E33" i="13" s="1"/>
  <c r="K66" i="2"/>
  <c r="K64" i="2"/>
  <c r="D23" i="2" s="1"/>
  <c r="E24" i="13" s="1"/>
  <c r="K67" i="2"/>
  <c r="K58" i="2"/>
  <c r="D6" i="2" s="1"/>
  <c r="E7" i="13" s="1"/>
  <c r="K59" i="2"/>
  <c r="D7" i="2" s="1"/>
  <c r="E8" i="13" s="1"/>
  <c r="K57" i="2"/>
  <c r="D5" i="2" s="1"/>
  <c r="E6" i="13" s="1"/>
  <c r="K60" i="2"/>
  <c r="D8" i="2" s="1"/>
  <c r="E9" i="13" s="1"/>
  <c r="D28" i="2" l="1"/>
  <c r="E29" i="13" s="1"/>
  <c r="D26" i="2"/>
  <c r="E27" i="13" s="1"/>
  <c r="D30" i="2"/>
  <c r="E31" i="13" s="1"/>
  <c r="D31" i="2"/>
  <c r="E32" i="13" s="1"/>
  <c r="D27" i="2"/>
  <c r="E28" i="1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AC069D-470A-124C-A7EE-DCA268A8C404}" name="Verkeersprestaties_personenauto_s__brandstof_uitgebreid__leeftijd_02062021_130906" type="6" refreshedVersion="7" deleted="1" background="1" saveData="1">
    <textPr codePage="65001" sourceFile="/Users/mathijsbijkerk/Downloads/Verkeersprestaties_personenauto_s__brandstof_uitgebreid__leeftijd_02062021_130906.csv" tab="0" semicolon="1">
      <textFields count="3"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<sst xmlns="http://schemas.openxmlformats.org/spreadsheetml/2006/main" count="1238" uniqueCount="579">
  <si>
    <t>DATASET</t>
  </si>
  <si>
    <t>DOELGROEP</t>
  </si>
  <si>
    <t>SUBDOELGROEP</t>
  </si>
  <si>
    <t>CODE_EMISSIEOORZAAK</t>
  </si>
  <si>
    <t>EMISSIEOORZAAK</t>
  </si>
  <si>
    <t>COMPARTIMENT</t>
  </si>
  <si>
    <t>STOFCODE</t>
  </si>
  <si>
    <t>STOF</t>
  </si>
  <si>
    <t>EENHEID</t>
  </si>
  <si>
    <t>ER Reeks 1990-2018 Definitief</t>
  </si>
  <si>
    <t>Verkeer en vervoer</t>
  </si>
  <si>
    <t>Wegverkeer - uitlaatgassen</t>
  </si>
  <si>
    <t>Uitlaatgassen personenauto's benzine, bebouwde kom</t>
  </si>
  <si>
    <t>Lucht</t>
  </si>
  <si>
    <t>Koolstofdioxide</t>
  </si>
  <si>
    <t>kg</t>
  </si>
  <si>
    <t>Uitlaatgassen personenauto's benzine, autosnelweg</t>
  </si>
  <si>
    <t>Uitlaatgassen personenauto's benzine, buitenweg</t>
  </si>
  <si>
    <t>Uitlaatgassen personenauto's diesel, bebouwde kom</t>
  </si>
  <si>
    <t>Uitlaatgassen personenauto's diesel, autosnelweg</t>
  </si>
  <si>
    <t>Uitlaatgassen personenauto's diesel, buitenweg</t>
  </si>
  <si>
    <t>Uitlaatgassen personenauto's LPG, bebouwde kom</t>
  </si>
  <si>
    <t>Uitlaatgassen personenauto's LPG, autosnelweg</t>
  </si>
  <si>
    <t>Uitlaatgassen personenauto's LPG, buitenweg</t>
  </si>
  <si>
    <t>Uitlaatgassen lichte bedrijfsvoertuigen benzine, bebouwde kom</t>
  </si>
  <si>
    <t>Uitlaatgassen lichte bedrijfsvoertuigen benzine, autosnelweg</t>
  </si>
  <si>
    <t>Uitlaatgassen lichte bedrijfsvoertuigen benzine, buitenweg</t>
  </si>
  <si>
    <t>Uitlaatgassen lichte bedrijfsvoertuigen diesel, bebouwde kom</t>
  </si>
  <si>
    <t>Uitlaatgassen lichte bedrijfsvoertuigen diesel, autosnelweg</t>
  </si>
  <si>
    <t>Uitlaatgassen lichte bedrijfsvoertuigen diesel, buitenweg</t>
  </si>
  <si>
    <t>Uitlaatgassen lichte bedrijfsvoertuigen LPG, bebouwde kom</t>
  </si>
  <si>
    <t>Uitlaatgassen lichte bedrijfsvoertuigen LPG, autosnelweg</t>
  </si>
  <si>
    <t>Uitlaatgassen lichte bedrijfsvoertuigen LPG, buitenweg</t>
  </si>
  <si>
    <t>Uitlaatgassen zware bedrijfsvoertuigen excl. autobussen, bebouwde kom</t>
  </si>
  <si>
    <t>Uitlaatgassen zware bedrijfsvoertuigen excl. autobussen, autosnelweg</t>
  </si>
  <si>
    <t>Uitlaatgassen zware bedrijfsvoertuigen excl. autobussen, buitenweg</t>
  </si>
  <si>
    <t>Uitlaatgassen motorfietsen, bebouwde kom</t>
  </si>
  <si>
    <t>Uitlaatgassen motorfietsen, autosnelweg</t>
  </si>
  <si>
    <t>Uitlaatgassen motorfietsen, buitenweg</t>
  </si>
  <si>
    <t>Uitlaatgassen bromfietsen, bebouwde kom</t>
  </si>
  <si>
    <t>Uitlaatgassen bromfietsen, buitenweg</t>
  </si>
  <si>
    <t>Uitlaatgassen brommobielen, bebouwde kom</t>
  </si>
  <si>
    <t>Uitlaatgassen brommobielen, buitenweg</t>
  </si>
  <si>
    <t>Uitlaatgassen autobussen ov diesel, bebouwde kom</t>
  </si>
  <si>
    <t>Uitlaatgassen autobussen ov diesel, autosnelweg</t>
  </si>
  <si>
    <t>Uitlaatgassen autobussen ov diesel, buitenweg</t>
  </si>
  <si>
    <t>Uitlaatgassen autobussen touringcars diesel, bebouwde kom</t>
  </si>
  <si>
    <t>Uitlaatgassen autobussen touringcars diesel, autosnelweg</t>
  </si>
  <si>
    <t>Uitlaatgassen autobussen touringcars diesel, buitenweg</t>
  </si>
  <si>
    <t>Uitlaatgassen autobussen ov aardgas, bebouwde kom</t>
  </si>
  <si>
    <t>Uitlaatgassen autobussen ov aardgas, autosnelweg</t>
  </si>
  <si>
    <t>Uitlaatgassen autobussen ov aardgas, buitenweg</t>
  </si>
  <si>
    <t>Uitlaatgassen autobussen touringcars aardgas, bebouwde kom</t>
  </si>
  <si>
    <t>Uitlaatgassen autobussen touringcars aardgas, autosnelweg</t>
  </si>
  <si>
    <t>Uitlaatgassen autobussen touringcars aardgas, buitenweg</t>
  </si>
  <si>
    <t>Uitlaatgassen autobussen ov overig, bebouwde kom</t>
  </si>
  <si>
    <t>Uitlaatgassen autobussen ov overig, autosnelweg</t>
  </si>
  <si>
    <t>Uitlaatgassen autobussen ov overig, buitenweg</t>
  </si>
  <si>
    <t>Uitlaatgassen autobussen touringcars overig, bebouwde kom</t>
  </si>
  <si>
    <t>Uitlaatgassen autobussen touringcars overig, autosnelweg</t>
  </si>
  <si>
    <t>Uitlaatgassen autobussen touringcars overig, buitenweg</t>
  </si>
  <si>
    <t>tp_car_gasoline_co2_built_env</t>
  </si>
  <si>
    <t>tp_car_gasoline_co2_motorway</t>
  </si>
  <si>
    <t>tp_car_gasoline_co2_road</t>
  </si>
  <si>
    <t>tp_car_diesel_co2_built_env</t>
  </si>
  <si>
    <t>tp_car_diesel_co2_motorway</t>
  </si>
  <si>
    <t>tp_car_diesel_co2_road</t>
  </si>
  <si>
    <t>tp_car_lpg_co2_built_env</t>
  </si>
  <si>
    <t>tp_car_lpg_co2_motorway</t>
  </si>
  <si>
    <t>tp_car_lpg_co2_road</t>
  </si>
  <si>
    <t>tp_van_gasoline_co2_built_env</t>
  </si>
  <si>
    <t>tp_van_gasoline_co2_motorway</t>
  </si>
  <si>
    <t>tp_van_gasoline_co2_road</t>
  </si>
  <si>
    <t>tp_van_diesel_co2_built_env</t>
  </si>
  <si>
    <t>tp_van_diesel_co2_motorway</t>
  </si>
  <si>
    <t>tp_van_diesel_co2_road</t>
  </si>
  <si>
    <t>tp_van_lpg_co2_built_env</t>
  </si>
  <si>
    <t>tp_van_lpg_co2_motorway</t>
  </si>
  <si>
    <t>tp_van_lpg_co2_road</t>
  </si>
  <si>
    <t>tp_truck_co2_built_env</t>
  </si>
  <si>
    <t>tp_truck_co2_motorway</t>
  </si>
  <si>
    <t>tp_truck_co2_road</t>
  </si>
  <si>
    <t>tp_motorcycle_co2_built_env</t>
  </si>
  <si>
    <t>tp_motorcycle_co2_motorway</t>
  </si>
  <si>
    <t>tp_motorcycle_co2_road</t>
  </si>
  <si>
    <t>tp_moped_co2_road</t>
  </si>
  <si>
    <t>tp_moped_co2_built_env</t>
  </si>
  <si>
    <t>tp_quadricycle_co2_built_env</t>
  </si>
  <si>
    <t>tp_quadricycle_co2_road</t>
  </si>
  <si>
    <t>tp_bus_ov_diesel_co2_built_env</t>
  </si>
  <si>
    <t>tp_bus_ov_diesel_co2_motorway</t>
  </si>
  <si>
    <t>tp_bus_ov_diesel_co2_road</t>
  </si>
  <si>
    <t>tp_bus_tc_diesel_co2_built_env</t>
  </si>
  <si>
    <t>tp_bus_tc_diesel_co2_motorway</t>
  </si>
  <si>
    <t>tp_bus_tc_diesel_co2_road</t>
  </si>
  <si>
    <t>tp_bus_ov_gas_co2_built_env</t>
  </si>
  <si>
    <t>tp_bus_ov_gas_co2_motorway</t>
  </si>
  <si>
    <t>tp_bus_ov_gas_co2_road</t>
  </si>
  <si>
    <t>tp_bus_tc_gas_co2_built_env</t>
  </si>
  <si>
    <t>tp_bus_tc_gas_co2_motorway</t>
  </si>
  <si>
    <t>tp_bus_tc_gas_co2_road</t>
  </si>
  <si>
    <t>tp_bus_tc_oth_co2_built_env</t>
  </si>
  <si>
    <t>tp_bus_tc_oth_co2_motorway</t>
  </si>
  <si>
    <t>tp_bus_tc_oth_co2_road</t>
  </si>
  <si>
    <t>tp_bus_ov_oth_co2_built_env</t>
  </si>
  <si>
    <t>tp_bus_ov_oth_co2_motorway</t>
  </si>
  <si>
    <t>tp_bus_ov_oth_co2_road</t>
  </si>
  <si>
    <t>tp_car_gasoline_co2</t>
  </si>
  <si>
    <t>tp_car_diesel_co2</t>
  </si>
  <si>
    <t>tp_car_lpg_co2</t>
  </si>
  <si>
    <t>tp_van_gasoline_co2</t>
  </si>
  <si>
    <t>tp_truck_co2</t>
  </si>
  <si>
    <t>tp_motorcycle_co2</t>
  </si>
  <si>
    <t>tp_moped_co2</t>
  </si>
  <si>
    <t>tp_bus_diesel_co2</t>
  </si>
  <si>
    <t>tp_bus_gas_co2</t>
  </si>
  <si>
    <t>variable for calculations</t>
  </si>
  <si>
    <t>tp_quadricycle_co2</t>
  </si>
  <si>
    <t>tp_bus_tc_diesel_co2</t>
  </si>
  <si>
    <t>tp_bus_tc_gas_co2</t>
  </si>
  <si>
    <t>tp_bus_ov_diesel_co2</t>
  </si>
  <si>
    <t>tp_bus_ov_gas_co2</t>
  </si>
  <si>
    <t>tp_bus_tc_oth_co2</t>
  </si>
  <si>
    <t>tp_bus_ov_oth_co2</t>
  </si>
  <si>
    <t>tp_van_diesel_co2</t>
  </si>
  <si>
    <t>tp_van_lpg_co2</t>
  </si>
  <si>
    <t>tp_truck_diesel_co2</t>
  </si>
  <si>
    <t>tp_motorcycle_gasoline_co2</t>
  </si>
  <si>
    <t>comment</t>
  </si>
  <si>
    <t>combination of touringcar and public transport buses</t>
  </si>
  <si>
    <t>Use in transport analysis</t>
  </si>
  <si>
    <t>Percentage of gasoline mix delivered to cars</t>
  </si>
  <si>
    <t>Share</t>
  </si>
  <si>
    <t>Percentage of gasoline mix delivered to trucks</t>
  </si>
  <si>
    <t>Percentage of gasoline mix delivered to busses</t>
  </si>
  <si>
    <t>Percentage of gasoline mix delivered to motorcycles</t>
  </si>
  <si>
    <t>Percentage of diesel mix delivered to cars</t>
  </si>
  <si>
    <t>Percentage of diesel mix delivered to trucks</t>
  </si>
  <si>
    <t>Percentage of diesel mix delivered to busses</t>
  </si>
  <si>
    <t>Percentage of electricity mix delivered to cars</t>
  </si>
  <si>
    <t>Percentage of electricity mix delivered to trucks</t>
  </si>
  <si>
    <t>Percentage of electricity mix delivered to busses</t>
  </si>
  <si>
    <t xml:space="preserve">Percentage of natural gas that is liquefied natural gas </t>
  </si>
  <si>
    <t xml:space="preserve">Percentage of natural gas that is compressed natural gas </t>
  </si>
  <si>
    <t>Percentage of lng that is delivered to trucks</t>
  </si>
  <si>
    <t>Percentage of lng that is delivered to busses</t>
  </si>
  <si>
    <t>Percentage of compressed network gas delivered to cars</t>
  </si>
  <si>
    <t>Percentage of compressed network gas delivered to trucks</t>
  </si>
  <si>
    <t>Percentage of compressed network gas delivered to busses</t>
  </si>
  <si>
    <t>Percentage of CNG mix delivered to cars</t>
  </si>
  <si>
    <t>Percentage of CNG mix delivered to trucks</t>
  </si>
  <si>
    <t>Percentage of CNG mix delivered to busses</t>
  </si>
  <si>
    <t>Source</t>
  </si>
  <si>
    <t>Emissieregistratie</t>
  </si>
  <si>
    <t>value [kg]</t>
  </si>
  <si>
    <t>application type combined CO2 emissions</t>
  </si>
  <si>
    <t>value [tonne]</t>
  </si>
  <si>
    <t>combination of built_env, road and motorway</t>
  </si>
  <si>
    <t>combination of built_env and road</t>
  </si>
  <si>
    <t>Mobiele werktuigen</t>
  </si>
  <si>
    <t>Mobiele werktuigen landbouw</t>
  </si>
  <si>
    <t>Mobiele werktuigen, bouwsector</t>
  </si>
  <si>
    <t>Mobiele werktuigen industrie</t>
  </si>
  <si>
    <t>Mobiele werktuigen consumenten</t>
  </si>
  <si>
    <t>Mobiele werktuigen HDO</t>
  </si>
  <si>
    <t>Mobiele werktuigen containeroverslag</t>
  </si>
  <si>
    <t>tp_mm_co2_agr</t>
  </si>
  <si>
    <t>tp_mm_co2_bs</t>
  </si>
  <si>
    <t>tp_mm_co2_ind</t>
  </si>
  <si>
    <t>tp_mm_co2_hdo</t>
  </si>
  <si>
    <t>tp_mm_co2_cono</t>
  </si>
  <si>
    <t>tp_mm_co2_cons</t>
  </si>
  <si>
    <t>tp_mm_co2</t>
  </si>
  <si>
    <t>combination of mobile machine sectors</t>
  </si>
  <si>
    <t>tp_mm_diesel_co2</t>
  </si>
  <si>
    <t>value [%]</t>
  </si>
  <si>
    <t>total CO2 emissions per fuel type</t>
  </si>
  <si>
    <t>gasoline_co2_total</t>
  </si>
  <si>
    <t>diesel_co2_total</t>
  </si>
  <si>
    <t>lpg_co2_total</t>
  </si>
  <si>
    <t>gas_co2_total</t>
  </si>
  <si>
    <t>assumed that all applications of a specific fuel use the same fuel mix, with the same energy content and emission factor</t>
  </si>
  <si>
    <t>share of application per fuel type</t>
  </si>
  <si>
    <t>gasoline_mix_share_cars</t>
  </si>
  <si>
    <t>gasoline_mix_share_trucks</t>
  </si>
  <si>
    <t>gasoline_mix_share_buses</t>
  </si>
  <si>
    <t>gasoline_mix_share_motorcycles</t>
  </si>
  <si>
    <t>diesel_mix_share_cars</t>
  </si>
  <si>
    <t>diesel_mix_share_trucks</t>
  </si>
  <si>
    <t>diesel_mix_share_buses</t>
  </si>
  <si>
    <t>assumed that trucks only use diesel</t>
  </si>
  <si>
    <t>combination of motorcycle, moped, quadricycle, assumed only use gasoline</t>
  </si>
  <si>
    <t>assumed that mobile machines only use diesel</t>
  </si>
  <si>
    <t>assumed that vans are part of trucks</t>
  </si>
  <si>
    <t>assumed that mobile machines are part of trucks</t>
  </si>
  <si>
    <t>lng_share_trucks</t>
  </si>
  <si>
    <t>lng_share_buses</t>
  </si>
  <si>
    <t>cng_share_cars</t>
  </si>
  <si>
    <t>cng_share_trucks</t>
  </si>
  <si>
    <t>cng_share_buses</t>
  </si>
  <si>
    <t>combination of touringcar and public transport buses, assumed that 'other' fuel is gasoline, since Emissieregistratie documents no further explanation of this fuel type</t>
  </si>
  <si>
    <t>tp_bus_gasoline_co2</t>
  </si>
  <si>
    <t>Percentage of electricity mix delivered to motorcycle</t>
  </si>
  <si>
    <t>Code</t>
  </si>
  <si>
    <t>Onderwerp</t>
  </si>
  <si>
    <t>Eenheid</t>
  </si>
  <si>
    <t>Beschrijving</t>
  </si>
  <si>
    <t>Geregistreerde elektrische personenauto's (BEV)</t>
  </si>
  <si>
    <t>Geregistreerde elektrische bussen</t>
  </si>
  <si>
    <t>Geregistreerde elektrische twee- en driewielige light-voertuigen</t>
  </si>
  <si>
    <t>driewielig motorvoertuig + trike + light moped 25 + light moped 45 + speedpedelec + motorfiets</t>
  </si>
  <si>
    <t>Geregistreerde elektrische vierwielige light voertuigen (quadricycle en microcar)</t>
  </si>
  <si>
    <t>Quadricycle + microcar</t>
  </si>
  <si>
    <t>Geregistreerde  plug-in hybride  personenauto's (PHEV)</t>
  </si>
  <si>
    <t>was eerder 'rangeextend'</t>
  </si>
  <si>
    <t>Geregistreerde  plug-in hybride  zware bedrijfsauto &gt;= 3500 kg (PHEV)</t>
  </si>
  <si>
    <t>Geregistreerde  plug-in hybride  bussen (PHEV)</t>
  </si>
  <si>
    <t>Geregistreerde personenauto's op waterstof (FCEV)</t>
  </si>
  <si>
    <t>was eerder 'p_auto_h2'</t>
  </si>
  <si>
    <t>Geregistreerde lichte bedrijfsauto's op waterstof &lt;3500kg (FCEV)</t>
  </si>
  <si>
    <t>was eerder 'b_auto_h2'</t>
  </si>
  <si>
    <t>Geregistreerde zware bedrijfsauto's  op waterstof &gt;= 3500 kg (FCEV)</t>
  </si>
  <si>
    <t>was eerder 'wbz_h2'</t>
  </si>
  <si>
    <t>Geregistreerde bussen op waterstof (FCEV)</t>
  </si>
  <si>
    <t>was eerder 'bus_h2'</t>
  </si>
  <si>
    <t>Geregistreerde lichte elektrische bedrijfsauto's (&lt; 3500 kg)</t>
  </si>
  <si>
    <t>Geregistreerde zware elektrische bedrijfsauto's (&gt;= 3500 kg)</t>
  </si>
  <si>
    <t>Geregistreerde  plug-in hybride  lichte bedrijfsauto &lt;3500kg (PHEV)</t>
  </si>
  <si>
    <t>tp_car_bev_nr</t>
  </si>
  <si>
    <t>tp_bus_bev_nr</t>
  </si>
  <si>
    <t>tp_motorcycle_bev_nr</t>
  </si>
  <si>
    <t>tp_quadricycle_bev_nr</t>
  </si>
  <si>
    <t>tp_car_phev_nr</t>
  </si>
  <si>
    <t>tp_truck_phev_nr</t>
  </si>
  <si>
    <t>tp_bus_phev_nr</t>
  </si>
  <si>
    <t>tp_car_fcev_nr</t>
  </si>
  <si>
    <t>tp_van_fcev_nr</t>
  </si>
  <si>
    <t>tp_truck_fcev_nr</t>
  </si>
  <si>
    <t>tp_bus_fcev_nr</t>
  </si>
  <si>
    <t>tp_van_bev_nr</t>
  </si>
  <si>
    <t>tp_truck_bev_nr</t>
  </si>
  <si>
    <t>tp_van_phev_nr</t>
  </si>
  <si>
    <t>value [-]</t>
  </si>
  <si>
    <t>Klimaatmonitor</t>
  </si>
  <si>
    <t>Percentage of electricity mix delivered to bicycle</t>
  </si>
  <si>
    <t>tp_bicycle_bev_nr</t>
  </si>
  <si>
    <t>Results</t>
  </si>
  <si>
    <t>Road transport fuels analysis</t>
  </si>
  <si>
    <t>Road transport electricity analysis</t>
  </si>
  <si>
    <t>Road transport hydrogen analysis</t>
  </si>
  <si>
    <t>Source: https://www.standard.co.uk/lifestyle/motors/how-much-does-a-hydrogen-car-cost-to-run-a3595841.html</t>
  </si>
  <si>
    <t>mj_per_kg_h2</t>
  </si>
  <si>
    <t>Source: https://www.ovmagazine.nl/2017/07/syntus-gaat-vier-waterstofbussen-leasen-1251/</t>
  </si>
  <si>
    <t>Slightly more than busses to take into account vans</t>
  </si>
  <si>
    <t>specifications of hydrogen vehicles</t>
  </si>
  <si>
    <t>hydrogen consumption per vehicle type</t>
  </si>
  <si>
    <t>value [tj]</t>
  </si>
  <si>
    <t>car_fcev_tj</t>
  </si>
  <si>
    <t>truck_fcev_tj</t>
  </si>
  <si>
    <t>bus_fcev_tj</t>
  </si>
  <si>
    <t>combination of vans and trucks</t>
  </si>
  <si>
    <t>share of application per vehicle type</t>
  </si>
  <si>
    <t>hydrogen_share_cars</t>
  </si>
  <si>
    <t>hydrogen_share_trucks</t>
  </si>
  <si>
    <t>hydrogen_share_buses</t>
  </si>
  <si>
    <t>specifications of electricic vehicles</t>
  </si>
  <si>
    <t>(20 kwh per 100 km)</t>
  </si>
  <si>
    <t>car_bev_annual_kms</t>
  </si>
  <si>
    <t>car_bev_annual_kwh</t>
  </si>
  <si>
    <t>car_bev_annual_tj</t>
  </si>
  <si>
    <t>car_fcev_km_per_kg</t>
  </si>
  <si>
    <t>car_fcev_annual_km</t>
  </si>
  <si>
    <t>car_fcev_annual_kg</t>
  </si>
  <si>
    <t>car_fcev_annual_tj</t>
  </si>
  <si>
    <t>bus_fcev_km_per_kg</t>
  </si>
  <si>
    <t>bus_fcev_annual_km</t>
  </si>
  <si>
    <t>bus_fcev_annual_kg</t>
  </si>
  <si>
    <t>bus_fcev_annual_tj</t>
  </si>
  <si>
    <t>truck_fcev_km_per_kg</t>
  </si>
  <si>
    <t>truck_fcev_annual_km</t>
  </si>
  <si>
    <t>truck_fcev_annual_kg</t>
  </si>
  <si>
    <t>truck_fcev_annual_tj</t>
  </si>
  <si>
    <t>car_phev_annual_tj</t>
  </si>
  <si>
    <t>http://statline.cbs.nl/Statweb/publication/?DM=SLNL&amp;PA=80589NED</t>
  </si>
  <si>
    <t>(2 kwh per km)</t>
  </si>
  <si>
    <t>bus_bev_annual_kms</t>
  </si>
  <si>
    <t>bus_bev_annual_kwh</t>
  </si>
  <si>
    <t>bus_bev_annual_tj</t>
  </si>
  <si>
    <t>bus_phev_annual_tj</t>
  </si>
  <si>
    <t>(1 kwh per km, average of trucks and vans)</t>
  </si>
  <si>
    <t>Average of truck: http://statline.cbs.nl/StatWeb/publication/?DM=SLNL&amp;PA=80379NED</t>
  </si>
  <si>
    <t>truck_bev_annual_kms</t>
  </si>
  <si>
    <t>truck_bev_annual_kwh</t>
  </si>
  <si>
    <t>truck_bev_annual_tj</t>
  </si>
  <si>
    <t>phev_relative_bev_annual_electric_kms</t>
  </si>
  <si>
    <t>truck_phev_annual_tj</t>
  </si>
  <si>
    <t>Source: https://www.greenem.nl/verbruikskosten-van-apparaten-en-elektronica/#1440424378838-e516b242-e362</t>
  </si>
  <si>
    <t>Source: ETM</t>
  </si>
  <si>
    <t>motorcycle_bev_annual_kwh</t>
  </si>
  <si>
    <t>motorcycle_bev_annual_tj</t>
  </si>
  <si>
    <t>electricity consumption per vehicle type</t>
  </si>
  <si>
    <t>car_phev_tj</t>
  </si>
  <si>
    <t>car_bev_tj</t>
  </si>
  <si>
    <t>truck_bev_tj</t>
  </si>
  <si>
    <t>truck_phev_tj</t>
  </si>
  <si>
    <t>bus_bev_tj</t>
  </si>
  <si>
    <t>bus_phev_tj</t>
  </si>
  <si>
    <t>motorcycle_bev_tj</t>
  </si>
  <si>
    <t>combination of bev and phev</t>
  </si>
  <si>
    <t>total electricity consumption per vehicle type</t>
  </si>
  <si>
    <t>car_ev_tj</t>
  </si>
  <si>
    <t>truck_ev_tj</t>
  </si>
  <si>
    <t>bus_ev_tj</t>
  </si>
  <si>
    <t>motorcycle_ev_tj</t>
  </si>
  <si>
    <t>bicycle_electric_share_in_total_bike_kms</t>
  </si>
  <si>
    <t>bicycle_electric_passenger_kms_per_mj</t>
  </si>
  <si>
    <t>bicycle_electric_mj_per_passenger_km</t>
  </si>
  <si>
    <t>bicycle_electric_tj_per_passenger_km</t>
  </si>
  <si>
    <t>bicycle_electric_tj</t>
  </si>
  <si>
    <t>electricity_share_cars</t>
  </si>
  <si>
    <t>electricity_share_trucks</t>
  </si>
  <si>
    <t>electricity_share_buses</t>
  </si>
  <si>
    <t>electricity_share_motorcycles</t>
  </si>
  <si>
    <t>electricity_share_bicycles</t>
  </si>
  <si>
    <t>Datadump - fuel road</t>
  </si>
  <si>
    <t>Datadump - e and h2 road</t>
  </si>
  <si>
    <t>Percentage of electricity delivered to trams/metro</t>
  </si>
  <si>
    <t>Percentage of electricity delivered to passenger trains</t>
  </si>
  <si>
    <t>Percentage of electricity delivered to freight trains</t>
  </si>
  <si>
    <t>Percentage of diesel delivered to passenger trains</t>
  </si>
  <si>
    <t>Percentage of diesel delivered to freight trains</t>
  </si>
  <si>
    <t>Percentage of coal delivered to passenger trains</t>
  </si>
  <si>
    <t>MJ electricity delivered to trams/metro</t>
  </si>
  <si>
    <t>MJ electricity delivered to passenger trains</t>
  </si>
  <si>
    <t>MJ electricity delivered to freight trains</t>
  </si>
  <si>
    <t>MJ diesel delivered to passenger trains</t>
  </si>
  <si>
    <t>MJdiesel delivered to freight trains</t>
  </si>
  <si>
    <t>MJ coal delivered to passenger trains</t>
  </si>
  <si>
    <t>Number of vehicles</t>
  </si>
  <si>
    <t>tp_car_cng</t>
  </si>
  <si>
    <t>tp_van_cng</t>
  </si>
  <si>
    <t>tp_truck_cng</t>
  </si>
  <si>
    <t>tp_bus_cng</t>
  </si>
  <si>
    <t>tp_bus_lng</t>
  </si>
  <si>
    <t>tp_truck_lng</t>
  </si>
  <si>
    <t>tp_other_lng</t>
  </si>
  <si>
    <t>Nederlandse personenauto's in gebruik</t>
  </si>
  <si>
    <t>Benzine/benzine hybride/ethanol</t>
  </si>
  <si>
    <t>Diesel/diesel hybrides</t>
  </si>
  <si>
    <t>LPG/ LPG hybrides</t>
  </si>
  <si>
    <t>Full elektrisch/waterstof</t>
  </si>
  <si>
    <t>Plug-in hybrides</t>
  </si>
  <si>
    <t>CNG/CNG hybrides/LNG</t>
  </si>
  <si>
    <t>Groen Gas Nederland (2016) https://groengas.nl/documenten/factsheet-rijden-op-groen-gas-feiten-en-cijfers.pdf</t>
  </si>
  <si>
    <t>CBS (2021), Verkeersprestaties personenauto's, brandstof uitgebreid, leeftijd: https://opendata.cbs.nl/#/CBS/nl/dataset/83703NED/table</t>
  </si>
  <si>
    <t>source screenshot</t>
  </si>
  <si>
    <t>This number indicates that the number of CNG/LNG vehicles in 2019 is roughly the same as in 2015. Therefore the 2015 distribution of CNG/LNG vehicles is used as a proxy for the 2019 distribution.</t>
  </si>
  <si>
    <t>total</t>
  </si>
  <si>
    <t>Groen Gas Nederland</t>
  </si>
  <si>
    <t>Source - road LNG and CNG</t>
  </si>
  <si>
    <t>number of LNG and CNG vehicles (2015)</t>
  </si>
  <si>
    <t>road type combined CO2 emissions (2019)</t>
  </si>
  <si>
    <t>number of electric vehicles (2019)</t>
  </si>
  <si>
    <t>number of hydrogen vehicles (2019)</t>
  </si>
  <si>
    <t>share LNG and CNG</t>
  </si>
  <si>
    <t>share_lng_total_ng</t>
  </si>
  <si>
    <t>share_cng_total_ng</t>
  </si>
  <si>
    <t>Only buses use gas according to datadump of Emissieregistratie. Therefore the split between LNG and CNG buses is used to determine the overal split between LNG and CNG</t>
  </si>
  <si>
    <t>Input</t>
  </si>
  <si>
    <t>Calculations</t>
  </si>
  <si>
    <t>Output</t>
  </si>
  <si>
    <t>wbfsped_2019</t>
  </si>
  <si>
    <t>wpelek_2019</t>
  </si>
  <si>
    <t>wbelek_2019</t>
  </si>
  <si>
    <t>wb23whelek_2019</t>
  </si>
  <si>
    <t>wb4whelek_2019</t>
  </si>
  <si>
    <t>wpphev_2019</t>
  </si>
  <si>
    <t>wbzphev_2019</t>
  </si>
  <si>
    <t>wbusphev_2019</t>
  </si>
  <si>
    <t>wpfcev_2019</t>
  </si>
  <si>
    <t>wblfcev_2019</t>
  </si>
  <si>
    <t>wbzfcev_2019</t>
  </si>
  <si>
    <t>wbusfcev_2019</t>
  </si>
  <si>
    <t>wblelek_2019</t>
  </si>
  <si>
    <t>wbzelek_2019</t>
  </si>
  <si>
    <t>wblphev_2019</t>
  </si>
  <si>
    <t>Geregistreerde speed pedelecs</t>
  </si>
  <si>
    <t>tp_pedelec_bev_nr</t>
  </si>
  <si>
    <t>Excluding speed pedelecs, which the ETM considers part of electric bicycles</t>
  </si>
  <si>
    <t>Speed pedelecs from Klimaatmonitor, electric bycicles from Bovag Rai (2020) Fietsenpark (schatting): https://bovagrai.info/tweewieler/2020/1-6-fietsenpark-schatting/</t>
  </si>
  <si>
    <t>bicycle_bev_annual_kms</t>
  </si>
  <si>
    <t>https://www.fietsberaad.nl/Kennisbank/18-procent-van-de-afgelegde-kilometers-gaat-nu-met</t>
  </si>
  <si>
    <t>bicycle_annual_kms</t>
  </si>
  <si>
    <t>bicycle_bev_annual_tj</t>
  </si>
  <si>
    <t>Conventional passenger trains</t>
  </si>
  <si>
    <t>High speed passenger trains</t>
  </si>
  <si>
    <t>Metro and tram, urban light rail</t>
  </si>
  <si>
    <t>Passenger transport</t>
  </si>
  <si>
    <t>tp_trams/metro_electricity_ktoe</t>
  </si>
  <si>
    <t>tp_train_passenger_conventional_electricity_ktoe</t>
  </si>
  <si>
    <t>tp_train_passenger_high_speed_electricity_ktoe</t>
  </si>
  <si>
    <t>NL - Rail, metro and tram / energy and emissons</t>
  </si>
  <si>
    <t>Total energy consumption (ktoe)</t>
  </si>
  <si>
    <t>by fuel</t>
  </si>
  <si>
    <t>Diesel oil blend</t>
  </si>
  <si>
    <t>Electricity</t>
  </si>
  <si>
    <t>Compression ignition - Diesel</t>
  </si>
  <si>
    <t>Conventional Electric</t>
  </si>
  <si>
    <t>Freight transport</t>
  </si>
  <si>
    <t>Total CO2 emissions (kt CO2)</t>
  </si>
  <si>
    <t>Vehicle-efficiency (kgoe/100 km)</t>
  </si>
  <si>
    <t>Vehicle-efficiency over activity</t>
  </si>
  <si>
    <t>Passenger transport (kgoe / thousand pkm)</t>
  </si>
  <si>
    <t>Freight transport (kgoe / thousand tkm)</t>
  </si>
  <si>
    <t>Shares of total energy consumption (%)</t>
  </si>
  <si>
    <t>CO2 emissions per 100 km (kg of CO2 / 100 km)</t>
  </si>
  <si>
    <t>CO2 emissions over activity</t>
  </si>
  <si>
    <t>Passenger transport (kg of CO2 / thousand pkm)</t>
  </si>
  <si>
    <t>Freight transport (kg of CO2 / thousand  tkm)</t>
  </si>
  <si>
    <t>Shares of total CO2 emissions (%)</t>
  </si>
  <si>
    <t>value [ktoe]</t>
  </si>
  <si>
    <t>Energy consumption rail transport electricity</t>
  </si>
  <si>
    <t>Energy consumption rail transport diesel</t>
  </si>
  <si>
    <t>JRC C.6</t>
  </si>
  <si>
    <t xml:space="preserve"> Datadump - rail: POTEnCIA - Transport sector and bunkers model results 2000-2050 (annual) (2019)</t>
  </si>
  <si>
    <t>tp_train_passenger_diesel_ktoe</t>
  </si>
  <si>
    <t>tp_train_freight_electricity_ktoe</t>
  </si>
  <si>
    <t>tp_train_freight_diesel_ktoe</t>
  </si>
  <si>
    <t>Energy consumption rail transport coal</t>
  </si>
  <si>
    <t>tp_train_passenger_coal_ktoe</t>
  </si>
  <si>
    <t>No coal trains in the Netherlands</t>
  </si>
  <si>
    <t>Conversion factor</t>
  </si>
  <si>
    <t>ktoe to MJ</t>
  </si>
  <si>
    <t>value [MJ/ktoe]</t>
  </si>
  <si>
    <t>https://unit-converter.gasunie.nl/</t>
  </si>
  <si>
    <t>tp_train_passenger_electricity_mj</t>
  </si>
  <si>
    <t>tp_trams/metro_electricity_mj</t>
  </si>
  <si>
    <t>tp_train_freight_electricity_mj</t>
  </si>
  <si>
    <t>value [MJ]</t>
  </si>
  <si>
    <t>tp_train_passenger_diesel_mj</t>
  </si>
  <si>
    <t>tp_train_freight_diesel_mj</t>
  </si>
  <si>
    <t>tp_train_passenger_coal_mj</t>
  </si>
  <si>
    <t>Conventional and high speed train combined</t>
  </si>
  <si>
    <t>Total energy consumption per fuel type</t>
  </si>
  <si>
    <t>Energy consumption rail transport</t>
  </si>
  <si>
    <t>electricity_mj_total</t>
  </si>
  <si>
    <t>diesel_mj_total</t>
  </si>
  <si>
    <t>coal_mj_total</t>
  </si>
  <si>
    <t>Share per application per fuel type</t>
  </si>
  <si>
    <t>electricity_share_trams_metro</t>
  </si>
  <si>
    <t>electricity_share_train_freight</t>
  </si>
  <si>
    <t>electricity_share_train_passenger</t>
  </si>
  <si>
    <t>diesel_share_train_passenger</t>
  </si>
  <si>
    <t>diesel_share_train_freight</t>
  </si>
  <si>
    <t>coal_share_train_passenger</t>
  </si>
  <si>
    <t>Only possible type of transport coal use in the ETM</t>
  </si>
  <si>
    <t>Results rail analysis</t>
  </si>
  <si>
    <t>Road transport mobile machinery analysis</t>
  </si>
  <si>
    <t>Agriculture</t>
  </si>
  <si>
    <t>Construction</t>
  </si>
  <si>
    <t>Industry</t>
  </si>
  <si>
    <t>Consumer</t>
  </si>
  <si>
    <t>Container transhipment</t>
  </si>
  <si>
    <t>Services</t>
  </si>
  <si>
    <t>specifications of mobile machinery</t>
  </si>
  <si>
    <t>moible machinery CO2 emissions (2019)</t>
  </si>
  <si>
    <t>CE Delft</t>
  </si>
  <si>
    <t>Hydrogen is not yet on Eurostat energy balance, present transport demand set to 0</t>
  </si>
  <si>
    <t>moible machinery energy consumption</t>
  </si>
  <si>
    <t>share of mobile machinery diesel per sector</t>
  </si>
  <si>
    <t>Consumer sector</t>
  </si>
  <si>
    <t>Trade, services and government</t>
  </si>
  <si>
    <t>-</t>
  </si>
  <si>
    <t>Trade, services and government, Container transhipment</t>
  </si>
  <si>
    <t>Cover sheet</t>
  </si>
  <si>
    <t>Document</t>
  </si>
  <si>
    <t>Version #</t>
  </si>
  <si>
    <t>Country</t>
  </si>
  <si>
    <t>nl</t>
  </si>
  <si>
    <t>Year data</t>
  </si>
  <si>
    <t>Date</t>
  </si>
  <si>
    <t>Author</t>
  </si>
  <si>
    <t>Organisation</t>
  </si>
  <si>
    <t>Quintel Intelligence</t>
  </si>
  <si>
    <t>Legend</t>
  </si>
  <si>
    <t>Cells</t>
  </si>
  <si>
    <t>Intermediate (calculation)</t>
  </si>
  <si>
    <t>Result</t>
  </si>
  <si>
    <t>Manual input</t>
  </si>
  <si>
    <t>Reference to manual input or data input</t>
  </si>
  <si>
    <t>Tabs</t>
  </si>
  <si>
    <t>Introductory</t>
  </si>
  <si>
    <t>Dashboard</t>
  </si>
  <si>
    <t>Research data</t>
  </si>
  <si>
    <t>Sources</t>
  </si>
  <si>
    <t>Main calculations</t>
  </si>
  <si>
    <t>Additional calculations</t>
  </si>
  <si>
    <t>Output to csv</t>
  </si>
  <si>
    <t>Comments</t>
  </si>
  <si>
    <t>Transport source analysis</t>
  </si>
  <si>
    <t>Jun 10, 2021</t>
  </si>
  <si>
    <t>Mathijs Bijkerk</t>
  </si>
  <si>
    <t>Values used in transport analysis</t>
  </si>
  <si>
    <t>From Analysis - road transport</t>
  </si>
  <si>
    <t>From Analysis - rail transport</t>
  </si>
  <si>
    <t>diesel_fossil_kg_per_l</t>
  </si>
  <si>
    <t>diesel_fossil_MJ_per_kg</t>
  </si>
  <si>
    <t>CE Delft diesel fossiel stookwaarde</t>
  </si>
  <si>
    <t>CE Delft diesel fossiel dichtheid</t>
  </si>
  <si>
    <t>CO2 emissiefactoren: TTW Diesel B7 Blend: Emissieregistratie uses total diesel blend emissions for 'Lucht'.</t>
  </si>
  <si>
    <t>diesel_bio_kg_per_l</t>
  </si>
  <si>
    <t>diesel_bio_MJ_per_kg</t>
  </si>
  <si>
    <t>CE Delft diesel FAME (2019 gemiddelde) dichtheid</t>
  </si>
  <si>
    <t>CE Delft diesel FAME (2019 gemiddelde) stookwaarde</t>
  </si>
  <si>
    <t>value [l]</t>
  </si>
  <si>
    <t>tp_mm_blend_l_agr</t>
  </si>
  <si>
    <t>tp_mm_blend_l_bs</t>
  </si>
  <si>
    <t>tp_mm_blend_l_ind</t>
  </si>
  <si>
    <t>tp_mm_blend_l_cons</t>
  </si>
  <si>
    <t>tp_mm_blend_l_hdo</t>
  </si>
  <si>
    <t>tp_mm_blend_l_cono</t>
  </si>
  <si>
    <t>diesel_blend_kg_co2_per_l</t>
  </si>
  <si>
    <t>tp_mm_bio_MJ_agr</t>
  </si>
  <si>
    <t>tp_mm_bio_MJ_bs</t>
  </si>
  <si>
    <t>tp_mm_bio_MJ_ind</t>
  </si>
  <si>
    <t>tp_mm_bio_MJ_cons</t>
  </si>
  <si>
    <t>tp_mm_bio_MJ_hdo</t>
  </si>
  <si>
    <t>tp_mm_bio_MJ_cono</t>
  </si>
  <si>
    <t>diesel_blend_share_bio_per_l</t>
  </si>
  <si>
    <t>CE Delft (2021): https://ce.nl/wp-content/uploads/2021/03/CE_Delft_190325_Vragen_en_Antwoorden_STREAM.pdf</t>
  </si>
  <si>
    <t>diesel_blend_share_fossil_per_l</t>
  </si>
  <si>
    <t>moible machinery fuel consumption</t>
  </si>
  <si>
    <t>tp_mm_fossil_MJ_agr</t>
  </si>
  <si>
    <t>tp_mm_fossil_MJ_bs</t>
  </si>
  <si>
    <t>tp_mm_fossil_MJ_ind</t>
  </si>
  <si>
    <t>tp_mm_fossil_MJ_cons</t>
  </si>
  <si>
    <t>tp_mm_fossil_MJ_hdo</t>
  </si>
  <si>
    <t>tp_mm_fossil_MJ_cono</t>
  </si>
  <si>
    <t>TJ biodiesel of households sector delivered to mobile machinery</t>
  </si>
  <si>
    <t>TJ biodiesel of buildings sector delivered to mobile machinery</t>
  </si>
  <si>
    <t>TJ biodiesel of agriculture sector delivered to mobile machinery</t>
  </si>
  <si>
    <t>TJ biodiesel of other sector delivered to mobile machinery</t>
  </si>
  <si>
    <t>TJ diesel of households sector delivered to mobile machinery</t>
  </si>
  <si>
    <t>TJ diesel of buildings sector delivered to mobile machinery</t>
  </si>
  <si>
    <t>TJ diesel of agriculture sector delivered to mobile machinery</t>
  </si>
  <si>
    <t>TJ diesel of other sector delivered to mobile machinery</t>
  </si>
  <si>
    <t>value [TJ]</t>
  </si>
  <si>
    <t>diesel_bio_mm_tj_households</t>
  </si>
  <si>
    <t>diesel_bio_mm_tj_buildings</t>
  </si>
  <si>
    <t>diesel_bio_mm_tj_agriculture</t>
  </si>
  <si>
    <t>diesel_bio_mm_tj_other</t>
  </si>
  <si>
    <t>diesel_fossil_mm_tj_households</t>
  </si>
  <si>
    <t>diesel_fossil_mm_tj_buildings</t>
  </si>
  <si>
    <t>diesel_fossil_mm_tj_agriculture</t>
  </si>
  <si>
    <t>diesel_fossil_mm_tj_other</t>
  </si>
  <si>
    <t>CE Delft FAME in B7 has 7%, slight optimization to arrive a representative consumption for biodiesel and fossil diesel in Klimaatmonitor</t>
  </si>
  <si>
    <t>diesel_bio_mm_tj_industry_other</t>
  </si>
  <si>
    <t>diesel_bio_mm_tj_industry_construction</t>
  </si>
  <si>
    <t>total_diesel_fossil_mm_pj</t>
  </si>
  <si>
    <t>total_diesel_bio_mm_pj</t>
  </si>
  <si>
    <t>diesel_fossil_mm_tj_industry_other</t>
  </si>
  <si>
    <t>diesel_fossil_mm_tj_industry_cosntruction</t>
  </si>
  <si>
    <t>TJ biodiesel of industry other delivered to mobile machinery</t>
  </si>
  <si>
    <t>TJ biodiesel of industry construction delivered to mobile machinery</t>
  </si>
  <si>
    <t>TJ diesel of industry construction delivered to mobile machinery</t>
  </si>
  <si>
    <t>TJ diesel of industry other delivered to mobile machinery</t>
  </si>
  <si>
    <t>Emissions per application type from Emissieregistratie are used to calculate the road application shares for road fuel transport.</t>
  </si>
  <si>
    <t>Number of vehicles from Klimaatmonitor and typical energy consumption are used to calculate the road application shares for electricity and hydrogen transport.</t>
  </si>
  <si>
    <t>Number of CNG and LNG vehicles are used to calculate the road application shares between CNG and LNG.</t>
  </si>
  <si>
    <t xml:space="preserve">Energy consumption data per application type from JRC POTEnCIA are used to calculate the rail application shares. </t>
  </si>
  <si>
    <t>According to Emissieregistratie gas is only used by buses, even though e.g. cars using CNG also exist.</t>
  </si>
  <si>
    <t>Assumptions - general</t>
  </si>
  <si>
    <t>Assumptions - debts that might be furhter investigated</t>
  </si>
  <si>
    <t>Emissieregistratie offers no further split of fuel consumption by trucks, which is why it is assumed that they only use diesel.</t>
  </si>
  <si>
    <t>Emissieregistratie offers no further split of fuel consumption by mobile machinery, which is why it is assumed that they only use diesel.</t>
  </si>
  <si>
    <t>Vans are part of trucks fuel consumption.</t>
  </si>
  <si>
    <t>Mobile machinery is part of trucks fuel consumption.</t>
  </si>
  <si>
    <t>Specifications of hydrogen vehicles have some missing sources, meaning that the data may be outdated.</t>
  </si>
  <si>
    <t>Specifications of electric vehicles have some missing sources, meaning that the data may be outdated.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</si>
</sst>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00000000"/>
    <numFmt numFmtId="165" formatCode="0.0%"/>
    <numFmt numFmtId="166" formatCode="0.000"/>
    <numFmt numFmtId="167" formatCode="0.0"/>
    <numFmt numFmtId="168" formatCode="#,##0;\-#,##0;&quot;-&quot;"/>
    <numFmt numFmtId="169" formatCode="0.0;\-0.0;&quot;-&quot;"/>
    <numFmt numFmtId="170" formatCode="#,##0.0;\-#,##0.0;&quot;-&quot;"/>
    <numFmt numFmtId="171" formatCode="0.0%;\-0.0%;&quot;-&quot;"/>
    <numFmt numFmtId="172" formatCode="_-* #,##0.00_-;\-* #,##0.00_-;_-* &quot;-&quot;??_-;_-@_-"/>
    <numFmt numFmtId="173" formatCode="#,##0_ ;\-#,##0\ "/>
    <numFmt numFmtId="174" formatCode="#,##0.0"/>
    <numFmt numFmtId="175" formatCode="0;\-0;&quot;-&quot;"/>
    <numFmt numFmtId="176" formatCode="[$-409]mmmm\ d\,\ yyyy;@"/>
  </numFmts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8"/>
      <color rgb="FFC00000"/>
      <name val="Calibri"/>
      <family val="2"/>
      <scheme val="minor"/>
    </font>
    <font>
      <i/>
      <sz val="8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Helvetica Neue"/>
      <family val="2"/>
    </font>
  </fonts>
  <fills count="2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DCDCD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B1A0C7"/>
        <bgColor rgb="FF000000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5" fillId="0" borderId="0"/>
    <xf numFmtId="172" fontId="14" fillId="0" borderId="0" applyFont="0" applyFill="0" applyBorder="0" applyAlignment="0" applyProtection="0"/>
    <xf numFmtId="0" fontId="3" fillId="0" borderId="0"/>
  </cellStyleXfs>
  <cellXfs count="168">
    <xf numFmtId="0" fontId="0" fillId="0" borderId="0" xfId="0"/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4" fillId="3" borderId="10" xfId="0" applyFont="1" applyFill="1" applyBorder="1"/>
    <xf numFmtId="0" fontId="4" fillId="4" borderId="8" xfId="0" applyFont="1" applyFill="1" applyBorder="1"/>
    <xf numFmtId="0" fontId="0" fillId="2" borderId="8" xfId="0" applyFill="1" applyBorder="1"/>
    <xf numFmtId="0" fontId="2" fillId="2" borderId="8" xfId="0" applyFont="1" applyFill="1" applyBorder="1"/>
    <xf numFmtId="0" fontId="0" fillId="4" borderId="9" xfId="0" applyFill="1" applyBorder="1"/>
    <xf numFmtId="0" fontId="0" fillId="4" borderId="0" xfId="0" applyFill="1"/>
    <xf numFmtId="0" fontId="1" fillId="4" borderId="0" xfId="0" applyFont="1" applyFill="1" applyBorder="1" applyAlignment="1">
      <alignment horizontal="center"/>
    </xf>
    <xf numFmtId="0" fontId="0" fillId="4" borderId="3" xfId="0" applyFill="1" applyBorder="1"/>
    <xf numFmtId="0" fontId="0" fillId="4" borderId="7" xfId="0" applyFill="1" applyBorder="1"/>
    <xf numFmtId="10" fontId="1" fillId="4" borderId="12" xfId="1" applyNumberFormat="1" applyFont="1" applyFill="1" applyBorder="1"/>
    <xf numFmtId="9" fontId="1" fillId="4" borderId="0" xfId="1" applyFont="1" applyFill="1" applyBorder="1"/>
    <xf numFmtId="0" fontId="0" fillId="4" borderId="4" xfId="0" applyFill="1" applyBorder="1"/>
    <xf numFmtId="0" fontId="0" fillId="4" borderId="0" xfId="0" applyFill="1" applyBorder="1"/>
    <xf numFmtId="0" fontId="2" fillId="4" borderId="5" xfId="0" applyFont="1" applyFill="1" applyBorder="1"/>
    <xf numFmtId="10" fontId="1" fillId="4" borderId="13" xfId="1" applyNumberFormat="1" applyFont="1" applyFill="1" applyBorder="1"/>
    <xf numFmtId="0" fontId="2" fillId="4" borderId="4" xfId="0" applyFont="1" applyFill="1" applyBorder="1"/>
    <xf numFmtId="9" fontId="1" fillId="4" borderId="6" xfId="1" applyFont="1" applyFill="1" applyBorder="1"/>
    <xf numFmtId="9" fontId="1" fillId="4" borderId="12" xfId="1" applyFont="1" applyFill="1" applyBorder="1"/>
    <xf numFmtId="0" fontId="0" fillId="4" borderId="5" xfId="0" applyFill="1" applyBorder="1"/>
    <xf numFmtId="0" fontId="0" fillId="4" borderId="6" xfId="0" applyFill="1" applyBorder="1"/>
    <xf numFmtId="165" fontId="1" fillId="4" borderId="12" xfId="1" applyNumberFormat="1" applyFont="1" applyFill="1" applyBorder="1"/>
    <xf numFmtId="9" fontId="1" fillId="4" borderId="12" xfId="1" applyNumberFormat="1" applyFont="1" applyFill="1" applyBorder="1"/>
    <xf numFmtId="0" fontId="0" fillId="4" borderId="0" xfId="0" applyFont="1" applyFill="1" applyBorder="1"/>
    <xf numFmtId="0" fontId="1" fillId="4" borderId="8" xfId="0" applyFont="1" applyFill="1" applyBorder="1"/>
    <xf numFmtId="0" fontId="0" fillId="4" borderId="8" xfId="0" applyFill="1" applyBorder="1"/>
    <xf numFmtId="0" fontId="1" fillId="4" borderId="8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9" fontId="1" fillId="4" borderId="2" xfId="1" applyFont="1" applyFill="1" applyBorder="1"/>
    <xf numFmtId="0" fontId="0" fillId="4" borderId="10" xfId="0" applyFill="1" applyBorder="1"/>
    <xf numFmtId="10" fontId="0" fillId="4" borderId="0" xfId="0" applyNumberFormat="1" applyFill="1" applyBorder="1"/>
    <xf numFmtId="0" fontId="0" fillId="4" borderId="18" xfId="0" applyFill="1" applyBorder="1"/>
    <xf numFmtId="0" fontId="0" fillId="4" borderId="0" xfId="0" applyFill="1" applyBorder="1" applyAlignment="1">
      <alignment wrapText="1"/>
    </xf>
    <xf numFmtId="0" fontId="0" fillId="4" borderId="1" xfId="0" applyFont="1" applyFill="1" applyBorder="1"/>
    <xf numFmtId="0" fontId="0" fillId="4" borderId="8" xfId="0" applyFont="1" applyFill="1" applyBorder="1"/>
    <xf numFmtId="0" fontId="0" fillId="4" borderId="4" xfId="0" applyFont="1" applyFill="1" applyBorder="1"/>
    <xf numFmtId="0" fontId="0" fillId="4" borderId="8" xfId="0" applyFont="1" applyFill="1" applyBorder="1" applyAlignment="1">
      <alignment wrapText="1"/>
    </xf>
    <xf numFmtId="10" fontId="0" fillId="4" borderId="8" xfId="0" applyNumberFormat="1" applyFill="1" applyBorder="1"/>
    <xf numFmtId="0" fontId="6" fillId="6" borderId="19" xfId="2" applyFont="1" applyFill="1" applyBorder="1" applyAlignment="1">
      <alignment horizontal="left" vertical="center"/>
    </xf>
    <xf numFmtId="1" fontId="7" fillId="6" borderId="19" xfId="2" applyNumberFormat="1" applyFont="1" applyFill="1" applyBorder="1" applyAlignment="1">
      <alignment horizontal="center" vertical="center"/>
    </xf>
    <xf numFmtId="0" fontId="8" fillId="4" borderId="0" xfId="2" applyFont="1" applyFill="1" applyAlignment="1">
      <alignment vertical="center"/>
    </xf>
    <xf numFmtId="167" fontId="9" fillId="0" borderId="20" xfId="2" applyNumberFormat="1" applyFont="1" applyBorder="1" applyAlignment="1">
      <alignment vertical="center"/>
    </xf>
    <xf numFmtId="1" fontId="8" fillId="4" borderId="20" xfId="2" applyNumberFormat="1" applyFont="1" applyFill="1" applyBorder="1" applyAlignment="1">
      <alignment vertical="center"/>
    </xf>
    <xf numFmtId="0" fontId="11" fillId="7" borderId="2" xfId="2" applyFont="1" applyFill="1" applyBorder="1" applyAlignment="1">
      <alignment horizontal="left" vertical="center"/>
    </xf>
    <xf numFmtId="171" fontId="8" fillId="0" borderId="7" xfId="2" applyNumberFormat="1" applyFont="1" applyBorder="1" applyAlignment="1">
      <alignment vertical="center"/>
    </xf>
    <xf numFmtId="171" fontId="8" fillId="0" borderId="9" xfId="2" applyNumberFormat="1" applyFont="1" applyBorder="1" applyAlignment="1">
      <alignment vertical="center"/>
    </xf>
    <xf numFmtId="168" fontId="8" fillId="0" borderId="7" xfId="2" applyNumberFormat="1" applyFont="1" applyBorder="1" applyAlignment="1">
      <alignment vertical="center"/>
    </xf>
    <xf numFmtId="168" fontId="8" fillId="0" borderId="9" xfId="2" applyNumberFormat="1" applyFont="1" applyBorder="1" applyAlignment="1">
      <alignment vertical="center"/>
    </xf>
    <xf numFmtId="170" fontId="7" fillId="7" borderId="2" xfId="2" applyNumberFormat="1" applyFont="1" applyFill="1" applyBorder="1" applyAlignment="1">
      <alignment vertical="center"/>
    </xf>
    <xf numFmtId="0" fontId="13" fillId="8" borderId="2" xfId="2" applyFont="1" applyFill="1" applyBorder="1" applyAlignment="1">
      <alignment horizontal="left" vertical="center" indent="1"/>
    </xf>
    <xf numFmtId="173" fontId="8" fillId="8" borderId="2" xfId="2" applyNumberFormat="1" applyFont="1" applyFill="1" applyBorder="1" applyAlignment="1">
      <alignment vertical="center"/>
    </xf>
    <xf numFmtId="0" fontId="15" fillId="4" borderId="7" xfId="2" applyFont="1" applyFill="1" applyBorder="1" applyAlignment="1">
      <alignment horizontal="left" vertical="center" indent="2"/>
    </xf>
    <xf numFmtId="173" fontId="15" fillId="0" borderId="7" xfId="2" applyNumberFormat="1" applyFont="1" applyBorder="1" applyAlignment="1">
      <alignment vertical="center"/>
    </xf>
    <xf numFmtId="0" fontId="15" fillId="4" borderId="9" xfId="2" applyFont="1" applyFill="1" applyBorder="1" applyAlignment="1">
      <alignment horizontal="left" vertical="center" indent="2"/>
    </xf>
    <xf numFmtId="173" fontId="15" fillId="0" borderId="9" xfId="2" applyNumberFormat="1" applyFont="1" applyBorder="1" applyAlignment="1">
      <alignment vertical="center"/>
    </xf>
    <xf numFmtId="0" fontId="8" fillId="9" borderId="2" xfId="2" applyFont="1" applyFill="1" applyBorder="1" applyAlignment="1">
      <alignment vertical="center"/>
    </xf>
    <xf numFmtId="3" fontId="10" fillId="7" borderId="2" xfId="2" applyNumberFormat="1" applyFont="1" applyFill="1" applyBorder="1" applyAlignment="1">
      <alignment vertical="center"/>
    </xf>
    <xf numFmtId="0" fontId="12" fillId="7" borderId="2" xfId="2" applyFont="1" applyFill="1" applyBorder="1" applyAlignment="1">
      <alignment horizontal="left" vertical="center" indent="1"/>
    </xf>
    <xf numFmtId="3" fontId="12" fillId="7" borderId="2" xfId="2" applyNumberFormat="1" applyFont="1" applyFill="1" applyBorder="1" applyAlignment="1">
      <alignment vertical="center"/>
    </xf>
    <xf numFmtId="0" fontId="8" fillId="8" borderId="2" xfId="2" applyFont="1" applyFill="1" applyBorder="1" applyAlignment="1">
      <alignment horizontal="left" vertical="center" indent="2"/>
    </xf>
    <xf numFmtId="3" fontId="8" fillId="8" borderId="2" xfId="2" applyNumberFormat="1" applyFont="1" applyFill="1" applyBorder="1" applyAlignment="1">
      <alignment vertical="center"/>
    </xf>
    <xf numFmtId="0" fontId="8" fillId="0" borderId="7" xfId="2" applyFont="1" applyBorder="1" applyAlignment="1">
      <alignment horizontal="left" vertical="center" indent="3"/>
    </xf>
    <xf numFmtId="3" fontId="8" fillId="0" borderId="7" xfId="2" applyNumberFormat="1" applyFont="1" applyBorder="1" applyAlignment="1">
      <alignment vertical="center"/>
    </xf>
    <xf numFmtId="0" fontId="8" fillId="0" borderId="9" xfId="2" applyFont="1" applyBorder="1" applyAlignment="1">
      <alignment horizontal="left" vertical="center" indent="3"/>
    </xf>
    <xf numFmtId="3" fontId="8" fillId="0" borderId="9" xfId="2" applyNumberFormat="1" applyFont="1" applyBorder="1" applyAlignment="1">
      <alignment vertical="center"/>
    </xf>
    <xf numFmtId="0" fontId="8" fillId="0" borderId="7" xfId="2" applyFont="1" applyBorder="1" applyAlignment="1">
      <alignment horizontal="left" vertical="center" indent="2"/>
    </xf>
    <xf numFmtId="0" fontId="8" fillId="0" borderId="9" xfId="2" applyFont="1" applyBorder="1" applyAlignment="1">
      <alignment horizontal="left" vertical="center" indent="2"/>
    </xf>
    <xf numFmtId="174" fontId="10" fillId="7" borderId="2" xfId="2" applyNumberFormat="1" applyFont="1" applyFill="1" applyBorder="1" applyAlignment="1">
      <alignment vertical="center"/>
    </xf>
    <xf numFmtId="175" fontId="12" fillId="7" borderId="2" xfId="2" applyNumberFormat="1" applyFont="1" applyFill="1" applyBorder="1" applyAlignment="1">
      <alignment vertical="center"/>
    </xf>
    <xf numFmtId="175" fontId="8" fillId="8" borderId="2" xfId="2" applyNumberFormat="1" applyFont="1" applyFill="1" applyBorder="1" applyAlignment="1">
      <alignment vertical="center"/>
    </xf>
    <xf numFmtId="175" fontId="8" fillId="0" borderId="7" xfId="2" applyNumberFormat="1" applyFont="1" applyBorder="1" applyAlignment="1">
      <alignment vertical="center"/>
    </xf>
    <xf numFmtId="175" fontId="8" fillId="0" borderId="9" xfId="2" applyNumberFormat="1" applyFont="1" applyBorder="1" applyAlignment="1">
      <alignment vertical="center"/>
    </xf>
    <xf numFmtId="169" fontId="12" fillId="7" borderId="2" xfId="2" applyNumberFormat="1" applyFont="1" applyFill="1" applyBorder="1" applyAlignment="1">
      <alignment vertical="center"/>
    </xf>
    <xf numFmtId="169" fontId="8" fillId="8" borderId="2" xfId="2" applyNumberFormat="1" applyFont="1" applyFill="1" applyBorder="1" applyAlignment="1">
      <alignment vertical="center"/>
    </xf>
    <xf numFmtId="169" fontId="8" fillId="0" borderId="7" xfId="2" applyNumberFormat="1" applyFont="1" applyBorder="1" applyAlignment="1">
      <alignment vertical="center"/>
    </xf>
    <xf numFmtId="169" fontId="8" fillId="0" borderId="9" xfId="2" applyNumberFormat="1" applyFont="1" applyBorder="1" applyAlignment="1">
      <alignment vertical="center"/>
    </xf>
    <xf numFmtId="171" fontId="10" fillId="7" borderId="2" xfId="2" applyNumberFormat="1" applyFont="1" applyFill="1" applyBorder="1" applyAlignment="1">
      <alignment vertical="center"/>
    </xf>
    <xf numFmtId="171" fontId="12" fillId="7" borderId="2" xfId="2" applyNumberFormat="1" applyFont="1" applyFill="1" applyBorder="1" applyAlignment="1">
      <alignment vertical="center"/>
    </xf>
    <xf numFmtId="171" fontId="8" fillId="8" borderId="2" xfId="2" applyNumberFormat="1" applyFont="1" applyFill="1" applyBorder="1" applyAlignment="1">
      <alignment vertical="center"/>
    </xf>
    <xf numFmtId="168" fontId="10" fillId="7" borderId="2" xfId="2" applyNumberFormat="1" applyFont="1" applyFill="1" applyBorder="1" applyAlignment="1">
      <alignment vertical="center"/>
    </xf>
    <xf numFmtId="168" fontId="12" fillId="7" borderId="2" xfId="2" applyNumberFormat="1" applyFont="1" applyFill="1" applyBorder="1" applyAlignment="1">
      <alignment vertical="center"/>
    </xf>
    <xf numFmtId="168" fontId="8" fillId="8" borderId="2" xfId="2" applyNumberFormat="1" applyFont="1" applyFill="1" applyBorder="1" applyAlignment="1">
      <alignment vertical="center"/>
    </xf>
    <xf numFmtId="171" fontId="7" fillId="8" borderId="2" xfId="2" applyNumberFormat="1" applyFont="1" applyFill="1" applyBorder="1" applyAlignment="1">
      <alignment vertical="center"/>
    </xf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2" fillId="4" borderId="1" xfId="0" applyFont="1" applyFill="1" applyBorder="1"/>
    <xf numFmtId="0" fontId="0" fillId="4" borderId="17" xfId="0" applyFill="1" applyBorder="1"/>
    <xf numFmtId="1" fontId="1" fillId="4" borderId="12" xfId="1" applyNumberFormat="1" applyFont="1" applyFill="1" applyBorder="1"/>
    <xf numFmtId="1" fontId="1" fillId="4" borderId="6" xfId="1" applyNumberFormat="1" applyFont="1" applyFill="1" applyBorder="1"/>
    <xf numFmtId="1" fontId="0" fillId="4" borderId="6" xfId="0" applyNumberFormat="1" applyFill="1" applyBorder="1"/>
    <xf numFmtId="165" fontId="0" fillId="4" borderId="0" xfId="0" applyNumberFormat="1" applyFill="1" applyBorder="1"/>
    <xf numFmtId="2" fontId="0" fillId="4" borderId="0" xfId="0" applyNumberFormat="1" applyFill="1" applyBorder="1"/>
    <xf numFmtId="0" fontId="0" fillId="10" borderId="8" xfId="0" applyFill="1" applyBorder="1"/>
    <xf numFmtId="164" fontId="0" fillId="10" borderId="8" xfId="0" applyNumberFormat="1" applyFill="1" applyBorder="1"/>
    <xf numFmtId="0" fontId="0" fillId="6" borderId="8" xfId="0" applyFill="1" applyBorder="1"/>
    <xf numFmtId="166" fontId="0" fillId="6" borderId="8" xfId="0" applyNumberFormat="1" applyFill="1" applyBorder="1"/>
    <xf numFmtId="10" fontId="0" fillId="5" borderId="8" xfId="0" applyNumberFormat="1" applyFill="1" applyBorder="1"/>
    <xf numFmtId="3" fontId="0" fillId="10" borderId="8" xfId="0" applyNumberFormat="1" applyFill="1" applyBorder="1"/>
    <xf numFmtId="1" fontId="0" fillId="6" borderId="8" xfId="0" applyNumberFormat="1" applyFill="1" applyBorder="1"/>
    <xf numFmtId="0" fontId="0" fillId="5" borderId="8" xfId="0" applyFill="1" applyBorder="1"/>
    <xf numFmtId="1" fontId="0" fillId="5" borderId="8" xfId="0" applyNumberFormat="1" applyFill="1" applyBorder="1"/>
    <xf numFmtId="1" fontId="0" fillId="4" borderId="0" xfId="0" applyNumberFormat="1" applyFill="1" applyBorder="1"/>
    <xf numFmtId="0" fontId="16" fillId="4" borderId="0" xfId="4" applyFont="1" applyFill="1"/>
    <xf numFmtId="0" fontId="3" fillId="4" borderId="0" xfId="4" applyFill="1"/>
    <xf numFmtId="0" fontId="1" fillId="4" borderId="3" xfId="4" applyFont="1" applyFill="1" applyBorder="1"/>
    <xf numFmtId="0" fontId="0" fillId="4" borderId="7" xfId="4" applyFont="1" applyFill="1" applyBorder="1"/>
    <xf numFmtId="0" fontId="3" fillId="4" borderId="11" xfId="4" applyFill="1" applyBorder="1"/>
    <xf numFmtId="0" fontId="1" fillId="4" borderId="0" xfId="4" applyFont="1" applyFill="1"/>
    <xf numFmtId="0" fontId="17" fillId="11" borderId="4" xfId="4" applyFont="1" applyFill="1" applyBorder="1" applyAlignment="1">
      <alignment vertical="center"/>
    </xf>
    <xf numFmtId="167" fontId="3" fillId="4" borderId="0" xfId="4" applyNumberFormat="1" applyFill="1" applyAlignment="1">
      <alignment horizontal="left"/>
    </xf>
    <xf numFmtId="0" fontId="3" fillId="4" borderId="6" xfId="4" applyFill="1" applyBorder="1"/>
    <xf numFmtId="0" fontId="3" fillId="4" borderId="0" xfId="4" applyFill="1" applyAlignment="1">
      <alignment horizontal="left"/>
    </xf>
    <xf numFmtId="176" fontId="0" fillId="4" borderId="0" xfId="4" applyNumberFormat="1" applyFont="1" applyFill="1" applyAlignment="1">
      <alignment horizontal="left"/>
    </xf>
    <xf numFmtId="0" fontId="0" fillId="4" borderId="0" xfId="4" applyFont="1" applyFill="1"/>
    <xf numFmtId="0" fontId="17" fillId="11" borderId="5" xfId="4" applyFont="1" applyFill="1" applyBorder="1" applyAlignment="1">
      <alignment vertical="center"/>
    </xf>
    <xf numFmtId="0" fontId="3" fillId="4" borderId="9" xfId="4" applyFill="1" applyBorder="1"/>
    <xf numFmtId="0" fontId="3" fillId="4" borderId="18" xfId="4" applyFill="1" applyBorder="1"/>
    <xf numFmtId="0" fontId="3" fillId="4" borderId="7" xfId="4" applyFill="1" applyBorder="1"/>
    <xf numFmtId="0" fontId="1" fillId="4" borderId="4" xfId="4" applyFont="1" applyFill="1" applyBorder="1"/>
    <xf numFmtId="0" fontId="18" fillId="4" borderId="0" xfId="4" applyFont="1" applyFill="1"/>
    <xf numFmtId="0" fontId="3" fillId="4" borderId="12" xfId="4" applyFill="1" applyBorder="1"/>
    <xf numFmtId="0" fontId="3" fillId="4" borderId="4" xfId="4" applyFill="1" applyBorder="1"/>
    <xf numFmtId="0" fontId="3" fillId="4" borderId="5" xfId="4" applyFill="1" applyBorder="1"/>
    <xf numFmtId="0" fontId="19" fillId="12" borderId="0" xfId="4" applyFont="1" applyFill="1"/>
    <xf numFmtId="0" fontId="19" fillId="13" borderId="0" xfId="4" applyFont="1" applyFill="1"/>
    <xf numFmtId="0" fontId="19" fillId="14" borderId="0" xfId="4" applyFont="1" applyFill="1"/>
    <xf numFmtId="0" fontId="19" fillId="15" borderId="0" xfId="4" applyFont="1" applyFill="1"/>
    <xf numFmtId="0" fontId="19" fillId="16" borderId="0" xfId="4" applyFont="1" applyFill="1"/>
    <xf numFmtId="0" fontId="19" fillId="17" borderId="0" xfId="4" applyFont="1" applyFill="1"/>
    <xf numFmtId="0" fontId="19" fillId="18" borderId="0" xfId="4" applyFont="1" applyFill="1"/>
    <xf numFmtId="0" fontId="19" fillId="19" borderId="0" xfId="4" applyFont="1" applyFill="1"/>
    <xf numFmtId="1" fontId="1" fillId="0" borderId="21" xfId="0" applyNumberFormat="1" applyFont="1" applyBorder="1"/>
    <xf numFmtId="1" fontId="1" fillId="0" borderId="12" xfId="0" applyNumberFormat="1" applyFont="1" applyBorder="1"/>
    <xf numFmtId="0" fontId="1" fillId="4" borderId="0" xfId="0" applyFont="1" applyFill="1" applyBorder="1"/>
    <xf numFmtId="0" fontId="1" fillId="4" borderId="0" xfId="0" applyFont="1" applyFill="1"/>
    <xf numFmtId="10" fontId="1" fillId="4" borderId="8" xfId="0" applyNumberFormat="1" applyFont="1" applyFill="1" applyBorder="1"/>
    <xf numFmtId="10" fontId="1" fillId="4" borderId="0" xfId="0" applyNumberFormat="1" applyFont="1" applyFill="1"/>
    <xf numFmtId="10" fontId="1" fillId="4" borderId="0" xfId="0" applyNumberFormat="1" applyFont="1" applyFill="1" applyBorder="1"/>
    <xf numFmtId="1" fontId="1" fillId="4" borderId="8" xfId="0" applyNumberFormat="1" applyFont="1" applyFill="1" applyBorder="1"/>
    <xf numFmtId="0" fontId="20" fillId="0" borderId="0" xfId="0" applyFont="1"/>
    <xf numFmtId="1" fontId="20" fillId="0" borderId="0" xfId="0" applyNumberFormat="1" applyFont="1"/>
    <xf numFmtId="10" fontId="0" fillId="10" borderId="8" xfId="0" applyNumberFormat="1" applyFill="1" applyBorder="1"/>
    <xf numFmtId="1" fontId="0" fillId="4" borderId="0" xfId="0" applyNumberFormat="1" applyFill="1"/>
    <xf numFmtId="1" fontId="1" fillId="0" borderId="0" xfId="0" applyNumberFormat="1" applyFont="1" applyBorder="1"/>
    <xf numFmtId="1" fontId="1" fillId="4" borderId="0" xfId="0" applyNumberFormat="1" applyFont="1" applyFill="1" applyBorder="1"/>
    <xf numFmtId="2" fontId="0" fillId="4" borderId="8" xfId="0" applyNumberFormat="1" applyFill="1" applyBorder="1"/>
    <xf numFmtId="0" fontId="0" fillId="4" borderId="4" xfId="4" applyFont="1" applyFill="1" applyBorder="1" applyAlignment="1">
      <alignment horizontal="left" vertical="top" wrapText="1"/>
    </xf>
    <xf numFmtId="0" fontId="0" fillId="4" borderId="0" xfId="4" applyFont="1" applyFill="1" applyAlignment="1">
      <alignment horizontal="left" vertical="top" wrapText="1"/>
    </xf>
    <xf numFmtId="0" fontId="0" fillId="4" borderId="6" xfId="4" applyFont="1" applyFill="1" applyBorder="1" applyAlignment="1">
      <alignment horizontal="left" vertical="top" wrapText="1"/>
    </xf>
    <xf numFmtId="0" fontId="0" fillId="4" borderId="5" xfId="4" applyFont="1" applyFill="1" applyBorder="1" applyAlignment="1">
      <alignment horizontal="left" vertical="top" wrapText="1"/>
    </xf>
    <xf numFmtId="0" fontId="0" fillId="4" borderId="9" xfId="4" applyFont="1" applyFill="1" applyBorder="1" applyAlignment="1">
      <alignment horizontal="left" vertical="top" wrapText="1"/>
    </xf>
    <xf numFmtId="0" fontId="0" fillId="4" borderId="18" xfId="4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0" fillId="4" borderId="22" xfId="0" applyFill="1" applyBorder="1"/>
    <xf numFmtId="0" fontId="0" fillId="4" borderId="23" xfId="0" applyFill="1" applyBorder="1"/>
    <xf numFmtId="0" fontId="1" fillId="4" borderId="3" xfId="0" applyFont="1" applyFill="1" applyBorder="1"/>
    <xf numFmtId="0" fontId="0" fillId="4" borderId="11" xfId="0" applyFill="1" applyBorder="1"/>
  </cellXfs>
  <cellStyles count="5">
    <cellStyle name="Comma 2" xfId="3" xr:uid="{E761668B-E0A5-E94B-BD62-2B906759AB9E}"/>
    <cellStyle name="Normal" xfId="0" builtinId="0"/>
    <cellStyle name="Normal 2" xfId="2" xr:uid="{AF4BBB2C-B589-1D43-A9AE-C18CB725AA3A}"/>
    <cellStyle name="Normal 2 2" xfId="4" xr:uid="{1C55907E-CD0B-B44B-8085-29E37D625DE1}"/>
    <cellStyle name="Per cent" xfId="1" builtinId="5"/>
  </cellStyles>
  <dxfs count="0"/>
  <tableStyles count="0" defaultTableStyle="TableStyleMedium2" defaultPivotStyle="PivotStyleLight16"/>
  <colors>
    <mruColors>
      <color rgb="FFEBF1DE"/>
      <color rgb="FFDAEEF3"/>
      <color rgb="FFEEECE1"/>
      <color rgb="FF92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9</xdr:row>
      <xdr:rowOff>125330</xdr:rowOff>
    </xdr:from>
    <xdr:to>
      <xdr:col>12</xdr:col>
      <xdr:colOff>495300</xdr:colOff>
      <xdr:row>22</xdr:row>
      <xdr:rowOff>95827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AC266D-9E60-6B4E-8F48-F62F6ED00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54100" y="1954130"/>
          <a:ext cx="5359400" cy="305659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nder/Dropbox%20(Quintel)/DropDocuments/Energietransitie/Projecten/Git/rdr/analyses/1_chp/20130913_CHP_analysis_v2.2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risberkhout/Projects/etdataset/analyses/6_residences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hangelog"/>
      <sheetName val="Contents"/>
      <sheetName val="Introduction"/>
      <sheetName val="Dataflow"/>
      <sheetName val="Assumptions"/>
      <sheetName val="Dashboard"/>
      <sheetName val="IEA energy balance"/>
      <sheetName val="IEA autoproducer prod."/>
      <sheetName val="technical_specs"/>
      <sheetName val="Results by fuel"/>
      <sheetName val="Results by machine"/>
      <sheetName val="Delta energy balance"/>
      <sheetName val="Corrected energy balance step 1"/>
      <sheetName val="AP net-gross conversion"/>
      <sheetName val="CEB allocation factors"/>
      <sheetName val="Co-fueling shares"/>
      <sheetName val="Fuel allocation"/>
      <sheetName val="Agriculture"/>
      <sheetName val="Households"/>
      <sheetName val="C&amp;P services"/>
      <sheetName val="Energy industry"/>
      <sheetName val="Industry"/>
      <sheetName val="Main activity"/>
      <sheetName val="Waste incineration"/>
      <sheetName val="Fuel mixes"/>
      <sheetName val="Fuel aggregation"/>
      <sheetName val="match carriers IEA to ETM"/>
      <sheetName val="csv_sold_heat_deficit"/>
      <sheetName val="csv_corrected energy balance 1"/>
      <sheetName val="csv_ce_production_table_1"/>
      <sheetName val="csv_energy_mixer_for_gas_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74">
          <cell r="C174">
            <v>3.6</v>
          </cell>
        </row>
      </sheetData>
      <sheetData sheetId="6" refreshError="1">
        <row r="12">
          <cell r="E12" t="str">
            <v>nl</v>
          </cell>
        </row>
        <row r="13">
          <cell r="E13">
            <v>2011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12">
          <cell r="D12">
            <v>1.0440998889049897</v>
          </cell>
        </row>
      </sheetData>
      <sheetData sheetId="15" refreshError="1"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2.7586206896551724E-2</v>
          </cell>
          <cell r="T12">
            <v>0.97241379310344822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0.93466299862448421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3.0949105914718018E-2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3.4387895460797797E-2</v>
          </cell>
          <cell r="AU12">
            <v>0</v>
          </cell>
          <cell r="AV12">
            <v>1</v>
          </cell>
          <cell r="AW12">
            <v>0</v>
          </cell>
          <cell r="AX12">
            <v>0</v>
          </cell>
          <cell r="AY12">
            <v>1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</row>
        <row r="17">
          <cell r="D17">
            <v>0</v>
          </cell>
        </row>
        <row r="18">
          <cell r="D18">
            <v>1.7515051997810619E-2</v>
          </cell>
        </row>
        <row r="19">
          <cell r="D19">
            <v>0</v>
          </cell>
        </row>
        <row r="20">
          <cell r="D20">
            <v>0</v>
          </cell>
        </row>
        <row r="21">
          <cell r="D21">
            <v>0</v>
          </cell>
        </row>
        <row r="22">
          <cell r="D22">
            <v>0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0.98248494800218933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D29">
            <v>0</v>
          </cell>
        </row>
        <row r="30">
          <cell r="D30">
            <v>0</v>
          </cell>
        </row>
        <row r="31">
          <cell r="D31">
            <v>0</v>
          </cell>
        </row>
        <row r="32">
          <cell r="D32">
            <v>0</v>
          </cell>
        </row>
        <row r="33">
          <cell r="D33">
            <v>0</v>
          </cell>
        </row>
        <row r="37">
          <cell r="D37">
            <v>4.1176470588235294E-2</v>
          </cell>
        </row>
        <row r="38">
          <cell r="D38">
            <v>0.37549019607843137</v>
          </cell>
        </row>
        <row r="39">
          <cell r="D39">
            <v>0</v>
          </cell>
        </row>
        <row r="40">
          <cell r="D40">
            <v>6.1274509803921568E-3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2.2058823529411766E-2</v>
          </cell>
        </row>
        <row r="44">
          <cell r="D44">
            <v>0.32965686274509803</v>
          </cell>
        </row>
        <row r="45">
          <cell r="D45">
            <v>0.2196078431372549</v>
          </cell>
        </row>
        <row r="46">
          <cell r="D46">
            <v>7.3529411764705881E-4</v>
          </cell>
        </row>
        <row r="47">
          <cell r="D47">
            <v>0</v>
          </cell>
        </row>
        <row r="48">
          <cell r="D48">
            <v>5.1470588235294117E-3</v>
          </cell>
        </row>
        <row r="49">
          <cell r="D49">
            <v>0</v>
          </cell>
        </row>
      </sheetData>
      <sheetData sheetId="16" refreshError="1"/>
      <sheetData sheetId="17" refreshError="1">
        <row r="48">
          <cell r="C48">
            <v>0</v>
          </cell>
        </row>
        <row r="89">
          <cell r="C89">
            <v>1</v>
          </cell>
        </row>
        <row r="130">
          <cell r="C13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hangelog"/>
      <sheetName val="Contents"/>
      <sheetName val="Introduction"/>
      <sheetName val="Dataflow"/>
      <sheetName val="Assumptions"/>
      <sheetName val="Dashboard"/>
      <sheetName val="Corrected energy balance step 2"/>
      <sheetName val="technical_specs"/>
      <sheetName val="Application Shares"/>
      <sheetName val="Technology Shares"/>
      <sheetName val="Houses Shares"/>
      <sheetName val="Final demand per energy carrier"/>
      <sheetName val="Technology split final demand"/>
      <sheetName val="Electricity producer Shares"/>
      <sheetName val="Fuel aggregation"/>
      <sheetName val="Useful-final demand percentage"/>
      <sheetName val="csv_final_demand_coal"/>
      <sheetName val="csv_final_demand_crude_oil"/>
      <sheetName val="csv_final_demand_network_gas"/>
      <sheetName val="csv_final_demand_woodpellets"/>
      <sheetName val="csv_final_demand_electricity"/>
      <sheetName val="csv_final_demand_steam"/>
      <sheetName val="csv_cooling_electricity"/>
      <sheetName val="csv_heating_network_gas"/>
      <sheetName val="csv_heating_electricity"/>
      <sheetName val="csv_water_network_gas"/>
      <sheetName val="csv_water_electricity"/>
      <sheetName val="csv_cooking_electricity"/>
      <sheetName val="csv_lighting_electricity"/>
      <sheetName val="csv_appliances_electricity"/>
      <sheetName val="csv_solar_thermal_heater"/>
      <sheetName val="csv_cooling_old-new"/>
      <sheetName val="csv_heating_old-new"/>
      <sheetName val="csv_cooling_insulation_old"/>
      <sheetName val="csv_cooling_insulation_new"/>
      <sheetName val="csv_heating_insulation_new"/>
      <sheetName val="csv_heating_insulation_old"/>
      <sheetName val="csv_heating_micro_chp_gas"/>
      <sheetName val="csv_water_micro_chp_gas"/>
      <sheetName val="csv_water_fuell_cell_gas"/>
      <sheetName val="csv_solar_space_heating_chld"/>
      <sheetName val="csv_solar_hot_water_chld"/>
      <sheetName val="csv_solar_heater_and_p2h_parent"/>
      <sheetName val="csv_hot_water_p2h_child"/>
      <sheetName val="csv_export_to_area_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4">
          <cell r="M14">
            <v>0</v>
          </cell>
        </row>
        <row r="29">
          <cell r="M29">
            <v>0</v>
          </cell>
        </row>
        <row r="37">
          <cell r="M37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I11">
            <v>0</v>
          </cell>
          <cell r="J11">
            <v>0</v>
          </cell>
          <cell r="L11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rkeersprestaties_personenauto_s__brandstof_uitgebreid__leeftijd_02062021_130906" connectionId="1" xr16:uid="{237F3E52-E908-E949-977D-148D35FC0A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76FA-FACC-C743-94D7-A99CCAFC1089}">
  <sheetPr>
    <tabColor rgb="FFEEECE1"/>
  </sheetPr>
  <dimension ref="B2:H39"/>
  <sheetViews>
    <sheetView tabSelected="1" workbookViewId="0">
      <selection activeCell="C61" sqref="C61"/>
    </sheetView>
  </sheetViews>
  <sheetFormatPr baseColWidth="10" defaultRowHeight="16" x14ac:dyDescent="0.2"/>
  <cols>
    <col min="1" max="1" width="2.83203125" style="109" customWidth="1"/>
    <col min="2" max="2" width="14" style="109" customWidth="1"/>
    <col min="3" max="3" width="44" style="109" customWidth="1"/>
    <col min="4" max="4" width="9.33203125" style="109" customWidth="1"/>
    <col min="5" max="5" width="10.83203125" style="109"/>
    <col min="6" max="6" width="34.6640625" style="109" customWidth="1"/>
    <col min="7" max="7" width="4.5" style="109" customWidth="1"/>
    <col min="8" max="8" width="20.83203125" style="109" customWidth="1"/>
    <col min="9" max="16384" width="10.83203125" style="109"/>
  </cols>
  <sheetData>
    <row r="2" spans="2:8" ht="21" x14ac:dyDescent="0.25">
      <c r="B2" s="108" t="s">
        <v>474</v>
      </c>
    </row>
    <row r="4" spans="2:8" x14ac:dyDescent="0.2">
      <c r="B4" s="110" t="s">
        <v>475</v>
      </c>
      <c r="C4" s="111" t="s">
        <v>499</v>
      </c>
      <c r="D4" s="112"/>
      <c r="F4" s="113"/>
      <c r="H4" s="113"/>
    </row>
    <row r="5" spans="2:8" x14ac:dyDescent="0.2">
      <c r="B5" s="114" t="s">
        <v>476</v>
      </c>
      <c r="C5" s="115">
        <v>1</v>
      </c>
      <c r="D5" s="116"/>
    </row>
    <row r="6" spans="2:8" x14ac:dyDescent="0.2">
      <c r="B6" s="114" t="s">
        <v>477</v>
      </c>
      <c r="C6" s="117" t="s">
        <v>478</v>
      </c>
      <c r="D6" s="116"/>
    </row>
    <row r="7" spans="2:8" x14ac:dyDescent="0.2">
      <c r="B7" s="114" t="s">
        <v>479</v>
      </c>
      <c r="C7" s="117">
        <v>2019</v>
      </c>
      <c r="D7" s="116"/>
    </row>
    <row r="8" spans="2:8" x14ac:dyDescent="0.2">
      <c r="B8" s="114" t="s">
        <v>480</v>
      </c>
      <c r="C8" s="118" t="s">
        <v>500</v>
      </c>
      <c r="D8" s="116"/>
    </row>
    <row r="9" spans="2:8" x14ac:dyDescent="0.2">
      <c r="B9" s="114" t="s">
        <v>481</v>
      </c>
      <c r="C9" s="119" t="s">
        <v>501</v>
      </c>
      <c r="D9" s="116"/>
    </row>
    <row r="10" spans="2:8" x14ac:dyDescent="0.2">
      <c r="B10" s="120" t="s">
        <v>482</v>
      </c>
      <c r="C10" s="121" t="s">
        <v>483</v>
      </c>
      <c r="D10" s="122"/>
    </row>
    <row r="12" spans="2:8" x14ac:dyDescent="0.2">
      <c r="B12" s="110" t="s">
        <v>484</v>
      </c>
      <c r="C12" s="123"/>
      <c r="D12" s="112"/>
    </row>
    <row r="13" spans="2:8" x14ac:dyDescent="0.2">
      <c r="B13" s="124"/>
      <c r="D13" s="116"/>
    </row>
    <row r="14" spans="2:8" x14ac:dyDescent="0.2">
      <c r="B14" s="124" t="s">
        <v>485</v>
      </c>
      <c r="C14" s="125" t="s">
        <v>486</v>
      </c>
      <c r="D14" s="116"/>
    </row>
    <row r="15" spans="2:8" ht="17" thickBot="1" x14ac:dyDescent="0.25">
      <c r="B15" s="124"/>
      <c r="C15" s="113" t="s">
        <v>487</v>
      </c>
      <c r="D15" s="116"/>
    </row>
    <row r="16" spans="2:8" ht="17" thickBot="1" x14ac:dyDescent="0.25">
      <c r="B16" s="124"/>
      <c r="C16" s="126" t="s">
        <v>488</v>
      </c>
      <c r="D16" s="116"/>
    </row>
    <row r="17" spans="2:4" x14ac:dyDescent="0.2">
      <c r="B17" s="124"/>
      <c r="C17" s="109" t="s">
        <v>489</v>
      </c>
      <c r="D17" s="116"/>
    </row>
    <row r="18" spans="2:4" x14ac:dyDescent="0.2">
      <c r="B18" s="124"/>
      <c r="D18" s="116"/>
    </row>
    <row r="19" spans="2:4" x14ac:dyDescent="0.2">
      <c r="B19" s="124" t="s">
        <v>490</v>
      </c>
      <c r="C19" s="129" t="s">
        <v>491</v>
      </c>
      <c r="D19" s="116"/>
    </row>
    <row r="20" spans="2:4" x14ac:dyDescent="0.2">
      <c r="B20" s="124"/>
      <c r="C20" s="130" t="s">
        <v>492</v>
      </c>
      <c r="D20" s="116"/>
    </row>
    <row r="21" spans="2:4" x14ac:dyDescent="0.2">
      <c r="B21" s="124"/>
      <c r="C21" s="131" t="s">
        <v>493</v>
      </c>
      <c r="D21" s="116"/>
    </row>
    <row r="22" spans="2:4" x14ac:dyDescent="0.2">
      <c r="B22" s="124"/>
      <c r="C22" s="132" t="s">
        <v>494</v>
      </c>
      <c r="D22" s="116"/>
    </row>
    <row r="23" spans="2:4" x14ac:dyDescent="0.2">
      <c r="B23" s="127"/>
      <c r="C23" s="133" t="s">
        <v>246</v>
      </c>
      <c r="D23" s="116"/>
    </row>
    <row r="24" spans="2:4" x14ac:dyDescent="0.2">
      <c r="B24" s="127"/>
      <c r="C24" s="134" t="s">
        <v>495</v>
      </c>
      <c r="D24" s="116"/>
    </row>
    <row r="25" spans="2:4" x14ac:dyDescent="0.2">
      <c r="B25" s="127"/>
      <c r="C25" s="135" t="s">
        <v>496</v>
      </c>
      <c r="D25" s="116"/>
    </row>
    <row r="26" spans="2:4" x14ac:dyDescent="0.2">
      <c r="B26" s="127"/>
      <c r="C26" s="136" t="s">
        <v>497</v>
      </c>
      <c r="D26" s="116"/>
    </row>
    <row r="27" spans="2:4" x14ac:dyDescent="0.2">
      <c r="B27" s="128"/>
      <c r="C27" s="121"/>
      <c r="D27" s="122"/>
    </row>
    <row r="29" spans="2:4" x14ac:dyDescent="0.2">
      <c r="B29" s="110" t="s">
        <v>498</v>
      </c>
      <c r="C29" s="123"/>
      <c r="D29" s="112"/>
    </row>
    <row r="30" spans="2:4" x14ac:dyDescent="0.2">
      <c r="B30" s="152"/>
      <c r="C30" s="153"/>
      <c r="D30" s="154"/>
    </row>
    <row r="31" spans="2:4" x14ac:dyDescent="0.2">
      <c r="B31" s="152"/>
      <c r="C31" s="153"/>
      <c r="D31" s="154"/>
    </row>
    <row r="32" spans="2:4" x14ac:dyDescent="0.2">
      <c r="B32" s="152"/>
      <c r="C32" s="153"/>
      <c r="D32" s="154"/>
    </row>
    <row r="33" spans="2:4" x14ac:dyDescent="0.2">
      <c r="B33" s="152"/>
      <c r="C33" s="153"/>
      <c r="D33" s="154"/>
    </row>
    <row r="34" spans="2:4" x14ac:dyDescent="0.2">
      <c r="B34" s="152"/>
      <c r="C34" s="153"/>
      <c r="D34" s="154"/>
    </row>
    <row r="35" spans="2:4" x14ac:dyDescent="0.2">
      <c r="B35" s="152"/>
      <c r="C35" s="153"/>
      <c r="D35" s="154"/>
    </row>
    <row r="36" spans="2:4" x14ac:dyDescent="0.2">
      <c r="B36" s="152"/>
      <c r="C36" s="153"/>
      <c r="D36" s="154"/>
    </row>
    <row r="37" spans="2:4" x14ac:dyDescent="0.2">
      <c r="B37" s="152"/>
      <c r="C37" s="153"/>
      <c r="D37" s="154"/>
    </row>
    <row r="38" spans="2:4" x14ac:dyDescent="0.2">
      <c r="B38" s="152"/>
      <c r="C38" s="153"/>
      <c r="D38" s="154"/>
    </row>
    <row r="39" spans="2:4" x14ac:dyDescent="0.2">
      <c r="B39" s="155"/>
      <c r="C39" s="156"/>
      <c r="D39" s="157"/>
    </row>
  </sheetData>
  <mergeCells count="1">
    <mergeCell ref="B30:D39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474B-68EA-4348-B84D-CD5F649E5B08}">
  <sheetPr>
    <tabColor rgb="FFEEECE1"/>
  </sheetPr>
  <dimension ref="B6:B19"/>
  <sheetViews>
    <sheetView workbookViewId="0">
      <selection activeCell="B40" sqref="B40"/>
    </sheetView>
  </sheetViews>
  <sheetFormatPr baseColWidth="10" defaultRowHeight="16" x14ac:dyDescent="0.2"/>
  <cols>
    <col min="1" max="1" width="10.83203125" style="9"/>
    <col min="2" max="2" width="136" style="9" customWidth="1"/>
    <col min="3" max="16384" width="10.83203125" style="9"/>
  </cols>
  <sheetData>
    <row r="6" spans="2:2" x14ac:dyDescent="0.2">
      <c r="B6" s="27" t="s">
        <v>571</v>
      </c>
    </row>
    <row r="7" spans="2:2" x14ac:dyDescent="0.2">
      <c r="B7" s="164" t="s">
        <v>566</v>
      </c>
    </row>
    <row r="8" spans="2:2" x14ac:dyDescent="0.2">
      <c r="B8" s="164" t="s">
        <v>568</v>
      </c>
    </row>
    <row r="9" spans="2:2" x14ac:dyDescent="0.2">
      <c r="B9" s="164" t="s">
        <v>567</v>
      </c>
    </row>
    <row r="10" spans="2:2" x14ac:dyDescent="0.2">
      <c r="B10" s="165" t="s">
        <v>569</v>
      </c>
    </row>
    <row r="12" spans="2:2" x14ac:dyDescent="0.2">
      <c r="B12" s="27" t="s">
        <v>572</v>
      </c>
    </row>
    <row r="13" spans="2:2" x14ac:dyDescent="0.2">
      <c r="B13" s="164" t="s">
        <v>570</v>
      </c>
    </row>
    <row r="14" spans="2:2" x14ac:dyDescent="0.2">
      <c r="B14" s="164" t="s">
        <v>573</v>
      </c>
    </row>
    <row r="15" spans="2:2" x14ac:dyDescent="0.2">
      <c r="B15" s="164" t="s">
        <v>574</v>
      </c>
    </row>
    <row r="16" spans="2:2" x14ac:dyDescent="0.2">
      <c r="B16" s="164" t="s">
        <v>575</v>
      </c>
    </row>
    <row r="17" spans="2:2" x14ac:dyDescent="0.2">
      <c r="B17" s="164" t="s">
        <v>576</v>
      </c>
    </row>
    <row r="18" spans="2:2" x14ac:dyDescent="0.2">
      <c r="B18" s="164" t="s">
        <v>578</v>
      </c>
    </row>
    <row r="19" spans="2:2" x14ac:dyDescent="0.2">
      <c r="B19" s="165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7CF-10ED-194B-A3E2-0F4880171869}">
  <sheetPr>
    <tabColor rgb="FFFFFF00"/>
  </sheetPr>
  <dimension ref="C3:H66"/>
  <sheetViews>
    <sheetView workbookViewId="0">
      <selection activeCell="G43" sqref="G43"/>
    </sheetView>
  </sheetViews>
  <sheetFormatPr baseColWidth="10" defaultRowHeight="16" x14ac:dyDescent="0.2"/>
  <cols>
    <col min="1" max="2" width="10.83203125" style="9"/>
    <col min="3" max="3" width="72.6640625" style="9" customWidth="1"/>
    <col min="4" max="4" width="28.5" style="9" customWidth="1"/>
    <col min="5" max="5" width="19" style="9" customWidth="1"/>
    <col min="6" max="16384" width="10.83203125" style="9"/>
  </cols>
  <sheetData>
    <row r="3" spans="3:5" x14ac:dyDescent="0.2">
      <c r="C3" s="140" t="s">
        <v>502</v>
      </c>
    </row>
    <row r="5" spans="3:5" x14ac:dyDescent="0.2">
      <c r="C5" s="140" t="s">
        <v>503</v>
      </c>
    </row>
    <row r="6" spans="3:5" x14ac:dyDescent="0.2">
      <c r="C6" s="11" t="s">
        <v>131</v>
      </c>
      <c r="D6" s="12" t="s">
        <v>132</v>
      </c>
      <c r="E6" s="141">
        <f>'Analysis - road transport'!D5</f>
        <v>0.96255621014492809</v>
      </c>
    </row>
    <row r="7" spans="3:5" x14ac:dyDescent="0.2">
      <c r="C7" s="15" t="s">
        <v>133</v>
      </c>
      <c r="D7" s="16" t="s">
        <v>132</v>
      </c>
      <c r="E7" s="141">
        <f>'Analysis - road transport'!D6</f>
        <v>2.44061644225092E-3</v>
      </c>
    </row>
    <row r="8" spans="3:5" x14ac:dyDescent="0.2">
      <c r="C8" s="15" t="s">
        <v>134</v>
      </c>
      <c r="D8" s="16" t="s">
        <v>132</v>
      </c>
      <c r="E8" s="141">
        <f>'Analysis - road transport'!D7</f>
        <v>1.4845093088625374E-4</v>
      </c>
    </row>
    <row r="9" spans="3:5" x14ac:dyDescent="0.2">
      <c r="C9" s="17" t="s">
        <v>135</v>
      </c>
      <c r="D9" s="8" t="s">
        <v>132</v>
      </c>
      <c r="E9" s="141">
        <f>'Analysis - road transport'!D8</f>
        <v>3.4854722481934747E-2</v>
      </c>
    </row>
    <row r="10" spans="3:5" x14ac:dyDescent="0.2">
      <c r="C10" s="19"/>
      <c r="D10" s="16"/>
      <c r="E10" s="142"/>
    </row>
    <row r="11" spans="3:5" x14ac:dyDescent="0.2">
      <c r="C11" s="11" t="s">
        <v>136</v>
      </c>
      <c r="D11" s="12" t="s">
        <v>132</v>
      </c>
      <c r="E11" s="141">
        <f ca="1">'Analysis - road transport'!D10</f>
        <v>0.26059225710804301</v>
      </c>
    </row>
    <row r="12" spans="3:5" x14ac:dyDescent="0.2">
      <c r="C12" s="15" t="s">
        <v>137</v>
      </c>
      <c r="D12" s="16" t="s">
        <v>132</v>
      </c>
      <c r="E12" s="141">
        <f ca="1">'Analysis - road transport'!D11</f>
        <v>0.71397309065063064</v>
      </c>
    </row>
    <row r="13" spans="3:5" x14ac:dyDescent="0.2">
      <c r="C13" s="22" t="s">
        <v>138</v>
      </c>
      <c r="D13" s="8" t="s">
        <v>132</v>
      </c>
      <c r="E13" s="141">
        <f ca="1">'Analysis - road transport'!D12</f>
        <v>2.5434652241326256E-2</v>
      </c>
    </row>
    <row r="14" spans="3:5" x14ac:dyDescent="0.2">
      <c r="C14" s="15"/>
      <c r="D14" s="16"/>
      <c r="E14" s="142"/>
    </row>
    <row r="15" spans="3:5" x14ac:dyDescent="0.2">
      <c r="C15" s="11" t="s">
        <v>139</v>
      </c>
      <c r="D15" s="12" t="s">
        <v>132</v>
      </c>
      <c r="E15" s="141">
        <f>'Analysis - road transport'!D14</f>
        <v>0.34073795911870985</v>
      </c>
    </row>
    <row r="16" spans="3:5" x14ac:dyDescent="0.2">
      <c r="C16" s="15" t="s">
        <v>140</v>
      </c>
      <c r="D16" s="16" t="s">
        <v>132</v>
      </c>
      <c r="E16" s="141">
        <f>'Analysis - road transport'!D15</f>
        <v>0.43935553524011822</v>
      </c>
    </row>
    <row r="17" spans="3:5" x14ac:dyDescent="0.2">
      <c r="C17" s="15" t="s">
        <v>141</v>
      </c>
      <c r="D17" s="16" t="s">
        <v>132</v>
      </c>
      <c r="E17" s="141">
        <f>'Analysis - road transport'!D16</f>
        <v>0.18148874217351491</v>
      </c>
    </row>
    <row r="18" spans="3:5" x14ac:dyDescent="0.2">
      <c r="C18" s="19" t="s">
        <v>202</v>
      </c>
      <c r="D18" s="16" t="s">
        <v>132</v>
      </c>
      <c r="E18" s="141">
        <f>'Analysis - road transport'!D17</f>
        <v>3.1090486245094116E-2</v>
      </c>
    </row>
    <row r="19" spans="3:5" x14ac:dyDescent="0.2">
      <c r="C19" s="17" t="s">
        <v>244</v>
      </c>
      <c r="D19" s="8" t="s">
        <v>132</v>
      </c>
      <c r="E19" s="141">
        <f>'Analysis - road transport'!D18</f>
        <v>7.3272772225628701E-3</v>
      </c>
    </row>
    <row r="20" spans="3:5" x14ac:dyDescent="0.2">
      <c r="C20" s="15"/>
      <c r="D20" s="16"/>
      <c r="E20" s="142"/>
    </row>
    <row r="21" spans="3:5" x14ac:dyDescent="0.2">
      <c r="C21" s="11" t="s">
        <v>142</v>
      </c>
      <c r="D21" s="12" t="s">
        <v>132</v>
      </c>
      <c r="E21" s="141">
        <f>'Analysis - road transport'!D20</f>
        <v>0.99703703703703705</v>
      </c>
    </row>
    <row r="22" spans="3:5" x14ac:dyDescent="0.2">
      <c r="C22" s="22" t="s">
        <v>143</v>
      </c>
      <c r="D22" s="8" t="s">
        <v>132</v>
      </c>
      <c r="E22" s="141">
        <f>'Analysis - road transport'!D21</f>
        <v>2.962962962962945E-3</v>
      </c>
    </row>
    <row r="23" spans="3:5" x14ac:dyDescent="0.2">
      <c r="C23" s="15"/>
      <c r="D23" s="16"/>
      <c r="E23" s="142"/>
    </row>
    <row r="24" spans="3:5" x14ac:dyDescent="0.2">
      <c r="C24" s="11" t="s">
        <v>144</v>
      </c>
      <c r="D24" s="12" t="s">
        <v>132</v>
      </c>
      <c r="E24" s="141">
        <f>'Analysis - road transport'!D23</f>
        <v>0</v>
      </c>
    </row>
    <row r="25" spans="3:5" x14ac:dyDescent="0.2">
      <c r="C25" s="22" t="s">
        <v>145</v>
      </c>
      <c r="D25" s="8" t="s">
        <v>132</v>
      </c>
      <c r="E25" s="141">
        <f>'Analysis - road transport'!D24</f>
        <v>1</v>
      </c>
    </row>
    <row r="26" spans="3:5" x14ac:dyDescent="0.2">
      <c r="C26" s="15"/>
      <c r="D26" s="16"/>
      <c r="E26" s="142"/>
    </row>
    <row r="27" spans="3:5" x14ac:dyDescent="0.2">
      <c r="C27" s="11" t="s">
        <v>146</v>
      </c>
      <c r="D27" s="12" t="s">
        <v>132</v>
      </c>
      <c r="E27" s="141">
        <f>'Analysis - road transport'!D26</f>
        <v>0</v>
      </c>
    </row>
    <row r="28" spans="3:5" x14ac:dyDescent="0.2">
      <c r="C28" s="15" t="s">
        <v>147</v>
      </c>
      <c r="D28" s="16" t="s">
        <v>132</v>
      </c>
      <c r="E28" s="141">
        <f>'Analysis - road transport'!D27</f>
        <v>0</v>
      </c>
    </row>
    <row r="29" spans="3:5" x14ac:dyDescent="0.2">
      <c r="C29" s="22" t="s">
        <v>148</v>
      </c>
      <c r="D29" s="8" t="s">
        <v>132</v>
      </c>
      <c r="E29" s="141">
        <f>'Analysis - road transport'!D28</f>
        <v>1</v>
      </c>
    </row>
    <row r="30" spans="3:5" x14ac:dyDescent="0.2">
      <c r="C30" s="15"/>
      <c r="D30" s="16"/>
      <c r="E30" s="142"/>
    </row>
    <row r="31" spans="3:5" x14ac:dyDescent="0.2">
      <c r="C31" s="11" t="s">
        <v>149</v>
      </c>
      <c r="D31" s="12" t="s">
        <v>132</v>
      </c>
      <c r="E31" s="141">
        <f>'Analysis - road transport'!D30</f>
        <v>0</v>
      </c>
    </row>
    <row r="32" spans="3:5" x14ac:dyDescent="0.2">
      <c r="C32" s="15" t="s">
        <v>150</v>
      </c>
      <c r="D32" s="16" t="s">
        <v>132</v>
      </c>
      <c r="E32" s="141">
        <f>'Analysis - road transport'!D31</f>
        <v>0</v>
      </c>
    </row>
    <row r="33" spans="3:8" x14ac:dyDescent="0.2">
      <c r="C33" s="22" t="s">
        <v>151</v>
      </c>
      <c r="D33" s="8" t="s">
        <v>132</v>
      </c>
      <c r="E33" s="141">
        <f>'Analysis - road transport'!D32</f>
        <v>1</v>
      </c>
    </row>
    <row r="34" spans="3:8" x14ac:dyDescent="0.2">
      <c r="C34" s="15"/>
      <c r="D34" s="16"/>
      <c r="E34" s="142"/>
    </row>
    <row r="35" spans="3:8" x14ac:dyDescent="0.2">
      <c r="C35" s="11" t="s">
        <v>538</v>
      </c>
      <c r="D35" s="12" t="s">
        <v>132</v>
      </c>
      <c r="E35" s="144">
        <f>'Analysis - road transport'!D34</f>
        <v>61.798575325788192</v>
      </c>
    </row>
    <row r="36" spans="3:8" x14ac:dyDescent="0.2">
      <c r="C36" s="15" t="s">
        <v>539</v>
      </c>
      <c r="D36" s="16" t="s">
        <v>132</v>
      </c>
      <c r="E36" s="144">
        <f>'Analysis - road transport'!D35</f>
        <v>244.94669529506874</v>
      </c>
    </row>
    <row r="37" spans="3:8" x14ac:dyDescent="0.2">
      <c r="C37" s="15" t="s">
        <v>562</v>
      </c>
      <c r="D37" s="16" t="s">
        <v>132</v>
      </c>
      <c r="E37" s="144">
        <f>'Analysis - road transport'!D36</f>
        <v>182.86521844785767</v>
      </c>
    </row>
    <row r="38" spans="3:8" x14ac:dyDescent="0.2">
      <c r="C38" s="15" t="s">
        <v>563</v>
      </c>
      <c r="D38" s="16" t="s">
        <v>132</v>
      </c>
      <c r="E38" s="144">
        <f>'Analysis - road transport'!D37</f>
        <v>1298.8229405012125</v>
      </c>
    </row>
    <row r="39" spans="3:8" x14ac:dyDescent="0.2">
      <c r="C39" s="15" t="s">
        <v>540</v>
      </c>
      <c r="D39" s="16" t="s">
        <v>132</v>
      </c>
      <c r="E39" s="144">
        <f>'Analysis - road transport'!D38</f>
        <v>878.74642861762334</v>
      </c>
    </row>
    <row r="40" spans="3:8" x14ac:dyDescent="0.2">
      <c r="C40" s="22" t="s">
        <v>541</v>
      </c>
      <c r="D40" s="8" t="s">
        <v>132</v>
      </c>
      <c r="E40" s="144">
        <f>'Analysis - road transport'!D39</f>
        <v>0</v>
      </c>
      <c r="H40" s="148"/>
    </row>
    <row r="41" spans="3:8" x14ac:dyDescent="0.2">
      <c r="C41" s="15"/>
      <c r="D41" s="16"/>
      <c r="E41" s="150"/>
    </row>
    <row r="42" spans="3:8" x14ac:dyDescent="0.2">
      <c r="C42" s="11" t="s">
        <v>542</v>
      </c>
      <c r="D42" s="12" t="s">
        <v>132</v>
      </c>
      <c r="E42" s="144">
        <f>'Analysis - road transport'!D41</f>
        <v>1064.4505752613097</v>
      </c>
    </row>
    <row r="43" spans="3:8" x14ac:dyDescent="0.2">
      <c r="C43" s="15" t="s">
        <v>543</v>
      </c>
      <c r="D43" s="16" t="s">
        <v>132</v>
      </c>
      <c r="E43" s="144">
        <f>'Analysis - road transport'!D42</f>
        <v>4219.0883744594985</v>
      </c>
      <c r="G43" s="148"/>
    </row>
    <row r="44" spans="3:8" x14ac:dyDescent="0.2">
      <c r="C44" s="15" t="s">
        <v>565</v>
      </c>
      <c r="D44" s="16" t="s">
        <v>132</v>
      </c>
      <c r="E44" s="144">
        <f>'Analysis - road transport'!D43</f>
        <v>3149.764957297979</v>
      </c>
    </row>
    <row r="45" spans="3:8" x14ac:dyDescent="0.2">
      <c r="C45" s="15" t="s">
        <v>564</v>
      </c>
      <c r="D45" s="16" t="s">
        <v>132</v>
      </c>
      <c r="E45" s="144">
        <f>'Analysis - road transport'!D44</f>
        <v>22371.59706175586</v>
      </c>
    </row>
    <row r="46" spans="3:8" x14ac:dyDescent="0.2">
      <c r="C46" s="15" t="s">
        <v>544</v>
      </c>
      <c r="D46" s="16" t="s">
        <v>132</v>
      </c>
      <c r="E46" s="144">
        <f>'Analysis - road transport'!D45</f>
        <v>15135.982286318515</v>
      </c>
    </row>
    <row r="47" spans="3:8" x14ac:dyDescent="0.2">
      <c r="C47" s="22" t="s">
        <v>545</v>
      </c>
      <c r="D47" s="8" t="s">
        <v>132</v>
      </c>
      <c r="E47" s="144">
        <f>'Analysis - road transport'!D46</f>
        <v>0</v>
      </c>
    </row>
    <row r="48" spans="3:8" x14ac:dyDescent="0.2">
      <c r="E48" s="140"/>
    </row>
    <row r="49" spans="3:5" x14ac:dyDescent="0.2">
      <c r="C49" s="139" t="s">
        <v>504</v>
      </c>
      <c r="E49" s="140"/>
    </row>
    <row r="50" spans="3:5" x14ac:dyDescent="0.2">
      <c r="C50" s="11" t="s">
        <v>326</v>
      </c>
      <c r="D50" s="12" t="s">
        <v>132</v>
      </c>
      <c r="E50" s="141">
        <f>'Analysis - rail transport'!D5</f>
        <v>2.4046515405020084E-2</v>
      </c>
    </row>
    <row r="51" spans="3:5" x14ac:dyDescent="0.2">
      <c r="C51" s="15" t="s">
        <v>327</v>
      </c>
      <c r="D51" s="16" t="s">
        <v>132</v>
      </c>
      <c r="E51" s="141">
        <f>'Analysis - rail transport'!D6</f>
        <v>0.90410014701527897</v>
      </c>
    </row>
    <row r="52" spans="3:5" x14ac:dyDescent="0.2">
      <c r="C52" s="22" t="s">
        <v>328</v>
      </c>
      <c r="D52" s="8" t="s">
        <v>132</v>
      </c>
      <c r="E52" s="141">
        <f>'Analysis - rail transport'!D7</f>
        <v>7.1853337579700957E-2</v>
      </c>
    </row>
    <row r="53" spans="3:5" x14ac:dyDescent="0.2">
      <c r="C53" s="91"/>
      <c r="D53" s="16"/>
      <c r="E53" s="143"/>
    </row>
    <row r="54" spans="3:5" x14ac:dyDescent="0.2">
      <c r="C54" s="11" t="s">
        <v>329</v>
      </c>
      <c r="D54" s="12" t="s">
        <v>132</v>
      </c>
      <c r="E54" s="141">
        <f>'Analysis - rail transport'!D9</f>
        <v>0.89342726447276688</v>
      </c>
    </row>
    <row r="55" spans="3:5" x14ac:dyDescent="0.2">
      <c r="C55" s="22" t="s">
        <v>330</v>
      </c>
      <c r="D55" s="8" t="s">
        <v>132</v>
      </c>
      <c r="E55" s="141">
        <f>'Analysis - rail transport'!D10</f>
        <v>0.10657273552723304</v>
      </c>
    </row>
    <row r="56" spans="3:5" x14ac:dyDescent="0.2">
      <c r="C56" s="22"/>
      <c r="D56" s="16"/>
      <c r="E56" s="143"/>
    </row>
    <row r="57" spans="3:5" x14ac:dyDescent="0.2">
      <c r="C57" s="31" t="s">
        <v>331</v>
      </c>
      <c r="D57" s="32" t="s">
        <v>132</v>
      </c>
      <c r="E57" s="141">
        <f>'Analysis - rail transport'!D12</f>
        <v>1</v>
      </c>
    </row>
    <row r="58" spans="3:5" x14ac:dyDescent="0.2">
      <c r="C58" s="16"/>
      <c r="D58" s="16"/>
      <c r="E58" s="139"/>
    </row>
    <row r="59" spans="3:5" x14ac:dyDescent="0.2">
      <c r="C59" s="11" t="s">
        <v>332</v>
      </c>
      <c r="D59" s="12" t="s">
        <v>132</v>
      </c>
      <c r="E59" s="144">
        <f>'Analysis - rail transport'!D14</f>
        <v>158240476.11543265</v>
      </c>
    </row>
    <row r="60" spans="3:5" x14ac:dyDescent="0.2">
      <c r="C60" s="15" t="s">
        <v>333</v>
      </c>
      <c r="D60" s="16" t="s">
        <v>132</v>
      </c>
      <c r="E60" s="144">
        <f>'Analysis - rail transport'!D15</f>
        <v>5949520556.7232962</v>
      </c>
    </row>
    <row r="61" spans="3:5" x14ac:dyDescent="0.2">
      <c r="C61" s="22" t="s">
        <v>334</v>
      </c>
      <c r="D61" s="8" t="s">
        <v>132</v>
      </c>
      <c r="E61" s="144">
        <f>'Analysis - rail transport'!D16</f>
        <v>472838004.07609588</v>
      </c>
    </row>
    <row r="62" spans="3:5" x14ac:dyDescent="0.2">
      <c r="C62" s="91"/>
      <c r="D62" s="16"/>
      <c r="E62" s="139"/>
    </row>
    <row r="63" spans="3:5" x14ac:dyDescent="0.2">
      <c r="C63" s="11" t="s">
        <v>335</v>
      </c>
      <c r="D63" s="12" t="s">
        <v>132</v>
      </c>
      <c r="E63" s="144">
        <f>'Analysis - rail transport'!D18</f>
        <v>1290914018.4957643</v>
      </c>
    </row>
    <row r="64" spans="3:5" x14ac:dyDescent="0.2">
      <c r="C64" s="22" t="s">
        <v>336</v>
      </c>
      <c r="D64" s="8" t="s">
        <v>132</v>
      </c>
      <c r="E64" s="144">
        <f>'Analysis - rail transport'!D19</f>
        <v>153987060.56136957</v>
      </c>
    </row>
    <row r="65" spans="3:5" x14ac:dyDescent="0.2">
      <c r="C65" s="22"/>
      <c r="D65" s="16"/>
      <c r="E65" s="139"/>
    </row>
    <row r="66" spans="3:5" x14ac:dyDescent="0.2">
      <c r="C66" s="31" t="s">
        <v>337</v>
      </c>
      <c r="D66" s="32" t="s">
        <v>132</v>
      </c>
      <c r="E66" s="27">
        <f>'Analysis - rail transport'!D21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406B-53C7-C948-93AE-B75922B2DE92}">
  <sheetPr>
    <tabColor rgb="FF92CDDC"/>
  </sheetPr>
  <dimension ref="A2:L191"/>
  <sheetViews>
    <sheetView topLeftCell="A24" zoomScaleNormal="100" workbookViewId="0">
      <selection activeCell="K52" sqref="K52"/>
    </sheetView>
  </sheetViews>
  <sheetFormatPr baseColWidth="10" defaultRowHeight="16" x14ac:dyDescent="0.2"/>
  <cols>
    <col min="1" max="1" width="29.33203125" style="9" bestFit="1" customWidth="1"/>
    <col min="2" max="2" width="57.1640625" style="9" customWidth="1"/>
    <col min="3" max="3" width="26.33203125" style="9" customWidth="1"/>
    <col min="4" max="4" width="46.6640625" style="9" customWidth="1"/>
    <col min="5" max="5" width="12.1640625" style="9" customWidth="1"/>
    <col min="6" max="6" width="34.1640625" style="9" bestFit="1" customWidth="1"/>
    <col min="7" max="7" width="23.1640625" style="9" bestFit="1" customWidth="1"/>
    <col min="8" max="8" width="68.83203125" style="9" customWidth="1"/>
    <col min="9" max="9" width="10.83203125" style="9"/>
    <col min="10" max="10" width="39.1640625" style="9" bestFit="1" customWidth="1"/>
    <col min="11" max="11" width="25" style="9" customWidth="1"/>
    <col min="12" max="12" width="68.33203125" style="9" customWidth="1"/>
    <col min="13" max="16384" width="10.83203125" style="9"/>
  </cols>
  <sheetData>
    <row r="2" spans="1:12" x14ac:dyDescent="0.2">
      <c r="A2" s="28" t="s">
        <v>246</v>
      </c>
      <c r="B2" s="31"/>
      <c r="C2" s="32"/>
      <c r="D2" s="32"/>
      <c r="E2" s="32"/>
      <c r="F2" s="32"/>
      <c r="G2" s="32"/>
      <c r="H2" s="32"/>
      <c r="I2" s="32"/>
      <c r="J2" s="32"/>
      <c r="K2" s="32"/>
      <c r="L2" s="34"/>
    </row>
    <row r="3" spans="1:12" x14ac:dyDescent="0.2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  <c r="L3" s="23"/>
    </row>
    <row r="4" spans="1:12" ht="17" thickBot="1" x14ac:dyDescent="0.25">
      <c r="A4" s="15"/>
      <c r="B4" s="158" t="s">
        <v>130</v>
      </c>
      <c r="C4" s="159"/>
      <c r="D4" s="160"/>
      <c r="E4" s="10"/>
      <c r="F4" s="16"/>
      <c r="G4" s="16"/>
      <c r="H4" s="16"/>
      <c r="I4" s="16"/>
      <c r="J4" s="16"/>
      <c r="K4" s="16"/>
      <c r="L4" s="23"/>
    </row>
    <row r="5" spans="1:12" ht="17" thickBot="1" x14ac:dyDescent="0.25">
      <c r="A5" s="15"/>
      <c r="B5" s="11" t="s">
        <v>131</v>
      </c>
      <c r="C5" s="12" t="s">
        <v>132</v>
      </c>
      <c r="D5" s="13">
        <f>K57</f>
        <v>0.96255621014492809</v>
      </c>
      <c r="E5" s="14"/>
      <c r="F5" s="16"/>
      <c r="G5" s="16"/>
      <c r="H5" s="16"/>
      <c r="I5" s="16"/>
      <c r="J5" s="16"/>
      <c r="K5" s="16"/>
      <c r="L5" s="23"/>
    </row>
    <row r="6" spans="1:12" ht="17" thickBot="1" x14ac:dyDescent="0.25">
      <c r="A6" s="15"/>
      <c r="B6" s="15" t="s">
        <v>133</v>
      </c>
      <c r="C6" s="16" t="s">
        <v>132</v>
      </c>
      <c r="D6" s="13">
        <f>K58</f>
        <v>2.44061644225092E-3</v>
      </c>
      <c r="E6" s="14"/>
      <c r="F6" s="16"/>
      <c r="G6" s="16"/>
      <c r="H6" s="16"/>
      <c r="I6" s="16"/>
      <c r="J6" s="16"/>
      <c r="K6" s="16"/>
      <c r="L6" s="23"/>
    </row>
    <row r="7" spans="1:12" ht="17" thickBot="1" x14ac:dyDescent="0.25">
      <c r="A7" s="15"/>
      <c r="B7" s="15" t="s">
        <v>134</v>
      </c>
      <c r="C7" s="16" t="s">
        <v>132</v>
      </c>
      <c r="D7" s="13">
        <f>K59</f>
        <v>1.4845093088625374E-4</v>
      </c>
      <c r="E7" s="14"/>
      <c r="F7" s="16"/>
      <c r="G7" s="16"/>
      <c r="H7" s="16"/>
      <c r="I7" s="16"/>
      <c r="J7" s="16"/>
      <c r="K7" s="16"/>
      <c r="L7" s="23"/>
    </row>
    <row r="8" spans="1:12" ht="17" thickBot="1" x14ac:dyDescent="0.25">
      <c r="A8" s="15"/>
      <c r="B8" s="17" t="s">
        <v>135</v>
      </c>
      <c r="C8" s="8" t="s">
        <v>132</v>
      </c>
      <c r="D8" s="18">
        <f>K60</f>
        <v>3.4854722481934747E-2</v>
      </c>
      <c r="E8" s="14"/>
      <c r="F8" s="16"/>
      <c r="G8" s="16"/>
      <c r="H8" s="16"/>
      <c r="I8" s="16"/>
      <c r="J8" s="16"/>
      <c r="K8" s="16"/>
      <c r="L8" s="23"/>
    </row>
    <row r="9" spans="1:12" ht="17" thickBot="1" x14ac:dyDescent="0.25">
      <c r="A9" s="15"/>
      <c r="B9" s="19"/>
      <c r="C9" s="16"/>
      <c r="D9" s="20"/>
      <c r="E9" s="14"/>
      <c r="F9" s="16"/>
      <c r="G9" s="16"/>
      <c r="H9" s="16"/>
      <c r="I9" s="16"/>
      <c r="J9" s="16"/>
      <c r="K9" s="16"/>
      <c r="L9" s="23"/>
    </row>
    <row r="10" spans="1:12" ht="17" thickBot="1" x14ac:dyDescent="0.25">
      <c r="A10" s="15"/>
      <c r="B10" s="11" t="s">
        <v>136</v>
      </c>
      <c r="C10" s="12" t="s">
        <v>132</v>
      </c>
      <c r="D10" s="21">
        <f ca="1">K61</f>
        <v>0.26059225710804301</v>
      </c>
      <c r="E10" s="14"/>
      <c r="F10" s="16"/>
      <c r="G10" s="16"/>
      <c r="H10" s="16"/>
      <c r="I10" s="16"/>
      <c r="J10" s="16"/>
      <c r="K10" s="16"/>
      <c r="L10" s="23"/>
    </row>
    <row r="11" spans="1:12" ht="17" thickBot="1" x14ac:dyDescent="0.25">
      <c r="A11" s="15"/>
      <c r="B11" s="15" t="s">
        <v>137</v>
      </c>
      <c r="C11" s="16" t="s">
        <v>132</v>
      </c>
      <c r="D11" s="21">
        <f ca="1">K62</f>
        <v>0.71397309065063064</v>
      </c>
      <c r="E11" s="14"/>
      <c r="F11" s="16"/>
      <c r="G11" s="16"/>
      <c r="H11" s="16"/>
      <c r="I11" s="16"/>
      <c r="J11" s="16"/>
      <c r="K11" s="16"/>
      <c r="L11" s="23"/>
    </row>
    <row r="12" spans="1:12" ht="17" thickBot="1" x14ac:dyDescent="0.25">
      <c r="A12" s="15"/>
      <c r="B12" s="22" t="s">
        <v>138</v>
      </c>
      <c r="C12" s="8" t="s">
        <v>132</v>
      </c>
      <c r="D12" s="21">
        <f ca="1">K63</f>
        <v>2.5434652241326256E-2</v>
      </c>
      <c r="E12" s="14"/>
      <c r="F12" s="16"/>
      <c r="G12" s="16"/>
      <c r="H12" s="16"/>
      <c r="I12" s="16"/>
      <c r="J12" s="16"/>
      <c r="K12" s="16"/>
      <c r="L12" s="23"/>
    </row>
    <row r="13" spans="1:12" ht="17" thickBot="1" x14ac:dyDescent="0.25">
      <c r="A13" s="15"/>
      <c r="B13" s="15"/>
      <c r="C13" s="16"/>
      <c r="D13" s="20"/>
      <c r="E13" s="14"/>
      <c r="F13" s="16"/>
      <c r="G13" s="16"/>
      <c r="H13" s="16"/>
      <c r="I13" s="16"/>
      <c r="J13" s="16"/>
      <c r="K13" s="16"/>
      <c r="L13" s="23"/>
    </row>
    <row r="14" spans="1:12" ht="17" thickBot="1" x14ac:dyDescent="0.25">
      <c r="A14" s="15"/>
      <c r="B14" s="11" t="s">
        <v>139</v>
      </c>
      <c r="C14" s="12" t="s">
        <v>132</v>
      </c>
      <c r="D14" s="21">
        <f>K88</f>
        <v>0.34073795911870985</v>
      </c>
      <c r="E14" s="14"/>
      <c r="F14" s="16"/>
      <c r="G14" s="16"/>
      <c r="H14" s="16"/>
      <c r="I14" s="16"/>
      <c r="J14" s="16"/>
      <c r="K14" s="16"/>
      <c r="L14" s="23"/>
    </row>
    <row r="15" spans="1:12" ht="17" thickBot="1" x14ac:dyDescent="0.25">
      <c r="A15" s="15"/>
      <c r="B15" s="15" t="s">
        <v>140</v>
      </c>
      <c r="C15" s="16" t="s">
        <v>132</v>
      </c>
      <c r="D15" s="21">
        <f>K89</f>
        <v>0.43935553524011822</v>
      </c>
      <c r="E15" s="14"/>
      <c r="F15" s="16"/>
      <c r="G15" s="16"/>
      <c r="H15" s="16"/>
      <c r="I15" s="16"/>
      <c r="J15" s="16"/>
      <c r="K15" s="16"/>
      <c r="L15" s="23"/>
    </row>
    <row r="16" spans="1:12" ht="17" thickBot="1" x14ac:dyDescent="0.25">
      <c r="A16" s="15"/>
      <c r="B16" s="15" t="s">
        <v>141</v>
      </c>
      <c r="C16" s="16" t="s">
        <v>132</v>
      </c>
      <c r="D16" s="21">
        <f>K90</f>
        <v>0.18148874217351491</v>
      </c>
      <c r="E16" s="14"/>
      <c r="F16" s="16"/>
      <c r="G16" s="16"/>
      <c r="H16" s="16"/>
      <c r="I16" s="16"/>
      <c r="J16" s="16"/>
      <c r="K16" s="16"/>
      <c r="L16" s="23"/>
    </row>
    <row r="17" spans="1:12" ht="17" thickBot="1" x14ac:dyDescent="0.25">
      <c r="A17" s="15"/>
      <c r="B17" s="19" t="s">
        <v>202</v>
      </c>
      <c r="C17" s="16" t="s">
        <v>132</v>
      </c>
      <c r="D17" s="21">
        <f>K91</f>
        <v>3.1090486245094116E-2</v>
      </c>
      <c r="E17" s="14"/>
      <c r="F17" s="16"/>
      <c r="G17" s="16"/>
      <c r="H17" s="16"/>
      <c r="I17" s="16"/>
      <c r="J17" s="16"/>
      <c r="K17" s="16"/>
      <c r="L17" s="23"/>
    </row>
    <row r="18" spans="1:12" ht="17" thickBot="1" x14ac:dyDescent="0.25">
      <c r="A18" s="15"/>
      <c r="B18" s="17" t="s">
        <v>244</v>
      </c>
      <c r="C18" s="8" t="s">
        <v>132</v>
      </c>
      <c r="D18" s="21">
        <f>K92</f>
        <v>7.3272772225628701E-3</v>
      </c>
      <c r="E18" s="14"/>
      <c r="F18" s="16"/>
      <c r="G18" s="16"/>
      <c r="H18" s="16"/>
      <c r="I18" s="16"/>
      <c r="J18" s="16"/>
      <c r="K18" s="16"/>
      <c r="L18" s="23"/>
    </row>
    <row r="19" spans="1:12" ht="17" thickBot="1" x14ac:dyDescent="0.25">
      <c r="A19" s="15"/>
      <c r="B19" s="15"/>
      <c r="C19" s="16"/>
      <c r="D19" s="23"/>
      <c r="E19" s="16"/>
      <c r="F19" s="16"/>
      <c r="G19" s="16"/>
      <c r="H19" s="16"/>
      <c r="I19" s="16"/>
      <c r="J19" s="16"/>
      <c r="K19" s="16"/>
      <c r="L19" s="23"/>
    </row>
    <row r="20" spans="1:12" ht="17" thickBot="1" x14ac:dyDescent="0.25">
      <c r="A20" s="15"/>
      <c r="B20" s="11" t="s">
        <v>142</v>
      </c>
      <c r="C20" s="12" t="s">
        <v>132</v>
      </c>
      <c r="D20" s="24">
        <f>K52</f>
        <v>0.99703703703703705</v>
      </c>
      <c r="E20" s="14"/>
      <c r="F20" s="16"/>
      <c r="G20" s="16"/>
      <c r="H20" s="16"/>
      <c r="I20" s="16"/>
      <c r="J20" s="16"/>
      <c r="K20" s="16"/>
      <c r="L20" s="23"/>
    </row>
    <row r="21" spans="1:12" ht="17" thickBot="1" x14ac:dyDescent="0.25">
      <c r="A21" s="15"/>
      <c r="B21" s="22" t="s">
        <v>143</v>
      </c>
      <c r="C21" s="8" t="s">
        <v>132</v>
      </c>
      <c r="D21" s="24">
        <f>K53</f>
        <v>2.962962962962945E-3</v>
      </c>
      <c r="E21" s="14"/>
      <c r="F21" s="16"/>
      <c r="G21" s="16"/>
      <c r="H21" s="16"/>
      <c r="I21" s="16"/>
      <c r="J21" s="16"/>
      <c r="K21" s="16"/>
      <c r="L21" s="23"/>
    </row>
    <row r="22" spans="1:12" ht="17" thickBot="1" x14ac:dyDescent="0.25">
      <c r="A22" s="15"/>
      <c r="B22" s="15"/>
      <c r="C22" s="16"/>
      <c r="D22" s="23"/>
      <c r="E22" s="16"/>
      <c r="F22" s="16"/>
      <c r="G22" s="16"/>
      <c r="H22" s="16"/>
      <c r="I22" s="16"/>
      <c r="J22" s="16"/>
      <c r="K22" s="16"/>
      <c r="L22" s="23"/>
    </row>
    <row r="23" spans="1:12" ht="17" thickBot="1" x14ac:dyDescent="0.25">
      <c r="A23" s="15"/>
      <c r="B23" s="11" t="s">
        <v>144</v>
      </c>
      <c r="C23" s="12" t="s">
        <v>132</v>
      </c>
      <c r="D23" s="25">
        <f>K64</f>
        <v>0</v>
      </c>
      <c r="E23" s="14"/>
      <c r="F23" s="16"/>
      <c r="G23" s="16"/>
      <c r="H23" s="16"/>
      <c r="I23" s="16"/>
      <c r="J23" s="16"/>
      <c r="K23" s="16"/>
      <c r="L23" s="23"/>
    </row>
    <row r="24" spans="1:12" ht="17" thickBot="1" x14ac:dyDescent="0.25">
      <c r="A24" s="15"/>
      <c r="B24" s="22" t="s">
        <v>145</v>
      </c>
      <c r="C24" s="8" t="s">
        <v>132</v>
      </c>
      <c r="D24" s="25">
        <f>K65</f>
        <v>1</v>
      </c>
      <c r="E24" s="14"/>
      <c r="F24" s="16"/>
      <c r="G24" s="16"/>
      <c r="H24" s="16"/>
      <c r="I24" s="16"/>
      <c r="J24" s="16"/>
      <c r="K24" s="16"/>
      <c r="L24" s="23"/>
    </row>
    <row r="25" spans="1:12" ht="17" thickBot="1" x14ac:dyDescent="0.25">
      <c r="A25" s="15"/>
      <c r="B25" s="15"/>
      <c r="C25" s="16"/>
      <c r="D25" s="23"/>
      <c r="E25" s="16"/>
      <c r="F25" s="16"/>
      <c r="G25" s="16"/>
      <c r="H25" s="16"/>
      <c r="I25" s="16"/>
      <c r="J25" s="16"/>
      <c r="K25" s="16"/>
      <c r="L25" s="23"/>
    </row>
    <row r="26" spans="1:12" ht="17" thickBot="1" x14ac:dyDescent="0.25">
      <c r="A26" s="15"/>
      <c r="B26" s="11" t="s">
        <v>146</v>
      </c>
      <c r="C26" s="12" t="s">
        <v>132</v>
      </c>
      <c r="D26" s="21">
        <f>K66</f>
        <v>0</v>
      </c>
      <c r="E26" s="14"/>
      <c r="F26" s="16"/>
      <c r="G26" s="16"/>
      <c r="H26" s="16"/>
      <c r="I26" s="16"/>
      <c r="J26" s="16"/>
      <c r="K26" s="16"/>
      <c r="L26" s="23"/>
    </row>
    <row r="27" spans="1:12" ht="17" thickBot="1" x14ac:dyDescent="0.25">
      <c r="A27" s="15"/>
      <c r="B27" s="15" t="s">
        <v>147</v>
      </c>
      <c r="C27" s="16" t="s">
        <v>132</v>
      </c>
      <c r="D27" s="21">
        <f>K67</f>
        <v>0</v>
      </c>
      <c r="E27" s="14"/>
      <c r="F27" s="16"/>
      <c r="G27" s="16"/>
      <c r="H27" s="16"/>
      <c r="I27" s="16"/>
      <c r="J27" s="16"/>
      <c r="K27" s="16"/>
      <c r="L27" s="23"/>
    </row>
    <row r="28" spans="1:12" ht="17" thickBot="1" x14ac:dyDescent="0.25">
      <c r="A28" s="15"/>
      <c r="B28" s="22" t="s">
        <v>148</v>
      </c>
      <c r="C28" s="8" t="s">
        <v>132</v>
      </c>
      <c r="D28" s="21">
        <f>K68</f>
        <v>1</v>
      </c>
      <c r="E28" s="14"/>
      <c r="F28" s="16"/>
      <c r="G28" s="16"/>
      <c r="H28" s="16"/>
      <c r="I28" s="16"/>
      <c r="J28" s="16"/>
      <c r="K28" s="16"/>
      <c r="L28" s="23"/>
    </row>
    <row r="29" spans="1:12" ht="17" thickBot="1" x14ac:dyDescent="0.25">
      <c r="A29" s="15"/>
      <c r="B29" s="15"/>
      <c r="C29" s="16"/>
      <c r="D29" s="23"/>
      <c r="E29" s="16"/>
      <c r="F29" s="16"/>
      <c r="G29" s="16"/>
      <c r="H29" s="16"/>
      <c r="I29" s="16"/>
      <c r="J29" s="16"/>
      <c r="K29" s="16"/>
      <c r="L29" s="23"/>
    </row>
    <row r="30" spans="1:12" ht="17" thickBot="1" x14ac:dyDescent="0.25">
      <c r="A30" s="15"/>
      <c r="B30" s="11" t="s">
        <v>149</v>
      </c>
      <c r="C30" s="12" t="s">
        <v>132</v>
      </c>
      <c r="D30" s="21">
        <f>K66</f>
        <v>0</v>
      </c>
      <c r="E30" s="14"/>
      <c r="F30" s="16"/>
      <c r="G30" s="16"/>
      <c r="H30" s="16"/>
      <c r="I30" s="16"/>
      <c r="J30" s="16"/>
      <c r="K30" s="16"/>
      <c r="L30" s="23"/>
    </row>
    <row r="31" spans="1:12" ht="17" thickBot="1" x14ac:dyDescent="0.25">
      <c r="A31" s="15"/>
      <c r="B31" s="15" t="s">
        <v>150</v>
      </c>
      <c r="C31" s="16" t="s">
        <v>132</v>
      </c>
      <c r="D31" s="21">
        <f>K67</f>
        <v>0</v>
      </c>
      <c r="E31" s="14"/>
      <c r="F31" s="16"/>
      <c r="G31" s="16"/>
      <c r="H31" s="16"/>
      <c r="I31" s="16"/>
      <c r="J31" s="16"/>
      <c r="K31" s="16"/>
      <c r="L31" s="23"/>
    </row>
    <row r="32" spans="1:12" ht="17" thickBot="1" x14ac:dyDescent="0.25">
      <c r="A32" s="15"/>
      <c r="B32" s="22" t="s">
        <v>151</v>
      </c>
      <c r="C32" s="8" t="s">
        <v>132</v>
      </c>
      <c r="D32" s="21">
        <f>K68</f>
        <v>1</v>
      </c>
      <c r="E32" s="14"/>
      <c r="F32" s="16"/>
      <c r="G32" s="16"/>
      <c r="H32" s="16"/>
      <c r="I32" s="16"/>
      <c r="J32" s="16"/>
      <c r="K32" s="16"/>
      <c r="L32" s="23"/>
    </row>
    <row r="33" spans="1:12" ht="17" thickBot="1" x14ac:dyDescent="0.25">
      <c r="A33" s="15"/>
      <c r="B33" s="15"/>
      <c r="C33" s="16"/>
      <c r="D33" s="23"/>
      <c r="E33" s="16"/>
      <c r="F33" s="16"/>
      <c r="G33" s="16"/>
      <c r="H33" s="16"/>
      <c r="I33" s="16"/>
      <c r="J33" s="16"/>
      <c r="K33" s="16"/>
      <c r="L33" s="23"/>
    </row>
    <row r="34" spans="1:12" ht="17" thickBot="1" x14ac:dyDescent="0.25">
      <c r="A34" s="15"/>
      <c r="B34" s="11" t="s">
        <v>538</v>
      </c>
      <c r="C34" s="12" t="s">
        <v>132</v>
      </c>
      <c r="D34" s="137">
        <f t="shared" ref="D34:D39" si="0">K161</f>
        <v>61.798575325788192</v>
      </c>
      <c r="E34" s="16"/>
      <c r="F34" s="16"/>
      <c r="G34" s="16"/>
      <c r="H34" s="16"/>
      <c r="I34" s="16"/>
      <c r="J34" s="16"/>
      <c r="K34" s="16"/>
      <c r="L34" s="23"/>
    </row>
    <row r="35" spans="1:12" ht="17" thickBot="1" x14ac:dyDescent="0.25">
      <c r="A35" s="15"/>
      <c r="B35" s="15" t="s">
        <v>539</v>
      </c>
      <c r="C35" s="16" t="s">
        <v>132</v>
      </c>
      <c r="D35" s="137">
        <f t="shared" si="0"/>
        <v>244.94669529506874</v>
      </c>
      <c r="E35" s="16"/>
      <c r="F35" s="16"/>
      <c r="G35" s="16"/>
      <c r="H35" s="16"/>
      <c r="I35" s="16"/>
      <c r="J35" s="16"/>
      <c r="K35" s="16"/>
      <c r="L35" s="23"/>
    </row>
    <row r="36" spans="1:12" ht="17" thickBot="1" x14ac:dyDescent="0.25">
      <c r="A36" s="15"/>
      <c r="B36" s="15" t="s">
        <v>562</v>
      </c>
      <c r="C36" s="16" t="s">
        <v>132</v>
      </c>
      <c r="D36" s="137">
        <f t="shared" si="0"/>
        <v>182.86521844785767</v>
      </c>
      <c r="E36" s="16"/>
      <c r="F36" s="107"/>
      <c r="G36" s="16"/>
      <c r="H36" s="16"/>
      <c r="I36" s="16"/>
      <c r="J36" s="16"/>
      <c r="K36" s="16"/>
      <c r="L36" s="23"/>
    </row>
    <row r="37" spans="1:12" ht="17" thickBot="1" x14ac:dyDescent="0.25">
      <c r="A37" s="15"/>
      <c r="B37" s="15" t="s">
        <v>563</v>
      </c>
      <c r="C37" s="16" t="s">
        <v>132</v>
      </c>
      <c r="D37" s="137">
        <f t="shared" si="0"/>
        <v>1298.8229405012125</v>
      </c>
      <c r="E37" s="16"/>
      <c r="F37" s="16"/>
      <c r="G37" s="16"/>
      <c r="H37" s="16"/>
      <c r="I37" s="16"/>
      <c r="J37" s="16"/>
      <c r="K37" s="16"/>
      <c r="L37" s="23"/>
    </row>
    <row r="38" spans="1:12" ht="17" thickBot="1" x14ac:dyDescent="0.25">
      <c r="A38" s="15"/>
      <c r="B38" s="15" t="s">
        <v>540</v>
      </c>
      <c r="C38" s="16" t="s">
        <v>132</v>
      </c>
      <c r="D38" s="137">
        <f t="shared" si="0"/>
        <v>878.74642861762334</v>
      </c>
      <c r="E38" s="16"/>
      <c r="F38" s="16"/>
      <c r="G38" s="16"/>
      <c r="H38" s="16"/>
      <c r="I38" s="16"/>
      <c r="J38" s="16"/>
      <c r="K38" s="16"/>
      <c r="L38" s="23"/>
    </row>
    <row r="39" spans="1:12" ht="17" thickBot="1" x14ac:dyDescent="0.25">
      <c r="A39" s="15"/>
      <c r="B39" s="22" t="s">
        <v>541</v>
      </c>
      <c r="C39" s="8" t="s">
        <v>132</v>
      </c>
      <c r="D39" s="138">
        <f t="shared" si="0"/>
        <v>0</v>
      </c>
      <c r="E39" s="16"/>
      <c r="F39" s="16"/>
      <c r="G39" s="16"/>
      <c r="H39" s="16"/>
      <c r="I39" s="16"/>
      <c r="J39" s="16"/>
      <c r="K39" s="16"/>
      <c r="L39" s="23"/>
    </row>
    <row r="40" spans="1:12" ht="17" thickBot="1" x14ac:dyDescent="0.25">
      <c r="A40" s="15"/>
      <c r="B40" s="15"/>
      <c r="C40" s="16"/>
      <c r="D40" s="149"/>
      <c r="E40" s="16"/>
      <c r="F40" s="107"/>
      <c r="G40" s="16"/>
      <c r="H40" s="16"/>
      <c r="I40" s="16"/>
      <c r="J40" s="16"/>
      <c r="K40" s="16"/>
      <c r="L40" s="23"/>
    </row>
    <row r="41" spans="1:12" ht="17" thickBot="1" x14ac:dyDescent="0.25">
      <c r="A41" s="15"/>
      <c r="B41" s="11" t="s">
        <v>542</v>
      </c>
      <c r="C41" s="12" t="s">
        <v>132</v>
      </c>
      <c r="D41" s="138">
        <f t="shared" ref="D41:D46" si="1">K167</f>
        <v>1064.4505752613097</v>
      </c>
      <c r="E41" s="16"/>
      <c r="F41" s="107"/>
      <c r="G41" s="16"/>
      <c r="H41" s="16"/>
      <c r="I41" s="16"/>
      <c r="J41" s="16"/>
      <c r="K41" s="16"/>
      <c r="L41" s="23"/>
    </row>
    <row r="42" spans="1:12" ht="17" thickBot="1" x14ac:dyDescent="0.25">
      <c r="A42" s="15"/>
      <c r="B42" s="15" t="s">
        <v>543</v>
      </c>
      <c r="C42" s="16" t="s">
        <v>132</v>
      </c>
      <c r="D42" s="138">
        <f t="shared" si="1"/>
        <v>4219.0883744594985</v>
      </c>
      <c r="E42" s="16"/>
      <c r="F42" s="107"/>
      <c r="G42" s="16"/>
      <c r="H42" s="16"/>
      <c r="I42" s="16"/>
      <c r="J42" s="16"/>
      <c r="K42" s="16"/>
      <c r="L42" s="23"/>
    </row>
    <row r="43" spans="1:12" ht="17" thickBot="1" x14ac:dyDescent="0.25">
      <c r="A43" s="15"/>
      <c r="B43" s="15" t="s">
        <v>565</v>
      </c>
      <c r="C43" s="16" t="s">
        <v>132</v>
      </c>
      <c r="D43" s="138">
        <f t="shared" si="1"/>
        <v>3149.764957297979</v>
      </c>
      <c r="E43" s="16"/>
      <c r="F43" s="16"/>
      <c r="G43" s="16"/>
      <c r="H43" s="16"/>
      <c r="I43" s="16"/>
      <c r="J43" s="16"/>
      <c r="K43" s="16"/>
      <c r="L43" s="23"/>
    </row>
    <row r="44" spans="1:12" ht="17" thickBot="1" x14ac:dyDescent="0.25">
      <c r="A44" s="15"/>
      <c r="B44" s="15" t="s">
        <v>564</v>
      </c>
      <c r="C44" s="16" t="s">
        <v>132</v>
      </c>
      <c r="D44" s="138">
        <f t="shared" si="1"/>
        <v>22371.59706175586</v>
      </c>
      <c r="E44" s="16"/>
      <c r="F44" s="16"/>
      <c r="G44" s="16"/>
      <c r="H44" s="16"/>
      <c r="I44" s="16"/>
      <c r="J44" s="16"/>
      <c r="K44" s="16"/>
      <c r="L44" s="23"/>
    </row>
    <row r="45" spans="1:12" ht="17" thickBot="1" x14ac:dyDescent="0.25">
      <c r="A45" s="15"/>
      <c r="B45" s="15" t="s">
        <v>544</v>
      </c>
      <c r="C45" s="16" t="s">
        <v>132</v>
      </c>
      <c r="D45" s="138">
        <f t="shared" si="1"/>
        <v>15135.982286318515</v>
      </c>
      <c r="E45" s="16"/>
      <c r="F45" s="16"/>
      <c r="G45" s="16"/>
      <c r="H45" s="16"/>
      <c r="I45" s="16"/>
      <c r="J45" s="16"/>
      <c r="K45" s="16"/>
      <c r="L45" s="23"/>
    </row>
    <row r="46" spans="1:12" ht="17" thickBot="1" x14ac:dyDescent="0.25">
      <c r="A46" s="15"/>
      <c r="B46" s="22" t="s">
        <v>545</v>
      </c>
      <c r="C46" s="8" t="s">
        <v>132</v>
      </c>
      <c r="D46" s="138">
        <f t="shared" si="1"/>
        <v>0</v>
      </c>
      <c r="E46" s="16"/>
      <c r="F46" s="16"/>
      <c r="G46" s="16"/>
      <c r="H46" s="16"/>
      <c r="I46" s="16"/>
      <c r="J46" s="16"/>
      <c r="K46" s="16"/>
      <c r="L46" s="23"/>
    </row>
    <row r="47" spans="1:12" x14ac:dyDescent="0.2">
      <c r="A47" s="15"/>
      <c r="B47" s="16"/>
      <c r="C47" s="16"/>
      <c r="D47" s="14"/>
      <c r="E47" s="16"/>
      <c r="F47" s="16"/>
      <c r="G47" s="16"/>
      <c r="H47" s="16"/>
      <c r="I47" s="16"/>
      <c r="J47" s="16"/>
      <c r="K47" s="16"/>
      <c r="L47" s="23"/>
    </row>
    <row r="48" spans="1:12" x14ac:dyDescent="0.2">
      <c r="A48" s="15"/>
      <c r="B48" s="16"/>
      <c r="C48" s="16"/>
      <c r="D48" s="14"/>
      <c r="E48" s="16"/>
      <c r="F48" s="16"/>
      <c r="G48" s="16"/>
      <c r="H48" s="16"/>
      <c r="I48" s="16"/>
      <c r="J48" s="16"/>
      <c r="K48" s="16"/>
      <c r="L48" s="23"/>
    </row>
    <row r="49" spans="1:12" x14ac:dyDescent="0.2">
      <c r="A49" s="31" t="s">
        <v>247</v>
      </c>
      <c r="B49" s="31" t="s">
        <v>368</v>
      </c>
      <c r="C49" s="32"/>
      <c r="D49" s="33"/>
      <c r="E49" s="34"/>
      <c r="F49" s="32" t="s">
        <v>369</v>
      </c>
      <c r="G49" s="32"/>
      <c r="H49" s="32"/>
      <c r="I49" s="32"/>
      <c r="J49" s="31" t="s">
        <v>370</v>
      </c>
      <c r="K49" s="32"/>
      <c r="L49" s="34"/>
    </row>
    <row r="50" spans="1:12" x14ac:dyDescent="0.2">
      <c r="A50" s="15"/>
      <c r="B50" s="31"/>
      <c r="C50" s="32"/>
      <c r="D50" s="33"/>
      <c r="E50" s="16"/>
      <c r="F50" s="32"/>
      <c r="G50" s="32"/>
      <c r="H50" s="32"/>
      <c r="I50" s="16"/>
      <c r="J50" s="16"/>
      <c r="K50" s="16"/>
      <c r="L50" s="23"/>
    </row>
    <row r="51" spans="1:12" ht="34" x14ac:dyDescent="0.2">
      <c r="A51" s="15"/>
      <c r="B51" s="29" t="s">
        <v>361</v>
      </c>
      <c r="C51" s="29" t="s">
        <v>154</v>
      </c>
      <c r="D51" s="27" t="s">
        <v>128</v>
      </c>
      <c r="E51" s="16"/>
      <c r="F51" s="29" t="s">
        <v>155</v>
      </c>
      <c r="G51" s="29" t="s">
        <v>156</v>
      </c>
      <c r="H51" s="29" t="s">
        <v>128</v>
      </c>
      <c r="I51" s="16"/>
      <c r="J51" s="27" t="s">
        <v>364</v>
      </c>
      <c r="K51" s="27" t="s">
        <v>175</v>
      </c>
      <c r="L51" s="27" t="s">
        <v>128</v>
      </c>
    </row>
    <row r="52" spans="1:12" ht="51" x14ac:dyDescent="0.2">
      <c r="A52" s="15"/>
      <c r="B52" s="28" t="s">
        <v>107</v>
      </c>
      <c r="C52" s="98">
        <f>SUMIF('Datadump - road fuels'!$K$2:$K$47,_xlfn.CONCAT(B52,"*"),'Datadump - road fuels'!$J$2:$J$47)</f>
        <v>13380790000</v>
      </c>
      <c r="D52" s="28" t="s">
        <v>157</v>
      </c>
      <c r="E52" s="16"/>
      <c r="F52" s="28" t="s">
        <v>107</v>
      </c>
      <c r="G52" s="100">
        <f>(C52)/1000</f>
        <v>13380790</v>
      </c>
      <c r="H52" s="28"/>
      <c r="I52" s="16"/>
      <c r="J52" s="28" t="s">
        <v>365</v>
      </c>
      <c r="K52" s="102">
        <f>C77/(C77+C78)</f>
        <v>0.99703703703703705</v>
      </c>
      <c r="L52" s="30" t="s">
        <v>367</v>
      </c>
    </row>
    <row r="53" spans="1:12" x14ac:dyDescent="0.2">
      <c r="A53" s="15"/>
      <c r="B53" s="28" t="s">
        <v>108</v>
      </c>
      <c r="C53" s="98">
        <f>SUMIF('Datadump - road fuels'!$K$2:$K$47,_xlfn.CONCAT(B53,"*"),'Datadump - road fuels'!$J$2:$J$47)</f>
        <v>4905092000</v>
      </c>
      <c r="D53" s="28" t="s">
        <v>157</v>
      </c>
      <c r="E53" s="16"/>
      <c r="F53" s="28" t="s">
        <v>108</v>
      </c>
      <c r="G53" s="100">
        <f>(C53)/1000</f>
        <v>4905092</v>
      </c>
      <c r="H53" s="28"/>
      <c r="I53" s="16"/>
      <c r="J53" s="28" t="s">
        <v>366</v>
      </c>
      <c r="K53" s="102">
        <f>1-K52</f>
        <v>2.962962962962945E-3</v>
      </c>
      <c r="L53" s="28"/>
    </row>
    <row r="54" spans="1:12" x14ac:dyDescent="0.2">
      <c r="A54" s="15"/>
      <c r="B54" s="28" t="s">
        <v>109</v>
      </c>
      <c r="C54" s="98">
        <f>SUMIF('Datadump - road fuels'!$K$2:$K$47,_xlfn.CONCAT(B54,"*"),'Datadump - road fuels'!$J$2:$J$47)</f>
        <v>310594800</v>
      </c>
      <c r="D54" s="28" t="s">
        <v>157</v>
      </c>
      <c r="E54" s="16"/>
      <c r="F54" s="28" t="s">
        <v>109</v>
      </c>
      <c r="G54" s="100">
        <f>(C54)/1000</f>
        <v>310594.8</v>
      </c>
      <c r="H54" s="28"/>
      <c r="I54" s="16"/>
      <c r="J54" s="16"/>
      <c r="K54" s="16"/>
      <c r="L54" s="23"/>
    </row>
    <row r="55" spans="1:12" x14ac:dyDescent="0.2">
      <c r="A55" s="15"/>
      <c r="B55" s="28" t="s">
        <v>110</v>
      </c>
      <c r="C55" s="98">
        <f>SUMIF('Datadump - road fuels'!$K$2:$K$47,_xlfn.CONCAT(B55,"*"),'Datadump - road fuels'!$J$2:$J$47)</f>
        <v>33927760</v>
      </c>
      <c r="D55" s="28" t="s">
        <v>157</v>
      </c>
      <c r="E55" s="16"/>
      <c r="F55" s="28" t="s">
        <v>110</v>
      </c>
      <c r="G55" s="100">
        <f>(C55)/1000</f>
        <v>33927.760000000002</v>
      </c>
      <c r="H55" s="28"/>
      <c r="I55" s="16"/>
      <c r="J55" s="16"/>
      <c r="K55" s="16"/>
      <c r="L55" s="23"/>
    </row>
    <row r="56" spans="1:12" x14ac:dyDescent="0.2">
      <c r="A56" s="15"/>
      <c r="B56" s="28" t="s">
        <v>124</v>
      </c>
      <c r="C56" s="98">
        <f>SUMIF('Datadump - road fuels'!$K$2:$K$47,_xlfn.CONCAT(B56,"*"),'Datadump - road fuels'!$J$2:$J$47)</f>
        <v>3700794000</v>
      </c>
      <c r="D56" s="28" t="s">
        <v>157</v>
      </c>
      <c r="E56" s="16"/>
      <c r="F56" s="28" t="s">
        <v>124</v>
      </c>
      <c r="G56" s="100">
        <f>C56/1000</f>
        <v>3700794</v>
      </c>
      <c r="H56" s="28"/>
      <c r="I56" s="16"/>
      <c r="J56" s="27" t="s">
        <v>182</v>
      </c>
      <c r="K56" s="27" t="s">
        <v>175</v>
      </c>
      <c r="L56" s="27" t="s">
        <v>128</v>
      </c>
    </row>
    <row r="57" spans="1:12" x14ac:dyDescent="0.2">
      <c r="A57" s="15"/>
      <c r="B57" s="28" t="s">
        <v>125</v>
      </c>
      <c r="C57" s="98">
        <f>SUMIF('Datadump - road fuels'!$K$2:$K$47,_xlfn.CONCAT(B57,"*"),'Datadump - road fuels'!$J$2:$J$47)</f>
        <v>53079900</v>
      </c>
      <c r="D57" s="28" t="s">
        <v>157</v>
      </c>
      <c r="E57" s="16"/>
      <c r="F57" s="28" t="s">
        <v>125</v>
      </c>
      <c r="G57" s="100">
        <f>C57/1000</f>
        <v>53079.9</v>
      </c>
      <c r="H57" s="28"/>
      <c r="I57" s="16"/>
      <c r="J57" s="28" t="s">
        <v>183</v>
      </c>
      <c r="K57" s="102">
        <f>G52/G67</f>
        <v>0.96255621014492809</v>
      </c>
      <c r="L57" s="28"/>
    </row>
    <row r="58" spans="1:12" x14ac:dyDescent="0.2">
      <c r="A58" s="15"/>
      <c r="B58" s="28" t="s">
        <v>111</v>
      </c>
      <c r="C58" s="98">
        <f>SUMIF('Datadump - road fuels'!$K$2:$K$47,_xlfn.CONCAT(B58,"*"),'Datadump - road fuels'!$J$2:$J$47)</f>
        <v>6388474000</v>
      </c>
      <c r="D58" s="28" t="s">
        <v>157</v>
      </c>
      <c r="E58" s="16"/>
      <c r="F58" s="28" t="s">
        <v>126</v>
      </c>
      <c r="G58" s="100">
        <f>C58/1000</f>
        <v>6388474</v>
      </c>
      <c r="H58" s="28" t="s">
        <v>190</v>
      </c>
      <c r="I58" s="16"/>
      <c r="J58" s="28" t="s">
        <v>184</v>
      </c>
      <c r="K58" s="102">
        <f>G55/G67</f>
        <v>2.44061644225092E-3</v>
      </c>
      <c r="L58" s="28" t="s">
        <v>193</v>
      </c>
    </row>
    <row r="59" spans="1:12" x14ac:dyDescent="0.2">
      <c r="A59" s="15"/>
      <c r="B59" s="28" t="s">
        <v>112</v>
      </c>
      <c r="C59" s="98">
        <f>SUMIF('Datadump - road fuels'!$K$2:$K$47,_xlfn.CONCAT(B59,"*"),'Datadump - road fuels'!$J$2:$J$47)</f>
        <v>300991100</v>
      </c>
      <c r="D59" s="28" t="s">
        <v>157</v>
      </c>
      <c r="E59" s="16"/>
      <c r="F59" s="28" t="s">
        <v>127</v>
      </c>
      <c r="G59" s="100">
        <f>SUM(C59:C61)/1000</f>
        <v>484526.22</v>
      </c>
      <c r="H59" s="28" t="s">
        <v>191</v>
      </c>
      <c r="I59" s="16"/>
      <c r="J59" s="28" t="s">
        <v>185</v>
      </c>
      <c r="K59" s="102">
        <f>G62/G67</f>
        <v>1.4845093088625374E-4</v>
      </c>
      <c r="L59" s="28"/>
    </row>
    <row r="60" spans="1:12" x14ac:dyDescent="0.2">
      <c r="A60" s="15"/>
      <c r="B60" s="28" t="s">
        <v>113</v>
      </c>
      <c r="C60" s="98">
        <f>SUMIF('Datadump - road fuels'!$K$2:$K$47,_xlfn.CONCAT(B60,"*"),'Datadump - road fuels'!$J$2:$J$47)</f>
        <v>174521500</v>
      </c>
      <c r="D60" s="28" t="s">
        <v>158</v>
      </c>
      <c r="E60" s="16"/>
      <c r="F60" s="28" t="s">
        <v>114</v>
      </c>
      <c r="G60" s="100">
        <f>(C62+C65)/1000</f>
        <v>478752.94</v>
      </c>
      <c r="H60" s="28" t="s">
        <v>129</v>
      </c>
      <c r="I60" s="16"/>
      <c r="J60" s="28" t="s">
        <v>186</v>
      </c>
      <c r="K60" s="102">
        <f>G59/G67</f>
        <v>3.4854722481934747E-2</v>
      </c>
      <c r="L60" s="28"/>
    </row>
    <row r="61" spans="1:12" x14ac:dyDescent="0.2">
      <c r="A61" s="15"/>
      <c r="B61" s="28" t="s">
        <v>117</v>
      </c>
      <c r="C61" s="98">
        <f>SUMIF('Datadump - road fuels'!$K$2:$K$47,_xlfn.CONCAT(B61,"*"),'Datadump - road fuels'!$J$2:$J$47)</f>
        <v>9013620</v>
      </c>
      <c r="D61" s="28" t="s">
        <v>158</v>
      </c>
      <c r="E61" s="16"/>
      <c r="F61" s="28" t="s">
        <v>115</v>
      </c>
      <c r="G61" s="100">
        <f>(C63+C66)/1000</f>
        <v>41338.268400000001</v>
      </c>
      <c r="H61" s="28" t="s">
        <v>129</v>
      </c>
      <c r="I61" s="16"/>
      <c r="J61" s="28" t="s">
        <v>187</v>
      </c>
      <c r="K61" s="102">
        <f ca="1">G53/G68</f>
        <v>0.26059225710804301</v>
      </c>
      <c r="L61" s="28"/>
    </row>
    <row r="62" spans="1:12" ht="51" x14ac:dyDescent="0.2">
      <c r="A62" s="15"/>
      <c r="B62" s="28" t="s">
        <v>118</v>
      </c>
      <c r="C62" s="98">
        <f>SUMIF('Datadump - road fuels'!$K$2:$K$47,_xlfn.CONCAT(B62,"*"),'Datadump - road fuels'!$J$2:$J$47)</f>
        <v>104463300</v>
      </c>
      <c r="D62" s="28" t="s">
        <v>157</v>
      </c>
      <c r="E62" s="16"/>
      <c r="F62" s="28" t="s">
        <v>201</v>
      </c>
      <c r="G62" s="100">
        <f>(C64+C67)/1000</f>
        <v>2063.6620600000001</v>
      </c>
      <c r="H62" s="30" t="s">
        <v>200</v>
      </c>
      <c r="I62" s="16"/>
      <c r="J62" s="28" t="s">
        <v>188</v>
      </c>
      <c r="K62" s="102">
        <f ca="1">(G56+G58+G63)/G68</f>
        <v>0.71397309065063064</v>
      </c>
      <c r="L62" s="28" t="s">
        <v>194</v>
      </c>
    </row>
    <row r="63" spans="1:12" x14ac:dyDescent="0.2">
      <c r="A63" s="15"/>
      <c r="B63" s="28" t="s">
        <v>119</v>
      </c>
      <c r="C63" s="98">
        <f>SUMIF('Datadump - road fuels'!$K$2:$K$47,_xlfn.CONCAT(B63,"*"),'Datadump - road fuels'!$J$2:$J$47)</f>
        <v>36808.400000000001</v>
      </c>
      <c r="D63" s="28" t="s">
        <v>157</v>
      </c>
      <c r="E63" s="16"/>
      <c r="F63" s="28" t="s">
        <v>174</v>
      </c>
      <c r="G63" s="100">
        <f ca="1">C68/1000</f>
        <v>3349748.7</v>
      </c>
      <c r="H63" s="28" t="s">
        <v>192</v>
      </c>
      <c r="I63" s="16"/>
      <c r="J63" s="28" t="s">
        <v>189</v>
      </c>
      <c r="K63" s="102">
        <f ca="1">G60/G68</f>
        <v>2.5434652241326256E-2</v>
      </c>
      <c r="L63" s="28"/>
    </row>
    <row r="64" spans="1:12" x14ac:dyDescent="0.2">
      <c r="A64" s="15"/>
      <c r="B64" s="28" t="s">
        <v>122</v>
      </c>
      <c r="C64" s="98">
        <f>SUMIF('Datadump - road fuels'!$K$2:$K$47,_xlfn.CONCAT(B64,"*"),'Datadump - road fuels'!$J$2:$J$47)</f>
        <v>20615.36</v>
      </c>
      <c r="D64" s="28" t="s">
        <v>157</v>
      </c>
      <c r="E64" s="16"/>
      <c r="F64" s="16"/>
      <c r="G64" s="16"/>
      <c r="H64" s="16"/>
      <c r="I64" s="16"/>
      <c r="J64" s="28" t="s">
        <v>195</v>
      </c>
      <c r="K64" s="102">
        <f>0/G70</f>
        <v>0</v>
      </c>
      <c r="L64" s="28"/>
    </row>
    <row r="65" spans="1:12" x14ac:dyDescent="0.2">
      <c r="A65" s="15"/>
      <c r="B65" s="28" t="s">
        <v>120</v>
      </c>
      <c r="C65" s="98">
        <f>SUMIF('Datadump - road fuels'!$K$2:$K$47,_xlfn.CONCAT(B65,"*"),'Datadump - road fuels'!$J$2:$J$47)</f>
        <v>374289640</v>
      </c>
      <c r="D65" s="28" t="s">
        <v>157</v>
      </c>
      <c r="E65" s="16"/>
      <c r="F65" s="16"/>
      <c r="G65" s="16"/>
      <c r="H65" s="16"/>
      <c r="I65" s="16"/>
      <c r="J65" s="28" t="s">
        <v>196</v>
      </c>
      <c r="K65" s="102">
        <f>G61/G70</f>
        <v>1</v>
      </c>
      <c r="L65" s="28"/>
    </row>
    <row r="66" spans="1:12" x14ac:dyDescent="0.2">
      <c r="A66" s="15"/>
      <c r="B66" s="28" t="s">
        <v>121</v>
      </c>
      <c r="C66" s="98">
        <f>SUMIF('Datadump - road fuels'!$K$2:$K$47,_xlfn.CONCAT(B66,"*"),'Datadump - road fuels'!$J$2:$J$47)</f>
        <v>41301460</v>
      </c>
      <c r="D66" s="28" t="s">
        <v>157</v>
      </c>
      <c r="E66" s="16"/>
      <c r="F66" s="27" t="s">
        <v>176</v>
      </c>
      <c r="G66" s="27" t="s">
        <v>156</v>
      </c>
      <c r="H66" s="27" t="s">
        <v>128</v>
      </c>
      <c r="I66" s="16"/>
      <c r="J66" s="28" t="s">
        <v>197</v>
      </c>
      <c r="K66" s="102">
        <f>0/G70</f>
        <v>0</v>
      </c>
      <c r="L66" s="28"/>
    </row>
    <row r="67" spans="1:12" ht="34" x14ac:dyDescent="0.2">
      <c r="A67" s="15"/>
      <c r="B67" s="28" t="s">
        <v>123</v>
      </c>
      <c r="C67" s="98">
        <f>SUMIF('Datadump - road fuels'!$K$2:$K$47,_xlfn.CONCAT(B67,"*"),'Datadump - road fuels'!$J$2:$J$47)</f>
        <v>2043046.7</v>
      </c>
      <c r="D67" s="28" t="s">
        <v>157</v>
      </c>
      <c r="E67" s="16"/>
      <c r="F67" s="28" t="s">
        <v>177</v>
      </c>
      <c r="G67" s="100">
        <f>G52+G55+G59+G62</f>
        <v>13901307.64206</v>
      </c>
      <c r="H67" s="30" t="s">
        <v>181</v>
      </c>
      <c r="I67" s="16"/>
      <c r="J67" s="28" t="s">
        <v>198</v>
      </c>
      <c r="K67" s="102">
        <f>0/G70</f>
        <v>0</v>
      </c>
      <c r="L67" s="28"/>
    </row>
    <row r="68" spans="1:12" ht="34" x14ac:dyDescent="0.2">
      <c r="A68" s="15"/>
      <c r="B68" s="28" t="s">
        <v>172</v>
      </c>
      <c r="C68" s="98">
        <f ca="1">SUMIF('Datadump - road fuels'!$K$2:$K$53,_xlfn.CONCAT(B68,"*"),'Datadump - road fuels'!$J$2:$J$47)</f>
        <v>3349748700</v>
      </c>
      <c r="D68" s="28" t="s">
        <v>173</v>
      </c>
      <c r="E68" s="16"/>
      <c r="F68" s="28" t="s">
        <v>178</v>
      </c>
      <c r="G68" s="100">
        <f ca="1">G53+G56+G58+G60+G63</f>
        <v>18822861.640000001</v>
      </c>
      <c r="H68" s="30" t="s">
        <v>181</v>
      </c>
      <c r="I68" s="16"/>
      <c r="J68" s="28" t="s">
        <v>199</v>
      </c>
      <c r="K68" s="102">
        <f>G61/G70</f>
        <v>1</v>
      </c>
      <c r="L68" s="28"/>
    </row>
    <row r="69" spans="1:12" ht="34" x14ac:dyDescent="0.2">
      <c r="A69" s="15"/>
      <c r="B69" s="16"/>
      <c r="C69" s="16"/>
      <c r="D69" s="35"/>
      <c r="E69" s="16"/>
      <c r="F69" s="28" t="s">
        <v>179</v>
      </c>
      <c r="G69" s="100">
        <f>G54+G57</f>
        <v>363674.7</v>
      </c>
      <c r="H69" s="30" t="s">
        <v>181</v>
      </c>
      <c r="I69" s="16"/>
      <c r="J69" s="16"/>
      <c r="K69" s="16"/>
      <c r="L69" s="23"/>
    </row>
    <row r="70" spans="1:12" ht="34" x14ac:dyDescent="0.2">
      <c r="A70" s="15"/>
      <c r="B70" s="28" t="s">
        <v>152</v>
      </c>
      <c r="C70" s="28" t="s">
        <v>153</v>
      </c>
      <c r="D70" s="28" t="s">
        <v>324</v>
      </c>
      <c r="E70" s="16"/>
      <c r="F70" s="28" t="s">
        <v>180</v>
      </c>
      <c r="G70" s="100">
        <f>G61</f>
        <v>41338.268400000001</v>
      </c>
      <c r="H70" s="30" t="s">
        <v>181</v>
      </c>
      <c r="I70" s="16"/>
      <c r="J70" s="16"/>
      <c r="K70" s="16"/>
      <c r="L70" s="23"/>
    </row>
    <row r="71" spans="1:12" x14ac:dyDescent="0.2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23"/>
    </row>
    <row r="72" spans="1:12" x14ac:dyDescent="0.2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23"/>
    </row>
    <row r="73" spans="1:12" x14ac:dyDescent="0.2">
      <c r="A73" s="15"/>
      <c r="B73" s="27" t="s">
        <v>360</v>
      </c>
      <c r="C73" s="27" t="s">
        <v>242</v>
      </c>
      <c r="D73" s="27" t="s">
        <v>128</v>
      </c>
      <c r="E73" s="16"/>
      <c r="F73" s="16"/>
      <c r="G73" s="16"/>
      <c r="H73" s="16"/>
      <c r="I73" s="16"/>
      <c r="J73" s="16"/>
      <c r="K73" s="16"/>
      <c r="L73" s="23"/>
    </row>
    <row r="74" spans="1:12" x14ac:dyDescent="0.2">
      <c r="A74" s="15"/>
      <c r="B74" s="28" t="str">
        <f>'Analysis - road LNG and CNG'!C10</f>
        <v>tp_car_cng</v>
      </c>
      <c r="C74" s="98">
        <f>'Analysis - road LNG and CNG'!D10</f>
        <v>7522</v>
      </c>
      <c r="D74" s="28"/>
      <c r="E74" s="16"/>
      <c r="F74" s="16"/>
      <c r="G74" s="16"/>
      <c r="H74" s="16"/>
      <c r="I74" s="16"/>
      <c r="J74" s="16"/>
      <c r="K74" s="16"/>
      <c r="L74" s="23"/>
    </row>
    <row r="75" spans="1:12" x14ac:dyDescent="0.2">
      <c r="A75" s="15"/>
      <c r="B75" s="28" t="str">
        <f>'Analysis - road LNG and CNG'!C11</f>
        <v>tp_van_cng</v>
      </c>
      <c r="C75" s="98">
        <f>'Analysis - road LNG and CNG'!D11</f>
        <v>2799</v>
      </c>
      <c r="D75" s="28"/>
      <c r="E75" s="16"/>
      <c r="F75" s="16"/>
      <c r="G75" s="16"/>
      <c r="H75" s="16"/>
      <c r="I75" s="16"/>
      <c r="J75" s="16"/>
      <c r="K75" s="16"/>
      <c r="L75" s="23"/>
    </row>
    <row r="76" spans="1:12" x14ac:dyDescent="0.2">
      <c r="A76" s="15"/>
      <c r="B76" s="28" t="str">
        <f>'Analysis - road LNG and CNG'!C12</f>
        <v>tp_truck_cng</v>
      </c>
      <c r="C76" s="98">
        <f>'Analysis - road LNG and CNG'!D12</f>
        <v>479</v>
      </c>
      <c r="D76" s="28"/>
      <c r="E76" s="16"/>
      <c r="F76" s="16"/>
      <c r="G76" s="16"/>
      <c r="H76" s="16"/>
      <c r="I76" s="16"/>
      <c r="J76" s="16"/>
      <c r="K76" s="16"/>
      <c r="L76" s="23"/>
    </row>
    <row r="77" spans="1:12" x14ac:dyDescent="0.2">
      <c r="A77" s="15"/>
      <c r="B77" s="28" t="str">
        <f>'Analysis - road LNG and CNG'!C13</f>
        <v>tp_bus_cng</v>
      </c>
      <c r="C77" s="98">
        <f>'Analysis - road LNG and CNG'!D13</f>
        <v>673</v>
      </c>
      <c r="D77" s="28"/>
      <c r="E77" s="16"/>
      <c r="F77" s="16"/>
      <c r="G77" s="16"/>
      <c r="H77" s="16"/>
      <c r="I77" s="16"/>
      <c r="J77" s="16"/>
      <c r="K77" s="16"/>
      <c r="L77" s="23"/>
    </row>
    <row r="78" spans="1:12" x14ac:dyDescent="0.2">
      <c r="A78" s="15"/>
      <c r="B78" s="28" t="str">
        <f>'Analysis - road LNG and CNG'!C14</f>
        <v>tp_bus_lng</v>
      </c>
      <c r="C78" s="98">
        <f>'Analysis - road LNG and CNG'!D14</f>
        <v>2</v>
      </c>
      <c r="D78" s="28"/>
      <c r="E78" s="16"/>
      <c r="F78" s="16"/>
      <c r="G78" s="16"/>
      <c r="H78" s="16"/>
      <c r="I78" s="16"/>
      <c r="J78" s="16"/>
      <c r="K78" s="16"/>
      <c r="L78" s="23"/>
    </row>
    <row r="79" spans="1:12" x14ac:dyDescent="0.2">
      <c r="A79" s="15"/>
      <c r="B79" s="28" t="str">
        <f>'Analysis - road LNG and CNG'!C15</f>
        <v>tp_truck_lng</v>
      </c>
      <c r="C79" s="98">
        <f>'Analysis - road LNG and CNG'!D15</f>
        <v>202</v>
      </c>
      <c r="D79" s="28"/>
      <c r="E79" s="16"/>
      <c r="F79" s="16"/>
      <c r="G79" s="16"/>
      <c r="H79" s="16"/>
      <c r="I79" s="16"/>
      <c r="J79" s="16"/>
      <c r="K79" s="16"/>
      <c r="L79" s="23"/>
    </row>
    <row r="80" spans="1:12" x14ac:dyDescent="0.2">
      <c r="A80" s="15"/>
      <c r="B80" s="28" t="str">
        <f>'Analysis - road LNG and CNG'!C16</f>
        <v>tp_other_lng</v>
      </c>
      <c r="C80" s="98">
        <f>'Analysis - road LNG and CNG'!D16</f>
        <v>20</v>
      </c>
      <c r="D80" s="28"/>
      <c r="E80" s="16"/>
      <c r="F80" s="16"/>
      <c r="G80" s="16"/>
      <c r="H80" s="16"/>
      <c r="I80" s="16"/>
      <c r="J80" s="16"/>
      <c r="K80" s="16"/>
      <c r="L80" s="23"/>
    </row>
    <row r="81" spans="1:12" x14ac:dyDescent="0.2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23"/>
    </row>
    <row r="82" spans="1:12" x14ac:dyDescent="0.2">
      <c r="A82" s="15"/>
      <c r="B82" s="28" t="s">
        <v>152</v>
      </c>
      <c r="C82" s="28" t="s">
        <v>358</v>
      </c>
      <c r="D82" s="28" t="s">
        <v>359</v>
      </c>
      <c r="E82" s="16"/>
      <c r="F82" s="16"/>
      <c r="G82" s="16"/>
      <c r="H82" s="16"/>
      <c r="I82" s="16"/>
      <c r="J82" s="16"/>
      <c r="K82" s="16"/>
      <c r="L82" s="23"/>
    </row>
    <row r="83" spans="1:12" x14ac:dyDescent="0.2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23"/>
    </row>
    <row r="84" spans="1:12" x14ac:dyDescent="0.2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23"/>
    </row>
    <row r="85" spans="1:12" x14ac:dyDescent="0.2">
      <c r="A85" s="31" t="s">
        <v>248</v>
      </c>
      <c r="B85" s="31" t="s">
        <v>368</v>
      </c>
      <c r="C85" s="32"/>
      <c r="D85" s="32"/>
      <c r="E85" s="34"/>
      <c r="F85" s="32" t="s">
        <v>369</v>
      </c>
      <c r="G85" s="32"/>
      <c r="H85" s="32"/>
      <c r="I85" s="32"/>
      <c r="J85" s="31" t="s">
        <v>370</v>
      </c>
      <c r="K85" s="32"/>
      <c r="L85" s="34"/>
    </row>
    <row r="86" spans="1:12" x14ac:dyDescent="0.2">
      <c r="A86" s="15"/>
      <c r="B86" s="31"/>
      <c r="C86" s="32"/>
      <c r="D86" s="32"/>
      <c r="E86" s="16"/>
      <c r="F86" s="16"/>
      <c r="G86" s="16"/>
      <c r="H86" s="16"/>
      <c r="I86" s="16"/>
      <c r="J86" s="16"/>
      <c r="K86" s="16"/>
      <c r="L86" s="23"/>
    </row>
    <row r="87" spans="1:12" x14ac:dyDescent="0.2">
      <c r="A87" s="15"/>
      <c r="B87" s="27" t="s">
        <v>362</v>
      </c>
      <c r="C87" s="27" t="s">
        <v>242</v>
      </c>
      <c r="D87" s="27" t="s">
        <v>128</v>
      </c>
      <c r="E87" s="16"/>
      <c r="F87" s="27" t="s">
        <v>300</v>
      </c>
      <c r="G87" s="27" t="s">
        <v>256</v>
      </c>
      <c r="H87" s="27" t="s">
        <v>128</v>
      </c>
      <c r="I87" s="16"/>
      <c r="J87" s="27" t="s">
        <v>261</v>
      </c>
      <c r="K87" s="27" t="s">
        <v>175</v>
      </c>
      <c r="L87" s="27" t="s">
        <v>128</v>
      </c>
    </row>
    <row r="88" spans="1:12" x14ac:dyDescent="0.2">
      <c r="A88" s="15"/>
      <c r="B88" s="28" t="s">
        <v>228</v>
      </c>
      <c r="C88" s="98" cm="1">
        <f t="array" ref="C88">INDEX('Datadump - road E and H2'!$C$2:$C$15,MATCH('Analysis - road transport'!B88,'Datadump - road E and H2'!$E$2:$E$15,0),0)</f>
        <v>105008</v>
      </c>
      <c r="D88" s="28"/>
      <c r="E88" s="16"/>
      <c r="F88" s="28" t="s">
        <v>302</v>
      </c>
      <c r="G88" s="101">
        <f>C88*C109</f>
        <v>340.22591999999992</v>
      </c>
      <c r="H88" s="28"/>
      <c r="I88" s="16"/>
      <c r="J88" s="28" t="s">
        <v>319</v>
      </c>
      <c r="K88" s="102">
        <f>G99/SUM($G$99:$G$103)</f>
        <v>0.34073795911870985</v>
      </c>
      <c r="L88" s="28"/>
    </row>
    <row r="89" spans="1:12" x14ac:dyDescent="0.2">
      <c r="A89" s="15"/>
      <c r="B89" s="28" t="s">
        <v>239</v>
      </c>
      <c r="C89" s="98" cm="1">
        <f t="array" ref="C89">INDEX('Datadump - road E and H2'!$C$2:$C$15,MATCH('Analysis - road transport'!B89,'Datadump - road E and H2'!$E$2:$E$15,0),0)</f>
        <v>4343</v>
      </c>
      <c r="D89" s="28"/>
      <c r="E89" s="16"/>
      <c r="F89" s="28" t="s">
        <v>301</v>
      </c>
      <c r="G89" s="101">
        <f>C95*C109</f>
        <v>297.59399999999994</v>
      </c>
      <c r="H89" s="28"/>
      <c r="I89" s="16"/>
      <c r="J89" s="28" t="s">
        <v>320</v>
      </c>
      <c r="K89" s="102">
        <f>G100/SUM($G$99:$G$103)</f>
        <v>0.43935553524011822</v>
      </c>
      <c r="L89" s="28"/>
    </row>
    <row r="90" spans="1:12" x14ac:dyDescent="0.2">
      <c r="A90" s="15"/>
      <c r="B90" s="39" t="s">
        <v>240</v>
      </c>
      <c r="C90" s="98" cm="1">
        <f t="array" ref="C90">INDEX('Datadump - road E and H2'!$C$2:$C$15,MATCH('Analysis - road transport'!B90,'Datadump - road E and H2'!$E$2:$E$15,0),0)</f>
        <v>220</v>
      </c>
      <c r="D90" s="28"/>
      <c r="E90" s="16"/>
      <c r="F90" s="28" t="s">
        <v>303</v>
      </c>
      <c r="G90" s="101">
        <f>C116*(C90+C89)</f>
        <v>821.33999999999992</v>
      </c>
      <c r="H90" s="28" t="s">
        <v>260</v>
      </c>
      <c r="I90" s="16"/>
      <c r="J90" s="28" t="s">
        <v>321</v>
      </c>
      <c r="K90" s="102">
        <f>G101/SUM($G$99:$G$103)</f>
        <v>0.18148874217351491</v>
      </c>
      <c r="L90" s="28"/>
    </row>
    <row r="91" spans="1:12" x14ac:dyDescent="0.2">
      <c r="A91" s="15"/>
      <c r="B91" s="39" t="s">
        <v>229</v>
      </c>
      <c r="C91" s="98" cm="1">
        <f t="array" ref="C91">INDEX('Datadump - road E and H2'!$C$2:$C$15,MATCH('Analysis - road transport'!B91,'Datadump - road E and H2'!$E$2:$E$15,0),0)</f>
        <v>775</v>
      </c>
      <c r="D91" s="28"/>
      <c r="E91" s="16"/>
      <c r="F91" s="28" t="s">
        <v>304</v>
      </c>
      <c r="G91" s="101">
        <f>(C97+C96)*C117</f>
        <v>1.08</v>
      </c>
      <c r="H91" s="28"/>
      <c r="I91" s="16"/>
      <c r="J91" s="28" t="s">
        <v>322</v>
      </c>
      <c r="K91" s="102">
        <f>G102/SUM($G$99:$G$103)</f>
        <v>3.1090486245094116E-2</v>
      </c>
      <c r="L91" s="28"/>
    </row>
    <row r="92" spans="1:12" ht="34" x14ac:dyDescent="0.2">
      <c r="A92" s="15"/>
      <c r="B92" s="39" t="s">
        <v>230</v>
      </c>
      <c r="C92" s="98" cm="1">
        <f t="array" ref="C92">INDEX('Datadump - road E and H2'!$C$2:$C$15,MATCH('Analysis - road transport'!B92,'Datadump - road E and H2'!$E$2:$E$15,0),0)-'Datadump - road E and H2'!C16</f>
        <v>38576</v>
      </c>
      <c r="D92" s="30" t="s">
        <v>388</v>
      </c>
      <c r="E92" s="16"/>
      <c r="F92" s="28" t="s">
        <v>305</v>
      </c>
      <c r="G92" s="101">
        <f>C91*C112</f>
        <v>334.8</v>
      </c>
      <c r="H92" s="28"/>
      <c r="I92" s="16"/>
      <c r="J92" s="28" t="s">
        <v>323</v>
      </c>
      <c r="K92" s="102">
        <f>G103/SUM($G$99:$G$103)</f>
        <v>7.3272772225628701E-3</v>
      </c>
      <c r="L92" s="28"/>
    </row>
    <row r="93" spans="1:12" x14ac:dyDescent="0.2">
      <c r="A93" s="15"/>
      <c r="B93" s="39" t="s">
        <v>231</v>
      </c>
      <c r="C93" s="98" cm="1">
        <f t="array" ref="C93">INDEX('Datadump - road E and H2'!$C$2:$C$15,MATCH('Analysis - road transport'!B93,'Datadump - road E and H2'!$E$2:$E$15,0),0)</f>
        <v>1839</v>
      </c>
      <c r="D93" s="28"/>
      <c r="E93" s="16"/>
      <c r="F93" s="28" t="s">
        <v>306</v>
      </c>
      <c r="G93" s="101">
        <f>C98*C113</f>
        <v>4.9247999999999994</v>
      </c>
      <c r="H93" s="28"/>
      <c r="I93" s="16"/>
      <c r="J93" s="16"/>
      <c r="K93" s="16"/>
      <c r="L93" s="23"/>
    </row>
    <row r="94" spans="1:12" ht="68" x14ac:dyDescent="0.2">
      <c r="A94" s="15"/>
      <c r="B94" s="39" t="s">
        <v>245</v>
      </c>
      <c r="C94" s="98" cm="1">
        <f t="array" ref="C94">2400000+INDEX('Datadump - road E and H2'!$C$2:$C$16,MATCH('Analysis - road transport'!B99,'Datadump - road E and H2'!$E$2:$E$16,0),0)</f>
        <v>2419007</v>
      </c>
      <c r="D94" s="30" t="s">
        <v>389</v>
      </c>
      <c r="E94" s="16"/>
      <c r="F94" s="28" t="s">
        <v>307</v>
      </c>
      <c r="G94" s="101">
        <f>(C92+C93)*C119</f>
        <v>58.197599999999994</v>
      </c>
      <c r="H94" s="28"/>
      <c r="I94" s="16"/>
      <c r="J94" s="16"/>
      <c r="K94" s="16"/>
      <c r="L94" s="23"/>
    </row>
    <row r="95" spans="1:12" x14ac:dyDescent="0.2">
      <c r="A95" s="15"/>
      <c r="B95" s="39" t="s">
        <v>232</v>
      </c>
      <c r="C95" s="98" cm="1">
        <f t="array" ref="C95">INDEX('Datadump - road E and H2'!$C$2:$C$15,MATCH('Analysis - road transport'!B95,'Datadump - road E and H2'!$E$2:$E$15,0),0)</f>
        <v>91850</v>
      </c>
      <c r="D95" s="28"/>
      <c r="E95" s="16"/>
      <c r="F95" s="28" t="s">
        <v>318</v>
      </c>
      <c r="G95" s="101">
        <f>C94*C126</f>
        <v>13.715769690000034</v>
      </c>
      <c r="H95" s="28"/>
      <c r="I95" s="16"/>
      <c r="J95" s="16"/>
      <c r="K95" s="16"/>
      <c r="L95" s="23"/>
    </row>
    <row r="96" spans="1:12" x14ac:dyDescent="0.2">
      <c r="A96" s="15"/>
      <c r="B96" s="39" t="s">
        <v>241</v>
      </c>
      <c r="C96" s="98" cm="1">
        <f t="array" ref="C96">INDEX('Datadump - road E and H2'!$C$2:$C$15,MATCH('Analysis - road transport'!B96,'Datadump - road E and H2'!$E$2:$E$15,0),0)</f>
        <v>6</v>
      </c>
      <c r="D96" s="28"/>
      <c r="E96" s="16"/>
      <c r="F96" s="16"/>
      <c r="G96" s="16"/>
      <c r="H96" s="16"/>
      <c r="I96" s="16"/>
      <c r="J96" s="16"/>
      <c r="K96" s="16"/>
      <c r="L96" s="23"/>
    </row>
    <row r="97" spans="1:12" x14ac:dyDescent="0.2">
      <c r="A97" s="15"/>
      <c r="B97" s="39" t="s">
        <v>233</v>
      </c>
      <c r="C97" s="98" cm="1">
        <f t="array" ref="C97">INDEX('Datadump - road E and H2'!$C$2:$C$15,MATCH('Analysis - road transport'!B97,'Datadump - road E and H2'!$E$2:$E$15,0),0)</f>
        <v>14</v>
      </c>
      <c r="D97" s="28"/>
      <c r="E97" s="16"/>
      <c r="F97" s="16"/>
      <c r="G97" s="16"/>
      <c r="H97" s="16"/>
      <c r="I97" s="16"/>
      <c r="J97" s="16"/>
      <c r="K97" s="16"/>
      <c r="L97" s="23"/>
    </row>
    <row r="98" spans="1:12" x14ac:dyDescent="0.2">
      <c r="A98" s="15"/>
      <c r="B98" s="39" t="s">
        <v>234</v>
      </c>
      <c r="C98" s="98" cm="1">
        <f t="array" ref="C98">INDEX('Datadump - road E and H2'!$C$2:$C$15,MATCH('Analysis - road transport'!B98,'Datadump - road E and H2'!$E$2:$E$15,0),0)</f>
        <v>38</v>
      </c>
      <c r="D98" s="28"/>
      <c r="E98" s="16"/>
      <c r="F98" s="27" t="s">
        <v>309</v>
      </c>
      <c r="G98" s="27" t="s">
        <v>256</v>
      </c>
      <c r="H98" s="27" t="s">
        <v>128</v>
      </c>
      <c r="I98" s="16"/>
      <c r="J98" s="16"/>
      <c r="K98" s="16"/>
      <c r="L98" s="23"/>
    </row>
    <row r="99" spans="1:12" x14ac:dyDescent="0.2">
      <c r="A99" s="15"/>
      <c r="B99" s="39" t="s">
        <v>387</v>
      </c>
      <c r="C99" s="98" cm="1">
        <f t="array" ref="C99">INDEX('Datadump - road E and H2'!$C$2:$C$16,MATCH('Analysis - road transport'!B99,'Datadump - road E and H2'!$E$2:$E$16,0),0)</f>
        <v>19007</v>
      </c>
      <c r="D99" s="28"/>
      <c r="E99" s="16"/>
      <c r="F99" s="28" t="s">
        <v>310</v>
      </c>
      <c r="G99" s="100">
        <f>G89+G88</f>
        <v>637.81991999999991</v>
      </c>
      <c r="H99" s="28" t="s">
        <v>308</v>
      </c>
      <c r="I99" s="16"/>
      <c r="J99" s="16"/>
      <c r="K99" s="16"/>
      <c r="L99" s="23"/>
    </row>
    <row r="100" spans="1:12" x14ac:dyDescent="0.2">
      <c r="A100" s="15"/>
      <c r="B100" s="16"/>
      <c r="C100" s="16"/>
      <c r="D100" s="16"/>
      <c r="E100" s="16"/>
      <c r="F100" s="28" t="s">
        <v>311</v>
      </c>
      <c r="G100" s="100">
        <f>G90+G91</f>
        <v>822.42</v>
      </c>
      <c r="H100" s="28" t="s">
        <v>308</v>
      </c>
      <c r="I100" s="16"/>
      <c r="J100" s="16"/>
      <c r="K100" s="16"/>
      <c r="L100" s="23"/>
    </row>
    <row r="101" spans="1:12" x14ac:dyDescent="0.2">
      <c r="A101" s="15"/>
      <c r="B101" s="39" t="s">
        <v>152</v>
      </c>
      <c r="C101" s="28" t="s">
        <v>243</v>
      </c>
      <c r="D101" s="28" t="s">
        <v>325</v>
      </c>
      <c r="E101" s="16"/>
      <c r="F101" s="28" t="s">
        <v>312</v>
      </c>
      <c r="G101" s="100">
        <f>G92+G93</f>
        <v>339.72480000000002</v>
      </c>
      <c r="H101" s="28" t="s">
        <v>308</v>
      </c>
      <c r="I101" s="16"/>
      <c r="J101" s="16"/>
      <c r="K101" s="16"/>
      <c r="L101" s="23"/>
    </row>
    <row r="102" spans="1:12" x14ac:dyDescent="0.2">
      <c r="A102" s="15"/>
      <c r="B102" s="16"/>
      <c r="C102" s="16"/>
      <c r="D102" s="16"/>
      <c r="E102" s="16"/>
      <c r="F102" s="28" t="s">
        <v>313</v>
      </c>
      <c r="G102" s="100">
        <f>G94</f>
        <v>58.197599999999994</v>
      </c>
      <c r="H102" s="28"/>
      <c r="I102" s="16"/>
      <c r="J102" s="16"/>
      <c r="K102" s="16"/>
      <c r="L102" s="23"/>
    </row>
    <row r="103" spans="1:12" x14ac:dyDescent="0.2">
      <c r="A103" s="15"/>
      <c r="B103" s="16"/>
      <c r="C103" s="16"/>
      <c r="D103" s="16"/>
      <c r="E103" s="16"/>
      <c r="F103" s="28" t="s">
        <v>318</v>
      </c>
      <c r="G103" s="100">
        <f>G95</f>
        <v>13.715769690000034</v>
      </c>
      <c r="H103" s="28"/>
      <c r="I103" s="16"/>
      <c r="J103" s="16"/>
      <c r="K103" s="16"/>
      <c r="L103" s="23"/>
    </row>
    <row r="104" spans="1:12" x14ac:dyDescent="0.2">
      <c r="A104" s="15"/>
      <c r="B104" s="27" t="s">
        <v>265</v>
      </c>
      <c r="C104" s="27" t="s">
        <v>242</v>
      </c>
      <c r="D104" s="27" t="s">
        <v>128</v>
      </c>
      <c r="E104" s="16"/>
      <c r="F104" s="16"/>
      <c r="G104" s="16"/>
      <c r="H104" s="16"/>
      <c r="I104" s="16"/>
      <c r="J104" s="16"/>
      <c r="K104" s="16"/>
      <c r="L104" s="23"/>
    </row>
    <row r="105" spans="1:12" x14ac:dyDescent="0.2">
      <c r="A105" s="15"/>
      <c r="B105" s="28" t="s">
        <v>294</v>
      </c>
      <c r="C105" s="98">
        <v>0.3</v>
      </c>
      <c r="D105" s="28"/>
      <c r="E105" s="16"/>
      <c r="F105" s="16"/>
      <c r="G105" s="16"/>
      <c r="H105" s="16"/>
      <c r="I105" s="16"/>
      <c r="J105" s="16"/>
      <c r="K105" s="16"/>
      <c r="L105" s="23"/>
    </row>
    <row r="106" spans="1:12" x14ac:dyDescent="0.2">
      <c r="A106" s="15"/>
      <c r="B106" s="28" t="s">
        <v>267</v>
      </c>
      <c r="C106" s="98">
        <v>15000</v>
      </c>
      <c r="D106" s="28"/>
      <c r="E106" s="16"/>
      <c r="F106" s="16"/>
      <c r="G106" s="16"/>
      <c r="H106" s="16"/>
      <c r="I106" s="16"/>
      <c r="J106" s="16"/>
      <c r="K106" s="16"/>
      <c r="L106" s="23"/>
    </row>
    <row r="107" spans="1:12" x14ac:dyDescent="0.2">
      <c r="A107" s="15"/>
      <c r="B107" s="28" t="s">
        <v>268</v>
      </c>
      <c r="C107" s="98">
        <v>3000</v>
      </c>
      <c r="D107" s="28" t="s">
        <v>266</v>
      </c>
      <c r="E107" s="16"/>
      <c r="F107" s="16"/>
      <c r="G107" s="16"/>
      <c r="H107" s="16"/>
      <c r="I107" s="16"/>
      <c r="J107" s="16"/>
      <c r="K107" s="16"/>
      <c r="L107" s="23"/>
    </row>
    <row r="108" spans="1:12" x14ac:dyDescent="0.2">
      <c r="A108" s="15"/>
      <c r="B108" s="28" t="s">
        <v>269</v>
      </c>
      <c r="C108" s="98">
        <f>C107*0.0000036</f>
        <v>1.0799999999999999E-2</v>
      </c>
      <c r="D108" s="28"/>
      <c r="E108" s="16"/>
      <c r="F108" s="16"/>
      <c r="G108" s="16"/>
      <c r="H108" s="16"/>
      <c r="I108" s="16"/>
      <c r="J108" s="16"/>
      <c r="K108" s="16"/>
      <c r="L108" s="23"/>
    </row>
    <row r="109" spans="1:12" x14ac:dyDescent="0.2">
      <c r="A109" s="15"/>
      <c r="B109" s="28" t="s">
        <v>282</v>
      </c>
      <c r="C109" s="98">
        <f>C108*C105</f>
        <v>3.2399999999999994E-3</v>
      </c>
      <c r="D109" s="28"/>
      <c r="E109" s="16"/>
      <c r="F109" s="16"/>
      <c r="G109" s="16"/>
      <c r="H109" s="16"/>
      <c r="I109" s="16"/>
      <c r="J109" s="16"/>
      <c r="K109" s="16"/>
      <c r="L109" s="23"/>
    </row>
    <row r="110" spans="1:12" ht="34" x14ac:dyDescent="0.2">
      <c r="A110" s="15"/>
      <c r="B110" s="28" t="s">
        <v>285</v>
      </c>
      <c r="C110" s="98">
        <v>60000</v>
      </c>
      <c r="D110" s="41" t="s">
        <v>283</v>
      </c>
      <c r="E110" s="16"/>
      <c r="F110" s="16"/>
      <c r="G110" s="16"/>
      <c r="H110" s="16"/>
      <c r="I110" s="16"/>
      <c r="J110" s="16"/>
      <c r="K110" s="16"/>
      <c r="L110" s="23"/>
    </row>
    <row r="111" spans="1:12" x14ac:dyDescent="0.2">
      <c r="A111" s="15"/>
      <c r="B111" s="28" t="s">
        <v>286</v>
      </c>
      <c r="C111" s="98">
        <f>C110*2</f>
        <v>120000</v>
      </c>
      <c r="D111" s="28" t="s">
        <v>284</v>
      </c>
      <c r="E111" s="16"/>
      <c r="F111" s="16"/>
      <c r="G111" s="16"/>
      <c r="H111" s="16"/>
      <c r="I111" s="16"/>
      <c r="J111" s="16"/>
      <c r="K111" s="16"/>
      <c r="L111" s="23"/>
    </row>
    <row r="112" spans="1:12" x14ac:dyDescent="0.2">
      <c r="A112" s="15"/>
      <c r="B112" s="28" t="s">
        <v>287</v>
      </c>
      <c r="C112" s="98">
        <f>C111*0.0000036</f>
        <v>0.432</v>
      </c>
      <c r="D112" s="28"/>
      <c r="E112" s="16"/>
      <c r="F112" s="16"/>
      <c r="G112" s="16"/>
      <c r="H112" s="16"/>
      <c r="I112" s="16"/>
      <c r="J112" s="16"/>
      <c r="K112" s="16"/>
      <c r="L112" s="23"/>
    </row>
    <row r="113" spans="1:12" x14ac:dyDescent="0.2">
      <c r="A113" s="15"/>
      <c r="B113" s="28" t="s">
        <v>288</v>
      </c>
      <c r="C113" s="98">
        <f>C112*C105</f>
        <v>0.12959999999999999</v>
      </c>
      <c r="D113" s="28"/>
      <c r="E113" s="16"/>
      <c r="F113" s="16"/>
      <c r="G113" s="16"/>
      <c r="H113" s="16"/>
      <c r="I113" s="16"/>
      <c r="J113" s="16"/>
      <c r="K113" s="16"/>
      <c r="L113" s="23"/>
    </row>
    <row r="114" spans="1:12" ht="51" x14ac:dyDescent="0.2">
      <c r="A114" s="15"/>
      <c r="B114" s="28" t="s">
        <v>291</v>
      </c>
      <c r="C114" s="98">
        <v>50000</v>
      </c>
      <c r="D114" s="30" t="s">
        <v>290</v>
      </c>
      <c r="E114" s="16"/>
      <c r="F114" s="16"/>
      <c r="G114" s="16"/>
      <c r="H114" s="16"/>
      <c r="I114" s="16"/>
      <c r="J114" s="16"/>
      <c r="K114" s="16"/>
      <c r="L114" s="23"/>
    </row>
    <row r="115" spans="1:12" x14ac:dyDescent="0.2">
      <c r="A115" s="15"/>
      <c r="B115" s="28" t="s">
        <v>292</v>
      </c>
      <c r="C115" s="98">
        <f>C114*1</f>
        <v>50000</v>
      </c>
      <c r="D115" s="28" t="s">
        <v>289</v>
      </c>
      <c r="E115" s="16"/>
      <c r="F115" s="16"/>
      <c r="G115" s="16"/>
      <c r="H115" s="16"/>
      <c r="I115" s="16"/>
      <c r="J115" s="16"/>
      <c r="K115" s="16"/>
      <c r="L115" s="23"/>
    </row>
    <row r="116" spans="1:12" x14ac:dyDescent="0.2">
      <c r="A116" s="15"/>
      <c r="B116" s="28" t="s">
        <v>293</v>
      </c>
      <c r="C116" s="98">
        <f>C115*0.0000036</f>
        <v>0.18</v>
      </c>
      <c r="D116" s="28"/>
      <c r="E116" s="16"/>
      <c r="F116" s="16"/>
      <c r="G116" s="16"/>
      <c r="H116" s="16"/>
      <c r="I116" s="16"/>
      <c r="J116" s="16"/>
      <c r="K116" s="16"/>
      <c r="L116" s="23"/>
    </row>
    <row r="117" spans="1:12" x14ac:dyDescent="0.2">
      <c r="A117" s="15"/>
      <c r="B117" s="28" t="s">
        <v>295</v>
      </c>
      <c r="C117" s="98">
        <f>C116*C105</f>
        <v>5.3999999999999999E-2</v>
      </c>
      <c r="D117" s="28"/>
      <c r="E117" s="16"/>
      <c r="F117" s="16"/>
      <c r="G117" s="16"/>
      <c r="H117" s="16"/>
      <c r="I117" s="16"/>
      <c r="J117" s="16"/>
      <c r="K117" s="16"/>
      <c r="L117" s="23"/>
    </row>
    <row r="118" spans="1:12" ht="51" x14ac:dyDescent="0.2">
      <c r="A118" s="15"/>
      <c r="B118" s="28" t="s">
        <v>298</v>
      </c>
      <c r="C118" s="98">
        <v>400</v>
      </c>
      <c r="D118" s="41" t="s">
        <v>296</v>
      </c>
      <c r="E118" s="16"/>
      <c r="F118" s="16"/>
      <c r="G118" s="16"/>
      <c r="H118" s="16"/>
      <c r="I118" s="16"/>
      <c r="J118" s="16"/>
      <c r="K118" s="16"/>
      <c r="L118" s="23"/>
    </row>
    <row r="119" spans="1:12" x14ac:dyDescent="0.2">
      <c r="A119" s="15"/>
      <c r="B119" s="28" t="s">
        <v>299</v>
      </c>
      <c r="C119" s="98">
        <f>C118*0.0000036</f>
        <v>1.4399999999999999E-3</v>
      </c>
      <c r="D119" s="28"/>
      <c r="E119" s="16"/>
      <c r="F119" s="16"/>
      <c r="G119" s="16"/>
      <c r="H119" s="16"/>
      <c r="I119" s="16"/>
      <c r="J119" s="16"/>
      <c r="K119" s="16"/>
      <c r="L119" s="23"/>
    </row>
    <row r="120" spans="1:12" x14ac:dyDescent="0.2">
      <c r="A120" s="15"/>
      <c r="B120" s="28" t="s">
        <v>315</v>
      </c>
      <c r="C120" s="98">
        <v>28.571428571428498</v>
      </c>
      <c r="D120" s="39" t="s">
        <v>297</v>
      </c>
      <c r="E120" s="16"/>
      <c r="F120" s="16"/>
      <c r="G120" s="16"/>
      <c r="H120" s="16"/>
      <c r="I120" s="16"/>
      <c r="J120" s="16"/>
      <c r="K120" s="16"/>
      <c r="L120" s="23"/>
    </row>
    <row r="121" spans="1:12" x14ac:dyDescent="0.2">
      <c r="A121" s="15"/>
      <c r="B121" s="28" t="s">
        <v>316</v>
      </c>
      <c r="C121" s="98">
        <f>1/C120</f>
        <v>3.5000000000000087E-2</v>
      </c>
      <c r="D121" s="28"/>
      <c r="E121" s="16"/>
      <c r="F121" s="16"/>
      <c r="G121" s="16"/>
      <c r="H121" s="16"/>
      <c r="I121" s="16"/>
      <c r="J121" s="16"/>
      <c r="K121" s="16"/>
      <c r="L121" s="23"/>
    </row>
    <row r="122" spans="1:12" x14ac:dyDescent="0.2">
      <c r="A122" s="15"/>
      <c r="B122" s="28" t="s">
        <v>317</v>
      </c>
      <c r="C122" s="99">
        <f>C121/1000000</f>
        <v>3.5000000000000088E-8</v>
      </c>
      <c r="D122" s="28"/>
      <c r="E122" s="16"/>
      <c r="F122" s="16"/>
      <c r="G122" s="16"/>
      <c r="H122" s="16"/>
      <c r="I122" s="16"/>
      <c r="J122" s="16"/>
      <c r="K122" s="16"/>
      <c r="L122" s="23"/>
    </row>
    <row r="123" spans="1:12" ht="34" x14ac:dyDescent="0.2">
      <c r="A123" s="15"/>
      <c r="B123" s="28" t="s">
        <v>314</v>
      </c>
      <c r="C123" s="98">
        <v>0.18</v>
      </c>
      <c r="D123" s="41" t="s">
        <v>391</v>
      </c>
      <c r="E123" s="16"/>
      <c r="F123" s="16"/>
      <c r="G123" s="16"/>
      <c r="H123" s="16"/>
      <c r="I123" s="16"/>
      <c r="J123" s="16"/>
      <c r="K123" s="16"/>
      <c r="L123" s="23"/>
    </row>
    <row r="124" spans="1:12" ht="34" x14ac:dyDescent="0.2">
      <c r="A124" s="15"/>
      <c r="B124" s="28" t="s">
        <v>392</v>
      </c>
      <c r="C124" s="98">
        <v>900</v>
      </c>
      <c r="D124" s="41" t="s">
        <v>391</v>
      </c>
      <c r="E124" s="16"/>
      <c r="F124" s="16"/>
      <c r="G124" s="16"/>
      <c r="H124" s="16"/>
      <c r="I124" s="16"/>
      <c r="J124" s="16"/>
      <c r="K124" s="16"/>
      <c r="L124" s="23"/>
    </row>
    <row r="125" spans="1:12" x14ac:dyDescent="0.2">
      <c r="A125" s="15"/>
      <c r="B125" s="28" t="s">
        <v>390</v>
      </c>
      <c r="C125" s="98">
        <f>C124*C123</f>
        <v>162</v>
      </c>
      <c r="D125" s="28"/>
      <c r="E125" s="16"/>
      <c r="F125" s="16"/>
      <c r="G125" s="16"/>
      <c r="H125" s="16"/>
      <c r="I125" s="16"/>
      <c r="J125" s="16"/>
      <c r="K125" s="16"/>
      <c r="L125" s="23"/>
    </row>
    <row r="126" spans="1:12" x14ac:dyDescent="0.2">
      <c r="A126" s="15"/>
      <c r="B126" s="28" t="s">
        <v>393</v>
      </c>
      <c r="C126" s="99">
        <f>C122*C125</f>
        <v>5.6700000000000143E-6</v>
      </c>
      <c r="D126" s="28"/>
      <c r="E126" s="16"/>
      <c r="F126" s="16"/>
      <c r="G126" s="16"/>
      <c r="H126" s="16"/>
      <c r="I126" s="16"/>
      <c r="J126" s="16"/>
      <c r="K126" s="16"/>
      <c r="L126" s="23"/>
    </row>
    <row r="127" spans="1:12" x14ac:dyDescent="0.2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23"/>
    </row>
    <row r="128" spans="1:12" x14ac:dyDescent="0.2">
      <c r="A128" s="15"/>
      <c r="B128" s="26"/>
      <c r="C128" s="16"/>
      <c r="D128" s="16"/>
      <c r="E128" s="16"/>
      <c r="F128" s="16"/>
      <c r="G128" s="16"/>
      <c r="H128" s="16"/>
      <c r="I128" s="16"/>
      <c r="J128" s="16"/>
      <c r="K128" s="16"/>
      <c r="L128" s="23"/>
    </row>
    <row r="129" spans="1:12" x14ac:dyDescent="0.2">
      <c r="A129" s="39" t="s">
        <v>249</v>
      </c>
      <c r="B129" s="38" t="s">
        <v>368</v>
      </c>
      <c r="C129" s="32"/>
      <c r="D129" s="32"/>
      <c r="E129" s="34"/>
      <c r="F129" s="31" t="s">
        <v>369</v>
      </c>
      <c r="G129" s="32"/>
      <c r="H129" s="32"/>
      <c r="I129" s="34"/>
      <c r="J129" s="31" t="s">
        <v>370</v>
      </c>
      <c r="K129" s="32"/>
      <c r="L129" s="34"/>
    </row>
    <row r="130" spans="1:12" x14ac:dyDescent="0.2">
      <c r="A130" s="40"/>
      <c r="B130" s="26"/>
      <c r="C130" s="16"/>
      <c r="D130" s="16"/>
      <c r="E130" s="16"/>
      <c r="F130" s="16"/>
      <c r="G130" s="16"/>
      <c r="H130" s="16"/>
      <c r="I130" s="16"/>
      <c r="J130" s="16"/>
      <c r="K130" s="16"/>
      <c r="L130" s="23"/>
    </row>
    <row r="131" spans="1:12" x14ac:dyDescent="0.2">
      <c r="A131" s="15"/>
      <c r="B131" s="27" t="s">
        <v>363</v>
      </c>
      <c r="C131" s="27" t="s">
        <v>242</v>
      </c>
      <c r="D131" s="27" t="s">
        <v>128</v>
      </c>
      <c r="E131" s="16"/>
      <c r="F131" s="27" t="s">
        <v>255</v>
      </c>
      <c r="G131" s="27" t="s">
        <v>256</v>
      </c>
      <c r="H131" s="27" t="s">
        <v>128</v>
      </c>
      <c r="I131" s="16"/>
      <c r="J131" s="27" t="s">
        <v>261</v>
      </c>
      <c r="K131" s="27" t="s">
        <v>175</v>
      </c>
      <c r="L131" s="27" t="s">
        <v>128</v>
      </c>
    </row>
    <row r="132" spans="1:12" x14ac:dyDescent="0.2">
      <c r="A132" s="15"/>
      <c r="B132" s="28" t="s">
        <v>235</v>
      </c>
      <c r="C132" s="98" cm="1">
        <f t="array" ref="C132">INDEX('Datadump - road E and H2'!$C$2:$C$15,MATCH('Analysis - road transport'!B132,'Datadump - road E and H2'!$E$2:$E$15,0),0)</f>
        <v>210</v>
      </c>
      <c r="D132" s="28"/>
      <c r="E132" s="16"/>
      <c r="F132" s="28" t="s">
        <v>257</v>
      </c>
      <c r="G132" s="100">
        <f>C145*C132</f>
        <v>4.1086956521739131</v>
      </c>
      <c r="H132" s="28"/>
      <c r="I132" s="16"/>
      <c r="J132" s="28" t="s">
        <v>262</v>
      </c>
      <c r="K132" s="42">
        <f>G132/SUM($G$132:$G$134)</f>
        <v>0.25100934976625588</v>
      </c>
      <c r="L132" s="28" t="s">
        <v>467</v>
      </c>
    </row>
    <row r="133" spans="1:12" ht="17" x14ac:dyDescent="0.2">
      <c r="A133" s="15"/>
      <c r="B133" s="28" t="s">
        <v>236</v>
      </c>
      <c r="C133" s="98" cm="1">
        <f t="array" ref="C133">INDEX('Datadump - road E and H2'!$C$2:$C$15,MATCH('Analysis - road transport'!B133,'Datadump - road E and H2'!$E$2:$E$15,0),0)</f>
        <v>6</v>
      </c>
      <c r="D133" s="28"/>
      <c r="E133" s="16"/>
      <c r="F133" s="28" t="s">
        <v>258</v>
      </c>
      <c r="G133" s="100">
        <f>(C133+C134)*C153</f>
        <v>6.5000000000000018</v>
      </c>
      <c r="H133" s="30" t="s">
        <v>260</v>
      </c>
      <c r="I133" s="16"/>
      <c r="J133" s="28" t="s">
        <v>263</v>
      </c>
      <c r="K133" s="42">
        <f t="shared" ref="K133:K134" si="2">G133/SUM($G$132:$G$134)</f>
        <v>0.39709944751381226</v>
      </c>
      <c r="L133" s="28" t="s">
        <v>467</v>
      </c>
    </row>
    <row r="134" spans="1:12" x14ac:dyDescent="0.2">
      <c r="A134" s="15"/>
      <c r="B134" s="28" t="s">
        <v>237</v>
      </c>
      <c r="C134" s="98" cm="1">
        <f t="array" ref="C134">INDEX('Datadump - road E and H2'!$C$2:$C$15,MATCH('Analysis - road transport'!B134,'Datadump - road E and H2'!$E$2:$E$15,0),0)</f>
        <v>7</v>
      </c>
      <c r="D134" s="28"/>
      <c r="E134" s="16"/>
      <c r="F134" s="28" t="s">
        <v>259</v>
      </c>
      <c r="G134" s="100">
        <f>C135*C149</f>
        <v>5.76</v>
      </c>
      <c r="H134" s="28"/>
      <c r="I134" s="16"/>
      <c r="J134" s="28" t="s">
        <v>264</v>
      </c>
      <c r="K134" s="42">
        <f t="shared" si="2"/>
        <v>0.35189120271993202</v>
      </c>
      <c r="L134" s="28" t="s">
        <v>467</v>
      </c>
    </row>
    <row r="135" spans="1:12" x14ac:dyDescent="0.2">
      <c r="A135" s="15"/>
      <c r="B135" s="28" t="s">
        <v>238</v>
      </c>
      <c r="C135" s="98" cm="1">
        <f t="array" ref="C135">INDEX('Datadump - road E and H2'!$C$2:$C$15,MATCH('Analysis - road transport'!B135,'Datadump - road E and H2'!$E$2:$E$15,0),0)</f>
        <v>8</v>
      </c>
      <c r="D135" s="28"/>
      <c r="E135" s="16"/>
      <c r="F135" s="16"/>
      <c r="G135" s="16"/>
      <c r="H135" s="16"/>
      <c r="I135" s="16"/>
      <c r="J135" s="16"/>
      <c r="K135" s="16"/>
      <c r="L135" s="23"/>
    </row>
    <row r="136" spans="1:12" x14ac:dyDescent="0.2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23"/>
    </row>
    <row r="137" spans="1:12" x14ac:dyDescent="0.2">
      <c r="A137" s="15"/>
      <c r="B137" s="28" t="s">
        <v>152</v>
      </c>
      <c r="C137" s="28" t="s">
        <v>243</v>
      </c>
      <c r="D137" s="28" t="s">
        <v>325</v>
      </c>
      <c r="E137" s="16"/>
      <c r="F137" s="16"/>
      <c r="G137" s="16"/>
      <c r="H137" s="37"/>
      <c r="I137" s="16"/>
      <c r="J137" s="16"/>
      <c r="K137" s="16"/>
      <c r="L137" s="23"/>
    </row>
    <row r="138" spans="1:12" x14ac:dyDescent="0.2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23"/>
    </row>
    <row r="139" spans="1:12" x14ac:dyDescent="0.2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23"/>
    </row>
    <row r="140" spans="1:12" x14ac:dyDescent="0.2">
      <c r="A140" s="15"/>
      <c r="B140" s="27" t="s">
        <v>254</v>
      </c>
      <c r="C140" s="27" t="s">
        <v>242</v>
      </c>
      <c r="D140" s="27" t="s">
        <v>128</v>
      </c>
      <c r="E140" s="16"/>
      <c r="F140" s="16"/>
      <c r="G140" s="16"/>
      <c r="H140" s="16"/>
      <c r="I140" s="16"/>
      <c r="J140" s="16"/>
      <c r="K140" s="16"/>
      <c r="L140" s="23"/>
    </row>
    <row r="141" spans="1:12" x14ac:dyDescent="0.2">
      <c r="A141" s="15"/>
      <c r="B141" s="28" t="s">
        <v>251</v>
      </c>
      <c r="C141" s="98">
        <v>120</v>
      </c>
      <c r="D141" s="28"/>
      <c r="E141" s="16"/>
      <c r="F141" s="16"/>
      <c r="G141" s="16"/>
      <c r="H141" s="16"/>
      <c r="I141" s="16"/>
      <c r="J141" s="16"/>
      <c r="K141" s="16"/>
      <c r="L141" s="23"/>
    </row>
    <row r="142" spans="1:12" ht="68" x14ac:dyDescent="0.2">
      <c r="A142" s="15"/>
      <c r="B142" s="28" t="s">
        <v>270</v>
      </c>
      <c r="C142" s="98">
        <v>92</v>
      </c>
      <c r="D142" s="30" t="s">
        <v>250</v>
      </c>
      <c r="E142" s="16"/>
      <c r="F142" s="16"/>
      <c r="G142" s="16"/>
      <c r="H142" s="16"/>
      <c r="I142" s="16"/>
      <c r="J142" s="16"/>
      <c r="K142" s="16"/>
      <c r="L142" s="23"/>
    </row>
    <row r="143" spans="1:12" x14ac:dyDescent="0.2">
      <c r="A143" s="15"/>
      <c r="B143" s="28" t="s">
        <v>271</v>
      </c>
      <c r="C143" s="98">
        <v>15000</v>
      </c>
      <c r="D143" s="28"/>
      <c r="E143" s="16"/>
      <c r="F143" s="16"/>
      <c r="G143" s="16"/>
      <c r="H143" s="16"/>
      <c r="I143" s="16"/>
      <c r="J143" s="16"/>
      <c r="K143" s="16"/>
      <c r="L143" s="23"/>
    </row>
    <row r="144" spans="1:12" x14ac:dyDescent="0.2">
      <c r="A144" s="15"/>
      <c r="B144" s="28" t="s">
        <v>272</v>
      </c>
      <c r="C144" s="98">
        <f>C143/C142</f>
        <v>163.04347826086956</v>
      </c>
      <c r="D144" s="28"/>
      <c r="E144" s="16"/>
      <c r="F144" s="16"/>
      <c r="G144" s="16"/>
      <c r="H144" s="16"/>
      <c r="I144" s="16"/>
      <c r="J144" s="16"/>
      <c r="K144" s="16"/>
      <c r="L144" s="23"/>
    </row>
    <row r="145" spans="1:12" x14ac:dyDescent="0.2">
      <c r="A145" s="15"/>
      <c r="B145" s="28" t="s">
        <v>273</v>
      </c>
      <c r="C145" s="98">
        <f>C141*C144/1000000</f>
        <v>1.9565217391304349E-2</v>
      </c>
      <c r="D145" s="28"/>
      <c r="E145" s="16"/>
      <c r="F145" s="16"/>
      <c r="G145" s="16"/>
      <c r="H145" s="16"/>
      <c r="I145" s="16"/>
      <c r="J145" s="16"/>
      <c r="K145" s="16"/>
      <c r="L145" s="23"/>
    </row>
    <row r="146" spans="1:12" ht="34" x14ac:dyDescent="0.2">
      <c r="A146" s="15"/>
      <c r="B146" s="28" t="s">
        <v>274</v>
      </c>
      <c r="C146" s="98">
        <v>10</v>
      </c>
      <c r="D146" s="30" t="s">
        <v>252</v>
      </c>
      <c r="E146" s="16"/>
      <c r="F146" s="16"/>
      <c r="G146" s="16"/>
      <c r="H146" s="16"/>
      <c r="I146" s="16"/>
      <c r="J146" s="16"/>
      <c r="K146" s="16"/>
      <c r="L146" s="23"/>
    </row>
    <row r="147" spans="1:12" x14ac:dyDescent="0.2">
      <c r="A147" s="15"/>
      <c r="B147" s="28" t="s">
        <v>275</v>
      </c>
      <c r="C147" s="98">
        <v>60000</v>
      </c>
      <c r="D147" s="28"/>
      <c r="E147" s="16"/>
      <c r="F147" s="16"/>
      <c r="G147" s="16"/>
      <c r="H147" s="16"/>
      <c r="I147" s="16"/>
      <c r="J147" s="16"/>
      <c r="K147" s="16"/>
      <c r="L147" s="23"/>
    </row>
    <row r="148" spans="1:12" x14ac:dyDescent="0.2">
      <c r="A148" s="15"/>
      <c r="B148" s="28" t="s">
        <v>276</v>
      </c>
      <c r="C148" s="98">
        <f>C147/C146</f>
        <v>6000</v>
      </c>
      <c r="D148" s="28"/>
      <c r="E148" s="16"/>
      <c r="F148" s="16"/>
      <c r="G148" s="16"/>
      <c r="H148" s="16"/>
      <c r="I148" s="16"/>
      <c r="J148" s="16"/>
      <c r="K148" s="16"/>
      <c r="L148" s="23"/>
    </row>
    <row r="149" spans="1:12" x14ac:dyDescent="0.2">
      <c r="A149" s="15"/>
      <c r="B149" s="28" t="s">
        <v>277</v>
      </c>
      <c r="C149" s="98">
        <f>C148*C141/1000000</f>
        <v>0.72</v>
      </c>
      <c r="D149" s="28"/>
      <c r="E149" s="16"/>
      <c r="F149" s="16"/>
      <c r="G149" s="16"/>
      <c r="H149" s="16"/>
      <c r="I149" s="16"/>
      <c r="J149" s="16"/>
      <c r="K149" s="16"/>
      <c r="L149" s="23"/>
    </row>
    <row r="150" spans="1:12" x14ac:dyDescent="0.2">
      <c r="A150" s="15"/>
      <c r="B150" s="28" t="s">
        <v>278</v>
      </c>
      <c r="C150" s="98">
        <v>12</v>
      </c>
      <c r="D150" s="28" t="s">
        <v>253</v>
      </c>
      <c r="E150" s="16"/>
      <c r="F150" s="16"/>
      <c r="G150" s="16"/>
      <c r="H150" s="16"/>
      <c r="I150" s="16"/>
      <c r="J150" s="16"/>
      <c r="K150" s="16"/>
      <c r="L150" s="23"/>
    </row>
    <row r="151" spans="1:12" x14ac:dyDescent="0.2">
      <c r="A151" s="15"/>
      <c r="B151" s="28" t="s">
        <v>279</v>
      </c>
      <c r="C151" s="98">
        <v>50000</v>
      </c>
      <c r="D151" s="28"/>
      <c r="E151" s="16"/>
      <c r="F151" s="16"/>
      <c r="G151" s="16"/>
      <c r="H151" s="16"/>
      <c r="I151" s="16"/>
      <c r="J151" s="16"/>
      <c r="K151" s="16"/>
      <c r="L151" s="23"/>
    </row>
    <row r="152" spans="1:12" x14ac:dyDescent="0.2">
      <c r="A152" s="15"/>
      <c r="B152" s="28" t="s">
        <v>280</v>
      </c>
      <c r="C152" s="98">
        <f>C151/C150</f>
        <v>4166.666666666667</v>
      </c>
      <c r="D152" s="28"/>
      <c r="E152" s="16"/>
      <c r="F152" s="16"/>
      <c r="G152" s="16"/>
      <c r="H152" s="16"/>
      <c r="I152" s="16"/>
      <c r="J152" s="16"/>
      <c r="K152" s="16"/>
      <c r="L152" s="23"/>
    </row>
    <row r="153" spans="1:12" x14ac:dyDescent="0.2">
      <c r="A153" s="15"/>
      <c r="B153" s="28" t="s">
        <v>281</v>
      </c>
      <c r="C153" s="98">
        <f>C152*C141/1000000</f>
        <v>0.50000000000000011</v>
      </c>
      <c r="D153" s="28"/>
      <c r="E153" s="16"/>
      <c r="F153" s="16"/>
      <c r="G153" s="16"/>
      <c r="H153" s="16"/>
      <c r="I153" s="16"/>
      <c r="J153" s="16"/>
      <c r="K153" s="16"/>
      <c r="L153" s="23"/>
    </row>
    <row r="154" spans="1:12" x14ac:dyDescent="0.2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07"/>
      <c r="L154" s="23"/>
    </row>
    <row r="155" spans="1:12" x14ac:dyDescent="0.2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23"/>
    </row>
    <row r="156" spans="1:12" x14ac:dyDescent="0.2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23"/>
    </row>
    <row r="157" spans="1:12" x14ac:dyDescent="0.2">
      <c r="A157" s="2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36"/>
    </row>
    <row r="158" spans="1:12" ht="34" x14ac:dyDescent="0.2">
      <c r="A158" s="41" t="s">
        <v>457</v>
      </c>
      <c r="B158" s="38" t="s">
        <v>368</v>
      </c>
      <c r="C158" s="32"/>
      <c r="D158" s="32"/>
      <c r="E158" s="34"/>
      <c r="F158" s="31" t="s">
        <v>369</v>
      </c>
      <c r="G158" s="32"/>
      <c r="H158" s="32"/>
      <c r="I158" s="34"/>
      <c r="J158" s="31" t="s">
        <v>370</v>
      </c>
      <c r="K158" s="32"/>
      <c r="L158" s="34"/>
    </row>
    <row r="159" spans="1:12" x14ac:dyDescent="0.2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23"/>
    </row>
    <row r="160" spans="1:12" ht="17" x14ac:dyDescent="0.2">
      <c r="A160" s="15"/>
      <c r="B160" s="29" t="s">
        <v>465</v>
      </c>
      <c r="C160" s="29" t="s">
        <v>154</v>
      </c>
      <c r="D160" s="27" t="s">
        <v>128</v>
      </c>
      <c r="E160" s="16"/>
      <c r="F160" s="29" t="s">
        <v>531</v>
      </c>
      <c r="G160" s="29" t="s">
        <v>514</v>
      </c>
      <c r="H160" s="27" t="s">
        <v>128</v>
      </c>
      <c r="I160" s="16"/>
      <c r="J160" s="27" t="s">
        <v>469</v>
      </c>
      <c r="K160" s="27" t="s">
        <v>546</v>
      </c>
      <c r="L160" s="27" t="s">
        <v>128</v>
      </c>
    </row>
    <row r="161" spans="1:12" x14ac:dyDescent="0.2">
      <c r="A161" s="15"/>
      <c r="B161" s="28" t="s">
        <v>166</v>
      </c>
      <c r="C161" s="98">
        <f>'Datadump - road fuels'!J48</f>
        <v>1103630000</v>
      </c>
      <c r="D161" s="28" t="s">
        <v>458</v>
      </c>
      <c r="E161" s="16"/>
      <c r="F161" s="28" t="s">
        <v>515</v>
      </c>
      <c r="G161" s="104">
        <f>C161/$C$176</f>
        <v>446091350.04042035</v>
      </c>
      <c r="H161" s="28" t="s">
        <v>458</v>
      </c>
      <c r="I161" s="16"/>
      <c r="J161" s="28" t="s">
        <v>547</v>
      </c>
      <c r="K161" s="106">
        <f>G172/1000000</f>
        <v>61.798575325788192</v>
      </c>
      <c r="L161" s="28" t="s">
        <v>470</v>
      </c>
    </row>
    <row r="162" spans="1:12" x14ac:dyDescent="0.2">
      <c r="A162" s="15"/>
      <c r="B162" s="28" t="s">
        <v>167</v>
      </c>
      <c r="C162" s="98">
        <f>'Datadump - road fuels'!J49</f>
        <v>1631210000</v>
      </c>
      <c r="D162" s="28" t="s">
        <v>459</v>
      </c>
      <c r="E162" s="16"/>
      <c r="F162" s="28" t="s">
        <v>516</v>
      </c>
      <c r="G162" s="104">
        <f t="shared" ref="G162:G166" si="3">C162/$C$176</f>
        <v>659341147.93856096</v>
      </c>
      <c r="H162" s="28" t="s">
        <v>459</v>
      </c>
      <c r="I162" s="16"/>
      <c r="J162" s="28" t="s">
        <v>548</v>
      </c>
      <c r="K162" s="106">
        <f>(G173+G174)/1000000</f>
        <v>244.94669529506874</v>
      </c>
      <c r="L162" s="28" t="s">
        <v>473</v>
      </c>
    </row>
    <row r="163" spans="1:12" x14ac:dyDescent="0.2">
      <c r="A163" s="15"/>
      <c r="B163" s="28" t="s">
        <v>168</v>
      </c>
      <c r="C163" s="98">
        <f>'Datadump - road fuels'!J50</f>
        <v>229663000</v>
      </c>
      <c r="D163" s="28" t="s">
        <v>460</v>
      </c>
      <c r="E163" s="16"/>
      <c r="F163" s="28" t="s">
        <v>517</v>
      </c>
      <c r="G163" s="104">
        <f t="shared" si="3"/>
        <v>92830638.641875491</v>
      </c>
      <c r="H163" s="28" t="s">
        <v>460</v>
      </c>
      <c r="I163" s="16"/>
      <c r="J163" s="28" t="s">
        <v>556</v>
      </c>
      <c r="K163" s="106">
        <f>(G171)/1000000</f>
        <v>182.86521844785767</v>
      </c>
      <c r="L163" s="28" t="s">
        <v>460</v>
      </c>
    </row>
    <row r="164" spans="1:12" x14ac:dyDescent="0.2">
      <c r="A164" s="15"/>
      <c r="B164" s="28" t="s">
        <v>171</v>
      </c>
      <c r="C164" s="98">
        <f>'Datadump - road fuels'!J51</f>
        <v>77613700</v>
      </c>
      <c r="D164" s="28" t="s">
        <v>461</v>
      </c>
      <c r="E164" s="16"/>
      <c r="F164" s="28" t="s">
        <v>518</v>
      </c>
      <c r="G164" s="104">
        <f t="shared" si="3"/>
        <v>31371746.160064671</v>
      </c>
      <c r="H164" s="28" t="s">
        <v>461</v>
      </c>
      <c r="I164" s="16"/>
      <c r="J164" s="28" t="s">
        <v>557</v>
      </c>
      <c r="K164" s="106">
        <f>G170/1000000</f>
        <v>1298.8229405012125</v>
      </c>
      <c r="L164" s="28" t="s">
        <v>459</v>
      </c>
    </row>
    <row r="165" spans="1:12" x14ac:dyDescent="0.2">
      <c r="A165" s="15"/>
      <c r="B165" s="28" t="s">
        <v>169</v>
      </c>
      <c r="C165" s="98">
        <f>'Datadump - road fuels'!J52</f>
        <v>132772000</v>
      </c>
      <c r="D165" s="28" t="s">
        <v>463</v>
      </c>
      <c r="E165" s="16"/>
      <c r="F165" s="28" t="s">
        <v>519</v>
      </c>
      <c r="G165" s="104">
        <f t="shared" si="3"/>
        <v>53666936.135812446</v>
      </c>
      <c r="H165" s="28" t="s">
        <v>471</v>
      </c>
      <c r="I165" s="16"/>
      <c r="J165" s="28" t="s">
        <v>549</v>
      </c>
      <c r="K165" s="106">
        <f>G169/1000000</f>
        <v>878.74642861762334</v>
      </c>
      <c r="L165" s="28" t="s">
        <v>458</v>
      </c>
    </row>
    <row r="166" spans="1:12" x14ac:dyDescent="0.2">
      <c r="A166" s="15"/>
      <c r="B166" s="28" t="s">
        <v>170</v>
      </c>
      <c r="C166" s="98">
        <f>'Datadump - road fuels'!J53</f>
        <v>174860000</v>
      </c>
      <c r="D166" s="28" t="s">
        <v>462</v>
      </c>
      <c r="E166" s="16"/>
      <c r="F166" s="28" t="s">
        <v>520</v>
      </c>
      <c r="G166" s="104">
        <f t="shared" si="3"/>
        <v>70679062.247372672</v>
      </c>
      <c r="H166" s="28" t="s">
        <v>462</v>
      </c>
      <c r="I166" s="16"/>
      <c r="J166" s="28" t="s">
        <v>550</v>
      </c>
      <c r="K166" s="105">
        <v>0</v>
      </c>
      <c r="L166" s="28" t="s">
        <v>472</v>
      </c>
    </row>
    <row r="167" spans="1:12" x14ac:dyDescent="0.2">
      <c r="A167" s="15"/>
      <c r="B167" s="16"/>
      <c r="C167" s="16"/>
      <c r="D167" s="16"/>
      <c r="E167" s="16"/>
      <c r="F167" s="16"/>
      <c r="G167" s="16"/>
      <c r="H167" s="16"/>
      <c r="I167" s="16"/>
      <c r="J167" s="28" t="s">
        <v>551</v>
      </c>
      <c r="K167" s="106">
        <f>G178/1000000</f>
        <v>1064.4505752613097</v>
      </c>
      <c r="L167" s="28" t="s">
        <v>470</v>
      </c>
    </row>
    <row r="168" spans="1:12" ht="17" x14ac:dyDescent="0.2">
      <c r="A168" s="15"/>
      <c r="B168" s="28" t="s">
        <v>152</v>
      </c>
      <c r="C168" s="28" t="s">
        <v>153</v>
      </c>
      <c r="D168" s="28" t="s">
        <v>324</v>
      </c>
      <c r="E168" s="16"/>
      <c r="F168" s="29" t="s">
        <v>468</v>
      </c>
      <c r="G168" s="29" t="s">
        <v>438</v>
      </c>
      <c r="H168" s="27" t="s">
        <v>128</v>
      </c>
      <c r="I168" s="16"/>
      <c r="J168" s="28" t="s">
        <v>552</v>
      </c>
      <c r="K168" s="106">
        <f>(G179+G180)/1000000</f>
        <v>4219.0883744594985</v>
      </c>
      <c r="L168" s="28" t="s">
        <v>473</v>
      </c>
    </row>
    <row r="169" spans="1:12" x14ac:dyDescent="0.2">
      <c r="A169" s="15"/>
      <c r="B169" s="16"/>
      <c r="C169" s="16"/>
      <c r="D169" s="16"/>
      <c r="E169" s="16"/>
      <c r="F169" s="28" t="s">
        <v>522</v>
      </c>
      <c r="G169" s="104">
        <f>G161*$C$177*$C$174*$C$175</f>
        <v>878746428.61762333</v>
      </c>
      <c r="H169" s="28" t="s">
        <v>458</v>
      </c>
      <c r="I169" s="16"/>
      <c r="J169" s="28" t="s">
        <v>560</v>
      </c>
      <c r="K169" s="106">
        <f>(G177)/1000000</f>
        <v>3149.764957297979</v>
      </c>
      <c r="L169" s="28" t="s">
        <v>460</v>
      </c>
    </row>
    <row r="170" spans="1:12" x14ac:dyDescent="0.2">
      <c r="A170" s="15"/>
      <c r="B170" s="16"/>
      <c r="C170" s="16"/>
      <c r="D170" s="16"/>
      <c r="E170" s="16"/>
      <c r="F170" s="28" t="s">
        <v>523</v>
      </c>
      <c r="G170" s="104">
        <f t="shared" ref="G170:G173" si="4">G162*$C$177*$C$174*$C$175</f>
        <v>1298822940.5012126</v>
      </c>
      <c r="H170" s="28" t="s">
        <v>459</v>
      </c>
      <c r="I170" s="16"/>
      <c r="J170" s="28" t="s">
        <v>561</v>
      </c>
      <c r="K170" s="106">
        <f>(G176)/1000000</f>
        <v>22371.59706175586</v>
      </c>
      <c r="L170" s="28" t="s">
        <v>459</v>
      </c>
    </row>
    <row r="171" spans="1:12" x14ac:dyDescent="0.2">
      <c r="A171" s="15"/>
      <c r="B171" s="27" t="s">
        <v>464</v>
      </c>
      <c r="C171" s="27" t="s">
        <v>242</v>
      </c>
      <c r="D171" s="27" t="s">
        <v>128</v>
      </c>
      <c r="E171" s="16"/>
      <c r="F171" s="28" t="s">
        <v>524</v>
      </c>
      <c r="G171" s="104">
        <f t="shared" si="4"/>
        <v>182865218.44785768</v>
      </c>
      <c r="H171" s="28" t="s">
        <v>460</v>
      </c>
      <c r="I171" s="16"/>
      <c r="J171" s="28" t="s">
        <v>553</v>
      </c>
      <c r="K171" s="106">
        <f>G175/1000000</f>
        <v>15135.982286318515</v>
      </c>
      <c r="L171" s="28" t="s">
        <v>458</v>
      </c>
    </row>
    <row r="172" spans="1:12" ht="17" x14ac:dyDescent="0.2">
      <c r="A172" s="15"/>
      <c r="B172" s="28" t="s">
        <v>505</v>
      </c>
      <c r="C172" s="98">
        <v>0.83599999999999997</v>
      </c>
      <c r="D172" s="30" t="s">
        <v>508</v>
      </c>
      <c r="E172" s="16"/>
      <c r="F172" s="28" t="s">
        <v>525</v>
      </c>
      <c r="G172" s="104">
        <f t="shared" si="4"/>
        <v>61798575.325788192</v>
      </c>
      <c r="H172" s="28" t="s">
        <v>461</v>
      </c>
      <c r="I172" s="16"/>
      <c r="J172" s="28" t="s">
        <v>554</v>
      </c>
      <c r="K172" s="105">
        <v>0</v>
      </c>
      <c r="L172" s="28" t="s">
        <v>472</v>
      </c>
    </row>
    <row r="173" spans="1:12" ht="17" x14ac:dyDescent="0.2">
      <c r="A173" s="15"/>
      <c r="B173" s="28" t="s">
        <v>506</v>
      </c>
      <c r="C173" s="98">
        <v>43.2</v>
      </c>
      <c r="D173" s="30" t="s">
        <v>507</v>
      </c>
      <c r="E173" s="16"/>
      <c r="F173" s="28" t="s">
        <v>526</v>
      </c>
      <c r="G173" s="104">
        <f t="shared" si="4"/>
        <v>105717424.15521424</v>
      </c>
      <c r="H173" s="28" t="s">
        <v>471</v>
      </c>
      <c r="I173" s="16"/>
      <c r="J173" s="16"/>
      <c r="K173" s="16"/>
      <c r="L173" s="23"/>
    </row>
    <row r="174" spans="1:12" ht="17" x14ac:dyDescent="0.2">
      <c r="A174" s="15"/>
      <c r="B174" s="28" t="s">
        <v>510</v>
      </c>
      <c r="C174" s="98">
        <v>0.88</v>
      </c>
      <c r="D174" s="30" t="s">
        <v>512</v>
      </c>
      <c r="E174" s="16"/>
      <c r="F174" s="28" t="s">
        <v>527</v>
      </c>
      <c r="G174" s="104">
        <f>G166*$C$177*$C$174*$C$175</f>
        <v>139229271.13985449</v>
      </c>
      <c r="H174" s="28" t="s">
        <v>462</v>
      </c>
      <c r="I174" s="16"/>
      <c r="J174" s="28" t="s">
        <v>559</v>
      </c>
      <c r="K174" s="151">
        <f>SUM(K161:K166)/1000</f>
        <v>2.6671798581875503</v>
      </c>
      <c r="L174" s="28"/>
    </row>
    <row r="175" spans="1:12" ht="17" x14ac:dyDescent="0.2">
      <c r="A175" s="15"/>
      <c r="B175" s="28" t="s">
        <v>511</v>
      </c>
      <c r="C175" s="98">
        <v>37</v>
      </c>
      <c r="D175" s="30" t="s">
        <v>513</v>
      </c>
      <c r="E175" s="16"/>
      <c r="F175" s="28" t="s">
        <v>532</v>
      </c>
      <c r="G175" s="104">
        <f>G161*$C$178*$C$172*$C$173</f>
        <v>15135982286.318514</v>
      </c>
      <c r="H175" s="28" t="s">
        <v>458</v>
      </c>
      <c r="I175" s="16"/>
      <c r="J175" s="28" t="s">
        <v>558</v>
      </c>
      <c r="K175" s="151">
        <f>SUM(K167:K172)/1000</f>
        <v>45.940883255093162</v>
      </c>
      <c r="L175" s="28"/>
    </row>
    <row r="176" spans="1:12" ht="51" x14ac:dyDescent="0.2">
      <c r="A176" s="15"/>
      <c r="B176" s="28" t="s">
        <v>521</v>
      </c>
      <c r="C176" s="98">
        <v>2.4740000000000002</v>
      </c>
      <c r="D176" s="30" t="s">
        <v>509</v>
      </c>
      <c r="E176" s="16"/>
      <c r="F176" s="28" t="s">
        <v>533</v>
      </c>
      <c r="G176" s="104">
        <f t="shared" ref="G176:G180" si="5">G162*$C$178*$C$172*$C$173</f>
        <v>22371597061.755859</v>
      </c>
      <c r="H176" s="28" t="s">
        <v>459</v>
      </c>
      <c r="I176" s="16"/>
      <c r="J176" s="16"/>
      <c r="K176" s="16"/>
      <c r="L176" s="23"/>
    </row>
    <row r="177" spans="1:12" ht="51" x14ac:dyDescent="0.2">
      <c r="A177" s="15"/>
      <c r="B177" s="28" t="s">
        <v>528</v>
      </c>
      <c r="C177" s="147">
        <v>6.0499999999999998E-2</v>
      </c>
      <c r="D177" s="30" t="s">
        <v>555</v>
      </c>
      <c r="E177" s="16"/>
      <c r="F177" s="28" t="s">
        <v>534</v>
      </c>
      <c r="G177" s="104">
        <f t="shared" si="5"/>
        <v>3149764957.2979789</v>
      </c>
      <c r="H177" s="28" t="s">
        <v>460</v>
      </c>
      <c r="I177" s="16"/>
      <c r="J177" s="16"/>
      <c r="K177" s="16"/>
      <c r="L177" s="23"/>
    </row>
    <row r="178" spans="1:12" x14ac:dyDescent="0.2">
      <c r="A178" s="15"/>
      <c r="B178" s="28" t="s">
        <v>530</v>
      </c>
      <c r="C178" s="147">
        <f>1-C177</f>
        <v>0.9395</v>
      </c>
      <c r="D178" s="30"/>
      <c r="E178" s="16"/>
      <c r="F178" s="28" t="s">
        <v>535</v>
      </c>
      <c r="G178" s="104">
        <f t="shared" si="5"/>
        <v>1064450575.2613096</v>
      </c>
      <c r="H178" s="28" t="s">
        <v>461</v>
      </c>
      <c r="I178" s="16"/>
      <c r="J178" s="16"/>
      <c r="K178" s="16"/>
      <c r="L178" s="23"/>
    </row>
    <row r="179" spans="1:12" x14ac:dyDescent="0.2">
      <c r="A179" s="15"/>
      <c r="B179" s="16"/>
      <c r="C179" s="16"/>
      <c r="D179" s="16"/>
      <c r="E179" s="16"/>
      <c r="F179" s="28" t="s">
        <v>536</v>
      </c>
      <c r="G179" s="104">
        <f t="shared" si="5"/>
        <v>1820931507.950202</v>
      </c>
      <c r="H179" s="28" t="s">
        <v>471</v>
      </c>
      <c r="I179" s="16"/>
      <c r="J179" s="16"/>
      <c r="K179" s="16"/>
      <c r="L179" s="23"/>
    </row>
    <row r="180" spans="1:12" ht="51" x14ac:dyDescent="0.2">
      <c r="A180" s="15"/>
      <c r="B180" s="28" t="s">
        <v>152</v>
      </c>
      <c r="C180" s="28" t="s">
        <v>466</v>
      </c>
      <c r="D180" s="30" t="s">
        <v>529</v>
      </c>
      <c r="E180" s="16"/>
      <c r="F180" s="28" t="s">
        <v>537</v>
      </c>
      <c r="G180" s="104">
        <f t="shared" si="5"/>
        <v>2398156866.5092969</v>
      </c>
      <c r="H180" s="28" t="s">
        <v>462</v>
      </c>
      <c r="I180" s="16"/>
      <c r="J180" s="16"/>
      <c r="K180" s="16"/>
      <c r="L180" s="23"/>
    </row>
    <row r="181" spans="1:12" x14ac:dyDescent="0.2">
      <c r="A181" s="15"/>
      <c r="B181" s="16"/>
      <c r="C181" s="97"/>
      <c r="D181" s="16"/>
      <c r="E181" s="16"/>
      <c r="F181" s="16"/>
      <c r="G181" s="16"/>
      <c r="H181" s="16"/>
      <c r="I181" s="16"/>
      <c r="J181" s="16"/>
      <c r="K181" s="16"/>
      <c r="L181" s="23"/>
    </row>
    <row r="182" spans="1:12" x14ac:dyDescent="0.2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23"/>
    </row>
    <row r="183" spans="1:12" x14ac:dyDescent="0.2">
      <c r="A183" s="2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36"/>
    </row>
    <row r="186" spans="1:12" x14ac:dyDescent="0.2">
      <c r="C186" s="148"/>
    </row>
    <row r="187" spans="1:12" x14ac:dyDescent="0.2">
      <c r="C187" s="148"/>
    </row>
    <row r="191" spans="1:12" x14ac:dyDescent="0.2">
      <c r="G191" s="148"/>
    </row>
  </sheetData>
  <mergeCells count="1">
    <mergeCell ref="B4:D4"/>
  </mergeCells>
  <dataValidations disablePrompts="1" count="1">
    <dataValidation type="decimal" allowBlank="1" showInputMessage="1" showErrorMessage="1" errorTitle="Number Range" error="This cell can only contain a number between 0% and 100%" sqref="D5:E5 D6:D8 D14:E20 D10:E12 D30:E32 D47:D50" xr:uid="{6A8E445E-7A8A-D745-BCE1-E8F3B0161090}">
      <formula1>0</formula1>
      <formula2>1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85CB-CBEB-794B-9FB4-5DB04D6585AF}">
  <sheetPr>
    <tabColor rgb="FF92CDDC"/>
  </sheetPr>
  <dimension ref="A2:L49"/>
  <sheetViews>
    <sheetView workbookViewId="0">
      <selection activeCell="D39" sqref="D39"/>
    </sheetView>
  </sheetViews>
  <sheetFormatPr baseColWidth="10" defaultRowHeight="16" x14ac:dyDescent="0.2"/>
  <cols>
    <col min="1" max="1" width="31" style="9" customWidth="1"/>
    <col min="2" max="2" width="70.5" style="9" customWidth="1"/>
    <col min="3" max="3" width="15" style="9" customWidth="1"/>
    <col min="4" max="4" width="40.5" style="9" customWidth="1"/>
    <col min="5" max="5" width="10.83203125" style="9"/>
    <col min="6" max="6" width="40" style="9" customWidth="1"/>
    <col min="7" max="7" width="11.1640625" style="9" bestFit="1" customWidth="1"/>
    <col min="8" max="8" width="40.83203125" style="9" customWidth="1"/>
    <col min="9" max="9" width="10.83203125" style="9"/>
    <col min="10" max="10" width="43" style="9" customWidth="1"/>
    <col min="11" max="11" width="10.83203125" style="9"/>
    <col min="12" max="12" width="47.6640625" style="9" customWidth="1"/>
    <col min="13" max="16384" width="10.83203125" style="9"/>
  </cols>
  <sheetData>
    <row r="2" spans="1:12" x14ac:dyDescent="0.2">
      <c r="A2" s="31" t="s">
        <v>246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4"/>
    </row>
    <row r="3" spans="1:12" x14ac:dyDescent="0.2">
      <c r="A3" s="15"/>
      <c r="B3" s="8"/>
      <c r="C3" s="8"/>
      <c r="D3" s="16"/>
      <c r="E3" s="16"/>
      <c r="F3" s="16"/>
      <c r="G3" s="16"/>
      <c r="H3" s="16"/>
      <c r="I3" s="16"/>
      <c r="J3" s="16"/>
      <c r="K3" s="16"/>
      <c r="L3" s="23"/>
    </row>
    <row r="4" spans="1:12" ht="17" thickBot="1" x14ac:dyDescent="0.25">
      <c r="A4" s="15"/>
      <c r="B4" s="161" t="s">
        <v>130</v>
      </c>
      <c r="C4" s="162"/>
      <c r="D4" s="163"/>
      <c r="E4" s="16"/>
      <c r="F4" s="16"/>
      <c r="G4" s="16"/>
      <c r="H4" s="16"/>
      <c r="I4" s="16"/>
      <c r="J4" s="16"/>
      <c r="K4" s="16"/>
      <c r="L4" s="23"/>
    </row>
    <row r="5" spans="1:12" ht="17" thickBot="1" x14ac:dyDescent="0.25">
      <c r="A5" s="15"/>
      <c r="B5" s="11" t="s">
        <v>326</v>
      </c>
      <c r="C5" s="88" t="s">
        <v>132</v>
      </c>
      <c r="D5" s="24">
        <f>K27</f>
        <v>2.4046515405020084E-2</v>
      </c>
      <c r="E5" s="16"/>
      <c r="F5" s="16"/>
      <c r="G5" s="16"/>
      <c r="H5" s="16"/>
      <c r="I5" s="16"/>
      <c r="J5" s="16"/>
      <c r="K5" s="16"/>
      <c r="L5" s="23"/>
    </row>
    <row r="6" spans="1:12" ht="17" thickBot="1" x14ac:dyDescent="0.25">
      <c r="A6" s="15"/>
      <c r="B6" s="15" t="s">
        <v>327</v>
      </c>
      <c r="C6" s="89" t="s">
        <v>132</v>
      </c>
      <c r="D6" s="24">
        <f t="shared" ref="D6:D7" si="0">K28</f>
        <v>0.90410014701527897</v>
      </c>
      <c r="E6" s="16"/>
      <c r="F6" s="96"/>
      <c r="G6" s="16"/>
      <c r="H6" s="16"/>
      <c r="I6" s="16"/>
      <c r="J6" s="16"/>
      <c r="K6" s="16"/>
      <c r="L6" s="23"/>
    </row>
    <row r="7" spans="1:12" ht="17" thickBot="1" x14ac:dyDescent="0.25">
      <c r="A7" s="15"/>
      <c r="B7" s="22" t="s">
        <v>328</v>
      </c>
      <c r="C7" s="90" t="s">
        <v>132</v>
      </c>
      <c r="D7" s="24">
        <f t="shared" si="0"/>
        <v>7.1853337579700957E-2</v>
      </c>
      <c r="E7" s="16"/>
      <c r="F7" s="16"/>
      <c r="G7" s="16"/>
      <c r="H7" s="16"/>
      <c r="I7" s="16"/>
      <c r="J7" s="16"/>
      <c r="K7" s="16"/>
      <c r="L7" s="23"/>
    </row>
    <row r="8" spans="1:12" ht="17" thickBot="1" x14ac:dyDescent="0.25">
      <c r="A8" s="15"/>
      <c r="B8" s="91"/>
      <c r="C8" s="16"/>
      <c r="D8" s="20"/>
      <c r="E8" s="16"/>
      <c r="F8" s="16"/>
      <c r="G8" s="16"/>
      <c r="H8" s="16"/>
      <c r="I8" s="16"/>
      <c r="J8" s="16"/>
      <c r="K8" s="16"/>
      <c r="L8" s="23"/>
    </row>
    <row r="9" spans="1:12" ht="17" thickBot="1" x14ac:dyDescent="0.25">
      <c r="A9" s="15"/>
      <c r="B9" s="11" t="s">
        <v>329</v>
      </c>
      <c r="C9" s="88" t="s">
        <v>132</v>
      </c>
      <c r="D9" s="21">
        <f>K30</f>
        <v>0.89342726447276688</v>
      </c>
      <c r="E9" s="16"/>
      <c r="F9" s="16"/>
      <c r="G9" s="16"/>
      <c r="H9" s="16"/>
      <c r="I9" s="16"/>
      <c r="J9" s="16"/>
      <c r="K9" s="16"/>
      <c r="L9" s="23"/>
    </row>
    <row r="10" spans="1:12" ht="17" thickBot="1" x14ac:dyDescent="0.25">
      <c r="A10" s="15"/>
      <c r="B10" s="22" t="s">
        <v>330</v>
      </c>
      <c r="C10" s="90" t="s">
        <v>132</v>
      </c>
      <c r="D10" s="21">
        <f>K31</f>
        <v>0.10657273552723304</v>
      </c>
      <c r="E10" s="16"/>
      <c r="F10" s="16"/>
      <c r="G10" s="16"/>
      <c r="H10" s="16"/>
      <c r="I10" s="16"/>
      <c r="J10" s="16"/>
      <c r="K10" s="16"/>
      <c r="L10" s="23"/>
    </row>
    <row r="11" spans="1:12" ht="17" thickBot="1" x14ac:dyDescent="0.25">
      <c r="A11" s="15"/>
      <c r="B11" s="22"/>
      <c r="C11" s="16"/>
      <c r="D11" s="23"/>
      <c r="E11" s="16"/>
      <c r="F11" s="16"/>
      <c r="G11" s="16"/>
      <c r="H11" s="16"/>
      <c r="I11" s="16"/>
      <c r="J11" s="16"/>
      <c r="K11" s="16"/>
      <c r="L11" s="23"/>
    </row>
    <row r="12" spans="1:12" ht="17" thickBot="1" x14ac:dyDescent="0.25">
      <c r="A12" s="15"/>
      <c r="B12" s="31" t="s">
        <v>331</v>
      </c>
      <c r="C12" s="92" t="s">
        <v>132</v>
      </c>
      <c r="D12" s="21">
        <v>1</v>
      </c>
      <c r="E12" s="16"/>
      <c r="F12" s="16"/>
      <c r="G12" s="16"/>
      <c r="H12" s="16"/>
      <c r="I12" s="16"/>
      <c r="J12" s="16"/>
      <c r="K12" s="16"/>
      <c r="L12" s="23"/>
    </row>
    <row r="13" spans="1:12" ht="17" thickBot="1" x14ac:dyDescent="0.25">
      <c r="A13" s="15"/>
      <c r="B13" s="16"/>
      <c r="C13" s="16"/>
      <c r="D13" s="14"/>
      <c r="E13" s="16"/>
      <c r="F13" s="16"/>
      <c r="G13" s="16"/>
      <c r="H13" s="16"/>
      <c r="I13" s="16"/>
      <c r="J13" s="16"/>
      <c r="K13" s="16"/>
      <c r="L13" s="23"/>
    </row>
    <row r="14" spans="1:12" ht="17" thickBot="1" x14ac:dyDescent="0.25">
      <c r="A14" s="15"/>
      <c r="B14" s="11" t="s">
        <v>332</v>
      </c>
      <c r="C14" s="88" t="s">
        <v>132</v>
      </c>
      <c r="D14" s="93">
        <f>G27</f>
        <v>158240476.11543265</v>
      </c>
      <c r="E14" s="16"/>
      <c r="F14" s="16"/>
      <c r="G14" s="16"/>
      <c r="H14" s="16"/>
      <c r="I14" s="16"/>
      <c r="J14" s="16"/>
      <c r="K14" s="16"/>
      <c r="L14" s="23"/>
    </row>
    <row r="15" spans="1:12" ht="17" thickBot="1" x14ac:dyDescent="0.25">
      <c r="A15" s="15"/>
      <c r="B15" s="15" t="s">
        <v>333</v>
      </c>
      <c r="C15" s="89" t="s">
        <v>132</v>
      </c>
      <c r="D15" s="93">
        <f t="shared" ref="D15:D16" si="1">G28</f>
        <v>5949520556.7232962</v>
      </c>
      <c r="E15" s="16"/>
      <c r="F15" s="16"/>
      <c r="G15" s="16"/>
      <c r="H15" s="16"/>
      <c r="I15" s="16"/>
      <c r="J15" s="16"/>
      <c r="K15" s="16"/>
      <c r="L15" s="23"/>
    </row>
    <row r="16" spans="1:12" ht="17" thickBot="1" x14ac:dyDescent="0.25">
      <c r="A16" s="15"/>
      <c r="B16" s="22" t="s">
        <v>334</v>
      </c>
      <c r="C16" s="90" t="s">
        <v>132</v>
      </c>
      <c r="D16" s="93">
        <f t="shared" si="1"/>
        <v>472838004.07609588</v>
      </c>
      <c r="E16" s="16"/>
      <c r="F16" s="16"/>
      <c r="G16" s="16"/>
      <c r="H16" s="16"/>
      <c r="I16" s="16"/>
      <c r="J16" s="16"/>
      <c r="K16" s="16"/>
      <c r="L16" s="23"/>
    </row>
    <row r="17" spans="1:12" ht="17" thickBot="1" x14ac:dyDescent="0.25">
      <c r="A17" s="15"/>
      <c r="B17" s="91"/>
      <c r="C17" s="16"/>
      <c r="D17" s="94"/>
      <c r="E17" s="16"/>
      <c r="F17" s="16"/>
      <c r="G17" s="16"/>
      <c r="H17" s="16"/>
      <c r="I17" s="16"/>
      <c r="J17" s="16"/>
      <c r="K17" s="16"/>
      <c r="L17" s="23"/>
    </row>
    <row r="18" spans="1:12" ht="17" thickBot="1" x14ac:dyDescent="0.25">
      <c r="A18" s="15"/>
      <c r="B18" s="11" t="s">
        <v>335</v>
      </c>
      <c r="C18" s="88" t="s">
        <v>132</v>
      </c>
      <c r="D18" s="93">
        <f>G30</f>
        <v>1290914018.4957643</v>
      </c>
      <c r="E18" s="16"/>
      <c r="F18" s="16"/>
      <c r="G18" s="16"/>
      <c r="H18" s="16"/>
      <c r="I18" s="16"/>
      <c r="J18" s="16"/>
      <c r="K18" s="16"/>
      <c r="L18" s="23"/>
    </row>
    <row r="19" spans="1:12" ht="17" thickBot="1" x14ac:dyDescent="0.25">
      <c r="A19" s="15"/>
      <c r="B19" s="22" t="s">
        <v>336</v>
      </c>
      <c r="C19" s="90" t="s">
        <v>132</v>
      </c>
      <c r="D19" s="93">
        <f>G31</f>
        <v>153987060.56136957</v>
      </c>
      <c r="E19" s="16"/>
      <c r="F19" s="16"/>
      <c r="G19" s="16"/>
      <c r="H19" s="16"/>
      <c r="I19" s="16"/>
      <c r="J19" s="16"/>
      <c r="K19" s="16"/>
      <c r="L19" s="23"/>
    </row>
    <row r="20" spans="1:12" ht="17" thickBot="1" x14ac:dyDescent="0.25">
      <c r="A20" s="15"/>
      <c r="B20" s="22"/>
      <c r="C20" s="16"/>
      <c r="D20" s="95"/>
      <c r="E20" s="16"/>
      <c r="F20" s="16"/>
      <c r="G20" s="16"/>
      <c r="H20" s="16"/>
      <c r="I20" s="16"/>
      <c r="J20" s="16"/>
      <c r="K20" s="16"/>
      <c r="L20" s="23"/>
    </row>
    <row r="21" spans="1:12" ht="17" thickBot="1" x14ac:dyDescent="0.25">
      <c r="A21" s="15"/>
      <c r="B21" s="31" t="s">
        <v>337</v>
      </c>
      <c r="C21" s="92" t="s">
        <v>132</v>
      </c>
      <c r="D21" s="93">
        <f>G32</f>
        <v>0</v>
      </c>
      <c r="E21" s="16"/>
      <c r="F21" s="16"/>
      <c r="G21" s="16"/>
      <c r="H21" s="16"/>
      <c r="I21" s="16"/>
      <c r="J21" s="16"/>
      <c r="K21" s="16"/>
      <c r="L21" s="23"/>
    </row>
    <row r="22" spans="1:12" x14ac:dyDescent="0.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23"/>
    </row>
    <row r="23" spans="1:12" x14ac:dyDescent="0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3"/>
    </row>
    <row r="24" spans="1:12" x14ac:dyDescent="0.2">
      <c r="A24" s="31" t="s">
        <v>456</v>
      </c>
      <c r="B24" s="31" t="s">
        <v>368</v>
      </c>
      <c r="C24" s="32"/>
      <c r="D24" s="32"/>
      <c r="E24" s="34"/>
      <c r="F24" s="32" t="s">
        <v>369</v>
      </c>
      <c r="G24" s="32"/>
      <c r="H24" s="32"/>
      <c r="I24" s="32"/>
      <c r="J24" s="31" t="s">
        <v>370</v>
      </c>
      <c r="K24" s="32"/>
      <c r="L24" s="34"/>
    </row>
    <row r="25" spans="1:12" x14ac:dyDescent="0.2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23"/>
    </row>
    <row r="26" spans="1:12" x14ac:dyDescent="0.2">
      <c r="A26" s="15"/>
      <c r="B26" s="27" t="s">
        <v>421</v>
      </c>
      <c r="C26" s="27" t="s">
        <v>420</v>
      </c>
      <c r="D26" s="27" t="s">
        <v>128</v>
      </c>
      <c r="E26" s="16"/>
      <c r="F26" s="27" t="s">
        <v>444</v>
      </c>
      <c r="G26" s="27" t="s">
        <v>438</v>
      </c>
      <c r="H26" s="27" t="s">
        <v>128</v>
      </c>
      <c r="I26" s="16"/>
      <c r="J26" s="27" t="s">
        <v>448</v>
      </c>
      <c r="K26" s="27" t="s">
        <v>175</v>
      </c>
      <c r="L26" s="27" t="s">
        <v>128</v>
      </c>
    </row>
    <row r="27" spans="1:12" x14ac:dyDescent="0.2">
      <c r="A27" s="15"/>
      <c r="B27" s="28" t="s">
        <v>398</v>
      </c>
      <c r="C27" s="103">
        <f>'Datadump - rail'!U14</f>
        <v>3.7795088400552368</v>
      </c>
      <c r="D27" s="28"/>
      <c r="E27" s="16"/>
      <c r="F27" s="28" t="s">
        <v>436</v>
      </c>
      <c r="G27" s="105">
        <f>C27*C47</f>
        <v>158240476.11543265</v>
      </c>
      <c r="H27" s="28"/>
      <c r="I27" s="16"/>
      <c r="J27" s="28" t="s">
        <v>449</v>
      </c>
      <c r="K27" s="102">
        <f>G27/G36</f>
        <v>2.4046515405020084E-2</v>
      </c>
      <c r="L27" s="28"/>
    </row>
    <row r="28" spans="1:12" x14ac:dyDescent="0.2">
      <c r="A28" s="15"/>
      <c r="B28" s="28" t="s">
        <v>399</v>
      </c>
      <c r="C28" s="103">
        <f>'Datadump - rail'!U12</f>
        <v>134.86348954806601</v>
      </c>
      <c r="D28" s="28"/>
      <c r="E28" s="16"/>
      <c r="F28" s="28" t="s">
        <v>435</v>
      </c>
      <c r="G28" s="105">
        <f>(C28+C29)*C47</f>
        <v>5949520556.7232962</v>
      </c>
      <c r="H28" s="28" t="s">
        <v>442</v>
      </c>
      <c r="I28" s="16"/>
      <c r="J28" s="28" t="s">
        <v>451</v>
      </c>
      <c r="K28" s="102">
        <f>G28/G36</f>
        <v>0.90410014701527897</v>
      </c>
      <c r="L28" s="28"/>
    </row>
    <row r="29" spans="1:12" x14ac:dyDescent="0.2">
      <c r="A29" s="15"/>
      <c r="B29" s="28" t="s">
        <v>400</v>
      </c>
      <c r="C29" s="103">
        <f>'Datadump - rail'!U13</f>
        <v>7.2383676393634344</v>
      </c>
      <c r="D29" s="28"/>
      <c r="E29" s="16"/>
      <c r="F29" s="28" t="s">
        <v>437</v>
      </c>
      <c r="G29" s="105">
        <f>C30*C47</f>
        <v>472838004.07609588</v>
      </c>
      <c r="H29" s="28"/>
      <c r="I29" s="16"/>
      <c r="J29" s="28" t="s">
        <v>450</v>
      </c>
      <c r="K29" s="102">
        <f>G29/G36</f>
        <v>7.1853337579700957E-2</v>
      </c>
      <c r="L29" s="28"/>
    </row>
    <row r="30" spans="1:12" x14ac:dyDescent="0.2">
      <c r="A30" s="15"/>
      <c r="B30" s="28" t="s">
        <v>426</v>
      </c>
      <c r="C30" s="103">
        <f>'Datadump - rail'!U17</f>
        <v>11.293541704311069</v>
      </c>
      <c r="D30" s="28"/>
      <c r="E30" s="16"/>
      <c r="F30" s="28" t="s">
        <v>439</v>
      </c>
      <c r="G30" s="105">
        <f>C36*C47</f>
        <v>1290914018.4957643</v>
      </c>
      <c r="H30" s="28"/>
      <c r="I30" s="16"/>
      <c r="J30" s="28" t="s">
        <v>452</v>
      </c>
      <c r="K30" s="102">
        <f>G30/G37</f>
        <v>0.89342726447276688</v>
      </c>
      <c r="L30" s="28"/>
    </row>
    <row r="31" spans="1:12" x14ac:dyDescent="0.2">
      <c r="A31" s="15"/>
      <c r="B31" s="16"/>
      <c r="C31" s="16"/>
      <c r="D31" s="16"/>
      <c r="E31" s="16"/>
      <c r="F31" s="28" t="s">
        <v>440</v>
      </c>
      <c r="G31" s="105">
        <f>C37*C47</f>
        <v>153987060.56136957</v>
      </c>
      <c r="H31" s="28"/>
      <c r="I31" s="16"/>
      <c r="J31" s="28" t="s">
        <v>453</v>
      </c>
      <c r="K31" s="102">
        <f>G31/G37</f>
        <v>0.10657273552723304</v>
      </c>
      <c r="L31" s="28"/>
    </row>
    <row r="32" spans="1:12" ht="51" x14ac:dyDescent="0.2">
      <c r="A32" s="15"/>
      <c r="B32" s="28" t="s">
        <v>152</v>
      </c>
      <c r="C32" s="28" t="s">
        <v>423</v>
      </c>
      <c r="D32" s="30" t="s">
        <v>424</v>
      </c>
      <c r="E32" s="16"/>
      <c r="F32" s="28" t="s">
        <v>441</v>
      </c>
      <c r="G32" s="105">
        <f>C43*C47</f>
        <v>0</v>
      </c>
      <c r="H32" s="28"/>
      <c r="I32" s="16"/>
      <c r="J32" s="28" t="s">
        <v>454</v>
      </c>
      <c r="K32" s="102">
        <v>1</v>
      </c>
      <c r="L32" s="28" t="s">
        <v>455</v>
      </c>
    </row>
    <row r="33" spans="1:12" x14ac:dyDescent="0.2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23"/>
    </row>
    <row r="34" spans="1:12" x14ac:dyDescent="0.2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23"/>
    </row>
    <row r="35" spans="1:12" x14ac:dyDescent="0.2">
      <c r="A35" s="15"/>
      <c r="B35" s="27" t="s">
        <v>422</v>
      </c>
      <c r="C35" s="27" t="s">
        <v>420</v>
      </c>
      <c r="D35" s="27" t="s">
        <v>128</v>
      </c>
      <c r="E35" s="16"/>
      <c r="F35" s="27" t="s">
        <v>443</v>
      </c>
      <c r="G35" s="27" t="s">
        <v>438</v>
      </c>
      <c r="H35" s="27" t="s">
        <v>128</v>
      </c>
      <c r="I35" s="16"/>
      <c r="J35" s="16"/>
      <c r="K35" s="16"/>
      <c r="L35" s="23"/>
    </row>
    <row r="36" spans="1:12" x14ac:dyDescent="0.2">
      <c r="A36" s="15"/>
      <c r="B36" s="28" t="s">
        <v>425</v>
      </c>
      <c r="C36" s="103">
        <f>'Datadump - rail'!U11</f>
        <v>30.83295162166247</v>
      </c>
      <c r="D36" s="28"/>
      <c r="E36" s="16"/>
      <c r="F36" s="28" t="s">
        <v>445</v>
      </c>
      <c r="G36" s="100">
        <f>G29+G28+G27</f>
        <v>6580599036.9148245</v>
      </c>
      <c r="H36" s="28"/>
      <c r="I36" s="16"/>
      <c r="J36" s="16"/>
      <c r="K36" s="16"/>
      <c r="L36" s="23"/>
    </row>
    <row r="37" spans="1:12" x14ac:dyDescent="0.2">
      <c r="A37" s="15"/>
      <c r="B37" s="28" t="s">
        <v>427</v>
      </c>
      <c r="C37" s="103">
        <f>'Datadump - rail'!X16</f>
        <v>3.6779177548812831</v>
      </c>
      <c r="D37" s="28"/>
      <c r="E37" s="16"/>
      <c r="F37" s="28" t="s">
        <v>446</v>
      </c>
      <c r="G37" s="100">
        <f>G30+G31</f>
        <v>1444901079.0571339</v>
      </c>
      <c r="H37" s="28"/>
      <c r="I37" s="16"/>
      <c r="J37" s="16"/>
      <c r="K37" s="16"/>
      <c r="L37" s="23"/>
    </row>
    <row r="38" spans="1:12" x14ac:dyDescent="0.2">
      <c r="A38" s="15"/>
      <c r="B38" s="16"/>
      <c r="C38" s="16"/>
      <c r="D38" s="16"/>
      <c r="E38" s="16"/>
      <c r="F38" s="28" t="s">
        <v>447</v>
      </c>
      <c r="G38" s="100">
        <f>G32</f>
        <v>0</v>
      </c>
      <c r="H38" s="28"/>
      <c r="I38" s="16"/>
      <c r="J38" s="16"/>
      <c r="K38" s="16"/>
      <c r="L38" s="23"/>
    </row>
    <row r="39" spans="1:12" ht="51" x14ac:dyDescent="0.2">
      <c r="A39" s="15"/>
      <c r="B39" s="28" t="s">
        <v>152</v>
      </c>
      <c r="C39" s="28" t="s">
        <v>423</v>
      </c>
      <c r="D39" s="30" t="s">
        <v>424</v>
      </c>
      <c r="E39" s="16"/>
      <c r="F39" s="16"/>
      <c r="G39" s="16"/>
      <c r="H39" s="16"/>
      <c r="I39" s="16"/>
      <c r="J39" s="16"/>
      <c r="K39" s="16"/>
      <c r="L39" s="23"/>
    </row>
    <row r="40" spans="1:12" x14ac:dyDescent="0.2">
      <c r="A40" s="15"/>
      <c r="B40" s="16"/>
      <c r="C40" s="16"/>
      <c r="D40" s="37"/>
      <c r="E40" s="16"/>
      <c r="F40" s="16"/>
      <c r="G40" s="16"/>
      <c r="H40" s="16"/>
      <c r="I40" s="16"/>
      <c r="J40" s="16"/>
      <c r="K40" s="16"/>
      <c r="L40" s="23"/>
    </row>
    <row r="41" spans="1:12" x14ac:dyDescent="0.2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23"/>
    </row>
    <row r="42" spans="1:12" x14ac:dyDescent="0.2">
      <c r="A42" s="15"/>
      <c r="B42" s="27" t="s">
        <v>428</v>
      </c>
      <c r="C42" s="27" t="s">
        <v>420</v>
      </c>
      <c r="D42" s="27" t="s">
        <v>128</v>
      </c>
      <c r="E42" s="16"/>
      <c r="F42" s="16"/>
      <c r="G42" s="16"/>
      <c r="H42" s="16"/>
      <c r="I42" s="16"/>
      <c r="J42" s="16"/>
      <c r="K42" s="16"/>
      <c r="L42" s="23"/>
    </row>
    <row r="43" spans="1:12" x14ac:dyDescent="0.2">
      <c r="A43" s="15"/>
      <c r="B43" s="28" t="s">
        <v>429</v>
      </c>
      <c r="C43" s="98">
        <v>0</v>
      </c>
      <c r="D43" s="28" t="s">
        <v>430</v>
      </c>
      <c r="E43" s="16"/>
      <c r="F43" s="16"/>
      <c r="G43" s="16"/>
      <c r="H43" s="16"/>
      <c r="I43" s="16"/>
      <c r="J43" s="16"/>
      <c r="K43" s="16"/>
      <c r="L43" s="23"/>
    </row>
    <row r="44" spans="1:12" x14ac:dyDescent="0.2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23"/>
    </row>
    <row r="45" spans="1:12" x14ac:dyDescent="0.2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23"/>
    </row>
    <row r="46" spans="1:12" x14ac:dyDescent="0.2">
      <c r="A46" s="15"/>
      <c r="B46" s="27" t="s">
        <v>431</v>
      </c>
      <c r="C46" s="27" t="s">
        <v>433</v>
      </c>
      <c r="D46" s="27" t="s">
        <v>128</v>
      </c>
      <c r="E46" s="16"/>
      <c r="F46" s="16"/>
      <c r="G46" s="16"/>
      <c r="H46" s="16"/>
      <c r="I46" s="16"/>
      <c r="J46" s="16"/>
      <c r="K46" s="16"/>
      <c r="L46" s="23"/>
    </row>
    <row r="47" spans="1:12" x14ac:dyDescent="0.2">
      <c r="A47" s="15"/>
      <c r="B47" s="28" t="s">
        <v>432</v>
      </c>
      <c r="C47" s="98">
        <v>41868000</v>
      </c>
      <c r="D47" s="28" t="s">
        <v>434</v>
      </c>
      <c r="E47" s="16"/>
      <c r="F47" s="16"/>
      <c r="G47" s="16"/>
      <c r="H47" s="16"/>
      <c r="I47" s="16"/>
      <c r="J47" s="16"/>
      <c r="K47" s="16"/>
      <c r="L47" s="23"/>
    </row>
    <row r="48" spans="1:12" x14ac:dyDescent="0.2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3"/>
    </row>
    <row r="49" spans="1:12" x14ac:dyDescent="0.2">
      <c r="A49" s="22"/>
      <c r="B49" s="8"/>
      <c r="C49" s="8"/>
      <c r="D49" s="8"/>
      <c r="E49" s="8"/>
      <c r="F49" s="8"/>
      <c r="G49" s="8"/>
      <c r="H49" s="8"/>
      <c r="I49" s="8"/>
      <c r="J49" s="8"/>
      <c r="K49" s="8"/>
      <c r="L49" s="36"/>
    </row>
  </sheetData>
  <mergeCells count="1">
    <mergeCell ref="B4:D4"/>
  </mergeCells>
  <dataValidations count="1">
    <dataValidation type="decimal" allowBlank="1" showInputMessage="1" showErrorMessage="1" errorTitle="Number Range" error="This cell can only contain a number between 0% and 100%" sqref="D21 D5:D7 D12:D13 D9:D10" xr:uid="{04A3B0CA-FB8A-FF42-B567-B7090D7A747A}">
      <formula1>0</formula1>
      <formula2>1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980D-3A41-6A4C-B361-70250D4962CC}">
  <sheetPr>
    <tabColor rgb="FFDAEEF3"/>
  </sheetPr>
  <dimension ref="C9:M34"/>
  <sheetViews>
    <sheetView workbookViewId="0">
      <selection activeCell="E19" sqref="E19:E20"/>
    </sheetView>
  </sheetViews>
  <sheetFormatPr baseColWidth="10" defaultRowHeight="16" x14ac:dyDescent="0.2"/>
  <cols>
    <col min="1" max="2" width="10.83203125" style="9"/>
    <col min="3" max="3" width="55.33203125" style="9" bestFit="1" customWidth="1"/>
    <col min="4" max="4" width="37.83203125" style="9" customWidth="1"/>
    <col min="5" max="5" width="53.6640625" style="9" customWidth="1"/>
    <col min="6" max="16384" width="10.83203125" style="9"/>
  </cols>
  <sheetData>
    <row r="9" spans="3:13" x14ac:dyDescent="0.2">
      <c r="C9" s="27" t="s">
        <v>338</v>
      </c>
      <c r="D9" s="27">
        <v>2015</v>
      </c>
      <c r="E9" s="27" t="s">
        <v>128</v>
      </c>
      <c r="G9" s="166" t="s">
        <v>355</v>
      </c>
      <c r="H9" s="12"/>
      <c r="I9" s="12"/>
      <c r="J9" s="12"/>
      <c r="K9" s="12"/>
      <c r="L9" s="12"/>
      <c r="M9" s="167"/>
    </row>
    <row r="10" spans="3:13" x14ac:dyDescent="0.2">
      <c r="C10" s="28" t="s">
        <v>339</v>
      </c>
      <c r="D10" s="28">
        <v>7522</v>
      </c>
      <c r="E10" s="28"/>
      <c r="G10" s="15"/>
      <c r="H10" s="16"/>
      <c r="I10" s="16"/>
      <c r="J10" s="16"/>
      <c r="K10" s="16"/>
      <c r="L10" s="16"/>
      <c r="M10" s="23"/>
    </row>
    <row r="11" spans="3:13" x14ac:dyDescent="0.2">
      <c r="C11" s="28" t="s">
        <v>340</v>
      </c>
      <c r="D11" s="28">
        <v>2799</v>
      </c>
      <c r="E11" s="28"/>
      <c r="G11" s="15"/>
      <c r="H11" s="16"/>
      <c r="I11" s="16"/>
      <c r="J11" s="16"/>
      <c r="K11" s="16"/>
      <c r="L11" s="16"/>
      <c r="M11" s="23"/>
    </row>
    <row r="12" spans="3:13" x14ac:dyDescent="0.2">
      <c r="C12" s="28" t="s">
        <v>341</v>
      </c>
      <c r="D12" s="28">
        <v>479</v>
      </c>
      <c r="E12" s="28"/>
      <c r="G12" s="15"/>
      <c r="H12" s="16"/>
      <c r="I12" s="16"/>
      <c r="J12" s="16"/>
      <c r="K12" s="16"/>
      <c r="L12" s="16"/>
      <c r="M12" s="23"/>
    </row>
    <row r="13" spans="3:13" x14ac:dyDescent="0.2">
      <c r="C13" s="28" t="s">
        <v>342</v>
      </c>
      <c r="D13" s="28">
        <v>673</v>
      </c>
      <c r="E13" s="28"/>
      <c r="G13" s="15"/>
      <c r="H13" s="16"/>
      <c r="I13" s="16"/>
      <c r="J13" s="16"/>
      <c r="K13" s="16"/>
      <c r="L13" s="16"/>
      <c r="M13" s="23"/>
    </row>
    <row r="14" spans="3:13" x14ac:dyDescent="0.2">
      <c r="C14" s="28" t="s">
        <v>343</v>
      </c>
      <c r="D14" s="28">
        <v>2</v>
      </c>
      <c r="E14" s="28"/>
      <c r="G14" s="15"/>
      <c r="H14" s="16"/>
      <c r="I14" s="16"/>
      <c r="J14" s="16"/>
      <c r="K14" s="16"/>
      <c r="L14" s="16"/>
      <c r="M14" s="23"/>
    </row>
    <row r="15" spans="3:13" x14ac:dyDescent="0.2">
      <c r="C15" s="28" t="s">
        <v>344</v>
      </c>
      <c r="D15" s="28">
        <v>202</v>
      </c>
      <c r="E15" s="28"/>
      <c r="G15" s="15"/>
      <c r="H15" s="16"/>
      <c r="I15" s="16"/>
      <c r="J15" s="16"/>
      <c r="K15" s="16"/>
      <c r="L15" s="16"/>
      <c r="M15" s="23"/>
    </row>
    <row r="16" spans="3:13" x14ac:dyDescent="0.2">
      <c r="C16" s="28" t="s">
        <v>345</v>
      </c>
      <c r="D16" s="28">
        <v>20</v>
      </c>
      <c r="E16" s="28"/>
      <c r="G16" s="15"/>
      <c r="H16" s="16"/>
      <c r="I16" s="16"/>
      <c r="J16" s="16"/>
      <c r="K16" s="16"/>
      <c r="L16" s="16"/>
      <c r="M16" s="23"/>
    </row>
    <row r="17" spans="3:13" x14ac:dyDescent="0.2">
      <c r="C17" s="28" t="s">
        <v>357</v>
      </c>
      <c r="D17" s="105">
        <f>SUM(D10:D16)</f>
        <v>11697</v>
      </c>
      <c r="E17" s="28"/>
      <c r="G17" s="15"/>
      <c r="H17" s="16"/>
      <c r="I17" s="16"/>
      <c r="J17" s="16"/>
      <c r="K17" s="16"/>
      <c r="L17" s="16"/>
      <c r="M17" s="23"/>
    </row>
    <row r="18" spans="3:13" x14ac:dyDescent="0.2">
      <c r="G18" s="15"/>
      <c r="H18" s="16"/>
      <c r="I18" s="16"/>
      <c r="J18" s="16"/>
      <c r="K18" s="16"/>
      <c r="L18" s="16"/>
      <c r="M18" s="23"/>
    </row>
    <row r="19" spans="3:13" ht="51" x14ac:dyDescent="0.2">
      <c r="C19" s="28" t="s">
        <v>152</v>
      </c>
      <c r="D19" s="30" t="s">
        <v>353</v>
      </c>
      <c r="E19" s="16"/>
      <c r="G19" s="15"/>
      <c r="H19" s="16"/>
      <c r="I19" s="16"/>
      <c r="J19" s="16"/>
      <c r="K19" s="16"/>
      <c r="L19" s="16"/>
      <c r="M19" s="23"/>
    </row>
    <row r="20" spans="3:13" x14ac:dyDescent="0.2">
      <c r="G20" s="15"/>
      <c r="H20" s="16"/>
      <c r="I20" s="16"/>
      <c r="J20" s="16"/>
      <c r="K20" s="16"/>
      <c r="L20" s="16"/>
      <c r="M20" s="23"/>
    </row>
    <row r="21" spans="3:13" x14ac:dyDescent="0.2">
      <c r="G21" s="15"/>
      <c r="H21" s="16"/>
      <c r="I21" s="16"/>
      <c r="J21" s="16"/>
      <c r="K21" s="16"/>
      <c r="L21" s="16"/>
      <c r="M21" s="23"/>
    </row>
    <row r="22" spans="3:13" x14ac:dyDescent="0.2">
      <c r="G22" s="15"/>
      <c r="H22" s="16"/>
      <c r="I22" s="16"/>
      <c r="J22" s="16"/>
      <c r="K22" s="16"/>
      <c r="L22" s="16"/>
      <c r="M22" s="23"/>
    </row>
    <row r="23" spans="3:13" x14ac:dyDescent="0.2">
      <c r="G23" s="22"/>
      <c r="H23" s="8"/>
      <c r="I23" s="8"/>
      <c r="J23" s="8"/>
      <c r="K23" s="8"/>
      <c r="L23" s="8"/>
      <c r="M23" s="36"/>
    </row>
    <row r="26" spans="3:13" x14ac:dyDescent="0.2">
      <c r="C26" s="27" t="s">
        <v>346</v>
      </c>
      <c r="D26" s="27">
        <v>2019</v>
      </c>
      <c r="E26" s="27" t="s">
        <v>128</v>
      </c>
    </row>
    <row r="27" spans="3:13" x14ac:dyDescent="0.2">
      <c r="C27" s="28" t="s">
        <v>347</v>
      </c>
      <c r="D27" s="28">
        <v>7743270</v>
      </c>
      <c r="E27" s="28"/>
    </row>
    <row r="28" spans="3:13" x14ac:dyDescent="0.2">
      <c r="C28" s="28" t="s">
        <v>348</v>
      </c>
      <c r="D28" s="28">
        <v>1428253</v>
      </c>
      <c r="E28" s="28"/>
    </row>
    <row r="29" spans="3:13" x14ac:dyDescent="0.2">
      <c r="C29" s="28" t="s">
        <v>349</v>
      </c>
      <c r="D29" s="28">
        <v>134382</v>
      </c>
      <c r="E29" s="28"/>
    </row>
    <row r="30" spans="3:13" x14ac:dyDescent="0.2">
      <c r="C30" s="28" t="s">
        <v>350</v>
      </c>
      <c r="D30" s="28">
        <v>108602</v>
      </c>
      <c r="E30" s="28"/>
    </row>
    <row r="31" spans="3:13" x14ac:dyDescent="0.2">
      <c r="C31" s="28" t="s">
        <v>351</v>
      </c>
      <c r="D31" s="28">
        <v>106524</v>
      </c>
      <c r="E31" s="28"/>
    </row>
    <row r="32" spans="3:13" ht="68" x14ac:dyDescent="0.2">
      <c r="C32" s="28" t="s">
        <v>352</v>
      </c>
      <c r="D32" s="105">
        <v>11961</v>
      </c>
      <c r="E32" s="30" t="s">
        <v>356</v>
      </c>
    </row>
    <row r="34" spans="3:5" ht="85" x14ac:dyDescent="0.2">
      <c r="C34" s="28" t="s">
        <v>152</v>
      </c>
      <c r="D34" s="30" t="s">
        <v>354</v>
      </c>
      <c r="E34" s="1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04C2-D473-654F-AB19-892C0C2D0D60}">
  <sheetPr>
    <tabColor rgb="FFEBF1DE"/>
  </sheetPr>
  <dimension ref="A1:N53"/>
  <sheetViews>
    <sheetView workbookViewId="0">
      <selection activeCell="D64" sqref="D64"/>
    </sheetView>
  </sheetViews>
  <sheetFormatPr baseColWidth="10" defaultRowHeight="16" x14ac:dyDescent="0.2"/>
  <cols>
    <col min="1" max="1" width="26.33203125" bestFit="1" customWidth="1"/>
    <col min="2" max="2" width="16.6640625" bestFit="1" customWidth="1"/>
    <col min="3" max="3" width="24" bestFit="1" customWidth="1"/>
    <col min="4" max="4" width="22.1640625" bestFit="1" customWidth="1"/>
    <col min="5" max="5" width="62.33203125" bestFit="1" customWidth="1"/>
    <col min="6" max="6" width="15" bestFit="1" customWidth="1"/>
    <col min="7" max="7" width="10.1640625" bestFit="1" customWidth="1"/>
    <col min="8" max="8" width="13.6640625" bestFit="1" customWidth="1"/>
    <col min="10" max="10" width="11.1640625" bestFit="1" customWidth="1"/>
    <col min="11" max="11" width="32" customWidth="1"/>
    <col min="12" max="12" width="12.1640625" bestFit="1" customWidth="1"/>
    <col min="13" max="13" width="26.5" customWidth="1"/>
    <col min="14" max="14" width="35.33203125" customWidth="1"/>
    <col min="15" max="15" width="27" bestFit="1" customWidth="1"/>
    <col min="16" max="16" width="4.5" customWidth="1"/>
    <col min="17" max="17" width="27.83203125" bestFit="1" customWidth="1"/>
    <col min="18" max="18" width="4.5" customWidth="1"/>
    <col min="19" max="19" width="23" bestFit="1" customWidth="1"/>
    <col min="20" max="20" width="4.5" customWidth="1"/>
    <col min="22" max="22" width="4.5" customWidth="1"/>
    <col min="24" max="24" width="4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2019</v>
      </c>
      <c r="K1" s="2" t="s">
        <v>116</v>
      </c>
    </row>
    <row r="2" spans="1:11" x14ac:dyDescent="0.2">
      <c r="A2" t="s">
        <v>9</v>
      </c>
      <c r="B2" t="s">
        <v>10</v>
      </c>
      <c r="C2" t="s">
        <v>11</v>
      </c>
      <c r="D2">
        <v>100101</v>
      </c>
      <c r="E2" t="s">
        <v>12</v>
      </c>
      <c r="F2" t="s">
        <v>13</v>
      </c>
      <c r="G2">
        <v>204</v>
      </c>
      <c r="H2" t="s">
        <v>14</v>
      </c>
      <c r="I2" t="s">
        <v>15</v>
      </c>
      <c r="J2">
        <v>4051080000</v>
      </c>
      <c r="K2" s="6" t="s">
        <v>61</v>
      </c>
    </row>
    <row r="3" spans="1:11" x14ac:dyDescent="0.2">
      <c r="A3" t="s">
        <v>9</v>
      </c>
      <c r="B3" t="s">
        <v>10</v>
      </c>
      <c r="C3" t="s">
        <v>11</v>
      </c>
      <c r="D3">
        <v>100102</v>
      </c>
      <c r="E3" t="s">
        <v>16</v>
      </c>
      <c r="F3" t="s">
        <v>13</v>
      </c>
      <c r="G3">
        <v>204</v>
      </c>
      <c r="H3" t="s">
        <v>14</v>
      </c>
      <c r="I3" t="s">
        <v>15</v>
      </c>
      <c r="J3">
        <v>5367110000</v>
      </c>
      <c r="K3" s="6" t="s">
        <v>62</v>
      </c>
    </row>
    <row r="4" spans="1:11" x14ac:dyDescent="0.2">
      <c r="A4" t="s">
        <v>9</v>
      </c>
      <c r="B4" t="s">
        <v>10</v>
      </c>
      <c r="C4" t="s">
        <v>11</v>
      </c>
      <c r="D4">
        <v>100103</v>
      </c>
      <c r="E4" t="s">
        <v>17</v>
      </c>
      <c r="F4" t="s">
        <v>13</v>
      </c>
      <c r="G4">
        <v>204</v>
      </c>
      <c r="H4" t="s">
        <v>14</v>
      </c>
      <c r="I4" t="s">
        <v>15</v>
      </c>
      <c r="J4">
        <v>3962600000</v>
      </c>
      <c r="K4" s="6" t="s">
        <v>63</v>
      </c>
    </row>
    <row r="5" spans="1:11" x14ac:dyDescent="0.2">
      <c r="A5" t="s">
        <v>9</v>
      </c>
      <c r="B5" t="s">
        <v>10</v>
      </c>
      <c r="C5" t="s">
        <v>11</v>
      </c>
      <c r="D5">
        <v>100201</v>
      </c>
      <c r="E5" t="s">
        <v>18</v>
      </c>
      <c r="F5" t="s">
        <v>13</v>
      </c>
      <c r="G5">
        <v>204</v>
      </c>
      <c r="H5" t="s">
        <v>14</v>
      </c>
      <c r="I5" t="s">
        <v>15</v>
      </c>
      <c r="J5">
        <v>921532000</v>
      </c>
      <c r="K5" s="6" t="s">
        <v>64</v>
      </c>
    </row>
    <row r="6" spans="1:11" x14ac:dyDescent="0.2">
      <c r="A6" t="s">
        <v>9</v>
      </c>
      <c r="B6" t="s">
        <v>10</v>
      </c>
      <c r="C6" t="s">
        <v>11</v>
      </c>
      <c r="D6">
        <v>100202</v>
      </c>
      <c r="E6" t="s">
        <v>19</v>
      </c>
      <c r="F6" t="s">
        <v>13</v>
      </c>
      <c r="G6">
        <v>204</v>
      </c>
      <c r="H6" t="s">
        <v>14</v>
      </c>
      <c r="I6" t="s">
        <v>15</v>
      </c>
      <c r="J6">
        <v>2641590000</v>
      </c>
      <c r="K6" s="6" t="s">
        <v>65</v>
      </c>
    </row>
    <row r="7" spans="1:11" x14ac:dyDescent="0.2">
      <c r="A7" t="s">
        <v>9</v>
      </c>
      <c r="B7" t="s">
        <v>10</v>
      </c>
      <c r="C7" t="s">
        <v>11</v>
      </c>
      <c r="D7">
        <v>100203</v>
      </c>
      <c r="E7" t="s">
        <v>20</v>
      </c>
      <c r="F7" t="s">
        <v>13</v>
      </c>
      <c r="G7">
        <v>204</v>
      </c>
      <c r="H7" t="s">
        <v>14</v>
      </c>
      <c r="I7" t="s">
        <v>15</v>
      </c>
      <c r="J7">
        <v>1341970000</v>
      </c>
      <c r="K7" s="6" t="s">
        <v>66</v>
      </c>
    </row>
    <row r="8" spans="1:11" x14ac:dyDescent="0.2">
      <c r="A8" t="s">
        <v>9</v>
      </c>
      <c r="B8" t="s">
        <v>10</v>
      </c>
      <c r="C8" t="s">
        <v>11</v>
      </c>
      <c r="D8">
        <v>100301</v>
      </c>
      <c r="E8" t="s">
        <v>21</v>
      </c>
      <c r="F8" t="s">
        <v>13</v>
      </c>
      <c r="G8">
        <v>204</v>
      </c>
      <c r="H8" t="s">
        <v>14</v>
      </c>
      <c r="I8" t="s">
        <v>15</v>
      </c>
      <c r="J8">
        <v>68921600</v>
      </c>
      <c r="K8" s="6" t="s">
        <v>67</v>
      </c>
    </row>
    <row r="9" spans="1:11" x14ac:dyDescent="0.2">
      <c r="A9" t="s">
        <v>9</v>
      </c>
      <c r="B9" t="s">
        <v>10</v>
      </c>
      <c r="C9" t="s">
        <v>11</v>
      </c>
      <c r="D9">
        <v>100302</v>
      </c>
      <c r="E9" t="s">
        <v>22</v>
      </c>
      <c r="F9" t="s">
        <v>13</v>
      </c>
      <c r="G9">
        <v>204</v>
      </c>
      <c r="H9" t="s">
        <v>14</v>
      </c>
      <c r="I9" t="s">
        <v>15</v>
      </c>
      <c r="J9">
        <v>143553000</v>
      </c>
      <c r="K9" s="6" t="s">
        <v>68</v>
      </c>
    </row>
    <row r="10" spans="1:11" x14ac:dyDescent="0.2">
      <c r="A10" t="s">
        <v>9</v>
      </c>
      <c r="B10" t="s">
        <v>10</v>
      </c>
      <c r="C10" t="s">
        <v>11</v>
      </c>
      <c r="D10">
        <v>100303</v>
      </c>
      <c r="E10" t="s">
        <v>23</v>
      </c>
      <c r="F10" t="s">
        <v>13</v>
      </c>
      <c r="G10">
        <v>204</v>
      </c>
      <c r="H10" t="s">
        <v>14</v>
      </c>
      <c r="I10" t="s">
        <v>15</v>
      </c>
      <c r="J10">
        <v>98120200</v>
      </c>
      <c r="K10" s="6" t="s">
        <v>69</v>
      </c>
    </row>
    <row r="11" spans="1:11" x14ac:dyDescent="0.2">
      <c r="A11" t="s">
        <v>9</v>
      </c>
      <c r="B11" t="s">
        <v>10</v>
      </c>
      <c r="C11" t="s">
        <v>11</v>
      </c>
      <c r="D11">
        <v>100401</v>
      </c>
      <c r="E11" t="s">
        <v>24</v>
      </c>
      <c r="F11" t="s">
        <v>13</v>
      </c>
      <c r="G11">
        <v>204</v>
      </c>
      <c r="H11" t="s">
        <v>14</v>
      </c>
      <c r="I11" t="s">
        <v>15</v>
      </c>
      <c r="J11">
        <v>9800400</v>
      </c>
      <c r="K11" s="6" t="s">
        <v>70</v>
      </c>
    </row>
    <row r="12" spans="1:11" x14ac:dyDescent="0.2">
      <c r="A12" t="s">
        <v>9</v>
      </c>
      <c r="B12" t="s">
        <v>10</v>
      </c>
      <c r="C12" t="s">
        <v>11</v>
      </c>
      <c r="D12">
        <v>100402</v>
      </c>
      <c r="E12" t="s">
        <v>25</v>
      </c>
      <c r="F12" t="s">
        <v>13</v>
      </c>
      <c r="G12">
        <v>204</v>
      </c>
      <c r="H12" t="s">
        <v>14</v>
      </c>
      <c r="I12" t="s">
        <v>15</v>
      </c>
      <c r="J12">
        <v>15150900</v>
      </c>
      <c r="K12" s="6" t="s">
        <v>71</v>
      </c>
    </row>
    <row r="13" spans="1:11" x14ac:dyDescent="0.2">
      <c r="A13" t="s">
        <v>9</v>
      </c>
      <c r="B13" t="s">
        <v>10</v>
      </c>
      <c r="C13" t="s">
        <v>11</v>
      </c>
      <c r="D13">
        <v>100403</v>
      </c>
      <c r="E13" t="s">
        <v>26</v>
      </c>
      <c r="F13" t="s">
        <v>13</v>
      </c>
      <c r="G13">
        <v>204</v>
      </c>
      <c r="H13" t="s">
        <v>14</v>
      </c>
      <c r="I13" t="s">
        <v>15</v>
      </c>
      <c r="J13">
        <v>8976460</v>
      </c>
      <c r="K13" s="6" t="s">
        <v>72</v>
      </c>
    </row>
    <row r="14" spans="1:11" x14ac:dyDescent="0.2">
      <c r="A14" t="s">
        <v>9</v>
      </c>
      <c r="B14" t="s">
        <v>10</v>
      </c>
      <c r="C14" t="s">
        <v>11</v>
      </c>
      <c r="D14">
        <v>100501</v>
      </c>
      <c r="E14" t="s">
        <v>27</v>
      </c>
      <c r="F14" t="s">
        <v>13</v>
      </c>
      <c r="G14">
        <v>204</v>
      </c>
      <c r="H14" t="s">
        <v>14</v>
      </c>
      <c r="I14" t="s">
        <v>15</v>
      </c>
      <c r="J14">
        <v>702580000</v>
      </c>
      <c r="K14" s="6" t="s">
        <v>73</v>
      </c>
    </row>
    <row r="15" spans="1:11" x14ac:dyDescent="0.2">
      <c r="A15" t="s">
        <v>9</v>
      </c>
      <c r="B15" t="s">
        <v>10</v>
      </c>
      <c r="C15" t="s">
        <v>11</v>
      </c>
      <c r="D15">
        <v>100502</v>
      </c>
      <c r="E15" t="s">
        <v>28</v>
      </c>
      <c r="F15" t="s">
        <v>13</v>
      </c>
      <c r="G15">
        <v>204</v>
      </c>
      <c r="H15" t="s">
        <v>14</v>
      </c>
      <c r="I15" t="s">
        <v>15</v>
      </c>
      <c r="J15">
        <v>2038420000</v>
      </c>
      <c r="K15" s="6" t="s">
        <v>74</v>
      </c>
    </row>
    <row r="16" spans="1:11" x14ac:dyDescent="0.2">
      <c r="A16" t="s">
        <v>9</v>
      </c>
      <c r="B16" t="s">
        <v>10</v>
      </c>
      <c r="C16" t="s">
        <v>11</v>
      </c>
      <c r="D16">
        <v>100503</v>
      </c>
      <c r="E16" t="s">
        <v>29</v>
      </c>
      <c r="F16" t="s">
        <v>13</v>
      </c>
      <c r="G16">
        <v>204</v>
      </c>
      <c r="H16" t="s">
        <v>14</v>
      </c>
      <c r="I16" t="s">
        <v>15</v>
      </c>
      <c r="J16">
        <v>959794000</v>
      </c>
      <c r="K16" s="6" t="s">
        <v>75</v>
      </c>
    </row>
    <row r="17" spans="1:11" x14ac:dyDescent="0.2">
      <c r="A17" t="s">
        <v>9</v>
      </c>
      <c r="B17" t="s">
        <v>10</v>
      </c>
      <c r="C17" t="s">
        <v>11</v>
      </c>
      <c r="D17">
        <v>100601</v>
      </c>
      <c r="E17" t="s">
        <v>30</v>
      </c>
      <c r="F17" t="s">
        <v>13</v>
      </c>
      <c r="G17">
        <v>204</v>
      </c>
      <c r="H17" t="s">
        <v>14</v>
      </c>
      <c r="I17" t="s">
        <v>15</v>
      </c>
      <c r="J17">
        <v>13819600</v>
      </c>
      <c r="K17" s="6" t="s">
        <v>76</v>
      </c>
    </row>
    <row r="18" spans="1:11" x14ac:dyDescent="0.2">
      <c r="A18" t="s">
        <v>9</v>
      </c>
      <c r="B18" t="s">
        <v>10</v>
      </c>
      <c r="C18" t="s">
        <v>11</v>
      </c>
      <c r="D18">
        <v>100602</v>
      </c>
      <c r="E18" t="s">
        <v>31</v>
      </c>
      <c r="F18" t="s">
        <v>13</v>
      </c>
      <c r="G18">
        <v>204</v>
      </c>
      <c r="H18" t="s">
        <v>14</v>
      </c>
      <c r="I18" t="s">
        <v>15</v>
      </c>
      <c r="J18">
        <v>25322100</v>
      </c>
      <c r="K18" s="6" t="s">
        <v>77</v>
      </c>
    </row>
    <row r="19" spans="1:11" x14ac:dyDescent="0.2">
      <c r="A19" t="s">
        <v>9</v>
      </c>
      <c r="B19" t="s">
        <v>10</v>
      </c>
      <c r="C19" t="s">
        <v>11</v>
      </c>
      <c r="D19">
        <v>100603</v>
      </c>
      <c r="E19" t="s">
        <v>32</v>
      </c>
      <c r="F19" t="s">
        <v>13</v>
      </c>
      <c r="G19">
        <v>204</v>
      </c>
      <c r="H19" t="s">
        <v>14</v>
      </c>
      <c r="I19" t="s">
        <v>15</v>
      </c>
      <c r="J19">
        <v>13938200</v>
      </c>
      <c r="K19" s="6" t="s">
        <v>78</v>
      </c>
    </row>
    <row r="20" spans="1:11" x14ac:dyDescent="0.2">
      <c r="A20" t="s">
        <v>9</v>
      </c>
      <c r="B20" t="s">
        <v>10</v>
      </c>
      <c r="C20" t="s">
        <v>11</v>
      </c>
      <c r="D20">
        <v>100701</v>
      </c>
      <c r="E20" t="s">
        <v>33</v>
      </c>
      <c r="F20" t="s">
        <v>13</v>
      </c>
      <c r="G20">
        <v>204</v>
      </c>
      <c r="H20" t="s">
        <v>14</v>
      </c>
      <c r="I20" t="s">
        <v>15</v>
      </c>
      <c r="J20">
        <v>921684000</v>
      </c>
      <c r="K20" s="7" t="s">
        <v>79</v>
      </c>
    </row>
    <row r="21" spans="1:11" x14ac:dyDescent="0.2">
      <c r="A21" t="s">
        <v>9</v>
      </c>
      <c r="B21" t="s">
        <v>10</v>
      </c>
      <c r="C21" t="s">
        <v>11</v>
      </c>
      <c r="D21">
        <v>100702</v>
      </c>
      <c r="E21" t="s">
        <v>34</v>
      </c>
      <c r="F21" t="s">
        <v>13</v>
      </c>
      <c r="G21">
        <v>204</v>
      </c>
      <c r="H21" t="s">
        <v>14</v>
      </c>
      <c r="I21" t="s">
        <v>15</v>
      </c>
      <c r="J21">
        <v>3997330000</v>
      </c>
      <c r="K21" s="7" t="s">
        <v>80</v>
      </c>
    </row>
    <row r="22" spans="1:11" x14ac:dyDescent="0.2">
      <c r="A22" t="s">
        <v>9</v>
      </c>
      <c r="B22" t="s">
        <v>10</v>
      </c>
      <c r="C22" t="s">
        <v>11</v>
      </c>
      <c r="D22">
        <v>100703</v>
      </c>
      <c r="E22" t="s">
        <v>35</v>
      </c>
      <c r="F22" t="s">
        <v>13</v>
      </c>
      <c r="G22">
        <v>204</v>
      </c>
      <c r="H22" t="s">
        <v>14</v>
      </c>
      <c r="I22" t="s">
        <v>15</v>
      </c>
      <c r="J22">
        <v>1469460000</v>
      </c>
      <c r="K22" s="7" t="s">
        <v>81</v>
      </c>
    </row>
    <row r="23" spans="1:11" x14ac:dyDescent="0.2">
      <c r="A23" t="s">
        <v>9</v>
      </c>
      <c r="B23" t="s">
        <v>10</v>
      </c>
      <c r="C23" t="s">
        <v>11</v>
      </c>
      <c r="D23">
        <v>100901</v>
      </c>
      <c r="E23" t="s">
        <v>36</v>
      </c>
      <c r="F23" t="s">
        <v>13</v>
      </c>
      <c r="G23">
        <v>204</v>
      </c>
      <c r="H23" t="s">
        <v>14</v>
      </c>
      <c r="I23" t="s">
        <v>15</v>
      </c>
      <c r="J23">
        <v>50234100</v>
      </c>
      <c r="K23" s="7" t="s">
        <v>82</v>
      </c>
    </row>
    <row r="24" spans="1:11" x14ac:dyDescent="0.2">
      <c r="A24" t="s">
        <v>9</v>
      </c>
      <c r="B24" t="s">
        <v>10</v>
      </c>
      <c r="C24" t="s">
        <v>11</v>
      </c>
      <c r="D24">
        <v>100902</v>
      </c>
      <c r="E24" t="s">
        <v>37</v>
      </c>
      <c r="F24" t="s">
        <v>13</v>
      </c>
      <c r="G24">
        <v>204</v>
      </c>
      <c r="H24" t="s">
        <v>14</v>
      </c>
      <c r="I24" t="s">
        <v>15</v>
      </c>
      <c r="J24">
        <v>139544000</v>
      </c>
      <c r="K24" s="7" t="s">
        <v>83</v>
      </c>
    </row>
    <row r="25" spans="1:11" x14ac:dyDescent="0.2">
      <c r="A25" t="s">
        <v>9</v>
      </c>
      <c r="B25" t="s">
        <v>10</v>
      </c>
      <c r="C25" t="s">
        <v>11</v>
      </c>
      <c r="D25">
        <v>100903</v>
      </c>
      <c r="E25" t="s">
        <v>38</v>
      </c>
      <c r="F25" t="s">
        <v>13</v>
      </c>
      <c r="G25">
        <v>204</v>
      </c>
      <c r="H25" t="s">
        <v>14</v>
      </c>
      <c r="I25" t="s">
        <v>15</v>
      </c>
      <c r="J25">
        <v>111213000</v>
      </c>
      <c r="K25" s="7" t="s">
        <v>84</v>
      </c>
    </row>
    <row r="26" spans="1:11" x14ac:dyDescent="0.2">
      <c r="A26" t="s">
        <v>9</v>
      </c>
      <c r="B26" t="s">
        <v>10</v>
      </c>
      <c r="C26" t="s">
        <v>11</v>
      </c>
      <c r="D26">
        <v>101001</v>
      </c>
      <c r="E26" t="s">
        <v>39</v>
      </c>
      <c r="F26" t="s">
        <v>13</v>
      </c>
      <c r="G26">
        <v>204</v>
      </c>
      <c r="H26" t="s">
        <v>14</v>
      </c>
      <c r="I26" t="s">
        <v>15</v>
      </c>
      <c r="J26">
        <v>120833000</v>
      </c>
      <c r="K26" s="7" t="s">
        <v>86</v>
      </c>
    </row>
    <row r="27" spans="1:11" x14ac:dyDescent="0.2">
      <c r="A27" t="s">
        <v>9</v>
      </c>
      <c r="B27" t="s">
        <v>10</v>
      </c>
      <c r="C27" t="s">
        <v>11</v>
      </c>
      <c r="D27">
        <v>101003</v>
      </c>
      <c r="E27" t="s">
        <v>40</v>
      </c>
      <c r="F27" t="s">
        <v>13</v>
      </c>
      <c r="G27">
        <v>204</v>
      </c>
      <c r="H27" t="s">
        <v>14</v>
      </c>
      <c r="I27" t="s">
        <v>15</v>
      </c>
      <c r="J27">
        <v>53688500</v>
      </c>
      <c r="K27" s="7" t="s">
        <v>85</v>
      </c>
    </row>
    <row r="28" spans="1:11" x14ac:dyDescent="0.2">
      <c r="A28" t="s">
        <v>9</v>
      </c>
      <c r="B28" t="s">
        <v>10</v>
      </c>
      <c r="C28" t="s">
        <v>11</v>
      </c>
      <c r="D28">
        <v>102001</v>
      </c>
      <c r="E28" t="s">
        <v>41</v>
      </c>
      <c r="F28" t="s">
        <v>13</v>
      </c>
      <c r="G28">
        <v>204</v>
      </c>
      <c r="H28" t="s">
        <v>14</v>
      </c>
      <c r="I28" t="s">
        <v>15</v>
      </c>
      <c r="J28">
        <v>5355920</v>
      </c>
      <c r="K28" s="7" t="s">
        <v>87</v>
      </c>
    </row>
    <row r="29" spans="1:11" x14ac:dyDescent="0.2">
      <c r="A29" t="s">
        <v>9</v>
      </c>
      <c r="B29" t="s">
        <v>10</v>
      </c>
      <c r="C29" t="s">
        <v>11</v>
      </c>
      <c r="D29">
        <v>102003</v>
      </c>
      <c r="E29" t="s">
        <v>42</v>
      </c>
      <c r="F29" t="s">
        <v>13</v>
      </c>
      <c r="G29">
        <v>204</v>
      </c>
      <c r="H29" t="s">
        <v>14</v>
      </c>
      <c r="I29" t="s">
        <v>15</v>
      </c>
      <c r="J29">
        <v>3657700</v>
      </c>
      <c r="K29" s="7" t="s">
        <v>88</v>
      </c>
    </row>
    <row r="30" spans="1:11" x14ac:dyDescent="0.2">
      <c r="A30" t="s">
        <v>9</v>
      </c>
      <c r="B30" t="s">
        <v>10</v>
      </c>
      <c r="C30" t="s">
        <v>11</v>
      </c>
      <c r="D30">
        <v>100423</v>
      </c>
      <c r="E30" t="s">
        <v>43</v>
      </c>
      <c r="F30" t="s">
        <v>13</v>
      </c>
      <c r="G30">
        <v>204</v>
      </c>
      <c r="H30" t="s">
        <v>14</v>
      </c>
      <c r="I30" t="s">
        <v>15</v>
      </c>
      <c r="J30">
        <v>287317000</v>
      </c>
      <c r="K30" s="7" t="s">
        <v>89</v>
      </c>
    </row>
    <row r="31" spans="1:11" x14ac:dyDescent="0.2">
      <c r="A31" t="s">
        <v>9</v>
      </c>
      <c r="B31" t="s">
        <v>10</v>
      </c>
      <c r="C31" t="s">
        <v>11</v>
      </c>
      <c r="D31">
        <v>100424</v>
      </c>
      <c r="E31" t="s">
        <v>44</v>
      </c>
      <c r="F31" t="s">
        <v>13</v>
      </c>
      <c r="G31">
        <v>204</v>
      </c>
      <c r="H31" t="s">
        <v>14</v>
      </c>
      <c r="I31" t="s">
        <v>15</v>
      </c>
      <c r="J31">
        <v>6001340</v>
      </c>
      <c r="K31" s="7" t="s">
        <v>90</v>
      </c>
    </row>
    <row r="32" spans="1:11" x14ac:dyDescent="0.2">
      <c r="A32" t="s">
        <v>9</v>
      </c>
      <c r="B32" t="s">
        <v>10</v>
      </c>
      <c r="C32" t="s">
        <v>11</v>
      </c>
      <c r="D32">
        <v>100425</v>
      </c>
      <c r="E32" t="s">
        <v>45</v>
      </c>
      <c r="F32" t="s">
        <v>13</v>
      </c>
      <c r="G32">
        <v>204</v>
      </c>
      <c r="H32" t="s">
        <v>14</v>
      </c>
      <c r="I32" t="s">
        <v>15</v>
      </c>
      <c r="J32">
        <v>80971300</v>
      </c>
      <c r="K32" s="7" t="s">
        <v>91</v>
      </c>
    </row>
    <row r="33" spans="1:11" x14ac:dyDescent="0.2">
      <c r="A33" t="s">
        <v>9</v>
      </c>
      <c r="B33" t="s">
        <v>10</v>
      </c>
      <c r="C33" t="s">
        <v>11</v>
      </c>
      <c r="D33">
        <v>100426</v>
      </c>
      <c r="E33" t="s">
        <v>46</v>
      </c>
      <c r="F33" t="s">
        <v>13</v>
      </c>
      <c r="G33">
        <v>204</v>
      </c>
      <c r="H33" t="s">
        <v>14</v>
      </c>
      <c r="I33" t="s">
        <v>15</v>
      </c>
      <c r="J33">
        <v>24446600</v>
      </c>
      <c r="K33" s="7" t="s">
        <v>92</v>
      </c>
    </row>
    <row r="34" spans="1:11" x14ac:dyDescent="0.2">
      <c r="A34" t="s">
        <v>9</v>
      </c>
      <c r="B34" t="s">
        <v>10</v>
      </c>
      <c r="C34" t="s">
        <v>11</v>
      </c>
      <c r="D34">
        <v>100427</v>
      </c>
      <c r="E34" t="s">
        <v>47</v>
      </c>
      <c r="F34" t="s">
        <v>13</v>
      </c>
      <c r="G34">
        <v>204</v>
      </c>
      <c r="H34" t="s">
        <v>14</v>
      </c>
      <c r="I34" t="s">
        <v>15</v>
      </c>
      <c r="J34">
        <v>38412700</v>
      </c>
      <c r="K34" s="7" t="s">
        <v>93</v>
      </c>
    </row>
    <row r="35" spans="1:11" x14ac:dyDescent="0.2">
      <c r="A35" t="s">
        <v>9</v>
      </c>
      <c r="B35" t="s">
        <v>10</v>
      </c>
      <c r="C35" t="s">
        <v>11</v>
      </c>
      <c r="D35">
        <v>100428</v>
      </c>
      <c r="E35" t="s">
        <v>48</v>
      </c>
      <c r="F35" t="s">
        <v>13</v>
      </c>
      <c r="G35">
        <v>204</v>
      </c>
      <c r="H35" t="s">
        <v>14</v>
      </c>
      <c r="I35" t="s">
        <v>15</v>
      </c>
      <c r="J35">
        <v>41604000</v>
      </c>
      <c r="K35" s="7" t="s">
        <v>94</v>
      </c>
    </row>
    <row r="36" spans="1:11" x14ac:dyDescent="0.2">
      <c r="A36" t="s">
        <v>9</v>
      </c>
      <c r="B36" t="s">
        <v>10</v>
      </c>
      <c r="C36" t="s">
        <v>11</v>
      </c>
      <c r="D36">
        <v>100429</v>
      </c>
      <c r="E36" t="s">
        <v>49</v>
      </c>
      <c r="F36" t="s">
        <v>13</v>
      </c>
      <c r="G36">
        <v>204</v>
      </c>
      <c r="H36" t="s">
        <v>14</v>
      </c>
      <c r="I36" t="s">
        <v>15</v>
      </c>
      <c r="J36">
        <v>31412100</v>
      </c>
      <c r="K36" s="7" t="s">
        <v>95</v>
      </c>
    </row>
    <row r="37" spans="1:11" x14ac:dyDescent="0.2">
      <c r="A37" t="s">
        <v>9</v>
      </c>
      <c r="B37" t="s">
        <v>10</v>
      </c>
      <c r="C37" t="s">
        <v>11</v>
      </c>
      <c r="D37">
        <v>100430</v>
      </c>
      <c r="E37" t="s">
        <v>50</v>
      </c>
      <c r="F37" t="s">
        <v>13</v>
      </c>
      <c r="G37">
        <v>204</v>
      </c>
      <c r="H37" t="s">
        <v>14</v>
      </c>
      <c r="I37" t="s">
        <v>15</v>
      </c>
      <c r="J37">
        <v>702390</v>
      </c>
      <c r="K37" s="7" t="s">
        <v>96</v>
      </c>
    </row>
    <row r="38" spans="1:11" x14ac:dyDescent="0.2">
      <c r="A38" t="s">
        <v>9</v>
      </c>
      <c r="B38" t="s">
        <v>10</v>
      </c>
      <c r="C38" t="s">
        <v>11</v>
      </c>
      <c r="D38">
        <v>100431</v>
      </c>
      <c r="E38" t="s">
        <v>51</v>
      </c>
      <c r="F38" t="s">
        <v>13</v>
      </c>
      <c r="G38">
        <v>204</v>
      </c>
      <c r="H38" t="s">
        <v>14</v>
      </c>
      <c r="I38" t="s">
        <v>15</v>
      </c>
      <c r="J38">
        <v>9186970</v>
      </c>
      <c r="K38" s="7" t="s">
        <v>97</v>
      </c>
    </row>
    <row r="39" spans="1:11" x14ac:dyDescent="0.2">
      <c r="A39" t="s">
        <v>9</v>
      </c>
      <c r="B39" t="s">
        <v>10</v>
      </c>
      <c r="C39" t="s">
        <v>11</v>
      </c>
      <c r="D39">
        <v>100432</v>
      </c>
      <c r="E39" t="s">
        <v>52</v>
      </c>
      <c r="F39" t="s">
        <v>13</v>
      </c>
      <c r="G39">
        <v>204</v>
      </c>
      <c r="H39" t="s">
        <v>14</v>
      </c>
      <c r="I39" t="s">
        <v>15</v>
      </c>
      <c r="J39">
        <v>8030.6</v>
      </c>
      <c r="K39" s="7" t="s">
        <v>98</v>
      </c>
    </row>
    <row r="40" spans="1:11" x14ac:dyDescent="0.2">
      <c r="A40" t="s">
        <v>9</v>
      </c>
      <c r="B40" t="s">
        <v>10</v>
      </c>
      <c r="C40" t="s">
        <v>11</v>
      </c>
      <c r="D40">
        <v>100433</v>
      </c>
      <c r="E40" t="s">
        <v>53</v>
      </c>
      <c r="F40" t="s">
        <v>13</v>
      </c>
      <c r="G40">
        <v>204</v>
      </c>
      <c r="H40" t="s">
        <v>14</v>
      </c>
      <c r="I40" t="s">
        <v>15</v>
      </c>
      <c r="J40">
        <v>14458.7</v>
      </c>
      <c r="K40" s="7" t="s">
        <v>99</v>
      </c>
    </row>
    <row r="41" spans="1:11" x14ac:dyDescent="0.2">
      <c r="A41" t="s">
        <v>9</v>
      </c>
      <c r="B41" t="s">
        <v>10</v>
      </c>
      <c r="C41" t="s">
        <v>11</v>
      </c>
      <c r="D41">
        <v>100434</v>
      </c>
      <c r="E41" t="s">
        <v>54</v>
      </c>
      <c r="F41" t="s">
        <v>13</v>
      </c>
      <c r="G41">
        <v>204</v>
      </c>
      <c r="H41" t="s">
        <v>14</v>
      </c>
      <c r="I41" t="s">
        <v>15</v>
      </c>
      <c r="J41">
        <v>14319.1</v>
      </c>
      <c r="K41" s="7" t="s">
        <v>100</v>
      </c>
    </row>
    <row r="42" spans="1:11" x14ac:dyDescent="0.2">
      <c r="A42" t="s">
        <v>9</v>
      </c>
      <c r="B42" t="s">
        <v>10</v>
      </c>
      <c r="C42" t="s">
        <v>11</v>
      </c>
      <c r="D42">
        <v>100435</v>
      </c>
      <c r="E42" t="s">
        <v>55</v>
      </c>
      <c r="F42" t="s">
        <v>13</v>
      </c>
      <c r="G42">
        <v>204</v>
      </c>
      <c r="H42" t="s">
        <v>14</v>
      </c>
      <c r="I42" t="s">
        <v>15</v>
      </c>
      <c r="J42">
        <v>1559780</v>
      </c>
      <c r="K42" s="7" t="s">
        <v>104</v>
      </c>
    </row>
    <row r="43" spans="1:11" x14ac:dyDescent="0.2">
      <c r="A43" t="s">
        <v>9</v>
      </c>
      <c r="B43" t="s">
        <v>10</v>
      </c>
      <c r="C43" t="s">
        <v>11</v>
      </c>
      <c r="D43">
        <v>100436</v>
      </c>
      <c r="E43" t="s">
        <v>56</v>
      </c>
      <c r="F43" t="s">
        <v>13</v>
      </c>
      <c r="G43">
        <v>204</v>
      </c>
      <c r="H43" t="s">
        <v>14</v>
      </c>
      <c r="I43" t="s">
        <v>15</v>
      </c>
      <c r="J43">
        <v>34363.699999999997</v>
      </c>
      <c r="K43" s="7" t="s">
        <v>105</v>
      </c>
    </row>
    <row r="44" spans="1:11" x14ac:dyDescent="0.2">
      <c r="A44" t="s">
        <v>9</v>
      </c>
      <c r="B44" t="s">
        <v>10</v>
      </c>
      <c r="C44" t="s">
        <v>11</v>
      </c>
      <c r="D44">
        <v>100437</v>
      </c>
      <c r="E44" t="s">
        <v>57</v>
      </c>
      <c r="F44" t="s">
        <v>13</v>
      </c>
      <c r="G44">
        <v>204</v>
      </c>
      <c r="H44" t="s">
        <v>14</v>
      </c>
      <c r="I44" t="s">
        <v>15</v>
      </c>
      <c r="J44">
        <v>448903</v>
      </c>
      <c r="K44" s="7" t="s">
        <v>106</v>
      </c>
    </row>
    <row r="45" spans="1:11" x14ac:dyDescent="0.2">
      <c r="A45" t="s">
        <v>9</v>
      </c>
      <c r="B45" t="s">
        <v>10</v>
      </c>
      <c r="C45" t="s">
        <v>11</v>
      </c>
      <c r="D45">
        <v>100438</v>
      </c>
      <c r="E45" t="s">
        <v>58</v>
      </c>
      <c r="F45" t="s">
        <v>13</v>
      </c>
      <c r="G45">
        <v>204</v>
      </c>
      <c r="H45" t="s">
        <v>14</v>
      </c>
      <c r="I45" t="s">
        <v>15</v>
      </c>
      <c r="J45">
        <v>4559.46</v>
      </c>
      <c r="K45" s="7" t="s">
        <v>101</v>
      </c>
    </row>
    <row r="46" spans="1:11" x14ac:dyDescent="0.2">
      <c r="A46" t="s">
        <v>9</v>
      </c>
      <c r="B46" t="s">
        <v>10</v>
      </c>
      <c r="C46" t="s">
        <v>11</v>
      </c>
      <c r="D46">
        <v>100439</v>
      </c>
      <c r="E46" t="s">
        <v>59</v>
      </c>
      <c r="F46" t="s">
        <v>13</v>
      </c>
      <c r="G46">
        <v>204</v>
      </c>
      <c r="H46" t="s">
        <v>14</v>
      </c>
      <c r="I46" t="s">
        <v>15</v>
      </c>
      <c r="J46">
        <v>9147.56</v>
      </c>
      <c r="K46" s="7" t="s">
        <v>102</v>
      </c>
    </row>
    <row r="47" spans="1:11" x14ac:dyDescent="0.2">
      <c r="A47" t="s">
        <v>9</v>
      </c>
      <c r="B47" t="s">
        <v>10</v>
      </c>
      <c r="C47" t="s">
        <v>11</v>
      </c>
      <c r="D47">
        <v>100440</v>
      </c>
      <c r="E47" t="s">
        <v>60</v>
      </c>
      <c r="F47" t="s">
        <v>13</v>
      </c>
      <c r="G47">
        <v>204</v>
      </c>
      <c r="H47" t="s">
        <v>14</v>
      </c>
      <c r="I47" t="s">
        <v>15</v>
      </c>
      <c r="J47">
        <v>6908.34</v>
      </c>
      <c r="K47" s="7" t="s">
        <v>103</v>
      </c>
    </row>
    <row r="48" spans="1:11" x14ac:dyDescent="0.2">
      <c r="A48" t="s">
        <v>9</v>
      </c>
      <c r="B48" t="s">
        <v>10</v>
      </c>
      <c r="C48" t="s">
        <v>159</v>
      </c>
      <c r="D48">
        <v>401100</v>
      </c>
      <c r="E48" t="s">
        <v>160</v>
      </c>
      <c r="F48" t="s">
        <v>13</v>
      </c>
      <c r="G48">
        <v>204</v>
      </c>
      <c r="H48" t="s">
        <v>14</v>
      </c>
      <c r="I48" t="s">
        <v>15</v>
      </c>
      <c r="J48">
        <v>1103630000</v>
      </c>
      <c r="K48" s="7" t="s">
        <v>166</v>
      </c>
    </row>
    <row r="49" spans="1:14" x14ac:dyDescent="0.2">
      <c r="A49" t="s">
        <v>9</v>
      </c>
      <c r="B49" t="s">
        <v>10</v>
      </c>
      <c r="C49" t="s">
        <v>159</v>
      </c>
      <c r="D49">
        <v>401102</v>
      </c>
      <c r="E49" t="s">
        <v>161</v>
      </c>
      <c r="F49" t="s">
        <v>13</v>
      </c>
      <c r="G49">
        <v>204</v>
      </c>
      <c r="H49" t="s">
        <v>14</v>
      </c>
      <c r="I49" t="s">
        <v>15</v>
      </c>
      <c r="J49">
        <v>1631210000</v>
      </c>
      <c r="K49" s="7" t="s">
        <v>167</v>
      </c>
      <c r="L49" s="146"/>
      <c r="N49" s="145"/>
    </row>
    <row r="50" spans="1:14" x14ac:dyDescent="0.2">
      <c r="A50" t="s">
        <v>9</v>
      </c>
      <c r="B50" t="s">
        <v>10</v>
      </c>
      <c r="C50" t="s">
        <v>159</v>
      </c>
      <c r="D50">
        <v>401103</v>
      </c>
      <c r="E50" t="s">
        <v>162</v>
      </c>
      <c r="F50" t="s">
        <v>13</v>
      </c>
      <c r="G50">
        <v>204</v>
      </c>
      <c r="H50" t="s">
        <v>14</v>
      </c>
      <c r="I50" t="s">
        <v>15</v>
      </c>
      <c r="J50">
        <v>229663000</v>
      </c>
      <c r="K50" s="7" t="s">
        <v>168</v>
      </c>
    </row>
    <row r="51" spans="1:14" x14ac:dyDescent="0.2">
      <c r="A51" t="s">
        <v>9</v>
      </c>
      <c r="B51" t="s">
        <v>10</v>
      </c>
      <c r="C51" t="s">
        <v>159</v>
      </c>
      <c r="D51">
        <v>401104</v>
      </c>
      <c r="E51" t="s">
        <v>163</v>
      </c>
      <c r="F51" t="s">
        <v>13</v>
      </c>
      <c r="G51">
        <v>204</v>
      </c>
      <c r="H51" t="s">
        <v>14</v>
      </c>
      <c r="I51" t="s">
        <v>15</v>
      </c>
      <c r="J51">
        <v>77613700</v>
      </c>
      <c r="K51" s="7" t="s">
        <v>171</v>
      </c>
    </row>
    <row r="52" spans="1:14" x14ac:dyDescent="0.2">
      <c r="A52" t="s">
        <v>9</v>
      </c>
      <c r="B52" t="s">
        <v>10</v>
      </c>
      <c r="C52" t="s">
        <v>159</v>
      </c>
      <c r="D52">
        <v>401105</v>
      </c>
      <c r="E52" t="s">
        <v>164</v>
      </c>
      <c r="F52" t="s">
        <v>13</v>
      </c>
      <c r="G52">
        <v>204</v>
      </c>
      <c r="H52" t="s">
        <v>14</v>
      </c>
      <c r="I52" t="s">
        <v>15</v>
      </c>
      <c r="J52">
        <v>132772000</v>
      </c>
      <c r="K52" s="7" t="s">
        <v>169</v>
      </c>
    </row>
    <row r="53" spans="1:14" x14ac:dyDescent="0.2">
      <c r="A53" t="s">
        <v>9</v>
      </c>
      <c r="B53" t="s">
        <v>10</v>
      </c>
      <c r="C53" t="s">
        <v>159</v>
      </c>
      <c r="D53">
        <v>401107</v>
      </c>
      <c r="E53" t="s">
        <v>165</v>
      </c>
      <c r="F53" t="s">
        <v>13</v>
      </c>
      <c r="G53">
        <v>204</v>
      </c>
      <c r="H53" t="s">
        <v>14</v>
      </c>
      <c r="I53" t="s">
        <v>15</v>
      </c>
      <c r="J53">
        <v>174860000</v>
      </c>
      <c r="K53" s="7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3749-03C3-6346-829C-286E11A50CD9}">
  <sheetPr>
    <tabColor rgb="FFEBF1DE"/>
  </sheetPr>
  <dimension ref="A1:E16"/>
  <sheetViews>
    <sheetView workbookViewId="0">
      <selection activeCell="D29" sqref="D29"/>
    </sheetView>
  </sheetViews>
  <sheetFormatPr baseColWidth="10" defaultRowHeight="16" x14ac:dyDescent="0.2"/>
  <cols>
    <col min="1" max="1" width="17.33203125" customWidth="1"/>
    <col min="2" max="2" width="68.6640625" bestFit="1" customWidth="1"/>
    <col min="4" max="4" width="81.83203125" bestFit="1" customWidth="1"/>
    <col min="5" max="5" width="21.1640625" bestFit="1" customWidth="1"/>
  </cols>
  <sheetData>
    <row r="1" spans="1:5" x14ac:dyDescent="0.2">
      <c r="A1" s="4" t="s">
        <v>203</v>
      </c>
      <c r="B1" s="4" t="s">
        <v>204</v>
      </c>
      <c r="C1" s="4" t="s">
        <v>205</v>
      </c>
      <c r="D1" s="4" t="s">
        <v>206</v>
      </c>
      <c r="E1" s="5" t="s">
        <v>116</v>
      </c>
    </row>
    <row r="2" spans="1:5" x14ac:dyDescent="0.2">
      <c r="A2" s="3" t="s">
        <v>372</v>
      </c>
      <c r="B2" s="3" t="s">
        <v>207</v>
      </c>
      <c r="C2" s="3">
        <v>105008</v>
      </c>
      <c r="D2" s="3"/>
      <c r="E2" s="6" t="s">
        <v>228</v>
      </c>
    </row>
    <row r="3" spans="1:5" x14ac:dyDescent="0.2">
      <c r="A3" s="3" t="s">
        <v>373</v>
      </c>
      <c r="B3" s="3" t="s">
        <v>208</v>
      </c>
      <c r="C3" s="3">
        <v>775</v>
      </c>
      <c r="D3" s="3"/>
      <c r="E3" s="6" t="s">
        <v>229</v>
      </c>
    </row>
    <row r="4" spans="1:5" x14ac:dyDescent="0.2">
      <c r="A4" s="3" t="s">
        <v>374</v>
      </c>
      <c r="B4" s="3" t="s">
        <v>209</v>
      </c>
      <c r="C4" s="3">
        <v>57583</v>
      </c>
      <c r="D4" s="3" t="s">
        <v>210</v>
      </c>
      <c r="E4" s="6" t="s">
        <v>230</v>
      </c>
    </row>
    <row r="5" spans="1:5" x14ac:dyDescent="0.2">
      <c r="A5" s="3" t="s">
        <v>375</v>
      </c>
      <c r="B5" s="3" t="s">
        <v>211</v>
      </c>
      <c r="C5" s="3">
        <v>1839</v>
      </c>
      <c r="D5" s="3" t="s">
        <v>212</v>
      </c>
      <c r="E5" s="6" t="s">
        <v>231</v>
      </c>
    </row>
    <row r="6" spans="1:5" x14ac:dyDescent="0.2">
      <c r="A6" s="3" t="s">
        <v>376</v>
      </c>
      <c r="B6" s="3" t="s">
        <v>213</v>
      </c>
      <c r="C6" s="3">
        <v>91850</v>
      </c>
      <c r="D6" s="3" t="s">
        <v>214</v>
      </c>
      <c r="E6" s="6" t="s">
        <v>232</v>
      </c>
    </row>
    <row r="7" spans="1:5" x14ac:dyDescent="0.2">
      <c r="A7" s="3" t="s">
        <v>377</v>
      </c>
      <c r="B7" s="3" t="s">
        <v>215</v>
      </c>
      <c r="C7" s="3">
        <v>14</v>
      </c>
      <c r="D7" s="3"/>
      <c r="E7" s="6" t="s">
        <v>233</v>
      </c>
    </row>
    <row r="8" spans="1:5" x14ac:dyDescent="0.2">
      <c r="A8" s="3" t="s">
        <v>378</v>
      </c>
      <c r="B8" s="3" t="s">
        <v>216</v>
      </c>
      <c r="C8" s="3">
        <v>38</v>
      </c>
      <c r="D8" s="3"/>
      <c r="E8" s="6" t="s">
        <v>234</v>
      </c>
    </row>
    <row r="9" spans="1:5" x14ac:dyDescent="0.2">
      <c r="A9" s="3" t="s">
        <v>379</v>
      </c>
      <c r="B9" s="3" t="s">
        <v>217</v>
      </c>
      <c r="C9" s="3">
        <v>210</v>
      </c>
      <c r="D9" s="3" t="s">
        <v>218</v>
      </c>
      <c r="E9" s="6" t="s">
        <v>235</v>
      </c>
    </row>
    <row r="10" spans="1:5" x14ac:dyDescent="0.2">
      <c r="A10" s="3" t="s">
        <v>380</v>
      </c>
      <c r="B10" s="3" t="s">
        <v>219</v>
      </c>
      <c r="C10" s="3">
        <v>6</v>
      </c>
      <c r="D10" s="3" t="s">
        <v>220</v>
      </c>
      <c r="E10" s="6" t="s">
        <v>236</v>
      </c>
    </row>
    <row r="11" spans="1:5" x14ac:dyDescent="0.2">
      <c r="A11" s="3" t="s">
        <v>381</v>
      </c>
      <c r="B11" s="3" t="s">
        <v>221</v>
      </c>
      <c r="C11" s="3">
        <v>7</v>
      </c>
      <c r="D11" s="3" t="s">
        <v>222</v>
      </c>
      <c r="E11" s="6" t="s">
        <v>237</v>
      </c>
    </row>
    <row r="12" spans="1:5" x14ac:dyDescent="0.2">
      <c r="A12" s="3" t="s">
        <v>382</v>
      </c>
      <c r="B12" s="3" t="s">
        <v>223</v>
      </c>
      <c r="C12" s="3">
        <v>8</v>
      </c>
      <c r="D12" s="3" t="s">
        <v>224</v>
      </c>
      <c r="E12" s="6" t="s">
        <v>238</v>
      </c>
    </row>
    <row r="13" spans="1:5" x14ac:dyDescent="0.2">
      <c r="A13" s="3" t="s">
        <v>383</v>
      </c>
      <c r="B13" s="3" t="s">
        <v>225</v>
      </c>
      <c r="C13" s="3">
        <v>4343</v>
      </c>
      <c r="D13" s="3"/>
      <c r="E13" s="6" t="s">
        <v>239</v>
      </c>
    </row>
    <row r="14" spans="1:5" x14ac:dyDescent="0.2">
      <c r="A14" s="3" t="s">
        <v>384</v>
      </c>
      <c r="B14" s="3" t="s">
        <v>226</v>
      </c>
      <c r="C14" s="3">
        <v>220</v>
      </c>
      <c r="D14" s="3"/>
      <c r="E14" s="6" t="s">
        <v>240</v>
      </c>
    </row>
    <row r="15" spans="1:5" x14ac:dyDescent="0.2">
      <c r="A15" s="3" t="s">
        <v>385</v>
      </c>
      <c r="B15" s="3" t="s">
        <v>227</v>
      </c>
      <c r="C15" s="3">
        <v>6</v>
      </c>
      <c r="D15" s="3"/>
      <c r="E15" s="6" t="s">
        <v>241</v>
      </c>
    </row>
    <row r="16" spans="1:5" x14ac:dyDescent="0.2">
      <c r="A16" s="3" t="s">
        <v>371</v>
      </c>
      <c r="B16" s="3" t="s">
        <v>386</v>
      </c>
      <c r="C16" s="3">
        <v>19007</v>
      </c>
      <c r="D16" s="3"/>
      <c r="E16" s="6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FF24-E76A-9740-BDCC-F89A5E629C33}">
  <sheetPr>
    <tabColor rgb="FFEBF1DE"/>
    <pageSetUpPr fitToPage="1"/>
  </sheetPr>
  <dimension ref="A1:AZ94"/>
  <sheetViews>
    <sheetView showGridLines="0" zoomScale="200" zoomScaleNormal="100" workbookViewId="0">
      <pane xSplit="1" ySplit="1" topLeftCell="U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9.1640625" defaultRowHeight="11" x14ac:dyDescent="0.2"/>
  <cols>
    <col min="1" max="1" width="50.6640625" style="45" customWidth="1"/>
    <col min="2" max="52" width="9.6640625" style="45" customWidth="1"/>
    <col min="53" max="16384" width="9.1640625" style="45"/>
  </cols>
  <sheetData>
    <row r="1" spans="1:52" ht="15" thickBot="1" x14ac:dyDescent="0.25">
      <c r="A1" s="43" t="s">
        <v>401</v>
      </c>
      <c r="B1" s="44">
        <v>2000</v>
      </c>
      <c r="C1" s="44">
        <v>2001</v>
      </c>
      <c r="D1" s="44">
        <v>2002</v>
      </c>
      <c r="E1" s="44">
        <v>2003</v>
      </c>
      <c r="F1" s="44">
        <v>2004</v>
      </c>
      <c r="G1" s="44">
        <v>2005</v>
      </c>
      <c r="H1" s="44">
        <v>2006</v>
      </c>
      <c r="I1" s="44">
        <v>2007</v>
      </c>
      <c r="J1" s="44">
        <v>2008</v>
      </c>
      <c r="K1" s="44">
        <v>2009</v>
      </c>
      <c r="L1" s="44">
        <v>2010</v>
      </c>
      <c r="M1" s="44">
        <v>2011</v>
      </c>
      <c r="N1" s="44">
        <v>2012</v>
      </c>
      <c r="O1" s="44">
        <v>2013</v>
      </c>
      <c r="P1" s="44">
        <v>2014</v>
      </c>
      <c r="Q1" s="44">
        <v>2015</v>
      </c>
      <c r="R1" s="44">
        <v>2016</v>
      </c>
      <c r="S1" s="44">
        <v>2017</v>
      </c>
      <c r="T1" s="44">
        <v>2018</v>
      </c>
      <c r="U1" s="44">
        <v>2019</v>
      </c>
      <c r="V1" s="44">
        <v>2020</v>
      </c>
      <c r="W1" s="44">
        <v>2021</v>
      </c>
      <c r="X1" s="44">
        <v>2022</v>
      </c>
      <c r="Y1" s="44">
        <v>2023</v>
      </c>
      <c r="Z1" s="44">
        <v>2024</v>
      </c>
      <c r="AA1" s="44">
        <v>2025</v>
      </c>
      <c r="AB1" s="44">
        <v>2026</v>
      </c>
      <c r="AC1" s="44">
        <v>2027</v>
      </c>
      <c r="AD1" s="44">
        <v>2028</v>
      </c>
      <c r="AE1" s="44">
        <v>2029</v>
      </c>
      <c r="AF1" s="44">
        <v>2030</v>
      </c>
      <c r="AG1" s="44">
        <v>2031</v>
      </c>
      <c r="AH1" s="44">
        <v>2032</v>
      </c>
      <c r="AI1" s="44">
        <v>2033</v>
      </c>
      <c r="AJ1" s="44">
        <v>2034</v>
      </c>
      <c r="AK1" s="44">
        <v>2035</v>
      </c>
      <c r="AL1" s="44">
        <v>2036</v>
      </c>
      <c r="AM1" s="44">
        <v>2037</v>
      </c>
      <c r="AN1" s="44">
        <v>2038</v>
      </c>
      <c r="AO1" s="44">
        <v>2039</v>
      </c>
      <c r="AP1" s="44">
        <v>2040</v>
      </c>
      <c r="AQ1" s="44">
        <v>2041</v>
      </c>
      <c r="AR1" s="44">
        <v>2042</v>
      </c>
      <c r="AS1" s="44">
        <v>2043</v>
      </c>
      <c r="AT1" s="44">
        <v>2044</v>
      </c>
      <c r="AU1" s="44">
        <v>2045</v>
      </c>
      <c r="AV1" s="44">
        <v>2046</v>
      </c>
      <c r="AW1" s="44">
        <v>2047</v>
      </c>
      <c r="AX1" s="44">
        <v>2048</v>
      </c>
      <c r="AY1" s="44">
        <v>2049</v>
      </c>
      <c r="AZ1" s="44">
        <v>2050</v>
      </c>
    </row>
    <row r="2" spans="1:52" x14ac:dyDescent="0.2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</row>
    <row r="3" spans="1:52" ht="14" x14ac:dyDescent="0.2">
      <c r="A3" s="48" t="s">
        <v>402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spans="1:52" x14ac:dyDescent="0.2">
      <c r="A4" s="54" t="s">
        <v>403</v>
      </c>
      <c r="B4" s="55">
        <v>177.20473339275475</v>
      </c>
      <c r="C4" s="55">
        <v>170.69816</v>
      </c>
      <c r="D4" s="55">
        <v>167.90144999999995</v>
      </c>
      <c r="E4" s="55">
        <v>170.29819999999998</v>
      </c>
      <c r="F4" s="55">
        <v>176.68224999999993</v>
      </c>
      <c r="G4" s="55">
        <v>172.25543074238857</v>
      </c>
      <c r="H4" s="55">
        <v>171.97982000000002</v>
      </c>
      <c r="I4" s="55">
        <v>169.90052999999997</v>
      </c>
      <c r="J4" s="55">
        <v>172.70170000000002</v>
      </c>
      <c r="K4" s="55">
        <v>174.20060999999993</v>
      </c>
      <c r="L4" s="55">
        <v>183.79170576490188</v>
      </c>
      <c r="M4" s="55">
        <v>181.21204781660322</v>
      </c>
      <c r="N4" s="55">
        <v>177.2709668716725</v>
      </c>
      <c r="O4" s="55">
        <v>174.95508957843836</v>
      </c>
      <c r="P4" s="55">
        <v>169.96272850639232</v>
      </c>
      <c r="Q4" s="55">
        <v>177.07270095676182</v>
      </c>
      <c r="R4" s="55">
        <v>180.69150621860655</v>
      </c>
      <c r="S4" s="55">
        <v>184.82614200812117</v>
      </c>
      <c r="T4" s="55">
        <v>188.19100168515172</v>
      </c>
      <c r="U4" s="55">
        <v>191.23313046292634</v>
      </c>
      <c r="V4" s="55">
        <v>193.46872919550992</v>
      </c>
      <c r="W4" s="55">
        <v>196.00537119777997</v>
      </c>
      <c r="X4" s="55">
        <v>198.2590345400057</v>
      </c>
      <c r="Y4" s="55">
        <v>200.98967670235601</v>
      </c>
      <c r="Z4" s="55">
        <v>203.47689796039663</v>
      </c>
      <c r="AA4" s="55">
        <v>205.89507372941713</v>
      </c>
      <c r="AB4" s="55">
        <v>208.38243746172967</v>
      </c>
      <c r="AC4" s="55">
        <v>210.84431529740033</v>
      </c>
      <c r="AD4" s="55">
        <v>213.60064110302554</v>
      </c>
      <c r="AE4" s="55">
        <v>216.49236116523943</v>
      </c>
      <c r="AF4" s="55">
        <v>219.35204730764869</v>
      </c>
      <c r="AG4" s="55">
        <v>221.07481197625765</v>
      </c>
      <c r="AH4" s="55">
        <v>224.04182784941889</v>
      </c>
      <c r="AI4" s="55">
        <v>227.03261287221807</v>
      </c>
      <c r="AJ4" s="55">
        <v>229.62450509382018</v>
      </c>
      <c r="AK4" s="55">
        <v>232.21370509181787</v>
      </c>
      <c r="AL4" s="55">
        <v>234.51596294996557</v>
      </c>
      <c r="AM4" s="55">
        <v>236.23564637490435</v>
      </c>
      <c r="AN4" s="55">
        <v>237.64924889907087</v>
      </c>
      <c r="AO4" s="55">
        <v>238.71814329182737</v>
      </c>
      <c r="AP4" s="55">
        <v>239.20944797105335</v>
      </c>
      <c r="AQ4" s="55">
        <v>239.50161098590294</v>
      </c>
      <c r="AR4" s="55">
        <v>239.90498425586523</v>
      </c>
      <c r="AS4" s="55">
        <v>239.83827469188333</v>
      </c>
      <c r="AT4" s="55">
        <v>239.5453630462153</v>
      </c>
      <c r="AU4" s="55">
        <v>239.32731835528989</v>
      </c>
      <c r="AV4" s="55">
        <v>238.30307060334221</v>
      </c>
      <c r="AW4" s="55">
        <v>236.96016614258434</v>
      </c>
      <c r="AX4" s="55">
        <v>236.06031373924554</v>
      </c>
      <c r="AY4" s="55">
        <v>235.12703638739094</v>
      </c>
      <c r="AZ4" s="55">
        <v>234.35849209707709</v>
      </c>
    </row>
    <row r="5" spans="1:52" x14ac:dyDescent="0.2">
      <c r="A5" s="56" t="s">
        <v>404</v>
      </c>
      <c r="B5" s="57">
        <v>36.715432938344456</v>
      </c>
      <c r="C5" s="57">
        <v>34.699739999999984</v>
      </c>
      <c r="D5" s="57">
        <v>33.699880000000007</v>
      </c>
      <c r="E5" s="57">
        <v>33.698869999999999</v>
      </c>
      <c r="F5" s="57">
        <v>34.681520000000013</v>
      </c>
      <c r="G5" s="57">
        <v>33.653417848961197</v>
      </c>
      <c r="H5" s="57">
        <v>33.680169999999997</v>
      </c>
      <c r="I5" s="57">
        <v>33.699360000000006</v>
      </c>
      <c r="J5" s="57">
        <v>33.699860000000001</v>
      </c>
      <c r="K5" s="57">
        <v>30.599909999999991</v>
      </c>
      <c r="L5" s="57">
        <v>33.653440917411586</v>
      </c>
      <c r="M5" s="57">
        <v>32.626344623800776</v>
      </c>
      <c r="N5" s="57">
        <v>27.395741834932057</v>
      </c>
      <c r="O5" s="57">
        <v>27.395645576464631</v>
      </c>
      <c r="P5" s="57">
        <v>28.422615353554953</v>
      </c>
      <c r="Q5" s="57">
        <v>32.50692246911197</v>
      </c>
      <c r="R5" s="57">
        <v>32.934141033612278</v>
      </c>
      <c r="S5" s="57">
        <v>33.41747359562477</v>
      </c>
      <c r="T5" s="57">
        <v>33.840460790715149</v>
      </c>
      <c r="U5" s="57">
        <v>34.058222731130577</v>
      </c>
      <c r="V5" s="57">
        <v>34.446424194783944</v>
      </c>
      <c r="W5" s="57">
        <v>34.7467787197725</v>
      </c>
      <c r="X5" s="57">
        <v>34.773716485676658</v>
      </c>
      <c r="Y5" s="57">
        <v>35.377060684147736</v>
      </c>
      <c r="Z5" s="57">
        <v>35.92663805391836</v>
      </c>
      <c r="AA5" s="57">
        <v>36.532610897593372</v>
      </c>
      <c r="AB5" s="57">
        <v>37.181789945013698</v>
      </c>
      <c r="AC5" s="57">
        <v>37.938703458588115</v>
      </c>
      <c r="AD5" s="57">
        <v>38.934125129300575</v>
      </c>
      <c r="AE5" s="57">
        <v>39.916318992655583</v>
      </c>
      <c r="AF5" s="57">
        <v>40.876841456635901</v>
      </c>
      <c r="AG5" s="57">
        <v>41.050953875600499</v>
      </c>
      <c r="AH5" s="57">
        <v>42.052754538669141</v>
      </c>
      <c r="AI5" s="57">
        <v>42.984404450085762</v>
      </c>
      <c r="AJ5" s="57">
        <v>43.638765248655048</v>
      </c>
      <c r="AK5" s="57">
        <v>44.51165896509211</v>
      </c>
      <c r="AL5" s="57">
        <v>45.219272407699854</v>
      </c>
      <c r="AM5" s="57">
        <v>45.4356031913739</v>
      </c>
      <c r="AN5" s="57">
        <v>46.035186295387192</v>
      </c>
      <c r="AO5" s="57">
        <v>46.475784539762948</v>
      </c>
      <c r="AP5" s="57">
        <v>46.288643867748057</v>
      </c>
      <c r="AQ5" s="57">
        <v>46.054640714498127</v>
      </c>
      <c r="AR5" s="57">
        <v>46.438995270414246</v>
      </c>
      <c r="AS5" s="57">
        <v>46.503063926703788</v>
      </c>
      <c r="AT5" s="57">
        <v>46.473598834334538</v>
      </c>
      <c r="AU5" s="57">
        <v>46.688434529258885</v>
      </c>
      <c r="AV5" s="57">
        <v>45.05369298074725</v>
      </c>
      <c r="AW5" s="57">
        <v>43.46985344335161</v>
      </c>
      <c r="AX5" s="57">
        <v>42.889185573275682</v>
      </c>
      <c r="AY5" s="57">
        <v>41.583465852335515</v>
      </c>
      <c r="AZ5" s="57">
        <v>40.799193685968731</v>
      </c>
    </row>
    <row r="6" spans="1:52" x14ac:dyDescent="0.2">
      <c r="A6" s="58" t="s">
        <v>405</v>
      </c>
      <c r="B6" s="59">
        <v>140.48930045441028</v>
      </c>
      <c r="C6" s="59">
        <v>135.99842000000001</v>
      </c>
      <c r="D6" s="59">
        <v>134.20156999999995</v>
      </c>
      <c r="E6" s="59">
        <v>136.59932999999998</v>
      </c>
      <c r="F6" s="59">
        <v>142.00072999999992</v>
      </c>
      <c r="G6" s="59">
        <v>138.60201289342737</v>
      </c>
      <c r="H6" s="59">
        <v>138.29965000000001</v>
      </c>
      <c r="I6" s="59">
        <v>136.20116999999996</v>
      </c>
      <c r="J6" s="59">
        <v>139.00184000000002</v>
      </c>
      <c r="K6" s="59">
        <v>143.60069999999993</v>
      </c>
      <c r="L6" s="59">
        <v>150.13826484749029</v>
      </c>
      <c r="M6" s="59">
        <v>148.58570319280244</v>
      </c>
      <c r="N6" s="59">
        <v>149.87522503674043</v>
      </c>
      <c r="O6" s="59">
        <v>147.55944400197373</v>
      </c>
      <c r="P6" s="59">
        <v>141.54011315283736</v>
      </c>
      <c r="Q6" s="59">
        <v>144.56577848764985</v>
      </c>
      <c r="R6" s="59">
        <v>147.75736518499428</v>
      </c>
      <c r="S6" s="59">
        <v>151.40866841249638</v>
      </c>
      <c r="T6" s="59">
        <v>154.35054089443656</v>
      </c>
      <c r="U6" s="59">
        <v>157.17490773179577</v>
      </c>
      <c r="V6" s="59">
        <v>159.02230500072596</v>
      </c>
      <c r="W6" s="59">
        <v>161.25859247800747</v>
      </c>
      <c r="X6" s="59">
        <v>163.48531805432904</v>
      </c>
      <c r="Y6" s="59">
        <v>165.61261601820829</v>
      </c>
      <c r="Z6" s="59">
        <v>167.55025990647826</v>
      </c>
      <c r="AA6" s="59">
        <v>169.36246283182376</v>
      </c>
      <c r="AB6" s="59">
        <v>171.20064751671597</v>
      </c>
      <c r="AC6" s="59">
        <v>172.90561183881221</v>
      </c>
      <c r="AD6" s="59">
        <v>174.66651597372496</v>
      </c>
      <c r="AE6" s="59">
        <v>176.57604217258384</v>
      </c>
      <c r="AF6" s="59">
        <v>178.47520585101279</v>
      </c>
      <c r="AG6" s="59">
        <v>180.02385810065715</v>
      </c>
      <c r="AH6" s="59">
        <v>181.98907331074975</v>
      </c>
      <c r="AI6" s="59">
        <v>184.04820842213229</v>
      </c>
      <c r="AJ6" s="59">
        <v>185.98573984516514</v>
      </c>
      <c r="AK6" s="59">
        <v>187.70204612672578</v>
      </c>
      <c r="AL6" s="59">
        <v>189.29669054226571</v>
      </c>
      <c r="AM6" s="59">
        <v>190.80004318353045</v>
      </c>
      <c r="AN6" s="59">
        <v>191.61406260368369</v>
      </c>
      <c r="AO6" s="59">
        <v>192.24235875206443</v>
      </c>
      <c r="AP6" s="59">
        <v>192.9208041033053</v>
      </c>
      <c r="AQ6" s="59">
        <v>193.44697027140481</v>
      </c>
      <c r="AR6" s="59">
        <v>193.46598898545099</v>
      </c>
      <c r="AS6" s="59">
        <v>193.33521076517954</v>
      </c>
      <c r="AT6" s="59">
        <v>193.07176421188075</v>
      </c>
      <c r="AU6" s="59">
        <v>192.63888382603099</v>
      </c>
      <c r="AV6" s="59">
        <v>193.24937762259495</v>
      </c>
      <c r="AW6" s="59">
        <v>193.49031269923273</v>
      </c>
      <c r="AX6" s="59">
        <v>193.17112816596986</v>
      </c>
      <c r="AY6" s="59">
        <v>193.54357053505544</v>
      </c>
      <c r="AZ6" s="59">
        <v>193.55929841110836</v>
      </c>
    </row>
    <row r="7" spans="1:52" x14ac:dyDescent="0.2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</row>
    <row r="8" spans="1:52" ht="14" x14ac:dyDescent="0.2">
      <c r="A8" s="48" t="s">
        <v>402</v>
      </c>
      <c r="B8" s="61">
        <v>177.20473339275475</v>
      </c>
      <c r="C8" s="61">
        <v>170.69815999999997</v>
      </c>
      <c r="D8" s="61">
        <v>167.90144999999998</v>
      </c>
      <c r="E8" s="61">
        <v>170.29819999999998</v>
      </c>
      <c r="F8" s="61">
        <v>176.68224999999993</v>
      </c>
      <c r="G8" s="61">
        <v>172.25543074238857</v>
      </c>
      <c r="H8" s="61">
        <v>171.97982000000002</v>
      </c>
      <c r="I8" s="61">
        <v>169.90052999999997</v>
      </c>
      <c r="J8" s="61">
        <v>172.70170000000002</v>
      </c>
      <c r="K8" s="61">
        <v>174.20060999999995</v>
      </c>
      <c r="L8" s="61">
        <v>183.79170576490188</v>
      </c>
      <c r="M8" s="61">
        <v>181.21204781660322</v>
      </c>
      <c r="N8" s="61">
        <v>177.27096687167247</v>
      </c>
      <c r="O8" s="61">
        <v>174.95508957843836</v>
      </c>
      <c r="P8" s="61">
        <v>169.96272850639232</v>
      </c>
      <c r="Q8" s="61">
        <v>177.07270095676182</v>
      </c>
      <c r="R8" s="61">
        <v>180.69150621860655</v>
      </c>
      <c r="S8" s="61">
        <v>184.82614200812117</v>
      </c>
      <c r="T8" s="61">
        <v>188.19100168515169</v>
      </c>
      <c r="U8" s="61">
        <v>191.23313046292631</v>
      </c>
      <c r="V8" s="61">
        <v>193.46872919550992</v>
      </c>
      <c r="W8" s="61">
        <v>196.00537119777999</v>
      </c>
      <c r="X8" s="61">
        <v>198.2590345400057</v>
      </c>
      <c r="Y8" s="61">
        <v>200.98967670235601</v>
      </c>
      <c r="Z8" s="61">
        <v>203.47689796039663</v>
      </c>
      <c r="AA8" s="61">
        <v>205.89507372941713</v>
      </c>
      <c r="AB8" s="61">
        <v>208.38243746172967</v>
      </c>
      <c r="AC8" s="61">
        <v>210.84431529740033</v>
      </c>
      <c r="AD8" s="61">
        <v>213.60064110302551</v>
      </c>
      <c r="AE8" s="61">
        <v>216.49236116523946</v>
      </c>
      <c r="AF8" s="61">
        <v>219.35204730764869</v>
      </c>
      <c r="AG8" s="61">
        <v>221.07481197625765</v>
      </c>
      <c r="AH8" s="61">
        <v>224.04182784941889</v>
      </c>
      <c r="AI8" s="61">
        <v>227.03261287221807</v>
      </c>
      <c r="AJ8" s="61">
        <v>229.62450509382018</v>
      </c>
      <c r="AK8" s="61">
        <v>232.2137050918179</v>
      </c>
      <c r="AL8" s="61">
        <v>234.51596294996554</v>
      </c>
      <c r="AM8" s="61">
        <v>236.23564637490435</v>
      </c>
      <c r="AN8" s="61">
        <v>237.6492488990709</v>
      </c>
      <c r="AO8" s="61">
        <v>238.7181432918274</v>
      </c>
      <c r="AP8" s="61">
        <v>239.20944797105335</v>
      </c>
      <c r="AQ8" s="61">
        <v>239.50161098590291</v>
      </c>
      <c r="AR8" s="61">
        <v>239.90498425586526</v>
      </c>
      <c r="AS8" s="61">
        <v>239.83827469188333</v>
      </c>
      <c r="AT8" s="61">
        <v>239.5453630462153</v>
      </c>
      <c r="AU8" s="61">
        <v>239.32731835528989</v>
      </c>
      <c r="AV8" s="61">
        <v>238.30307060334221</v>
      </c>
      <c r="AW8" s="61">
        <v>236.96016614258434</v>
      </c>
      <c r="AX8" s="61">
        <v>236.06031373924554</v>
      </c>
      <c r="AY8" s="61">
        <v>235.12703638739094</v>
      </c>
      <c r="AZ8" s="61">
        <v>234.35849209707709</v>
      </c>
    </row>
    <row r="9" spans="1:52" x14ac:dyDescent="0.2">
      <c r="A9" s="62" t="s">
        <v>397</v>
      </c>
      <c r="B9" s="63">
        <v>167.01766745961399</v>
      </c>
      <c r="C9" s="63">
        <v>161.32406184710791</v>
      </c>
      <c r="D9" s="63">
        <v>159.41772064760542</v>
      </c>
      <c r="E9" s="63">
        <v>160.41934634984614</v>
      </c>
      <c r="F9" s="63">
        <v>164.31471060387287</v>
      </c>
      <c r="G9" s="63">
        <v>160.70824301383814</v>
      </c>
      <c r="H9" s="63">
        <v>159.60587678580333</v>
      </c>
      <c r="I9" s="63">
        <v>154.86299534955944</v>
      </c>
      <c r="J9" s="63">
        <v>156.20399261683255</v>
      </c>
      <c r="K9" s="63">
        <v>159.42764353593944</v>
      </c>
      <c r="L9" s="63">
        <v>167.99920036966662</v>
      </c>
      <c r="M9" s="63">
        <v>166.7322851452227</v>
      </c>
      <c r="N9" s="63">
        <v>163.76191761712019</v>
      </c>
      <c r="O9" s="63">
        <v>161.87094337687518</v>
      </c>
      <c r="P9" s="63">
        <v>157.28965438033873</v>
      </c>
      <c r="Q9" s="63">
        <v>163.65232523456646</v>
      </c>
      <c r="R9" s="63">
        <v>167.09190082482232</v>
      </c>
      <c r="S9" s="63">
        <v>170.87795894569427</v>
      </c>
      <c r="T9" s="63">
        <v>173.93446087868625</v>
      </c>
      <c r="U9" s="63">
        <v>176.71431764914715</v>
      </c>
      <c r="V9" s="63">
        <v>178.68243720576996</v>
      </c>
      <c r="W9" s="63">
        <v>180.94818034132456</v>
      </c>
      <c r="X9" s="63">
        <v>183.02270964342904</v>
      </c>
      <c r="Y9" s="63">
        <v>185.33073295954136</v>
      </c>
      <c r="Z9" s="63">
        <v>187.42076215045716</v>
      </c>
      <c r="AA9" s="63">
        <v>189.50365521896435</v>
      </c>
      <c r="AB9" s="63">
        <v>191.61111837155616</v>
      </c>
      <c r="AC9" s="63">
        <v>193.70716495942875</v>
      </c>
      <c r="AD9" s="63">
        <v>196.08081221394156</v>
      </c>
      <c r="AE9" s="63">
        <v>198.59200418859078</v>
      </c>
      <c r="AF9" s="63">
        <v>201.07154871766679</v>
      </c>
      <c r="AG9" s="63">
        <v>202.52609702970528</v>
      </c>
      <c r="AH9" s="63">
        <v>205.28754168619415</v>
      </c>
      <c r="AI9" s="63">
        <v>208.03470560351238</v>
      </c>
      <c r="AJ9" s="63">
        <v>210.39154445720877</v>
      </c>
      <c r="AK9" s="63">
        <v>212.84430999869937</v>
      </c>
      <c r="AL9" s="63">
        <v>214.87631781791188</v>
      </c>
      <c r="AM9" s="63">
        <v>216.34254286077379</v>
      </c>
      <c r="AN9" s="63">
        <v>217.6155219479983</v>
      </c>
      <c r="AO9" s="63">
        <v>218.40957190557279</v>
      </c>
      <c r="AP9" s="63">
        <v>218.67233088644838</v>
      </c>
      <c r="AQ9" s="63">
        <v>218.69663137932702</v>
      </c>
      <c r="AR9" s="63">
        <v>218.78625198673328</v>
      </c>
      <c r="AS9" s="63">
        <v>218.4348326022176</v>
      </c>
      <c r="AT9" s="63">
        <v>217.83262989408053</v>
      </c>
      <c r="AU9" s="63">
        <v>217.27755487091645</v>
      </c>
      <c r="AV9" s="63">
        <v>215.91092125001634</v>
      </c>
      <c r="AW9" s="63">
        <v>214.49687176085865</v>
      </c>
      <c r="AX9" s="63">
        <v>213.41049663638586</v>
      </c>
      <c r="AY9" s="63">
        <v>212.31089862832638</v>
      </c>
      <c r="AZ9" s="63">
        <v>211.34198261918749</v>
      </c>
    </row>
    <row r="10" spans="1:52" x14ac:dyDescent="0.2">
      <c r="A10" s="64" t="s">
        <v>394</v>
      </c>
      <c r="B10" s="65">
        <v>163.1788503846862</v>
      </c>
      <c r="C10" s="65">
        <v>156.92870317251811</v>
      </c>
      <c r="D10" s="65">
        <v>155.09144045326892</v>
      </c>
      <c r="E10" s="65">
        <v>153.04375997433206</v>
      </c>
      <c r="F10" s="65">
        <v>156.8747055624427</v>
      </c>
      <c r="G10" s="65">
        <v>153.14869034352188</v>
      </c>
      <c r="H10" s="65">
        <v>151.75039566266173</v>
      </c>
      <c r="I10" s="65">
        <v>146.41488074537196</v>
      </c>
      <c r="J10" s="65">
        <v>147.26839542554973</v>
      </c>
      <c r="K10" s="65">
        <v>150.25564578421026</v>
      </c>
      <c r="L10" s="65">
        <v>162.78997430616272</v>
      </c>
      <c r="M10" s="65">
        <v>161.36084981124023</v>
      </c>
      <c r="N10" s="65">
        <v>158.62484125795029</v>
      </c>
      <c r="O10" s="65">
        <v>156.46773875564318</v>
      </c>
      <c r="P10" s="65">
        <v>152.66203765295933</v>
      </c>
      <c r="Q10" s="65">
        <v>154.26648460361375</v>
      </c>
      <c r="R10" s="65">
        <v>157.66115730351783</v>
      </c>
      <c r="S10" s="65">
        <v>161.02080401456126</v>
      </c>
      <c r="T10" s="65">
        <v>163.58337246843925</v>
      </c>
      <c r="U10" s="65">
        <v>165.69644116972847</v>
      </c>
      <c r="V10" s="65">
        <v>167.13606343723879</v>
      </c>
      <c r="W10" s="65">
        <v>168.8199959999564</v>
      </c>
      <c r="X10" s="65">
        <v>170.19338486456056</v>
      </c>
      <c r="Y10" s="65">
        <v>171.84303842148296</v>
      </c>
      <c r="Z10" s="65">
        <v>173.46233777440705</v>
      </c>
      <c r="AA10" s="65">
        <v>175.09392140176635</v>
      </c>
      <c r="AB10" s="65">
        <v>176.73486160321937</v>
      </c>
      <c r="AC10" s="65">
        <v>178.33341754954552</v>
      </c>
      <c r="AD10" s="65">
        <v>180.20327128091191</v>
      </c>
      <c r="AE10" s="65">
        <v>182.18646002213296</v>
      </c>
      <c r="AF10" s="65">
        <v>184.1531877983162</v>
      </c>
      <c r="AG10" s="65">
        <v>185.2005707664394</v>
      </c>
      <c r="AH10" s="65">
        <v>187.41464793465948</v>
      </c>
      <c r="AI10" s="65">
        <v>189.58723453969492</v>
      </c>
      <c r="AJ10" s="65">
        <v>191.46662859232489</v>
      </c>
      <c r="AK10" s="65">
        <v>193.28903789693891</v>
      </c>
      <c r="AL10" s="65">
        <v>194.79056721189528</v>
      </c>
      <c r="AM10" s="65">
        <v>195.82823200466137</v>
      </c>
      <c r="AN10" s="65">
        <v>196.72363164634999</v>
      </c>
      <c r="AO10" s="65">
        <v>197.09792914527574</v>
      </c>
      <c r="AP10" s="65">
        <v>196.95163067282112</v>
      </c>
      <c r="AQ10" s="65">
        <v>196.50136887617541</v>
      </c>
      <c r="AR10" s="65">
        <v>196.14901719661793</v>
      </c>
      <c r="AS10" s="65">
        <v>195.38992185090808</v>
      </c>
      <c r="AT10" s="65">
        <v>194.41420149675119</v>
      </c>
      <c r="AU10" s="65">
        <v>193.49393793866631</v>
      </c>
      <c r="AV10" s="65">
        <v>191.79166480253997</v>
      </c>
      <c r="AW10" s="65">
        <v>189.9869557836725</v>
      </c>
      <c r="AX10" s="65">
        <v>188.66046204953554</v>
      </c>
      <c r="AY10" s="65">
        <v>187.38603154250904</v>
      </c>
      <c r="AZ10" s="65">
        <v>186.38711262995781</v>
      </c>
    </row>
    <row r="11" spans="1:52" x14ac:dyDescent="0.2">
      <c r="A11" s="66" t="s">
        <v>406</v>
      </c>
      <c r="B11" s="67">
        <v>34.06989113579899</v>
      </c>
      <c r="C11" s="67">
        <v>32.249544105847718</v>
      </c>
      <c r="D11" s="67">
        <v>31.446896444341508</v>
      </c>
      <c r="E11" s="67">
        <v>31.118889959266681</v>
      </c>
      <c r="F11" s="67">
        <v>31.65908319488322</v>
      </c>
      <c r="G11" s="67">
        <v>30.845481862040231</v>
      </c>
      <c r="H11" s="67">
        <v>30.650717222680743</v>
      </c>
      <c r="I11" s="67">
        <v>29.982205667140356</v>
      </c>
      <c r="J11" s="67">
        <v>29.696614872469286</v>
      </c>
      <c r="K11" s="67">
        <v>27.331317476928866</v>
      </c>
      <c r="L11" s="67">
        <v>30.005529217128256</v>
      </c>
      <c r="M11" s="67">
        <v>29.3259453888701</v>
      </c>
      <c r="N11" s="67">
        <v>24.687590296836824</v>
      </c>
      <c r="O11" s="67">
        <v>24.680515876672199</v>
      </c>
      <c r="P11" s="67">
        <v>25.597569925228228</v>
      </c>
      <c r="Q11" s="67">
        <v>29.234829365944531</v>
      </c>
      <c r="R11" s="67">
        <v>29.707683454127238</v>
      </c>
      <c r="S11" s="67">
        <v>30.201892685735547</v>
      </c>
      <c r="T11" s="67">
        <v>30.588355139705538</v>
      </c>
      <c r="U11" s="67">
        <v>30.83295162166247</v>
      </c>
      <c r="V11" s="67">
        <v>30.992160844579072</v>
      </c>
      <c r="W11" s="67">
        <v>31.070065295378374</v>
      </c>
      <c r="X11" s="67">
        <v>31.095798730795376</v>
      </c>
      <c r="Y11" s="67">
        <v>31.495643952421695</v>
      </c>
      <c r="Z11" s="67">
        <v>31.848681134922376</v>
      </c>
      <c r="AA11" s="67">
        <v>32.478740573132654</v>
      </c>
      <c r="AB11" s="67">
        <v>32.988413418090786</v>
      </c>
      <c r="AC11" s="67">
        <v>33.51158180202026</v>
      </c>
      <c r="AD11" s="67">
        <v>34.368284229916931</v>
      </c>
      <c r="AE11" s="67">
        <v>35.166714562404778</v>
      </c>
      <c r="AF11" s="67">
        <v>35.951264483006995</v>
      </c>
      <c r="AG11" s="67">
        <v>36.39353072404186</v>
      </c>
      <c r="AH11" s="67">
        <v>37.257137982470987</v>
      </c>
      <c r="AI11" s="67">
        <v>38.135629518837931</v>
      </c>
      <c r="AJ11" s="67">
        <v>38.715132974893898</v>
      </c>
      <c r="AK11" s="67">
        <v>39.756458599040897</v>
      </c>
      <c r="AL11" s="67">
        <v>40.417114644190356</v>
      </c>
      <c r="AM11" s="67">
        <v>40.526362817277715</v>
      </c>
      <c r="AN11" s="67">
        <v>41.363332960196544</v>
      </c>
      <c r="AO11" s="67">
        <v>41.708389692603383</v>
      </c>
      <c r="AP11" s="67">
        <v>41.615134160536037</v>
      </c>
      <c r="AQ11" s="67">
        <v>41.250025129373661</v>
      </c>
      <c r="AR11" s="67">
        <v>41.537731680667946</v>
      </c>
      <c r="AS11" s="67">
        <v>41.457552772826944</v>
      </c>
      <c r="AT11" s="67">
        <v>41.302310684937758</v>
      </c>
      <c r="AU11" s="67">
        <v>41.423312077151785</v>
      </c>
      <c r="AV11" s="67">
        <v>39.696897164189899</v>
      </c>
      <c r="AW11" s="67">
        <v>38.075956069122569</v>
      </c>
      <c r="AX11" s="67">
        <v>37.592031329764232</v>
      </c>
      <c r="AY11" s="67">
        <v>36.412762904554036</v>
      </c>
      <c r="AZ11" s="67">
        <v>35.727178476708396</v>
      </c>
    </row>
    <row r="12" spans="1:52" x14ac:dyDescent="0.2">
      <c r="A12" s="68" t="s">
        <v>407</v>
      </c>
      <c r="B12" s="69">
        <v>129.1089592488872</v>
      </c>
      <c r="C12" s="69">
        <v>124.67915906667038</v>
      </c>
      <c r="D12" s="69">
        <v>123.6445440089274</v>
      </c>
      <c r="E12" s="69">
        <v>121.92487001506538</v>
      </c>
      <c r="F12" s="69">
        <v>125.21562236755949</v>
      </c>
      <c r="G12" s="69">
        <v>122.30320848148163</v>
      </c>
      <c r="H12" s="69">
        <v>121.09967843998099</v>
      </c>
      <c r="I12" s="69">
        <v>116.43267507823161</v>
      </c>
      <c r="J12" s="69">
        <v>117.57178055308044</v>
      </c>
      <c r="K12" s="69">
        <v>122.92432830728139</v>
      </c>
      <c r="L12" s="69">
        <v>132.78444508903448</v>
      </c>
      <c r="M12" s="69">
        <v>132.03490442237012</v>
      </c>
      <c r="N12" s="69">
        <v>133.93725096111348</v>
      </c>
      <c r="O12" s="69">
        <v>131.78722287897099</v>
      </c>
      <c r="P12" s="69">
        <v>127.06446772773108</v>
      </c>
      <c r="Q12" s="69">
        <v>125.03165523766923</v>
      </c>
      <c r="R12" s="69">
        <v>127.95347384939058</v>
      </c>
      <c r="S12" s="69">
        <v>130.81891132882572</v>
      </c>
      <c r="T12" s="69">
        <v>132.99501732873372</v>
      </c>
      <c r="U12" s="69">
        <v>134.86348954806601</v>
      </c>
      <c r="V12" s="69">
        <v>136.14390259265971</v>
      </c>
      <c r="W12" s="69">
        <v>137.74993070457802</v>
      </c>
      <c r="X12" s="69">
        <v>139.09758613376519</v>
      </c>
      <c r="Y12" s="69">
        <v>140.34739446906127</v>
      </c>
      <c r="Z12" s="69">
        <v>141.61365663948467</v>
      </c>
      <c r="AA12" s="69">
        <v>142.6151808286337</v>
      </c>
      <c r="AB12" s="69">
        <v>143.7464481851286</v>
      </c>
      <c r="AC12" s="69">
        <v>144.82183574752526</v>
      </c>
      <c r="AD12" s="69">
        <v>145.83498705099498</v>
      </c>
      <c r="AE12" s="69">
        <v>147.01974545972817</v>
      </c>
      <c r="AF12" s="69">
        <v>148.20192331530922</v>
      </c>
      <c r="AG12" s="69">
        <v>148.80704004239755</v>
      </c>
      <c r="AH12" s="69">
        <v>150.15750995218849</v>
      </c>
      <c r="AI12" s="69">
        <v>151.45160502085699</v>
      </c>
      <c r="AJ12" s="69">
        <v>152.751495617431</v>
      </c>
      <c r="AK12" s="69">
        <v>153.532579297898</v>
      </c>
      <c r="AL12" s="69">
        <v>154.37345256770493</v>
      </c>
      <c r="AM12" s="69">
        <v>155.30186918738366</v>
      </c>
      <c r="AN12" s="69">
        <v>155.36029868615344</v>
      </c>
      <c r="AO12" s="69">
        <v>155.38953945267235</v>
      </c>
      <c r="AP12" s="69">
        <v>155.33649651228509</v>
      </c>
      <c r="AQ12" s="69">
        <v>155.25134374680175</v>
      </c>
      <c r="AR12" s="69">
        <v>154.61128551594999</v>
      </c>
      <c r="AS12" s="69">
        <v>153.93236907808114</v>
      </c>
      <c r="AT12" s="69">
        <v>153.11189081181342</v>
      </c>
      <c r="AU12" s="69">
        <v>152.07062586151451</v>
      </c>
      <c r="AV12" s="69">
        <v>152.09476763835008</v>
      </c>
      <c r="AW12" s="69">
        <v>151.91099971454994</v>
      </c>
      <c r="AX12" s="69">
        <v>151.0684307197713</v>
      </c>
      <c r="AY12" s="69">
        <v>150.97326863795502</v>
      </c>
      <c r="AZ12" s="69">
        <v>150.65993415324942</v>
      </c>
    </row>
    <row r="13" spans="1:52" x14ac:dyDescent="0.2">
      <c r="A13" s="64" t="s">
        <v>395</v>
      </c>
      <c r="B13" s="65">
        <v>0.76169689105287253</v>
      </c>
      <c r="C13" s="65">
        <v>1.2718877708155736</v>
      </c>
      <c r="D13" s="65">
        <v>1.3246289104797213</v>
      </c>
      <c r="E13" s="65">
        <v>4.3204675697306305</v>
      </c>
      <c r="F13" s="65">
        <v>4.2403671281374589</v>
      </c>
      <c r="G13" s="65">
        <v>4.3560211859862603</v>
      </c>
      <c r="H13" s="65">
        <v>4.5760112057511311</v>
      </c>
      <c r="I13" s="65">
        <v>5.0588017956745146</v>
      </c>
      <c r="J13" s="65">
        <v>5.4440866729619408</v>
      </c>
      <c r="K13" s="65">
        <v>5.7087840163825838</v>
      </c>
      <c r="L13" s="65">
        <v>1.7243832233013556</v>
      </c>
      <c r="M13" s="65">
        <v>1.8098255641436543</v>
      </c>
      <c r="N13" s="65">
        <v>1.8981768572906672</v>
      </c>
      <c r="O13" s="65">
        <v>2.0850481389136979</v>
      </c>
      <c r="P13" s="65">
        <v>1.3664300157503162</v>
      </c>
      <c r="Q13" s="65">
        <v>5.7725568960182416</v>
      </c>
      <c r="R13" s="65">
        <v>5.7719401526598615</v>
      </c>
      <c r="S13" s="65">
        <v>6.1515559204557082</v>
      </c>
      <c r="T13" s="65">
        <v>6.6069363454009693</v>
      </c>
      <c r="U13" s="65">
        <v>7.2383676393634344</v>
      </c>
      <c r="V13" s="65">
        <v>7.7413660317896884</v>
      </c>
      <c r="W13" s="65">
        <v>8.2919090936307693</v>
      </c>
      <c r="X13" s="65">
        <v>8.9649991487341936</v>
      </c>
      <c r="Y13" s="65">
        <v>9.5959640229457968</v>
      </c>
      <c r="Z13" s="65">
        <v>10.040564552982179</v>
      </c>
      <c r="AA13" s="65">
        <v>10.466419900230129</v>
      </c>
      <c r="AB13" s="65">
        <v>10.910159551372368</v>
      </c>
      <c r="AC13" s="65">
        <v>11.385218794617764</v>
      </c>
      <c r="AD13" s="65">
        <v>11.86614874237565</v>
      </c>
      <c r="AE13" s="65">
        <v>12.368386950366508</v>
      </c>
      <c r="AF13" s="65">
        <v>12.856326848135538</v>
      </c>
      <c r="AG13" s="65">
        <v>13.258091048332185</v>
      </c>
      <c r="AH13" s="65">
        <v>13.762140434510568</v>
      </c>
      <c r="AI13" s="65">
        <v>14.264138424513247</v>
      </c>
      <c r="AJ13" s="65">
        <v>14.67782154451969</v>
      </c>
      <c r="AK13" s="65">
        <v>15.24690526846161</v>
      </c>
      <c r="AL13" s="65">
        <v>15.727589759252535</v>
      </c>
      <c r="AM13" s="65">
        <v>16.105388955653247</v>
      </c>
      <c r="AN13" s="65">
        <v>16.43626765349341</v>
      </c>
      <c r="AO13" s="65">
        <v>16.812255770155637</v>
      </c>
      <c r="AP13" s="65">
        <v>17.165982833392128</v>
      </c>
      <c r="AQ13" s="65">
        <v>17.587873214155373</v>
      </c>
      <c r="AR13" s="65">
        <v>17.967694801209433</v>
      </c>
      <c r="AS13" s="65">
        <v>18.307392120490309</v>
      </c>
      <c r="AT13" s="65">
        <v>18.612752214083539</v>
      </c>
      <c r="AU13" s="65">
        <v>18.902237814751594</v>
      </c>
      <c r="AV13" s="65">
        <v>19.150276651580281</v>
      </c>
      <c r="AW13" s="65">
        <v>19.442893887321024</v>
      </c>
      <c r="AX13" s="65">
        <v>19.592642471161195</v>
      </c>
      <c r="AY13" s="65">
        <v>19.65443461002037</v>
      </c>
      <c r="AZ13" s="65">
        <v>19.571499626679731</v>
      </c>
    </row>
    <row r="14" spans="1:52" x14ac:dyDescent="0.2">
      <c r="A14" s="64" t="s">
        <v>396</v>
      </c>
      <c r="B14" s="65">
        <v>3.0771201838749147</v>
      </c>
      <c r="C14" s="65">
        <v>3.1234709037742472</v>
      </c>
      <c r="D14" s="65">
        <v>3.0016512838567602</v>
      </c>
      <c r="E14" s="65">
        <v>3.0551188057834442</v>
      </c>
      <c r="F14" s="65">
        <v>3.1996379132927255</v>
      </c>
      <c r="G14" s="65">
        <v>3.2035314843300013</v>
      </c>
      <c r="H14" s="65">
        <v>3.2794699173904664</v>
      </c>
      <c r="I14" s="65">
        <v>3.389312808512948</v>
      </c>
      <c r="J14" s="65">
        <v>3.4915105183208826</v>
      </c>
      <c r="K14" s="65">
        <v>3.4632137353465722</v>
      </c>
      <c r="L14" s="65">
        <v>3.4848428402025546</v>
      </c>
      <c r="M14" s="65">
        <v>3.561609769838797</v>
      </c>
      <c r="N14" s="65">
        <v>3.2388995018792301</v>
      </c>
      <c r="O14" s="65">
        <v>3.3181564823182907</v>
      </c>
      <c r="P14" s="65">
        <v>3.2611867116290658</v>
      </c>
      <c r="Q14" s="65">
        <v>3.6132837349344569</v>
      </c>
      <c r="R14" s="65">
        <v>3.6588033686446275</v>
      </c>
      <c r="S14" s="65">
        <v>3.7055990106773109</v>
      </c>
      <c r="T14" s="65">
        <v>3.7441520648460265</v>
      </c>
      <c r="U14" s="65">
        <v>3.7795088400552368</v>
      </c>
      <c r="V14" s="65">
        <v>3.805007736741481</v>
      </c>
      <c r="W14" s="65">
        <v>3.8362752477373849</v>
      </c>
      <c r="X14" s="65">
        <v>3.8643256301343012</v>
      </c>
      <c r="Y14" s="65">
        <v>3.8917305151126205</v>
      </c>
      <c r="Z14" s="65">
        <v>3.917859823067956</v>
      </c>
      <c r="AA14" s="65">
        <v>3.9433139169678721</v>
      </c>
      <c r="AB14" s="65">
        <v>3.966097216964414</v>
      </c>
      <c r="AC14" s="65">
        <v>3.9885286152654631</v>
      </c>
      <c r="AD14" s="65">
        <v>4.011392190653992</v>
      </c>
      <c r="AE14" s="65">
        <v>4.037157216091309</v>
      </c>
      <c r="AF14" s="65">
        <v>4.0620340712150407</v>
      </c>
      <c r="AG14" s="65">
        <v>4.0674352149336963</v>
      </c>
      <c r="AH14" s="65">
        <v>4.1107533170240993</v>
      </c>
      <c r="AI14" s="65">
        <v>4.1833326393042238</v>
      </c>
      <c r="AJ14" s="65">
        <v>4.2470943203641758</v>
      </c>
      <c r="AK14" s="65">
        <v>4.3083668332988765</v>
      </c>
      <c r="AL14" s="65">
        <v>4.3581608467640596</v>
      </c>
      <c r="AM14" s="65">
        <v>4.4089219004591822</v>
      </c>
      <c r="AN14" s="65">
        <v>4.4556226481548942</v>
      </c>
      <c r="AO14" s="65">
        <v>4.4993869901414119</v>
      </c>
      <c r="AP14" s="65">
        <v>4.5547173802351359</v>
      </c>
      <c r="AQ14" s="65">
        <v>4.607389288996246</v>
      </c>
      <c r="AR14" s="65">
        <v>4.6695399889059122</v>
      </c>
      <c r="AS14" s="65">
        <v>4.7375186308192045</v>
      </c>
      <c r="AT14" s="65">
        <v>4.8056761832458017</v>
      </c>
      <c r="AU14" s="65">
        <v>4.8813791174985317</v>
      </c>
      <c r="AV14" s="65">
        <v>4.9689797958960966</v>
      </c>
      <c r="AW14" s="65">
        <v>5.0670220898651275</v>
      </c>
      <c r="AX14" s="65">
        <v>5.1573921156891371</v>
      </c>
      <c r="AY14" s="65">
        <v>5.2704324757969792</v>
      </c>
      <c r="AZ14" s="65">
        <v>5.3833703625499592</v>
      </c>
    </row>
    <row r="15" spans="1:52" x14ac:dyDescent="0.2">
      <c r="A15" s="62" t="s">
        <v>408</v>
      </c>
      <c r="B15" s="63">
        <v>10.187065933140747</v>
      </c>
      <c r="C15" s="63">
        <v>9.374098152892067</v>
      </c>
      <c r="D15" s="63">
        <v>8.4837293523945654</v>
      </c>
      <c r="E15" s="63">
        <v>9.8788536501538502</v>
      </c>
      <c r="F15" s="63">
        <v>12.367539396127064</v>
      </c>
      <c r="G15" s="63">
        <v>11.547187728550428</v>
      </c>
      <c r="H15" s="63">
        <v>12.373943214196697</v>
      </c>
      <c r="I15" s="63">
        <v>15.037534650440538</v>
      </c>
      <c r="J15" s="63">
        <v>16.497707383167466</v>
      </c>
      <c r="K15" s="63">
        <v>14.772966464060509</v>
      </c>
      <c r="L15" s="63">
        <v>15.792505395235251</v>
      </c>
      <c r="M15" s="63">
        <v>14.479762671380527</v>
      </c>
      <c r="N15" s="63">
        <v>13.509049254552291</v>
      </c>
      <c r="O15" s="63">
        <v>13.084146201563186</v>
      </c>
      <c r="P15" s="63">
        <v>12.673074126053596</v>
      </c>
      <c r="Q15" s="63">
        <v>13.42037572219537</v>
      </c>
      <c r="R15" s="63">
        <v>13.599605393784245</v>
      </c>
      <c r="S15" s="63">
        <v>13.948183062426882</v>
      </c>
      <c r="T15" s="63">
        <v>14.256540806465448</v>
      </c>
      <c r="U15" s="63">
        <v>14.518812813779174</v>
      </c>
      <c r="V15" s="63">
        <v>14.786291989739965</v>
      </c>
      <c r="W15" s="63">
        <v>15.057190856455433</v>
      </c>
      <c r="X15" s="63">
        <v>15.236324896576663</v>
      </c>
      <c r="Y15" s="63">
        <v>15.658943742814643</v>
      </c>
      <c r="Z15" s="63">
        <v>16.056135809939459</v>
      </c>
      <c r="AA15" s="63">
        <v>16.39141851045278</v>
      </c>
      <c r="AB15" s="63">
        <v>16.771319090173506</v>
      </c>
      <c r="AC15" s="63">
        <v>17.137150337971583</v>
      </c>
      <c r="AD15" s="63">
        <v>17.519828889083961</v>
      </c>
      <c r="AE15" s="63">
        <v>17.900356976648673</v>
      </c>
      <c r="AF15" s="63">
        <v>18.280498589981896</v>
      </c>
      <c r="AG15" s="63">
        <v>18.548714946552352</v>
      </c>
      <c r="AH15" s="63">
        <v>18.754286163224737</v>
      </c>
      <c r="AI15" s="63">
        <v>18.997907268705692</v>
      </c>
      <c r="AJ15" s="63">
        <v>19.23296063661142</v>
      </c>
      <c r="AK15" s="63">
        <v>19.369395093118527</v>
      </c>
      <c r="AL15" s="63">
        <v>19.639645132053658</v>
      </c>
      <c r="AM15" s="63">
        <v>19.893103514130548</v>
      </c>
      <c r="AN15" s="63">
        <v>20.033726951072591</v>
      </c>
      <c r="AO15" s="63">
        <v>20.308571386254599</v>
      </c>
      <c r="AP15" s="63">
        <v>20.537117084604979</v>
      </c>
      <c r="AQ15" s="63">
        <v>20.804979606575905</v>
      </c>
      <c r="AR15" s="63">
        <v>21.118732269131968</v>
      </c>
      <c r="AS15" s="63">
        <v>21.403442089665724</v>
      </c>
      <c r="AT15" s="63">
        <v>21.71273315213476</v>
      </c>
      <c r="AU15" s="63">
        <v>22.049763484373443</v>
      </c>
      <c r="AV15" s="63">
        <v>22.392149353325856</v>
      </c>
      <c r="AW15" s="63">
        <v>22.463294381725674</v>
      </c>
      <c r="AX15" s="63">
        <v>22.649817102859686</v>
      </c>
      <c r="AY15" s="63">
        <v>22.81613775906456</v>
      </c>
      <c r="AZ15" s="63">
        <v>23.016509477889599</v>
      </c>
    </row>
    <row r="16" spans="1:52" x14ac:dyDescent="0.2">
      <c r="A16" s="70" t="s">
        <v>406</v>
      </c>
      <c r="B16" s="67">
        <v>2.6455418025454653</v>
      </c>
      <c r="C16" s="67">
        <v>2.4501958941522646</v>
      </c>
      <c r="D16" s="67">
        <v>2.2529835556584961</v>
      </c>
      <c r="E16" s="67">
        <v>2.5799800407333158</v>
      </c>
      <c r="F16" s="67">
        <v>3.0224368051167909</v>
      </c>
      <c r="G16" s="67">
        <v>2.8079359869209664</v>
      </c>
      <c r="H16" s="67">
        <v>3.0294527773192517</v>
      </c>
      <c r="I16" s="67">
        <v>3.7171543328596517</v>
      </c>
      <c r="J16" s="67">
        <v>4.0032451275307119</v>
      </c>
      <c r="K16" s="67">
        <v>3.2685925230711255</v>
      </c>
      <c r="L16" s="67">
        <v>3.6479117002833288</v>
      </c>
      <c r="M16" s="67">
        <v>3.3003992349306728</v>
      </c>
      <c r="N16" s="67">
        <v>2.7081515380952341</v>
      </c>
      <c r="O16" s="67">
        <v>2.7151296997924312</v>
      </c>
      <c r="P16" s="67">
        <v>2.8250454283267259</v>
      </c>
      <c r="Q16" s="67">
        <v>3.2720931031674367</v>
      </c>
      <c r="R16" s="67">
        <v>3.226457579485039</v>
      </c>
      <c r="S16" s="67">
        <v>3.2155809098892258</v>
      </c>
      <c r="T16" s="67">
        <v>3.252105651009614</v>
      </c>
      <c r="U16" s="67">
        <v>3.2252711094681055</v>
      </c>
      <c r="V16" s="67">
        <v>3.4542633502048741</v>
      </c>
      <c r="W16" s="67">
        <v>3.6767134243941295</v>
      </c>
      <c r="X16" s="67">
        <v>3.6779177548812831</v>
      </c>
      <c r="Y16" s="67">
        <v>3.8814167317260422</v>
      </c>
      <c r="Z16" s="67">
        <v>4.0779569189959846</v>
      </c>
      <c r="AA16" s="67">
        <v>4.0538703244607177</v>
      </c>
      <c r="AB16" s="67">
        <v>4.1933765269229104</v>
      </c>
      <c r="AC16" s="67">
        <v>4.4271216565678557</v>
      </c>
      <c r="AD16" s="67">
        <v>4.5658408993836428</v>
      </c>
      <c r="AE16" s="67">
        <v>4.7496044302508054</v>
      </c>
      <c r="AF16" s="67">
        <v>4.9255769736289094</v>
      </c>
      <c r="AG16" s="67">
        <v>4.6574231515586382</v>
      </c>
      <c r="AH16" s="67">
        <v>4.7956165561981541</v>
      </c>
      <c r="AI16" s="67">
        <v>4.848774931247835</v>
      </c>
      <c r="AJ16" s="67">
        <v>4.9236322737611493</v>
      </c>
      <c r="AK16" s="67">
        <v>4.7552003660512101</v>
      </c>
      <c r="AL16" s="67">
        <v>4.8021577635094967</v>
      </c>
      <c r="AM16" s="67">
        <v>4.909240374096183</v>
      </c>
      <c r="AN16" s="67">
        <v>4.6718533351906499</v>
      </c>
      <c r="AO16" s="67">
        <v>4.7673948471595677</v>
      </c>
      <c r="AP16" s="67">
        <v>4.6735097072120215</v>
      </c>
      <c r="AQ16" s="67">
        <v>4.8046155851244681</v>
      </c>
      <c r="AR16" s="67">
        <v>4.9012635897462973</v>
      </c>
      <c r="AS16" s="67">
        <v>5.0455111538768413</v>
      </c>
      <c r="AT16" s="67">
        <v>5.1712881493967773</v>
      </c>
      <c r="AU16" s="67">
        <v>5.2651224521070965</v>
      </c>
      <c r="AV16" s="67">
        <v>5.3567958165573506</v>
      </c>
      <c r="AW16" s="67">
        <v>5.3938973742290406</v>
      </c>
      <c r="AX16" s="67">
        <v>5.2971542435114483</v>
      </c>
      <c r="AY16" s="67">
        <v>5.1707029477814812</v>
      </c>
      <c r="AZ16" s="67">
        <v>5.0720152092603339</v>
      </c>
    </row>
    <row r="17" spans="1:52" x14ac:dyDescent="0.2">
      <c r="A17" s="71" t="s">
        <v>407</v>
      </c>
      <c r="B17" s="69">
        <v>7.5415241305952812</v>
      </c>
      <c r="C17" s="69">
        <v>6.9239022587398029</v>
      </c>
      <c r="D17" s="69">
        <v>6.2307457967360689</v>
      </c>
      <c r="E17" s="69">
        <v>7.298873609420534</v>
      </c>
      <c r="F17" s="69">
        <v>9.3451025910102743</v>
      </c>
      <c r="G17" s="69">
        <v>8.7392517416294613</v>
      </c>
      <c r="H17" s="69">
        <v>9.3444904368774448</v>
      </c>
      <c r="I17" s="69">
        <v>11.320380317580886</v>
      </c>
      <c r="J17" s="69">
        <v>12.494462255636753</v>
      </c>
      <c r="K17" s="69">
        <v>11.504373940989383</v>
      </c>
      <c r="L17" s="69">
        <v>12.144593694951922</v>
      </c>
      <c r="M17" s="69">
        <v>11.179363436449854</v>
      </c>
      <c r="N17" s="69">
        <v>10.800897716457056</v>
      </c>
      <c r="O17" s="69">
        <v>10.369016501770755</v>
      </c>
      <c r="P17" s="69">
        <v>9.8480286977268694</v>
      </c>
      <c r="Q17" s="69">
        <v>10.148282619027933</v>
      </c>
      <c r="R17" s="69">
        <v>10.373147814299205</v>
      </c>
      <c r="S17" s="69">
        <v>10.732602152537655</v>
      </c>
      <c r="T17" s="69">
        <v>11.004435155455834</v>
      </c>
      <c r="U17" s="69">
        <v>11.293541704311069</v>
      </c>
      <c r="V17" s="69">
        <v>11.332028639535091</v>
      </c>
      <c r="W17" s="69">
        <v>11.380477432061303</v>
      </c>
      <c r="X17" s="69">
        <v>11.55840714169538</v>
      </c>
      <c r="Y17" s="69">
        <v>11.777527011088599</v>
      </c>
      <c r="Z17" s="69">
        <v>11.978178890943475</v>
      </c>
      <c r="AA17" s="69">
        <v>12.337548185992064</v>
      </c>
      <c r="AB17" s="69">
        <v>12.577942563250595</v>
      </c>
      <c r="AC17" s="69">
        <v>12.710028681403728</v>
      </c>
      <c r="AD17" s="69">
        <v>12.953987989700318</v>
      </c>
      <c r="AE17" s="69">
        <v>13.150752546397866</v>
      </c>
      <c r="AF17" s="69">
        <v>13.354921616352987</v>
      </c>
      <c r="AG17" s="69">
        <v>13.891291794993714</v>
      </c>
      <c r="AH17" s="69">
        <v>13.958669607026582</v>
      </c>
      <c r="AI17" s="69">
        <v>14.149132337457857</v>
      </c>
      <c r="AJ17" s="69">
        <v>14.30932836285027</v>
      </c>
      <c r="AK17" s="69">
        <v>14.614194727067318</v>
      </c>
      <c r="AL17" s="69">
        <v>14.83748736854416</v>
      </c>
      <c r="AM17" s="69">
        <v>14.983863140034366</v>
      </c>
      <c r="AN17" s="69">
        <v>15.36187361588194</v>
      </c>
      <c r="AO17" s="69">
        <v>15.54117653909503</v>
      </c>
      <c r="AP17" s="69">
        <v>15.863607377392956</v>
      </c>
      <c r="AQ17" s="69">
        <v>16.000364021451436</v>
      </c>
      <c r="AR17" s="69">
        <v>16.217468679385671</v>
      </c>
      <c r="AS17" s="69">
        <v>16.357930935788882</v>
      </c>
      <c r="AT17" s="69">
        <v>16.541445002737984</v>
      </c>
      <c r="AU17" s="69">
        <v>16.784641032266347</v>
      </c>
      <c r="AV17" s="69">
        <v>17.035353536768504</v>
      </c>
      <c r="AW17" s="69">
        <v>17.069397007496633</v>
      </c>
      <c r="AX17" s="69">
        <v>17.352662859348239</v>
      </c>
      <c r="AY17" s="69">
        <v>17.645434811283078</v>
      </c>
      <c r="AZ17" s="69">
        <v>17.944494268629263</v>
      </c>
    </row>
    <row r="18" spans="1:52" x14ac:dyDescent="0.2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</row>
    <row r="19" spans="1:52" ht="12.75" customHeight="1" x14ac:dyDescent="0.2">
      <c r="A19" s="48" t="s">
        <v>409</v>
      </c>
      <c r="B19" s="61">
        <v>113.9066493980591</v>
      </c>
      <c r="C19" s="61">
        <v>107.65312573111197</v>
      </c>
      <c r="D19" s="61">
        <v>104.55114126974402</v>
      </c>
      <c r="E19" s="61">
        <v>104.54800782675601</v>
      </c>
      <c r="F19" s="61">
        <v>107.59659966057605</v>
      </c>
      <c r="G19" s="61">
        <v>104.40699621887279</v>
      </c>
      <c r="H19" s="61">
        <v>104.48999259519599</v>
      </c>
      <c r="I19" s="61">
        <v>104.54952801196802</v>
      </c>
      <c r="J19" s="61">
        <v>104.551079221368</v>
      </c>
      <c r="K19" s="61">
        <v>94.933736062307986</v>
      </c>
      <c r="L19" s="61">
        <v>104.40706778686693</v>
      </c>
      <c r="M19" s="61">
        <v>101.22058493615843</v>
      </c>
      <c r="N19" s="61">
        <v>82.251358205340026</v>
      </c>
      <c r="O19" s="61">
        <v>82.251066109838078</v>
      </c>
      <c r="P19" s="61">
        <v>85.437158934376455</v>
      </c>
      <c r="Q19" s="61">
        <v>98.108387359371307</v>
      </c>
      <c r="R19" s="61">
        <v>99.3630547669013</v>
      </c>
      <c r="S19" s="61">
        <v>100.785623630267</v>
      </c>
      <c r="T19" s="61">
        <v>102.0247794244564</v>
      </c>
      <c r="U19" s="61">
        <v>102.64405894891105</v>
      </c>
      <c r="V19" s="61">
        <v>103.77587696004709</v>
      </c>
      <c r="W19" s="61">
        <v>104.64180208610195</v>
      </c>
      <c r="X19" s="61">
        <v>104.68346845262568</v>
      </c>
      <c r="Y19" s="61">
        <v>106.45914767675177</v>
      </c>
      <c r="Z19" s="61">
        <v>108.07119253970205</v>
      </c>
      <c r="AA19" s="61">
        <v>109.85101112208619</v>
      </c>
      <c r="AB19" s="61">
        <v>111.75872792464558</v>
      </c>
      <c r="AC19" s="61">
        <v>113.98803041889803</v>
      </c>
      <c r="AD19" s="61">
        <v>116.93124190212642</v>
      </c>
      <c r="AE19" s="61">
        <v>119.83170643738509</v>
      </c>
      <c r="AF19" s="61">
        <v>122.66408317012844</v>
      </c>
      <c r="AG19" s="61">
        <v>123.12087959088969</v>
      </c>
      <c r="AH19" s="61">
        <v>126.05716278381317</v>
      </c>
      <c r="AI19" s="61">
        <v>128.77892870339545</v>
      </c>
      <c r="AJ19" s="61">
        <v>130.66620830055899</v>
      </c>
      <c r="AK19" s="61">
        <v>133.20410811030175</v>
      </c>
      <c r="AL19" s="61">
        <v>135.24350179473305</v>
      </c>
      <c r="AM19" s="61">
        <v>135.81072346357902</v>
      </c>
      <c r="AN19" s="61">
        <v>137.52082132304866</v>
      </c>
      <c r="AO19" s="61">
        <v>138.75283336663014</v>
      </c>
      <c r="AP19" s="61">
        <v>138.10896973892588</v>
      </c>
      <c r="AQ19" s="61">
        <v>137.3247356275059</v>
      </c>
      <c r="AR19" s="61">
        <v>138.38267020076168</v>
      </c>
      <c r="AS19" s="61">
        <v>138.48396083563154</v>
      </c>
      <c r="AT19" s="61">
        <v>138.30524577862636</v>
      </c>
      <c r="AU19" s="61">
        <v>138.85177774548899</v>
      </c>
      <c r="AV19" s="61">
        <v>133.89907518903206</v>
      </c>
      <c r="AW19" s="61">
        <v>129.10277976956914</v>
      </c>
      <c r="AX19" s="61">
        <v>127.28890635492579</v>
      </c>
      <c r="AY19" s="61">
        <v>123.32575905985617</v>
      </c>
      <c r="AZ19" s="61">
        <v>120.91216188517703</v>
      </c>
    </row>
    <row r="20" spans="1:52" x14ac:dyDescent="0.2">
      <c r="A20" s="62" t="s">
        <v>397</v>
      </c>
      <c r="B20" s="63">
        <v>105.69907077365616</v>
      </c>
      <c r="C20" s="63">
        <v>100.05159192541117</v>
      </c>
      <c r="D20" s="63">
        <v>97.56144273057825</v>
      </c>
      <c r="E20" s="63">
        <v>96.543829244760204</v>
      </c>
      <c r="F20" s="63">
        <v>98.219734894569783</v>
      </c>
      <c r="G20" s="63">
        <v>95.695602823852624</v>
      </c>
      <c r="H20" s="63">
        <v>95.091361345128533</v>
      </c>
      <c r="I20" s="63">
        <v>93.017358527202774</v>
      </c>
      <c r="J20" s="63">
        <v>92.131336276708325</v>
      </c>
      <c r="K20" s="63">
        <v>84.793193169192691</v>
      </c>
      <c r="L20" s="63">
        <v>93.089717947167969</v>
      </c>
      <c r="M20" s="63">
        <v>90.9813643022039</v>
      </c>
      <c r="N20" s="63">
        <v>74.120563880574267</v>
      </c>
      <c r="O20" s="63">
        <v>74.099321271006232</v>
      </c>
      <c r="P20" s="63">
        <v>76.945193917983431</v>
      </c>
      <c r="Q20" s="63">
        <v>88.2329591964466</v>
      </c>
      <c r="R20" s="63">
        <v>89.628758650106761</v>
      </c>
      <c r="S20" s="63">
        <v>91.087573704099086</v>
      </c>
      <c r="T20" s="63">
        <v>92.220085458813969</v>
      </c>
      <c r="U20" s="63">
        <v>92.923794902840712</v>
      </c>
      <c r="V20" s="63">
        <v>93.369304527697423</v>
      </c>
      <c r="W20" s="63">
        <v>93.56918089190097</v>
      </c>
      <c r="X20" s="63">
        <v>93.611393731390294</v>
      </c>
      <c r="Y20" s="63">
        <v>94.778914524340777</v>
      </c>
      <c r="Z20" s="63">
        <v>95.804259388316936</v>
      </c>
      <c r="AA20" s="63">
        <v>97.661306002237637</v>
      </c>
      <c r="AB20" s="63">
        <v>99.154535736721584</v>
      </c>
      <c r="AC20" s="63">
        <v>100.68660385307308</v>
      </c>
      <c r="AD20" s="63">
        <v>103.21860690854689</v>
      </c>
      <c r="AE20" s="63">
        <v>105.57304686799344</v>
      </c>
      <c r="AF20" s="63">
        <v>107.88330848148129</v>
      </c>
      <c r="AG20" s="63">
        <v>109.15223864811001</v>
      </c>
      <c r="AH20" s="63">
        <v>111.68184246282114</v>
      </c>
      <c r="AI20" s="63">
        <v>114.25226376157769</v>
      </c>
      <c r="AJ20" s="63">
        <v>115.92352810296892</v>
      </c>
      <c r="AK20" s="63">
        <v>118.97385387191491</v>
      </c>
      <c r="AL20" s="63">
        <v>120.88102762106193</v>
      </c>
      <c r="AM20" s="63">
        <v>121.1366036097197</v>
      </c>
      <c r="AN20" s="63">
        <v>123.56460305918081</v>
      </c>
      <c r="AO20" s="63">
        <v>124.51983979005229</v>
      </c>
      <c r="AP20" s="63">
        <v>124.16486689218758</v>
      </c>
      <c r="AQ20" s="63">
        <v>122.99843637116825</v>
      </c>
      <c r="AR20" s="63">
        <v>123.77748895260129</v>
      </c>
      <c r="AS20" s="63">
        <v>123.45866335995295</v>
      </c>
      <c r="AT20" s="63">
        <v>122.91551275958545</v>
      </c>
      <c r="AU20" s="63">
        <v>123.19326145780734</v>
      </c>
      <c r="AV20" s="63">
        <v>117.97873751282835</v>
      </c>
      <c r="AW20" s="63">
        <v>113.08323772735292</v>
      </c>
      <c r="AX20" s="63">
        <v>111.56771786795986</v>
      </c>
      <c r="AY20" s="63">
        <v>107.99079712636519</v>
      </c>
      <c r="AZ20" s="63">
        <v>105.88077845180601</v>
      </c>
    </row>
    <row r="21" spans="1:52" x14ac:dyDescent="0.2">
      <c r="A21" s="64" t="s">
        <v>394</v>
      </c>
      <c r="B21" s="65">
        <v>105.69907077365616</v>
      </c>
      <c r="C21" s="65">
        <v>100.05159192541117</v>
      </c>
      <c r="D21" s="65">
        <v>97.56144273057825</v>
      </c>
      <c r="E21" s="65">
        <v>96.543829244760204</v>
      </c>
      <c r="F21" s="65">
        <v>98.219734894569783</v>
      </c>
      <c r="G21" s="65">
        <v>95.695602823852624</v>
      </c>
      <c r="H21" s="65">
        <v>95.091361345128533</v>
      </c>
      <c r="I21" s="65">
        <v>93.017358527202774</v>
      </c>
      <c r="J21" s="65">
        <v>92.131336276708325</v>
      </c>
      <c r="K21" s="65">
        <v>84.793193169192691</v>
      </c>
      <c r="L21" s="65">
        <v>93.089717947167969</v>
      </c>
      <c r="M21" s="65">
        <v>90.9813643022039</v>
      </c>
      <c r="N21" s="65">
        <v>74.120563880574267</v>
      </c>
      <c r="O21" s="65">
        <v>74.099321271006232</v>
      </c>
      <c r="P21" s="65">
        <v>76.945193917983431</v>
      </c>
      <c r="Q21" s="65">
        <v>88.2329591964466</v>
      </c>
      <c r="R21" s="65">
        <v>89.628758650106761</v>
      </c>
      <c r="S21" s="65">
        <v>91.087573704099086</v>
      </c>
      <c r="T21" s="65">
        <v>92.220085458813969</v>
      </c>
      <c r="U21" s="65">
        <v>92.923794902840712</v>
      </c>
      <c r="V21" s="65">
        <v>93.369304527697423</v>
      </c>
      <c r="W21" s="65">
        <v>93.56918089190097</v>
      </c>
      <c r="X21" s="65">
        <v>93.611393731390294</v>
      </c>
      <c r="Y21" s="65">
        <v>94.778914524340777</v>
      </c>
      <c r="Z21" s="65">
        <v>95.804259388316936</v>
      </c>
      <c r="AA21" s="65">
        <v>97.661306002237637</v>
      </c>
      <c r="AB21" s="65">
        <v>99.154535736721584</v>
      </c>
      <c r="AC21" s="65">
        <v>100.68660385307308</v>
      </c>
      <c r="AD21" s="65">
        <v>103.21860690854689</v>
      </c>
      <c r="AE21" s="65">
        <v>105.57304686799344</v>
      </c>
      <c r="AF21" s="65">
        <v>107.88330848148129</v>
      </c>
      <c r="AG21" s="65">
        <v>109.15223864811001</v>
      </c>
      <c r="AH21" s="65">
        <v>111.68184246282114</v>
      </c>
      <c r="AI21" s="65">
        <v>114.25226376157769</v>
      </c>
      <c r="AJ21" s="65">
        <v>115.92352810296892</v>
      </c>
      <c r="AK21" s="65">
        <v>118.97385387191491</v>
      </c>
      <c r="AL21" s="65">
        <v>120.88102762106193</v>
      </c>
      <c r="AM21" s="65">
        <v>121.1366036097197</v>
      </c>
      <c r="AN21" s="65">
        <v>123.56460305918081</v>
      </c>
      <c r="AO21" s="65">
        <v>124.51983979005229</v>
      </c>
      <c r="AP21" s="65">
        <v>124.16486689218758</v>
      </c>
      <c r="AQ21" s="65">
        <v>122.99843637116825</v>
      </c>
      <c r="AR21" s="65">
        <v>123.77748895260129</v>
      </c>
      <c r="AS21" s="65">
        <v>123.45866335995295</v>
      </c>
      <c r="AT21" s="65">
        <v>122.91551275958545</v>
      </c>
      <c r="AU21" s="65">
        <v>123.19326145780734</v>
      </c>
      <c r="AV21" s="65">
        <v>117.97873751282835</v>
      </c>
      <c r="AW21" s="65">
        <v>113.08323772735292</v>
      </c>
      <c r="AX21" s="65">
        <v>111.56771786795986</v>
      </c>
      <c r="AY21" s="65">
        <v>107.99079712636519</v>
      </c>
      <c r="AZ21" s="65">
        <v>105.88077845180601</v>
      </c>
    </row>
    <row r="22" spans="1:52" x14ac:dyDescent="0.2">
      <c r="A22" s="66" t="s">
        <v>406</v>
      </c>
      <c r="B22" s="67">
        <v>105.69907077365616</v>
      </c>
      <c r="C22" s="67">
        <v>100.05159192541117</v>
      </c>
      <c r="D22" s="67">
        <v>97.56144273057825</v>
      </c>
      <c r="E22" s="67">
        <v>96.543829244760204</v>
      </c>
      <c r="F22" s="67">
        <v>98.219734894569783</v>
      </c>
      <c r="G22" s="67">
        <v>95.695602823852624</v>
      </c>
      <c r="H22" s="67">
        <v>95.091361345128533</v>
      </c>
      <c r="I22" s="67">
        <v>93.017358527202774</v>
      </c>
      <c r="J22" s="67">
        <v>92.131336276708325</v>
      </c>
      <c r="K22" s="67">
        <v>84.793193169192691</v>
      </c>
      <c r="L22" s="67">
        <v>93.089717947167969</v>
      </c>
      <c r="M22" s="67">
        <v>90.9813643022039</v>
      </c>
      <c r="N22" s="67">
        <v>74.120563880574267</v>
      </c>
      <c r="O22" s="67">
        <v>74.099321271006232</v>
      </c>
      <c r="P22" s="67">
        <v>76.945193917983431</v>
      </c>
      <c r="Q22" s="67">
        <v>88.2329591964466</v>
      </c>
      <c r="R22" s="67">
        <v>89.628758650106761</v>
      </c>
      <c r="S22" s="67">
        <v>91.087573704099086</v>
      </c>
      <c r="T22" s="67">
        <v>92.220085458813969</v>
      </c>
      <c r="U22" s="67">
        <v>92.923794902840712</v>
      </c>
      <c r="V22" s="67">
        <v>93.369304527697423</v>
      </c>
      <c r="W22" s="67">
        <v>93.56918089190097</v>
      </c>
      <c r="X22" s="67">
        <v>93.611393731390294</v>
      </c>
      <c r="Y22" s="67">
        <v>94.778914524340777</v>
      </c>
      <c r="Z22" s="67">
        <v>95.804259388316936</v>
      </c>
      <c r="AA22" s="67">
        <v>97.661306002237637</v>
      </c>
      <c r="AB22" s="67">
        <v>99.154535736721584</v>
      </c>
      <c r="AC22" s="67">
        <v>100.68660385307308</v>
      </c>
      <c r="AD22" s="67">
        <v>103.21860690854689</v>
      </c>
      <c r="AE22" s="67">
        <v>105.57304686799344</v>
      </c>
      <c r="AF22" s="67">
        <v>107.88330848148129</v>
      </c>
      <c r="AG22" s="67">
        <v>109.15223864811001</v>
      </c>
      <c r="AH22" s="67">
        <v>111.68184246282114</v>
      </c>
      <c r="AI22" s="67">
        <v>114.25226376157769</v>
      </c>
      <c r="AJ22" s="67">
        <v>115.92352810296892</v>
      </c>
      <c r="AK22" s="67">
        <v>118.97385387191491</v>
      </c>
      <c r="AL22" s="67">
        <v>120.88102762106193</v>
      </c>
      <c r="AM22" s="67">
        <v>121.1366036097197</v>
      </c>
      <c r="AN22" s="67">
        <v>123.56460305918081</v>
      </c>
      <c r="AO22" s="67">
        <v>124.51983979005229</v>
      </c>
      <c r="AP22" s="67">
        <v>124.16486689218758</v>
      </c>
      <c r="AQ22" s="67">
        <v>122.99843637116825</v>
      </c>
      <c r="AR22" s="67">
        <v>123.77748895260129</v>
      </c>
      <c r="AS22" s="67">
        <v>123.45866335995295</v>
      </c>
      <c r="AT22" s="67">
        <v>122.91551275958545</v>
      </c>
      <c r="AU22" s="67">
        <v>123.19326145780734</v>
      </c>
      <c r="AV22" s="67">
        <v>117.97873751282835</v>
      </c>
      <c r="AW22" s="67">
        <v>113.08323772735292</v>
      </c>
      <c r="AX22" s="67">
        <v>111.56771786795986</v>
      </c>
      <c r="AY22" s="67">
        <v>107.99079712636519</v>
      </c>
      <c r="AZ22" s="67">
        <v>105.88077845180601</v>
      </c>
    </row>
    <row r="23" spans="1:52" x14ac:dyDescent="0.2">
      <c r="A23" s="68" t="s">
        <v>407</v>
      </c>
      <c r="B23" s="69">
        <v>0</v>
      </c>
      <c r="C23" s="69">
        <v>0</v>
      </c>
      <c r="D23" s="69">
        <v>0</v>
      </c>
      <c r="E23" s="69">
        <v>0</v>
      </c>
      <c r="F23" s="69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69">
        <v>0</v>
      </c>
      <c r="AK23" s="69">
        <v>0</v>
      </c>
      <c r="AL23" s="69">
        <v>0</v>
      </c>
      <c r="AM23" s="69">
        <v>0</v>
      </c>
      <c r="AN23" s="69">
        <v>0</v>
      </c>
      <c r="AO23" s="69">
        <v>0</v>
      </c>
      <c r="AP23" s="69">
        <v>0</v>
      </c>
      <c r="AQ23" s="69">
        <v>0</v>
      </c>
      <c r="AR23" s="69">
        <v>0</v>
      </c>
      <c r="AS23" s="69">
        <v>0</v>
      </c>
      <c r="AT23" s="69">
        <v>0</v>
      </c>
      <c r="AU23" s="69">
        <v>0</v>
      </c>
      <c r="AV23" s="69">
        <v>0</v>
      </c>
      <c r="AW23" s="69">
        <v>0</v>
      </c>
      <c r="AX23" s="69">
        <v>0</v>
      </c>
      <c r="AY23" s="69">
        <v>0</v>
      </c>
      <c r="AZ23" s="69">
        <v>0</v>
      </c>
    </row>
    <row r="24" spans="1:52" x14ac:dyDescent="0.2">
      <c r="A24" s="64" t="s">
        <v>395</v>
      </c>
      <c r="B24" s="65">
        <v>0</v>
      </c>
      <c r="C24" s="65">
        <v>0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  <c r="AW24" s="65">
        <v>0</v>
      </c>
      <c r="AX24" s="65">
        <v>0</v>
      </c>
      <c r="AY24" s="65">
        <v>0</v>
      </c>
      <c r="AZ24" s="65">
        <v>0</v>
      </c>
    </row>
    <row r="25" spans="1:52" x14ac:dyDescent="0.2">
      <c r="A25" s="64" t="s">
        <v>396</v>
      </c>
      <c r="B25" s="65">
        <v>0</v>
      </c>
      <c r="C25" s="65">
        <v>0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  <c r="AW25" s="65">
        <v>0</v>
      </c>
      <c r="AX25" s="65">
        <v>0</v>
      </c>
      <c r="AY25" s="65">
        <v>0</v>
      </c>
      <c r="AZ25" s="65">
        <v>0</v>
      </c>
    </row>
    <row r="26" spans="1:52" x14ac:dyDescent="0.2">
      <c r="A26" s="62" t="s">
        <v>408</v>
      </c>
      <c r="B26" s="63">
        <v>8.2075786244029398</v>
      </c>
      <c r="C26" s="63">
        <v>7.6015338057007957</v>
      </c>
      <c r="D26" s="63">
        <v>6.9896985391657651</v>
      </c>
      <c r="E26" s="63">
        <v>8.004178581995804</v>
      </c>
      <c r="F26" s="63">
        <v>9.3768647660062676</v>
      </c>
      <c r="G26" s="63">
        <v>8.7113933950201616</v>
      </c>
      <c r="H26" s="63">
        <v>9.39863125006746</v>
      </c>
      <c r="I26" s="63">
        <v>11.532169484765245</v>
      </c>
      <c r="J26" s="63">
        <v>12.41974294465968</v>
      </c>
      <c r="K26" s="63">
        <v>10.140542893115295</v>
      </c>
      <c r="L26" s="63">
        <v>11.317349839698965</v>
      </c>
      <c r="M26" s="63">
        <v>10.239220633954535</v>
      </c>
      <c r="N26" s="63">
        <v>8.1307943247657644</v>
      </c>
      <c r="O26" s="63">
        <v>8.1517448388318492</v>
      </c>
      <c r="P26" s="63">
        <v>8.4919650163930278</v>
      </c>
      <c r="Q26" s="63">
        <v>9.8754281629247043</v>
      </c>
      <c r="R26" s="63">
        <v>9.7342961167945408</v>
      </c>
      <c r="S26" s="63">
        <v>9.6980499261679114</v>
      </c>
      <c r="T26" s="63">
        <v>9.8046939656424286</v>
      </c>
      <c r="U26" s="63">
        <v>9.7202640460703389</v>
      </c>
      <c r="V26" s="63">
        <v>10.406572432349666</v>
      </c>
      <c r="W26" s="63">
        <v>11.07262119420098</v>
      </c>
      <c r="X26" s="63">
        <v>11.072074721235385</v>
      </c>
      <c r="Y26" s="63">
        <v>11.680233152410993</v>
      </c>
      <c r="Z26" s="63">
        <v>12.266933151385114</v>
      </c>
      <c r="AA26" s="63">
        <v>12.189705119848561</v>
      </c>
      <c r="AB26" s="63">
        <v>12.604192187923996</v>
      </c>
      <c r="AC26" s="63">
        <v>13.301426565824947</v>
      </c>
      <c r="AD26" s="63">
        <v>13.712634993579533</v>
      </c>
      <c r="AE26" s="63">
        <v>14.258659569391652</v>
      </c>
      <c r="AF26" s="63">
        <v>14.780774688647142</v>
      </c>
      <c r="AG26" s="63">
        <v>13.968640942779675</v>
      </c>
      <c r="AH26" s="63">
        <v>14.375320320992028</v>
      </c>
      <c r="AI26" s="63">
        <v>14.526664941817765</v>
      </c>
      <c r="AJ26" s="63">
        <v>14.742680197590083</v>
      </c>
      <c r="AK26" s="63">
        <v>14.230254238386845</v>
      </c>
      <c r="AL26" s="63">
        <v>14.362474173671112</v>
      </c>
      <c r="AM26" s="63">
        <v>14.674119853859322</v>
      </c>
      <c r="AN26" s="63">
        <v>13.956218263867864</v>
      </c>
      <c r="AO26" s="63">
        <v>14.232993576577865</v>
      </c>
      <c r="AP26" s="63">
        <v>13.944102846738303</v>
      </c>
      <c r="AQ26" s="63">
        <v>14.326299256337657</v>
      </c>
      <c r="AR26" s="63">
        <v>14.605181248160388</v>
      </c>
      <c r="AS26" s="63">
        <v>15.025297475678595</v>
      </c>
      <c r="AT26" s="63">
        <v>15.389733019040913</v>
      </c>
      <c r="AU26" s="63">
        <v>15.658516287681653</v>
      </c>
      <c r="AV26" s="63">
        <v>15.920337676203708</v>
      </c>
      <c r="AW26" s="63">
        <v>16.019542042216223</v>
      </c>
      <c r="AX26" s="63">
        <v>15.721188486965925</v>
      </c>
      <c r="AY26" s="63">
        <v>15.33496193349097</v>
      </c>
      <c r="AZ26" s="63">
        <v>15.031383433371017</v>
      </c>
    </row>
    <row r="27" spans="1:52" x14ac:dyDescent="0.2">
      <c r="A27" s="70" t="s">
        <v>406</v>
      </c>
      <c r="B27" s="67">
        <v>8.2075786244029398</v>
      </c>
      <c r="C27" s="67">
        <v>7.6015338057007957</v>
      </c>
      <c r="D27" s="67">
        <v>6.9896985391657651</v>
      </c>
      <c r="E27" s="67">
        <v>8.004178581995804</v>
      </c>
      <c r="F27" s="67">
        <v>9.3768647660062676</v>
      </c>
      <c r="G27" s="67">
        <v>8.7113933950201616</v>
      </c>
      <c r="H27" s="67">
        <v>9.39863125006746</v>
      </c>
      <c r="I27" s="67">
        <v>11.532169484765245</v>
      </c>
      <c r="J27" s="67">
        <v>12.41974294465968</v>
      </c>
      <c r="K27" s="67">
        <v>10.140542893115295</v>
      </c>
      <c r="L27" s="67">
        <v>11.317349839698965</v>
      </c>
      <c r="M27" s="67">
        <v>10.239220633954535</v>
      </c>
      <c r="N27" s="67">
        <v>8.1307943247657644</v>
      </c>
      <c r="O27" s="67">
        <v>8.1517448388318492</v>
      </c>
      <c r="P27" s="67">
        <v>8.4919650163930278</v>
      </c>
      <c r="Q27" s="67">
        <v>9.8754281629247043</v>
      </c>
      <c r="R27" s="67">
        <v>9.7342961167945408</v>
      </c>
      <c r="S27" s="67">
        <v>9.6980499261679114</v>
      </c>
      <c r="T27" s="67">
        <v>9.8046939656424286</v>
      </c>
      <c r="U27" s="67">
        <v>9.7202640460703389</v>
      </c>
      <c r="V27" s="67">
        <v>10.406572432349666</v>
      </c>
      <c r="W27" s="67">
        <v>11.07262119420098</v>
      </c>
      <c r="X27" s="67">
        <v>11.072074721235385</v>
      </c>
      <c r="Y27" s="67">
        <v>11.680233152410993</v>
      </c>
      <c r="Z27" s="67">
        <v>12.266933151385114</v>
      </c>
      <c r="AA27" s="67">
        <v>12.189705119848561</v>
      </c>
      <c r="AB27" s="67">
        <v>12.604192187923996</v>
      </c>
      <c r="AC27" s="67">
        <v>13.301426565824947</v>
      </c>
      <c r="AD27" s="67">
        <v>13.712634993579533</v>
      </c>
      <c r="AE27" s="67">
        <v>14.258659569391652</v>
      </c>
      <c r="AF27" s="67">
        <v>14.780774688647142</v>
      </c>
      <c r="AG27" s="67">
        <v>13.968640942779675</v>
      </c>
      <c r="AH27" s="67">
        <v>14.375320320992028</v>
      </c>
      <c r="AI27" s="67">
        <v>14.526664941817765</v>
      </c>
      <c r="AJ27" s="67">
        <v>14.742680197590083</v>
      </c>
      <c r="AK27" s="67">
        <v>14.230254238386845</v>
      </c>
      <c r="AL27" s="67">
        <v>14.362474173671112</v>
      </c>
      <c r="AM27" s="67">
        <v>14.674119853859322</v>
      </c>
      <c r="AN27" s="67">
        <v>13.956218263867864</v>
      </c>
      <c r="AO27" s="67">
        <v>14.232993576577865</v>
      </c>
      <c r="AP27" s="67">
        <v>13.944102846738303</v>
      </c>
      <c r="AQ27" s="67">
        <v>14.326299256337657</v>
      </c>
      <c r="AR27" s="67">
        <v>14.605181248160388</v>
      </c>
      <c r="AS27" s="67">
        <v>15.025297475678595</v>
      </c>
      <c r="AT27" s="67">
        <v>15.389733019040913</v>
      </c>
      <c r="AU27" s="67">
        <v>15.658516287681653</v>
      </c>
      <c r="AV27" s="67">
        <v>15.920337676203708</v>
      </c>
      <c r="AW27" s="67">
        <v>16.019542042216223</v>
      </c>
      <c r="AX27" s="67">
        <v>15.721188486965925</v>
      </c>
      <c r="AY27" s="67">
        <v>15.33496193349097</v>
      </c>
      <c r="AZ27" s="67">
        <v>15.031383433371017</v>
      </c>
    </row>
    <row r="28" spans="1:52" x14ac:dyDescent="0.2">
      <c r="A28" s="71" t="s">
        <v>407</v>
      </c>
      <c r="B28" s="69">
        <v>0</v>
      </c>
      <c r="C28" s="69">
        <v>0</v>
      </c>
      <c r="D28" s="69">
        <v>0</v>
      </c>
      <c r="E28" s="69">
        <v>0</v>
      </c>
      <c r="F28" s="69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69">
        <v>0</v>
      </c>
      <c r="AK28" s="69">
        <v>0</v>
      </c>
      <c r="AL28" s="69">
        <v>0</v>
      </c>
      <c r="AM28" s="69">
        <v>0</v>
      </c>
      <c r="AN28" s="69">
        <v>0</v>
      </c>
      <c r="AO28" s="69">
        <v>0</v>
      </c>
      <c r="AP28" s="69">
        <v>0</v>
      </c>
      <c r="AQ28" s="69">
        <v>0</v>
      </c>
      <c r="AR28" s="69">
        <v>0</v>
      </c>
      <c r="AS28" s="69">
        <v>0</v>
      </c>
      <c r="AT28" s="69">
        <v>0</v>
      </c>
      <c r="AU28" s="69">
        <v>0</v>
      </c>
      <c r="AV28" s="69">
        <v>0</v>
      </c>
      <c r="AW28" s="69">
        <v>0</v>
      </c>
      <c r="AX28" s="69">
        <v>0</v>
      </c>
      <c r="AY28" s="69">
        <v>0</v>
      </c>
      <c r="AZ28" s="69">
        <v>0</v>
      </c>
    </row>
    <row r="29" spans="1:52" x14ac:dyDescent="0.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</row>
    <row r="30" spans="1:52" ht="14" x14ac:dyDescent="0.2">
      <c r="A30" s="48" t="s">
        <v>410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</row>
    <row r="31" spans="1:52" x14ac:dyDescent="0.2">
      <c r="A31" s="62" t="s">
        <v>397</v>
      </c>
      <c r="B31" s="73">
        <v>134.84910211473087</v>
      </c>
      <c r="C31" s="73">
        <v>133.01274064385501</v>
      </c>
      <c r="D31" s="73">
        <v>131.6349808711476</v>
      </c>
      <c r="E31" s="73">
        <v>130.09975615827369</v>
      </c>
      <c r="F31" s="73">
        <v>127.87865569138597</v>
      </c>
      <c r="G31" s="73">
        <v>126.64544105215958</v>
      </c>
      <c r="H31" s="73">
        <v>124.87154384796608</v>
      </c>
      <c r="I31" s="73">
        <v>123.7028274407201</v>
      </c>
      <c r="J31" s="73">
        <v>122.88211517564474</v>
      </c>
      <c r="K31" s="73">
        <v>121.16918583511374</v>
      </c>
      <c r="L31" s="73">
        <v>119.27595431175561</v>
      </c>
      <c r="M31" s="73">
        <v>117.91970666623966</v>
      </c>
      <c r="N31" s="73">
        <v>114.8632813920712</v>
      </c>
      <c r="O31" s="73">
        <v>110.49985249203824</v>
      </c>
      <c r="P31" s="73">
        <v>107.94049024448364</v>
      </c>
      <c r="Q31" s="73">
        <v>107.3011928445853</v>
      </c>
      <c r="R31" s="73">
        <v>107.04178380913537</v>
      </c>
      <c r="S31" s="73">
        <v>106.80490375403851</v>
      </c>
      <c r="T31" s="73">
        <v>106.53017553520959</v>
      </c>
      <c r="U31" s="73">
        <v>106.24195366887716</v>
      </c>
      <c r="V31" s="73">
        <v>105.91412831646983</v>
      </c>
      <c r="W31" s="73">
        <v>105.53860569371096</v>
      </c>
      <c r="X31" s="73">
        <v>105.17594512980133</v>
      </c>
      <c r="Y31" s="73">
        <v>104.87284252394907</v>
      </c>
      <c r="Z31" s="73">
        <v>104.52331850375008</v>
      </c>
      <c r="AA31" s="73">
        <v>104.25950745390908</v>
      </c>
      <c r="AB31" s="73">
        <v>103.98328140177978</v>
      </c>
      <c r="AC31" s="73">
        <v>103.70810928052381</v>
      </c>
      <c r="AD31" s="73">
        <v>103.47947176175565</v>
      </c>
      <c r="AE31" s="73">
        <v>103.27211664462173</v>
      </c>
      <c r="AF31" s="73">
        <v>103.03096304262257</v>
      </c>
      <c r="AG31" s="73">
        <v>102.1997022692094</v>
      </c>
      <c r="AH31" s="73">
        <v>102.0620248825288</v>
      </c>
      <c r="AI31" s="73">
        <v>101.87886938053506</v>
      </c>
      <c r="AJ31" s="73">
        <v>101.4826934177718</v>
      </c>
      <c r="AK31" s="73">
        <v>101.22138352399168</v>
      </c>
      <c r="AL31" s="73">
        <v>100.85306629438217</v>
      </c>
      <c r="AM31" s="73">
        <v>100.36062856281835</v>
      </c>
      <c r="AN31" s="73">
        <v>99.987504933792508</v>
      </c>
      <c r="AO31" s="73">
        <v>99.502417192329077</v>
      </c>
      <c r="AP31" s="73">
        <v>98.891219785466205</v>
      </c>
      <c r="AQ31" s="73">
        <v>98.250846688570817</v>
      </c>
      <c r="AR31" s="73">
        <v>97.757653131719692</v>
      </c>
      <c r="AS31" s="73">
        <v>97.147531874079405</v>
      </c>
      <c r="AT31" s="73">
        <v>96.508098926868882</v>
      </c>
      <c r="AU31" s="73">
        <v>95.934790674758986</v>
      </c>
      <c r="AV31" s="73">
        <v>94.965336274284127</v>
      </c>
      <c r="AW31" s="73">
        <v>94.016986986060886</v>
      </c>
      <c r="AX31" s="73">
        <v>93.148773326698162</v>
      </c>
      <c r="AY31" s="73">
        <v>92.136595257464165</v>
      </c>
      <c r="AZ31" s="73">
        <v>91.152140224305555</v>
      </c>
    </row>
    <row r="32" spans="1:52" x14ac:dyDescent="0.2">
      <c r="A32" s="64" t="s">
        <v>394</v>
      </c>
      <c r="B32" s="74">
        <v>141.9785206155577</v>
      </c>
      <c r="C32" s="74">
        <v>140.25898590228559</v>
      </c>
      <c r="D32" s="74">
        <v>138.54960188847463</v>
      </c>
      <c r="E32" s="74">
        <v>136.39287965679739</v>
      </c>
      <c r="F32" s="74">
        <v>134.19193697923245</v>
      </c>
      <c r="G32" s="74">
        <v>133.05847436796196</v>
      </c>
      <c r="H32" s="74">
        <v>131.28705740027397</v>
      </c>
      <c r="I32" s="74">
        <v>130.45415625003469</v>
      </c>
      <c r="J32" s="74">
        <v>129.69829352537224</v>
      </c>
      <c r="K32" s="74">
        <v>127.50702536028237</v>
      </c>
      <c r="L32" s="74">
        <v>125.85460841558759</v>
      </c>
      <c r="M32" s="74">
        <v>124.6260089630708</v>
      </c>
      <c r="N32" s="74">
        <v>120.6422908134291</v>
      </c>
      <c r="O32" s="74">
        <v>115.96152960579042</v>
      </c>
      <c r="P32" s="74">
        <v>113.34374136229788</v>
      </c>
      <c r="Q32" s="74">
        <v>112.18402327400079</v>
      </c>
      <c r="R32" s="74">
        <v>111.87372440581146</v>
      </c>
      <c r="S32" s="74">
        <v>111.51336023607494</v>
      </c>
      <c r="T32" s="74">
        <v>111.11216845358679</v>
      </c>
      <c r="U32" s="74">
        <v>110.67278247301523</v>
      </c>
      <c r="V32" s="74">
        <v>110.22333668136922</v>
      </c>
      <c r="W32" s="74">
        <v>109.71702620104976</v>
      </c>
      <c r="X32" s="74">
        <v>109.20365958758788</v>
      </c>
      <c r="Y32" s="74">
        <v>108.76527769482072</v>
      </c>
      <c r="Z32" s="74">
        <v>108.31249299140893</v>
      </c>
      <c r="AA32" s="74">
        <v>107.95864128282486</v>
      </c>
      <c r="AB32" s="74">
        <v>107.58640609485306</v>
      </c>
      <c r="AC32" s="74">
        <v>107.21033541397239</v>
      </c>
      <c r="AD32" s="74">
        <v>106.91726227178323</v>
      </c>
      <c r="AE32" s="74">
        <v>106.60775877922293</v>
      </c>
      <c r="AF32" s="74">
        <v>106.26696070896709</v>
      </c>
      <c r="AG32" s="74">
        <v>105.34499515899438</v>
      </c>
      <c r="AH32" s="74">
        <v>105.16597505899524</v>
      </c>
      <c r="AI32" s="74">
        <v>104.95781091335353</v>
      </c>
      <c r="AJ32" s="74">
        <v>104.62959300054017</v>
      </c>
      <c r="AK32" s="74">
        <v>104.33389453851893</v>
      </c>
      <c r="AL32" s="74">
        <v>103.92722107488609</v>
      </c>
      <c r="AM32" s="74">
        <v>103.40873914985288</v>
      </c>
      <c r="AN32" s="74">
        <v>103.03576280229825</v>
      </c>
      <c r="AO32" s="74">
        <v>102.51431306597897</v>
      </c>
      <c r="AP32" s="74">
        <v>101.87474530926649</v>
      </c>
      <c r="AQ32" s="74">
        <v>101.18459642109401</v>
      </c>
      <c r="AR32" s="74">
        <v>100.67787178761941</v>
      </c>
      <c r="AS32" s="74">
        <v>100.05545531867924</v>
      </c>
      <c r="AT32" s="74">
        <v>99.419250214570283</v>
      </c>
      <c r="AU32" s="74">
        <v>98.87636922531307</v>
      </c>
      <c r="AV32" s="74">
        <v>97.909934606919975</v>
      </c>
      <c r="AW32" s="74">
        <v>96.945452857872525</v>
      </c>
      <c r="AX32" s="74">
        <v>96.141535223645974</v>
      </c>
      <c r="AY32" s="74">
        <v>95.187365837084087</v>
      </c>
      <c r="AZ32" s="74">
        <v>94.321697873161384</v>
      </c>
    </row>
    <row r="33" spans="1:52" x14ac:dyDescent="0.2">
      <c r="A33" s="66" t="s">
        <v>406</v>
      </c>
      <c r="B33" s="75">
        <v>196.65862973426286</v>
      </c>
      <c r="C33" s="75">
        <v>194.43542730438463</v>
      </c>
      <c r="D33" s="75">
        <v>190.05730475906071</v>
      </c>
      <c r="E33" s="75">
        <v>188.73266150855309</v>
      </c>
      <c r="F33" s="75">
        <v>187.91275658148248</v>
      </c>
      <c r="G33" s="75">
        <v>186.72395235921027</v>
      </c>
      <c r="H33" s="75">
        <v>184.12638535103059</v>
      </c>
      <c r="I33" s="75">
        <v>183.62712400490537</v>
      </c>
      <c r="J33" s="75">
        <v>182.34229792875763</v>
      </c>
      <c r="K33" s="75">
        <v>179.30910319104771</v>
      </c>
      <c r="L33" s="75">
        <v>178.05121251424058</v>
      </c>
      <c r="M33" s="75">
        <v>176.71719217496181</v>
      </c>
      <c r="N33" s="75">
        <v>170.60512740967292</v>
      </c>
      <c r="O33" s="75">
        <v>163.91300013848243</v>
      </c>
      <c r="P33" s="75">
        <v>161.71626051783196</v>
      </c>
      <c r="Q33" s="75">
        <v>159.8180896066618</v>
      </c>
      <c r="R33" s="75">
        <v>159.52349991858415</v>
      </c>
      <c r="S33" s="75">
        <v>159.11709073193552</v>
      </c>
      <c r="T33" s="75">
        <v>158.62368186895458</v>
      </c>
      <c r="U33" s="75">
        <v>158.07819504105191</v>
      </c>
      <c r="V33" s="75">
        <v>157.47748595403837</v>
      </c>
      <c r="W33" s="75">
        <v>156.82471040297403</v>
      </c>
      <c r="X33" s="75">
        <v>156.11739828156195</v>
      </c>
      <c r="Y33" s="75">
        <v>155.43467084567331</v>
      </c>
      <c r="Z33" s="75">
        <v>154.71888925051189</v>
      </c>
      <c r="AA33" s="75">
        <v>154.08162503647978</v>
      </c>
      <c r="AB33" s="75">
        <v>153.44179047949862</v>
      </c>
      <c r="AC33" s="75">
        <v>152.77278419202443</v>
      </c>
      <c r="AD33" s="75">
        <v>152.20960211762628</v>
      </c>
      <c r="AE33" s="75">
        <v>151.64187090010097</v>
      </c>
      <c r="AF33" s="75">
        <v>151.06390772141816</v>
      </c>
      <c r="AG33" s="75">
        <v>149.80609501358128</v>
      </c>
      <c r="AH33" s="75">
        <v>149.44078151378139</v>
      </c>
      <c r="AI33" s="75">
        <v>149.06026799583259</v>
      </c>
      <c r="AJ33" s="75">
        <v>148.54640275252495</v>
      </c>
      <c r="AK33" s="75">
        <v>148.07512667359117</v>
      </c>
      <c r="AL33" s="75">
        <v>147.5159745174017</v>
      </c>
      <c r="AM33" s="75">
        <v>146.8545657626087</v>
      </c>
      <c r="AN33" s="75">
        <v>146.37774337385352</v>
      </c>
      <c r="AO33" s="75">
        <v>145.7244515163294</v>
      </c>
      <c r="AP33" s="75">
        <v>144.99312234045311</v>
      </c>
      <c r="AQ33" s="75">
        <v>144.17844149694872</v>
      </c>
      <c r="AR33" s="75">
        <v>143.6218731563844</v>
      </c>
      <c r="AS33" s="75">
        <v>142.99664680673706</v>
      </c>
      <c r="AT33" s="75">
        <v>142.31777192335633</v>
      </c>
      <c r="AU33" s="75">
        <v>141.7084983600032</v>
      </c>
      <c r="AV33" s="75">
        <v>140.98320364428136</v>
      </c>
      <c r="AW33" s="75">
        <v>139.93041215577782</v>
      </c>
      <c r="AX33" s="75">
        <v>138.99178945821737</v>
      </c>
      <c r="AY33" s="75">
        <v>137.91652675811727</v>
      </c>
      <c r="AZ33" s="75">
        <v>136.93653514782068</v>
      </c>
    </row>
    <row r="34" spans="1:52" x14ac:dyDescent="0.2">
      <c r="A34" s="68" t="s">
        <v>407</v>
      </c>
      <c r="B34" s="76">
        <v>132.27335192559346</v>
      </c>
      <c r="C34" s="76">
        <v>130.82985527739976</v>
      </c>
      <c r="D34" s="76">
        <v>129.61556760147792</v>
      </c>
      <c r="E34" s="76">
        <v>127.37700873560202</v>
      </c>
      <c r="F34" s="76">
        <v>125.14620203099908</v>
      </c>
      <c r="G34" s="76">
        <v>124.0655704000966</v>
      </c>
      <c r="H34" s="76">
        <v>122.39690233854688</v>
      </c>
      <c r="I34" s="76">
        <v>121.40167856433973</v>
      </c>
      <c r="J34" s="76">
        <v>120.88311736160219</v>
      </c>
      <c r="K34" s="76">
        <v>119.81103717330713</v>
      </c>
      <c r="L34" s="76">
        <v>118.03538500108303</v>
      </c>
      <c r="M34" s="76">
        <v>116.96800199279505</v>
      </c>
      <c r="N34" s="76">
        <v>114.46355591811697</v>
      </c>
      <c r="O34" s="76">
        <v>109.93844389623567</v>
      </c>
      <c r="P34" s="76">
        <v>106.90196952928058</v>
      </c>
      <c r="Q34" s="76">
        <v>104.87523703476997</v>
      </c>
      <c r="R34" s="76">
        <v>104.61833541452043</v>
      </c>
      <c r="S34" s="76">
        <v>104.3087804473888</v>
      </c>
      <c r="T34" s="76">
        <v>103.9510559445781</v>
      </c>
      <c r="U34" s="76">
        <v>103.57180376043435</v>
      </c>
      <c r="V34" s="76">
        <v>103.17556246007496</v>
      </c>
      <c r="W34" s="76">
        <v>102.75506984432097</v>
      </c>
      <c r="X34" s="76">
        <v>102.32932046504203</v>
      </c>
      <c r="Y34" s="76">
        <v>101.89931175868325</v>
      </c>
      <c r="Z34" s="76">
        <v>101.46787246445984</v>
      </c>
      <c r="AA34" s="76">
        <v>101.06868326731619</v>
      </c>
      <c r="AB34" s="76">
        <v>100.68145703935126</v>
      </c>
      <c r="AC34" s="76">
        <v>100.28921842558374</v>
      </c>
      <c r="AD34" s="76">
        <v>99.910913379943437</v>
      </c>
      <c r="AE34" s="76">
        <v>99.537043681451451</v>
      </c>
      <c r="AF34" s="76">
        <v>99.135519300687776</v>
      </c>
      <c r="AG34" s="76">
        <v>98.215918059061934</v>
      </c>
      <c r="AH34" s="76">
        <v>97.964542647512587</v>
      </c>
      <c r="AI34" s="76">
        <v>97.68057996991233</v>
      </c>
      <c r="AJ34" s="76">
        <v>97.336064071306623</v>
      </c>
      <c r="AK34" s="76">
        <v>96.92026884186518</v>
      </c>
      <c r="AL34" s="76">
        <v>96.464525626969476</v>
      </c>
      <c r="AM34" s="76">
        <v>95.997648087251164</v>
      </c>
      <c r="AN34" s="76">
        <v>95.506666197056816</v>
      </c>
      <c r="AO34" s="76">
        <v>94.956767189126964</v>
      </c>
      <c r="AP34" s="76">
        <v>94.357331667334947</v>
      </c>
      <c r="AQ34" s="76">
        <v>93.756204202370839</v>
      </c>
      <c r="AR34" s="76">
        <v>93.191684805782444</v>
      </c>
      <c r="AS34" s="76">
        <v>92.568820082585376</v>
      </c>
      <c r="AT34" s="76">
        <v>91.943263276731059</v>
      </c>
      <c r="AU34" s="76">
        <v>91.354861303563055</v>
      </c>
      <c r="AV34" s="76">
        <v>90.679076556530177</v>
      </c>
      <c r="AW34" s="76">
        <v>90.014714410403045</v>
      </c>
      <c r="AX34" s="76">
        <v>89.29144657780202</v>
      </c>
      <c r="AY34" s="76">
        <v>88.569104925724091</v>
      </c>
      <c r="AZ34" s="76">
        <v>87.839360764842922</v>
      </c>
    </row>
    <row r="35" spans="1:52" x14ac:dyDescent="0.2">
      <c r="A35" s="64" t="s">
        <v>395</v>
      </c>
      <c r="B35" s="74">
        <v>179.63685274786525</v>
      </c>
      <c r="C35" s="74">
        <v>177.71246477628608</v>
      </c>
      <c r="D35" s="74">
        <v>175.9091029870624</v>
      </c>
      <c r="E35" s="74">
        <v>175.20623032833694</v>
      </c>
      <c r="F35" s="74">
        <v>173.66857840336692</v>
      </c>
      <c r="G35" s="74">
        <v>172.70218307055617</v>
      </c>
      <c r="H35" s="74">
        <v>171.83990823891497</v>
      </c>
      <c r="I35" s="74">
        <v>170.38930325603903</v>
      </c>
      <c r="J35" s="74">
        <v>169.3766164538165</v>
      </c>
      <c r="K35" s="74">
        <v>168.40829969288566</v>
      </c>
      <c r="L35" s="74">
        <v>167.03422162591758</v>
      </c>
      <c r="M35" s="74">
        <v>165.13955399001804</v>
      </c>
      <c r="N35" s="74">
        <v>163.07687766519999</v>
      </c>
      <c r="O35" s="74">
        <v>161.59785253174897</v>
      </c>
      <c r="P35" s="74">
        <v>160.23189666041941</v>
      </c>
      <c r="Q35" s="74">
        <v>158.28197201108352</v>
      </c>
      <c r="R35" s="74">
        <v>158.28060427822362</v>
      </c>
      <c r="S35" s="74">
        <v>158.07619008007777</v>
      </c>
      <c r="T35" s="74">
        <v>157.76956569320399</v>
      </c>
      <c r="U35" s="74">
        <v>157.32309358108125</v>
      </c>
      <c r="V35" s="74">
        <v>156.95267911412256</v>
      </c>
      <c r="W35" s="74">
        <v>156.5458887399277</v>
      </c>
      <c r="X35" s="74">
        <v>156.04169635462966</v>
      </c>
      <c r="Y35" s="74">
        <v>155.57216186186477</v>
      </c>
      <c r="Z35" s="74">
        <v>155.23835283806483</v>
      </c>
      <c r="AA35" s="74">
        <v>154.90927660125965</v>
      </c>
      <c r="AB35" s="74">
        <v>154.55661673971039</v>
      </c>
      <c r="AC35" s="74">
        <v>154.17445617488187</v>
      </c>
      <c r="AD35" s="74">
        <v>152.68898950011348</v>
      </c>
      <c r="AE35" s="74">
        <v>152.32674220002858</v>
      </c>
      <c r="AF35" s="74">
        <v>151.96848425553202</v>
      </c>
      <c r="AG35" s="74">
        <v>150.14285008177291</v>
      </c>
      <c r="AH35" s="74">
        <v>149.16118669480466</v>
      </c>
      <c r="AI35" s="74">
        <v>148.83441016625113</v>
      </c>
      <c r="AJ35" s="74">
        <v>146.17579405309277</v>
      </c>
      <c r="AK35" s="74">
        <v>145.86229918587932</v>
      </c>
      <c r="AL35" s="74">
        <v>145.58045182844091</v>
      </c>
      <c r="AM35" s="74">
        <v>144.78539763431237</v>
      </c>
      <c r="AN35" s="74">
        <v>144.02613847452923</v>
      </c>
      <c r="AO35" s="74">
        <v>143.77452561542577</v>
      </c>
      <c r="AP35" s="74">
        <v>142.97516088844688</v>
      </c>
      <c r="AQ35" s="74">
        <v>142.66348198705137</v>
      </c>
      <c r="AR35" s="74">
        <v>142.36209670896949</v>
      </c>
      <c r="AS35" s="74">
        <v>142.07935839468297</v>
      </c>
      <c r="AT35" s="74">
        <v>141.80598689532152</v>
      </c>
      <c r="AU35" s="74">
        <v>141.53303659471973</v>
      </c>
      <c r="AV35" s="74">
        <v>140.85288970421306</v>
      </c>
      <c r="AW35" s="74">
        <v>140.55976712916973</v>
      </c>
      <c r="AX35" s="74">
        <v>139.77420406717744</v>
      </c>
      <c r="AY35" s="74">
        <v>138.94596138299519</v>
      </c>
      <c r="AZ35" s="74">
        <v>137.95266069707375</v>
      </c>
    </row>
    <row r="36" spans="1:52" x14ac:dyDescent="0.2">
      <c r="A36" s="64" t="s">
        <v>396</v>
      </c>
      <c r="B36" s="74">
        <v>36.205065818888322</v>
      </c>
      <c r="C36" s="74">
        <v>35.968054781699976</v>
      </c>
      <c r="D36" s="74">
        <v>35.676244479849146</v>
      </c>
      <c r="E36" s="74">
        <v>35.397377883972531</v>
      </c>
      <c r="F36" s="74">
        <v>34.977099063221161</v>
      </c>
      <c r="G36" s="74">
        <v>34.538930959591447</v>
      </c>
      <c r="H36" s="74">
        <v>34.281174800569183</v>
      </c>
      <c r="I36" s="74">
        <v>33.94122026090659</v>
      </c>
      <c r="J36" s="74">
        <v>33.715333705736107</v>
      </c>
      <c r="K36" s="74">
        <v>33.482054154743182</v>
      </c>
      <c r="L36" s="74">
        <v>33.28669234451921</v>
      </c>
      <c r="M36" s="74">
        <v>32.908519393684813</v>
      </c>
      <c r="N36" s="74">
        <v>32.638431497153242</v>
      </c>
      <c r="O36" s="74">
        <v>32.313189636884445</v>
      </c>
      <c r="P36" s="74">
        <v>32.045775588818131</v>
      </c>
      <c r="Q36" s="74">
        <v>31.81328953850787</v>
      </c>
      <c r="R36" s="74">
        <v>31.745933439901815</v>
      </c>
      <c r="S36" s="74">
        <v>31.662979284630264</v>
      </c>
      <c r="T36" s="74">
        <v>31.56656019717563</v>
      </c>
      <c r="U36" s="74">
        <v>31.460327150249736</v>
      </c>
      <c r="V36" s="74">
        <v>31.346075391533688</v>
      </c>
      <c r="W36" s="74">
        <v>31.222779850127917</v>
      </c>
      <c r="X36" s="74">
        <v>31.111312919346119</v>
      </c>
      <c r="Y36" s="74">
        <v>30.992753717663167</v>
      </c>
      <c r="Z36" s="74">
        <v>30.868071551845514</v>
      </c>
      <c r="AA36" s="74">
        <v>30.761680267947973</v>
      </c>
      <c r="AB36" s="74">
        <v>30.65086390989773</v>
      </c>
      <c r="AC36" s="74">
        <v>30.547705879246266</v>
      </c>
      <c r="AD36" s="74">
        <v>30.454873434875523</v>
      </c>
      <c r="AE36" s="74">
        <v>30.386767384355174</v>
      </c>
      <c r="AF36" s="74">
        <v>30.305588089534325</v>
      </c>
      <c r="AG36" s="74">
        <v>30.05605344318267</v>
      </c>
      <c r="AH36" s="74">
        <v>29.994144451687927</v>
      </c>
      <c r="AI36" s="74">
        <v>29.918681400346145</v>
      </c>
      <c r="AJ36" s="74">
        <v>29.737956001587726</v>
      </c>
      <c r="AK36" s="74">
        <v>29.584282173696824</v>
      </c>
      <c r="AL36" s="74">
        <v>29.396118968003844</v>
      </c>
      <c r="AM36" s="74">
        <v>29.259147136993146</v>
      </c>
      <c r="AN36" s="74">
        <v>29.115649185912805</v>
      </c>
      <c r="AO36" s="74">
        <v>28.945252955348849</v>
      </c>
      <c r="AP36" s="74">
        <v>28.844477370908578</v>
      </c>
      <c r="AQ36" s="74">
        <v>28.686855643075514</v>
      </c>
      <c r="AR36" s="74">
        <v>28.550663141088027</v>
      </c>
      <c r="AS36" s="74">
        <v>28.399648757686901</v>
      </c>
      <c r="AT36" s="74">
        <v>28.203997275522728</v>
      </c>
      <c r="AU36" s="74">
        <v>27.995221097663062</v>
      </c>
      <c r="AV36" s="74">
        <v>27.797143800347758</v>
      </c>
      <c r="AW36" s="74">
        <v>27.626127018098675</v>
      </c>
      <c r="AX36" s="74">
        <v>27.348868784915449</v>
      </c>
      <c r="AY36" s="74">
        <v>27.132191503332226</v>
      </c>
      <c r="AZ36" s="74">
        <v>26.834597079876939</v>
      </c>
    </row>
    <row r="37" spans="1:52" x14ac:dyDescent="0.2">
      <c r="A37" s="62" t="s">
        <v>408</v>
      </c>
      <c r="B37" s="73">
        <v>205.29679490783104</v>
      </c>
      <c r="C37" s="73">
        <v>203.41245257111757</v>
      </c>
      <c r="D37" s="73">
        <v>202.09102157261927</v>
      </c>
      <c r="E37" s="73">
        <v>198.4288435319063</v>
      </c>
      <c r="F37" s="73">
        <v>193.28754555188172</v>
      </c>
      <c r="G37" s="73">
        <v>191.45596233865996</v>
      </c>
      <c r="H37" s="73">
        <v>189.2221078344138</v>
      </c>
      <c r="I37" s="73">
        <v>187.88648661351138</v>
      </c>
      <c r="J37" s="73">
        <v>186.45378792194296</v>
      </c>
      <c r="K37" s="73">
        <v>182.58722596029847</v>
      </c>
      <c r="L37" s="73">
        <v>181.06518453606117</v>
      </c>
      <c r="M37" s="73">
        <v>179.16063686439654</v>
      </c>
      <c r="N37" s="73">
        <v>172.79418335318869</v>
      </c>
      <c r="O37" s="73">
        <v>167.16680978105512</v>
      </c>
      <c r="P37" s="73">
        <v>164.3719082497224</v>
      </c>
      <c r="Q37" s="73">
        <v>163.54345262241495</v>
      </c>
      <c r="R37" s="73">
        <v>162.43505841773728</v>
      </c>
      <c r="S37" s="73">
        <v>161.22730157315857</v>
      </c>
      <c r="T37" s="73">
        <v>160.38999022200827</v>
      </c>
      <c r="U37" s="73">
        <v>159.19266030844261</v>
      </c>
      <c r="V37" s="73">
        <v>159.74756372151211</v>
      </c>
      <c r="W37" s="73">
        <v>160.26546334244776</v>
      </c>
      <c r="X37" s="73">
        <v>159.22008809759572</v>
      </c>
      <c r="Y37" s="73">
        <v>159.46058650494143</v>
      </c>
      <c r="Z37" s="73">
        <v>159.56972639188064</v>
      </c>
      <c r="AA37" s="73">
        <v>158.32223881792464</v>
      </c>
      <c r="AB37" s="73">
        <v>158.16912119371199</v>
      </c>
      <c r="AC37" s="73">
        <v>158.38660621913178</v>
      </c>
      <c r="AD37" s="73">
        <v>158.16563160151424</v>
      </c>
      <c r="AE37" s="73">
        <v>158.11474707647614</v>
      </c>
      <c r="AF37" s="73">
        <v>157.9539367255783</v>
      </c>
      <c r="AG37" s="73">
        <v>155.19587980079862</v>
      </c>
      <c r="AH37" s="73">
        <v>155.2901356066987</v>
      </c>
      <c r="AI37" s="73">
        <v>155.12419938761224</v>
      </c>
      <c r="AJ37" s="73">
        <v>154.95361985761133</v>
      </c>
      <c r="AK37" s="73">
        <v>153.12464546442425</v>
      </c>
      <c r="AL37" s="73">
        <v>152.85748771119668</v>
      </c>
      <c r="AM37" s="73">
        <v>152.64571677640893</v>
      </c>
      <c r="AN37" s="73">
        <v>150.4410891423361</v>
      </c>
      <c r="AO37" s="73">
        <v>150.13982899802895</v>
      </c>
      <c r="AP37" s="73">
        <v>148.81366665279501</v>
      </c>
      <c r="AQ37" s="73">
        <v>148.36881213066667</v>
      </c>
      <c r="AR37" s="73">
        <v>147.96774030251379</v>
      </c>
      <c r="AS37" s="73">
        <v>147.50306091679417</v>
      </c>
      <c r="AT37" s="73">
        <v>147.08082373370252</v>
      </c>
      <c r="AU37" s="73">
        <v>146.57741058627755</v>
      </c>
      <c r="AV37" s="73">
        <v>146.01099260388881</v>
      </c>
      <c r="AW37" s="73">
        <v>143.92880714592403</v>
      </c>
      <c r="AX37" s="73">
        <v>142.03896839711567</v>
      </c>
      <c r="AY37" s="73">
        <v>139.96161924595495</v>
      </c>
      <c r="AZ37" s="73">
        <v>138.21559739271714</v>
      </c>
    </row>
    <row r="38" spans="1:52" x14ac:dyDescent="0.2">
      <c r="A38" s="70" t="s">
        <v>406</v>
      </c>
      <c r="B38" s="75">
        <v>351.02828908448464</v>
      </c>
      <c r="C38" s="75">
        <v>349.03897188511314</v>
      </c>
      <c r="D38" s="75">
        <v>346.7827805420348</v>
      </c>
      <c r="E38" s="75">
        <v>344.4949185009956</v>
      </c>
      <c r="F38" s="75">
        <v>340.90296955939033</v>
      </c>
      <c r="G38" s="75">
        <v>337.58396177402057</v>
      </c>
      <c r="H38" s="75">
        <v>335.11151254482428</v>
      </c>
      <c r="I38" s="75">
        <v>331.71168181892625</v>
      </c>
      <c r="J38" s="75">
        <v>328.46303573328584</v>
      </c>
      <c r="K38" s="75">
        <v>325.80006911397743</v>
      </c>
      <c r="L38" s="75">
        <v>323.58088343924027</v>
      </c>
      <c r="M38" s="75">
        <v>321.31016786134523</v>
      </c>
      <c r="N38" s="75">
        <v>317.53385280187939</v>
      </c>
      <c r="O38" s="75">
        <v>313.83290497447189</v>
      </c>
      <c r="P38" s="75">
        <v>310.3979918760258</v>
      </c>
      <c r="Q38" s="75">
        <v>307.70041681609257</v>
      </c>
      <c r="R38" s="75">
        <v>306.8912436770558</v>
      </c>
      <c r="S38" s="75">
        <v>305.83587459352731</v>
      </c>
      <c r="T38" s="75">
        <v>304.5151731954486</v>
      </c>
      <c r="U38" s="75">
        <v>303.18373245469462</v>
      </c>
      <c r="V38" s="75">
        <v>302.65378521494029</v>
      </c>
      <c r="W38" s="75">
        <v>302.09444513602858</v>
      </c>
      <c r="X38" s="75">
        <v>300.50222559132851</v>
      </c>
      <c r="Y38" s="75">
        <v>299.94561797035612</v>
      </c>
      <c r="Z38" s="75">
        <v>299.37800060058055</v>
      </c>
      <c r="AA38" s="75">
        <v>297.69409062976973</v>
      </c>
      <c r="AB38" s="75">
        <v>297.26690307922178</v>
      </c>
      <c r="AC38" s="75">
        <v>296.52402900479672</v>
      </c>
      <c r="AD38" s="75">
        <v>296.07117578435884</v>
      </c>
      <c r="AE38" s="75">
        <v>295.44412963962412</v>
      </c>
      <c r="AF38" s="75">
        <v>294.74758877985397</v>
      </c>
      <c r="AG38" s="75">
        <v>291.76692107247771</v>
      </c>
      <c r="AH38" s="75">
        <v>291.27171182078609</v>
      </c>
      <c r="AI38" s="75">
        <v>291.06487009357949</v>
      </c>
      <c r="AJ38" s="75">
        <v>290.74308139216151</v>
      </c>
      <c r="AK38" s="75">
        <v>288.76901160308483</v>
      </c>
      <c r="AL38" s="75">
        <v>288.46429707005774</v>
      </c>
      <c r="AM38" s="75">
        <v>287.81811203650233</v>
      </c>
      <c r="AN38" s="75">
        <v>285.89598269770607</v>
      </c>
      <c r="AO38" s="75">
        <v>285.3123297724232</v>
      </c>
      <c r="AP38" s="75">
        <v>284.00224948314917</v>
      </c>
      <c r="AQ38" s="75">
        <v>283.11176517601939</v>
      </c>
      <c r="AR38" s="75">
        <v>282.43273654078683</v>
      </c>
      <c r="AS38" s="75">
        <v>281.39031423397569</v>
      </c>
      <c r="AT38" s="75">
        <v>280.46562829382032</v>
      </c>
      <c r="AU38" s="75">
        <v>279.76053113779881</v>
      </c>
      <c r="AV38" s="75">
        <v>279.05147320659881</v>
      </c>
      <c r="AW38" s="75">
        <v>276.11082791026001</v>
      </c>
      <c r="AX38" s="75">
        <v>273.72772856473927</v>
      </c>
      <c r="AY38" s="75">
        <v>270.96410002171876</v>
      </c>
      <c r="AZ38" s="75">
        <v>268.70951065799778</v>
      </c>
    </row>
    <row r="39" spans="1:52" x14ac:dyDescent="0.2">
      <c r="A39" s="71" t="s">
        <v>407</v>
      </c>
      <c r="B39" s="76">
        <v>179.19907492335324</v>
      </c>
      <c r="C39" s="76">
        <v>177.24347872619327</v>
      </c>
      <c r="D39" s="76">
        <v>175.5984064191241</v>
      </c>
      <c r="E39" s="76">
        <v>172.56568915531653</v>
      </c>
      <c r="F39" s="76">
        <v>169.54347423463835</v>
      </c>
      <c r="G39" s="76">
        <v>168.07947422426906</v>
      </c>
      <c r="H39" s="76">
        <v>165.81882407342033</v>
      </c>
      <c r="I39" s="76">
        <v>164.47053148777573</v>
      </c>
      <c r="J39" s="76">
        <v>163.76800383221291</v>
      </c>
      <c r="K39" s="76">
        <v>162.31558900194386</v>
      </c>
      <c r="L39" s="76">
        <v>159.91000071060617</v>
      </c>
      <c r="M39" s="76">
        <v>158.46394944714606</v>
      </c>
      <c r="N39" s="76">
        <v>155.07101796666018</v>
      </c>
      <c r="O39" s="76">
        <v>148.94056253901036</v>
      </c>
      <c r="P39" s="76">
        <v>144.8268586850935</v>
      </c>
      <c r="Q39" s="76">
        <v>142.08111600263916</v>
      </c>
      <c r="R39" s="76">
        <v>141.6903509987805</v>
      </c>
      <c r="S39" s="76">
        <v>141.22130278227417</v>
      </c>
      <c r="T39" s="76">
        <v>140.70889043872728</v>
      </c>
      <c r="U39" s="76">
        <v>140.17965677233568</v>
      </c>
      <c r="V39" s="76">
        <v>139.64796369757721</v>
      </c>
      <c r="W39" s="76">
        <v>139.15826674880935</v>
      </c>
      <c r="X39" s="76">
        <v>138.4999267563613</v>
      </c>
      <c r="Y39" s="76">
        <v>138.13812865302128</v>
      </c>
      <c r="Z39" s="76">
        <v>137.68020205266944</v>
      </c>
      <c r="AA39" s="76">
        <v>137.21432549001631</v>
      </c>
      <c r="AB39" s="76">
        <v>136.82435899337577</v>
      </c>
      <c r="AC39" s="76">
        <v>136.27402390453972</v>
      </c>
      <c r="AD39" s="76">
        <v>135.86088378599138</v>
      </c>
      <c r="AE39" s="76">
        <v>135.38630477550021</v>
      </c>
      <c r="AF39" s="76">
        <v>134.8683237723898</v>
      </c>
      <c r="AG39" s="76">
        <v>134.14374850369452</v>
      </c>
      <c r="AH39" s="76">
        <v>133.82560476493686</v>
      </c>
      <c r="AI39" s="76">
        <v>133.72173273030094</v>
      </c>
      <c r="AJ39" s="76">
        <v>133.49984159465308</v>
      </c>
      <c r="AK39" s="76">
        <v>132.82352098646552</v>
      </c>
      <c r="AL39" s="76">
        <v>132.67177733469225</v>
      </c>
      <c r="AM39" s="76">
        <v>132.28995913616453</v>
      </c>
      <c r="AN39" s="76">
        <v>131.49418695112391</v>
      </c>
      <c r="AO39" s="76">
        <v>131.08833321854118</v>
      </c>
      <c r="AP39" s="76">
        <v>130.51128905233088</v>
      </c>
      <c r="AQ39" s="76">
        <v>129.81617184991177</v>
      </c>
      <c r="AR39" s="76">
        <v>129.35529582728969</v>
      </c>
      <c r="AS39" s="76">
        <v>128.62595167601438</v>
      </c>
      <c r="AT39" s="76">
        <v>128.04336087231852</v>
      </c>
      <c r="AU39" s="76">
        <v>127.53245817121223</v>
      </c>
      <c r="AV39" s="76">
        <v>126.9751478419973</v>
      </c>
      <c r="AW39" s="76">
        <v>125.01664100720686</v>
      </c>
      <c r="AX39" s="76">
        <v>123.8502064106096</v>
      </c>
      <c r="AY39" s="76">
        <v>122.59351257951381</v>
      </c>
      <c r="AZ39" s="76">
        <v>121.53343603291468</v>
      </c>
    </row>
    <row r="40" spans="1:52" x14ac:dyDescent="0.2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</row>
    <row r="41" spans="1:52" ht="14" x14ac:dyDescent="0.2">
      <c r="A41" s="48" t="s">
        <v>411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</row>
    <row r="42" spans="1:52" x14ac:dyDescent="0.2">
      <c r="A42" s="62" t="s">
        <v>412</v>
      </c>
      <c r="B42" s="77">
        <v>10.891128990355485</v>
      </c>
      <c r="C42" s="77">
        <v>10.700208733353604</v>
      </c>
      <c r="D42" s="77">
        <v>10.662300011689496</v>
      </c>
      <c r="E42" s="77">
        <v>11.03702953902123</v>
      </c>
      <c r="F42" s="77">
        <v>10.784450335849945</v>
      </c>
      <c r="G42" s="77">
        <v>10.107814017532744</v>
      </c>
      <c r="H42" s="77">
        <v>9.5761611238844271</v>
      </c>
      <c r="I42" s="77">
        <v>9.0457430624687838</v>
      </c>
      <c r="J42" s="77">
        <v>9.0983837038637656</v>
      </c>
      <c r="K42" s="77">
        <v>9.2261926599896249</v>
      </c>
      <c r="L42" s="77">
        <v>9.4626512047488252</v>
      </c>
      <c r="M42" s="77">
        <v>9.0768774258351996</v>
      </c>
      <c r="N42" s="77">
        <v>8.8105002479533674</v>
      </c>
      <c r="O42" s="77">
        <v>8.1352159215789328</v>
      </c>
      <c r="P42" s="77">
        <v>7.5408872101518707</v>
      </c>
      <c r="Q42" s="77">
        <v>8.8751217360845374</v>
      </c>
      <c r="R42" s="77">
        <v>8.8212898008191907</v>
      </c>
      <c r="S42" s="77">
        <v>8.7436136156643496</v>
      </c>
      <c r="T42" s="77">
        <v>8.6806290287637591</v>
      </c>
      <c r="U42" s="77">
        <v>8.5971467105056458</v>
      </c>
      <c r="V42" s="77">
        <v>8.5140610853056167</v>
      </c>
      <c r="W42" s="77">
        <v>8.4501113209166974</v>
      </c>
      <c r="X42" s="77">
        <v>8.381871577135124</v>
      </c>
      <c r="Y42" s="77">
        <v>8.3051129041302154</v>
      </c>
      <c r="Z42" s="77">
        <v>8.251387875803406</v>
      </c>
      <c r="AA42" s="77">
        <v>8.1807492709311305</v>
      </c>
      <c r="AB42" s="77">
        <v>8.1140285569609958</v>
      </c>
      <c r="AC42" s="77">
        <v>8.0471634056098047</v>
      </c>
      <c r="AD42" s="77">
        <v>8.0128946711262881</v>
      </c>
      <c r="AE42" s="77">
        <v>7.9865874006183599</v>
      </c>
      <c r="AF42" s="77">
        <v>7.9388184170175551</v>
      </c>
      <c r="AG42" s="77">
        <v>7.8534860013601344</v>
      </c>
      <c r="AH42" s="77">
        <v>7.8171758317438327</v>
      </c>
      <c r="AI42" s="77">
        <v>7.7454865647839855</v>
      </c>
      <c r="AJ42" s="77">
        <v>7.6596545110144616</v>
      </c>
      <c r="AK42" s="77">
        <v>7.5817681587855779</v>
      </c>
      <c r="AL42" s="77">
        <v>7.4983551073115455</v>
      </c>
      <c r="AM42" s="77">
        <v>7.4307881624188141</v>
      </c>
      <c r="AN42" s="77">
        <v>7.3506823184794587</v>
      </c>
      <c r="AO42" s="77">
        <v>7.2654328764821434</v>
      </c>
      <c r="AP42" s="77">
        <v>7.1795644580512077</v>
      </c>
      <c r="AQ42" s="77">
        <v>7.089862949272332</v>
      </c>
      <c r="AR42" s="77">
        <v>7.0237184297782278</v>
      </c>
      <c r="AS42" s="77">
        <v>6.9425425283560198</v>
      </c>
      <c r="AT42" s="77">
        <v>6.8660587091827372</v>
      </c>
      <c r="AU42" s="77">
        <v>6.7806127460205889</v>
      </c>
      <c r="AV42" s="77">
        <v>6.6814678454939269</v>
      </c>
      <c r="AW42" s="77">
        <v>6.5726559878376349</v>
      </c>
      <c r="AX42" s="77">
        <v>6.4697638874861996</v>
      </c>
      <c r="AY42" s="77">
        <v>6.3796660094465709</v>
      </c>
      <c r="AZ42" s="77">
        <v>6.2959104850605287</v>
      </c>
    </row>
    <row r="43" spans="1:52" x14ac:dyDescent="0.2">
      <c r="A43" s="64" t="s">
        <v>394</v>
      </c>
      <c r="B43" s="78">
        <v>11.21272936059137</v>
      </c>
      <c r="C43" s="78">
        <v>11.050538917859175</v>
      </c>
      <c r="D43" s="78">
        <v>11.009543582967908</v>
      </c>
      <c r="E43" s="78">
        <v>11.608294900965721</v>
      </c>
      <c r="F43" s="78">
        <v>11.325058154955437</v>
      </c>
      <c r="G43" s="78">
        <v>10.586802871804363</v>
      </c>
      <c r="H43" s="78">
        <v>10.012562395266675</v>
      </c>
      <c r="I43" s="78">
        <v>9.4309101929386117</v>
      </c>
      <c r="J43" s="78">
        <v>9.5159211311417522</v>
      </c>
      <c r="K43" s="78">
        <v>9.6689604751744067</v>
      </c>
      <c r="L43" s="78">
        <v>9.7977715501753089</v>
      </c>
      <c r="M43" s="78">
        <v>9.3956474794014326</v>
      </c>
      <c r="N43" s="78">
        <v>9.091811844898853</v>
      </c>
      <c r="O43" s="78">
        <v>8.3757688965067842</v>
      </c>
      <c r="P43" s="78">
        <v>7.7246388530566863</v>
      </c>
      <c r="Q43" s="78">
        <v>9.3342097539549691</v>
      </c>
      <c r="R43" s="78">
        <v>9.2652043458765405</v>
      </c>
      <c r="S43" s="78">
        <v>9.1880367350929966</v>
      </c>
      <c r="T43" s="78">
        <v>9.1319653299009378</v>
      </c>
      <c r="U43" s="78">
        <v>9.0600499734132001</v>
      </c>
      <c r="V43" s="78">
        <v>8.9863298854751914</v>
      </c>
      <c r="W43" s="78">
        <v>8.9358214372635398</v>
      </c>
      <c r="X43" s="78">
        <v>8.8855134197139805</v>
      </c>
      <c r="Y43" s="78">
        <v>8.8225227214843098</v>
      </c>
      <c r="Z43" s="78">
        <v>8.7808912183543733</v>
      </c>
      <c r="AA43" s="78">
        <v>8.7175654112703693</v>
      </c>
      <c r="AB43" s="78">
        <v>8.6565077711112526</v>
      </c>
      <c r="AC43" s="78">
        <v>8.5935128531985541</v>
      </c>
      <c r="AD43" s="78">
        <v>8.5715080916587141</v>
      </c>
      <c r="AE43" s="78">
        <v>8.5580720540209505</v>
      </c>
      <c r="AF43" s="78">
        <v>8.5182667203291462</v>
      </c>
      <c r="AG43" s="78">
        <v>8.4391397710428375</v>
      </c>
      <c r="AH43" s="78">
        <v>8.418307514362235</v>
      </c>
      <c r="AI43" s="78">
        <v>8.3536554988147085</v>
      </c>
      <c r="AJ43" s="78">
        <v>8.2778769717854974</v>
      </c>
      <c r="AK43" s="78">
        <v>8.2095110679317855</v>
      </c>
      <c r="AL43" s="78">
        <v>8.1314311649866724</v>
      </c>
      <c r="AM43" s="78">
        <v>8.0739630410010523</v>
      </c>
      <c r="AN43" s="78">
        <v>7.9998376364254149</v>
      </c>
      <c r="AO43" s="78">
        <v>7.9183341726426004</v>
      </c>
      <c r="AP43" s="78">
        <v>7.841209059867932</v>
      </c>
      <c r="AQ43" s="78">
        <v>7.7583509236089698</v>
      </c>
      <c r="AR43" s="78">
        <v>7.7048716491368712</v>
      </c>
      <c r="AS43" s="78">
        <v>7.6318961180980951</v>
      </c>
      <c r="AT43" s="78">
        <v>7.5653683437191193</v>
      </c>
      <c r="AU43" s="78">
        <v>7.4862616455700923</v>
      </c>
      <c r="AV43" s="78">
        <v>7.3943171016915716</v>
      </c>
      <c r="AW43" s="78">
        <v>7.286756355925502</v>
      </c>
      <c r="AX43" s="78">
        <v>7.1872193590339277</v>
      </c>
      <c r="AY43" s="78">
        <v>7.1021002174822989</v>
      </c>
      <c r="AZ43" s="78">
        <v>7.023489034362961</v>
      </c>
    </row>
    <row r="44" spans="1:52" x14ac:dyDescent="0.2">
      <c r="A44" s="66" t="s">
        <v>406</v>
      </c>
      <c r="B44" s="79">
        <v>17.467275014872456</v>
      </c>
      <c r="C44" s="79">
        <v>17.232906424941831</v>
      </c>
      <c r="D44" s="79">
        <v>17.154010609283699</v>
      </c>
      <c r="E44" s="79">
        <v>18.120828590194353</v>
      </c>
      <c r="F44" s="79">
        <v>17.71244772864917</v>
      </c>
      <c r="G44" s="79">
        <v>16.591056594341264</v>
      </c>
      <c r="H44" s="79">
        <v>15.680852726657536</v>
      </c>
      <c r="I44" s="79">
        <v>14.783249692205917</v>
      </c>
      <c r="J44" s="79">
        <v>14.905774154132022</v>
      </c>
      <c r="K44" s="79">
        <v>15.179926847892057</v>
      </c>
      <c r="L44" s="79">
        <v>15.200755707162521</v>
      </c>
      <c r="M44" s="79">
        <v>14.613425231728357</v>
      </c>
      <c r="N44" s="79">
        <v>14.128441331342788</v>
      </c>
      <c r="O44" s="79">
        <v>13.007925851210178</v>
      </c>
      <c r="P44" s="79">
        <v>12.342484931989459</v>
      </c>
      <c r="Q44" s="79">
        <v>14.57853848159063</v>
      </c>
      <c r="R44" s="79">
        <v>14.485445892051757</v>
      </c>
      <c r="S44" s="79">
        <v>14.375516726564578</v>
      </c>
      <c r="T44" s="79">
        <v>14.295590608376717</v>
      </c>
      <c r="U44" s="79">
        <v>14.191364253975941</v>
      </c>
      <c r="V44" s="79">
        <v>14.080277642213343</v>
      </c>
      <c r="W44" s="79">
        <v>14.008905023704033</v>
      </c>
      <c r="X44" s="79">
        <v>13.933746119047417</v>
      </c>
      <c r="Y44" s="79">
        <v>13.829357486174827</v>
      </c>
      <c r="Z44" s="79">
        <v>13.757593833124764</v>
      </c>
      <c r="AA44" s="79">
        <v>13.644723181149608</v>
      </c>
      <c r="AB44" s="79">
        <v>13.538332324731083</v>
      </c>
      <c r="AC44" s="79">
        <v>13.426794152111615</v>
      </c>
      <c r="AD44" s="79">
        <v>13.376776544026251</v>
      </c>
      <c r="AE44" s="79">
        <v>13.342276781067687</v>
      </c>
      <c r="AF44" s="79">
        <v>13.269836869103143</v>
      </c>
      <c r="AG44" s="79">
        <v>13.150068709007257</v>
      </c>
      <c r="AH44" s="79">
        <v>13.10561945935013</v>
      </c>
      <c r="AI44" s="79">
        <v>12.995291327350671</v>
      </c>
      <c r="AJ44" s="79">
        <v>12.872243319262481</v>
      </c>
      <c r="AK44" s="79">
        <v>12.758258700603973</v>
      </c>
      <c r="AL44" s="79">
        <v>12.636850502935989</v>
      </c>
      <c r="AM44" s="79">
        <v>12.554492594957493</v>
      </c>
      <c r="AN44" s="79">
        <v>12.440847594739459</v>
      </c>
      <c r="AO44" s="79">
        <v>12.320419577123396</v>
      </c>
      <c r="AP44" s="79">
        <v>12.215900701250705</v>
      </c>
      <c r="AQ44" s="79">
        <v>12.102275810834579</v>
      </c>
      <c r="AR44" s="79">
        <v>12.031344920578887</v>
      </c>
      <c r="AS44" s="79">
        <v>11.939304866691007</v>
      </c>
      <c r="AT44" s="79">
        <v>11.85448338427274</v>
      </c>
      <c r="AU44" s="79">
        <v>11.743288281160579</v>
      </c>
      <c r="AV44" s="79">
        <v>11.66025914240625</v>
      </c>
      <c r="AW44" s="79">
        <v>11.524020527625574</v>
      </c>
      <c r="AX44" s="79">
        <v>11.385944581510168</v>
      </c>
      <c r="AY44" s="79">
        <v>11.280213267926957</v>
      </c>
      <c r="AZ44" s="79">
        <v>11.18010575080935</v>
      </c>
    </row>
    <row r="45" spans="1:52" x14ac:dyDescent="0.2">
      <c r="A45" s="68" t="s">
        <v>407</v>
      </c>
      <c r="B45" s="80">
        <v>10.244708777524343</v>
      </c>
      <c r="C45" s="80">
        <v>10.112176422976894</v>
      </c>
      <c r="D45" s="80">
        <v>10.090309992960169</v>
      </c>
      <c r="E45" s="80">
        <v>10.632951480945103</v>
      </c>
      <c r="F45" s="80">
        <v>10.378755772318526</v>
      </c>
      <c r="G45" s="80">
        <v>9.7013398695878195</v>
      </c>
      <c r="H45" s="80">
        <v>9.1732860220789334</v>
      </c>
      <c r="I45" s="80">
        <v>8.6266363661559353</v>
      </c>
      <c r="J45" s="80">
        <v>8.7195419325853294</v>
      </c>
      <c r="K45" s="80">
        <v>8.946777198209233</v>
      </c>
      <c r="L45" s="80">
        <v>9.0693251912168389</v>
      </c>
      <c r="M45" s="80">
        <v>8.705281119115087</v>
      </c>
      <c r="N45" s="80">
        <v>8.5312352156589952</v>
      </c>
      <c r="O45" s="80">
        <v>7.8521167489602233</v>
      </c>
      <c r="P45" s="80">
        <v>7.1832231798596649</v>
      </c>
      <c r="Q45" s="80">
        <v>8.6100072549749775</v>
      </c>
      <c r="R45" s="80">
        <v>8.5498306767547945</v>
      </c>
      <c r="S45" s="80">
        <v>8.4814481589389121</v>
      </c>
      <c r="T45" s="80">
        <v>8.4315125549024188</v>
      </c>
      <c r="U45" s="80">
        <v>8.3682804823368642</v>
      </c>
      <c r="V45" s="80">
        <v>8.3025614796647211</v>
      </c>
      <c r="W45" s="80">
        <v>8.2610540737416898</v>
      </c>
      <c r="X45" s="80">
        <v>8.2197609544498853</v>
      </c>
      <c r="Y45" s="80">
        <v>8.1595811411641179</v>
      </c>
      <c r="Z45" s="80">
        <v>8.1202651138180375</v>
      </c>
      <c r="AA45" s="80">
        <v>8.0551382075921438</v>
      </c>
      <c r="AB45" s="80">
        <v>7.9949088059363591</v>
      </c>
      <c r="AC45" s="80">
        <v>7.9327376845181092</v>
      </c>
      <c r="AD45" s="80">
        <v>7.90250647527622</v>
      </c>
      <c r="AE45" s="80">
        <v>7.8820295542109298</v>
      </c>
      <c r="AF45" s="80">
        <v>7.8374839497197319</v>
      </c>
      <c r="AG45" s="80">
        <v>7.7593068800706675</v>
      </c>
      <c r="AH45" s="80">
        <v>7.732142478766808</v>
      </c>
      <c r="AI45" s="80">
        <v>7.6643417439190893</v>
      </c>
      <c r="AJ45" s="80">
        <v>7.5911643063971503</v>
      </c>
      <c r="AK45" s="80">
        <v>7.5156476438349822</v>
      </c>
      <c r="AL45" s="80">
        <v>7.4372081657960694</v>
      </c>
      <c r="AM45" s="80">
        <v>7.3860937193716616</v>
      </c>
      <c r="AN45" s="80">
        <v>7.3055197186919356</v>
      </c>
      <c r="AO45" s="80">
        <v>7.22539341308521</v>
      </c>
      <c r="AP45" s="80">
        <v>7.1547794676699263</v>
      </c>
      <c r="AQ45" s="80">
        <v>7.0828695844394263</v>
      </c>
      <c r="AR45" s="80">
        <v>7.0260828040213976</v>
      </c>
      <c r="AS45" s="80">
        <v>6.956013654282466</v>
      </c>
      <c r="AT45" s="80">
        <v>6.8926451339971599</v>
      </c>
      <c r="AU45" s="80">
        <v>6.8134645143369923</v>
      </c>
      <c r="AV45" s="80">
        <v>6.7497925547211999</v>
      </c>
      <c r="AW45" s="80">
        <v>6.6718754029618941</v>
      </c>
      <c r="AX45" s="80">
        <v>6.5831278212229698</v>
      </c>
      <c r="AY45" s="80">
        <v>6.5196722568094154</v>
      </c>
      <c r="AZ45" s="80">
        <v>6.4544353136793964</v>
      </c>
    </row>
    <row r="46" spans="1:52" x14ac:dyDescent="0.2">
      <c r="A46" s="64" t="s">
        <v>395</v>
      </c>
      <c r="B46" s="78">
        <v>6.740680451795332</v>
      </c>
      <c r="C46" s="78">
        <v>6.6590982765213269</v>
      </c>
      <c r="D46" s="78">
        <v>6.5901935844762249</v>
      </c>
      <c r="E46" s="78">
        <v>6.5067282676666114</v>
      </c>
      <c r="F46" s="78">
        <v>6.4541356592655399</v>
      </c>
      <c r="G46" s="78">
        <v>6.3406421921197387</v>
      </c>
      <c r="H46" s="78">
        <v>6.2428529409974525</v>
      </c>
      <c r="I46" s="78">
        <v>6.3235022445931426</v>
      </c>
      <c r="J46" s="78">
        <v>6.2792233828857453</v>
      </c>
      <c r="K46" s="78">
        <v>6.2391082146257721</v>
      </c>
      <c r="L46" s="78">
        <v>6.0504674501801965</v>
      </c>
      <c r="M46" s="78">
        <v>5.9338543086677191</v>
      </c>
      <c r="N46" s="78">
        <v>5.8585705471934171</v>
      </c>
      <c r="O46" s="78">
        <v>5.7439342669798812</v>
      </c>
      <c r="P46" s="78">
        <v>5.6464050237616403</v>
      </c>
      <c r="Q46" s="78">
        <v>5.7957398554400017</v>
      </c>
      <c r="R46" s="78">
        <v>5.7720325051799453</v>
      </c>
      <c r="S46" s="78">
        <v>5.7018723242448655</v>
      </c>
      <c r="T46" s="78">
        <v>5.62814182763241</v>
      </c>
      <c r="U46" s="78">
        <v>5.5499777521288971</v>
      </c>
      <c r="V46" s="78">
        <v>5.4753646659595203</v>
      </c>
      <c r="W46" s="78">
        <v>5.401019430703391</v>
      </c>
      <c r="X46" s="78">
        <v>5.3249392866551375</v>
      </c>
      <c r="Y46" s="78">
        <v>5.2517305237554996</v>
      </c>
      <c r="Z46" s="78">
        <v>5.1848515102755393</v>
      </c>
      <c r="AA46" s="78">
        <v>5.1199136898303808</v>
      </c>
      <c r="AB46" s="78">
        <v>5.0717624684413654</v>
      </c>
      <c r="AC46" s="78">
        <v>5.0253965032377623</v>
      </c>
      <c r="AD46" s="78">
        <v>4.9665346964228556</v>
      </c>
      <c r="AE46" s="78">
        <v>4.9176428567769745</v>
      </c>
      <c r="AF46" s="78">
        <v>4.8670534425981717</v>
      </c>
      <c r="AG46" s="78">
        <v>4.7904678428879297</v>
      </c>
      <c r="AH46" s="78">
        <v>4.7283199188939236</v>
      </c>
      <c r="AI46" s="78">
        <v>4.6733278442524826</v>
      </c>
      <c r="AJ46" s="78">
        <v>4.5865373558500231</v>
      </c>
      <c r="AK46" s="78">
        <v>4.5291265139064905</v>
      </c>
      <c r="AL46" s="78">
        <v>4.4733438091204407</v>
      </c>
      <c r="AM46" s="78">
        <v>4.408140666044301</v>
      </c>
      <c r="AN46" s="78">
        <v>4.3417917173726455</v>
      </c>
      <c r="AO46" s="78">
        <v>4.2887049604716783</v>
      </c>
      <c r="AP46" s="78">
        <v>4.2200951286243402</v>
      </c>
      <c r="AQ46" s="78">
        <v>4.1661577215619019</v>
      </c>
      <c r="AR46" s="78">
        <v>4.1124695082040956</v>
      </c>
      <c r="AS46" s="78">
        <v>4.0592088346518773</v>
      </c>
      <c r="AT46" s="78">
        <v>4.0059650164033682</v>
      </c>
      <c r="AU46" s="78">
        <v>3.9529054815252129</v>
      </c>
      <c r="AV46" s="78">
        <v>3.8884860915005177</v>
      </c>
      <c r="AW46" s="78">
        <v>3.8363913279816177</v>
      </c>
      <c r="AX46" s="78">
        <v>3.7692407501447347</v>
      </c>
      <c r="AY46" s="78">
        <v>3.701869276511955</v>
      </c>
      <c r="AZ46" s="78">
        <v>3.6307003367484119</v>
      </c>
    </row>
    <row r="47" spans="1:52" x14ac:dyDescent="0.2">
      <c r="A47" s="64" t="s">
        <v>396</v>
      </c>
      <c r="B47" s="78">
        <v>4.5981905803854257</v>
      </c>
      <c r="C47" s="78">
        <v>4.5616694204742956</v>
      </c>
      <c r="D47" s="78">
        <v>4.5237470567137876</v>
      </c>
      <c r="E47" s="78">
        <v>4.4493189668677626</v>
      </c>
      <c r="F47" s="78">
        <v>4.3995671585272369</v>
      </c>
      <c r="G47" s="78">
        <v>4.2919399239572549</v>
      </c>
      <c r="H47" s="78">
        <v>4.2152573400288276</v>
      </c>
      <c r="I47" s="78">
        <v>4.2633611787908414</v>
      </c>
      <c r="J47" s="78">
        <v>4.2304763072096003</v>
      </c>
      <c r="K47" s="78">
        <v>4.1983674466326386</v>
      </c>
      <c r="L47" s="78">
        <v>4.080970331499258</v>
      </c>
      <c r="M47" s="78">
        <v>4.0022428651454351</v>
      </c>
      <c r="N47" s="78">
        <v>3.9686050451939807</v>
      </c>
      <c r="O47" s="78">
        <v>3.8874340079903376</v>
      </c>
      <c r="P47" s="78">
        <v>3.8221098535871922</v>
      </c>
      <c r="Q47" s="78">
        <v>3.9427145316408172</v>
      </c>
      <c r="R47" s="78">
        <v>3.9536391109774316</v>
      </c>
      <c r="S47" s="78">
        <v>3.9452426139658683</v>
      </c>
      <c r="T47" s="78">
        <v>3.9416349986753287</v>
      </c>
      <c r="U47" s="78">
        <v>3.9284317153322954</v>
      </c>
      <c r="V47" s="78">
        <v>3.9067056898421209</v>
      </c>
      <c r="W47" s="78">
        <v>3.8909192495194196</v>
      </c>
      <c r="X47" s="78">
        <v>3.8723583388659772</v>
      </c>
      <c r="Y47" s="78">
        <v>3.8520905525516449</v>
      </c>
      <c r="Z47" s="78">
        <v>3.8305143917307394</v>
      </c>
      <c r="AA47" s="78">
        <v>3.8094452615282055</v>
      </c>
      <c r="AB47" s="78">
        <v>3.7872572881103275</v>
      </c>
      <c r="AC47" s="78">
        <v>3.7847215653322723</v>
      </c>
      <c r="AD47" s="78">
        <v>3.7917798831650442</v>
      </c>
      <c r="AE47" s="78">
        <v>3.8003022284992887</v>
      </c>
      <c r="AF47" s="78">
        <v>3.805117346767307</v>
      </c>
      <c r="AG47" s="78">
        <v>3.7835894806823887</v>
      </c>
      <c r="AH47" s="78">
        <v>3.7790858771995013</v>
      </c>
      <c r="AI47" s="78">
        <v>3.763807247209094</v>
      </c>
      <c r="AJ47" s="78">
        <v>3.734097647495791</v>
      </c>
      <c r="AK47" s="78">
        <v>3.7069544126196941</v>
      </c>
      <c r="AL47" s="78">
        <v>3.6766813018166098</v>
      </c>
      <c r="AM47" s="78">
        <v>3.6543020092026368</v>
      </c>
      <c r="AN47" s="78">
        <v>3.6275977954135525</v>
      </c>
      <c r="AO47" s="78">
        <v>3.5994939093171938</v>
      </c>
      <c r="AP47" s="78">
        <v>3.5795727146441898</v>
      </c>
      <c r="AQ47" s="78">
        <v>3.5521940154715437</v>
      </c>
      <c r="AR47" s="78">
        <v>3.5301365170832573</v>
      </c>
      <c r="AS47" s="78">
        <v>3.5056613669630146</v>
      </c>
      <c r="AT47" s="78">
        <v>3.4777572004898181</v>
      </c>
      <c r="AU47" s="78">
        <v>3.4484101687791964</v>
      </c>
      <c r="AV47" s="78">
        <v>3.4214205900464685</v>
      </c>
      <c r="AW47" s="78">
        <v>3.3920245950293122</v>
      </c>
      <c r="AX47" s="78">
        <v>3.3525407469517146</v>
      </c>
      <c r="AY47" s="78">
        <v>3.3243731939918515</v>
      </c>
      <c r="AZ47" s="78">
        <v>3.2827477598420911</v>
      </c>
    </row>
    <row r="48" spans="1:52" x14ac:dyDescent="0.2">
      <c r="A48" s="62" t="s">
        <v>413</v>
      </c>
      <c r="B48" s="77">
        <v>2.2527788441266581</v>
      </c>
      <c r="C48" s="77">
        <v>2.1835774872797735</v>
      </c>
      <c r="D48" s="77">
        <v>2.1082826422451699</v>
      </c>
      <c r="E48" s="77">
        <v>2.0996500850486401</v>
      </c>
      <c r="F48" s="77">
        <v>2.1209980099686274</v>
      </c>
      <c r="G48" s="77">
        <v>1.9688299622421879</v>
      </c>
      <c r="H48" s="77">
        <v>1.9675533811729526</v>
      </c>
      <c r="I48" s="77">
        <v>2.0839155557705848</v>
      </c>
      <c r="J48" s="77">
        <v>2.3622146883114925</v>
      </c>
      <c r="K48" s="77">
        <v>2.6484342890033181</v>
      </c>
      <c r="L48" s="77">
        <v>2.6654017544700852</v>
      </c>
      <c r="M48" s="77">
        <v>2.2702669600784771</v>
      </c>
      <c r="N48" s="77">
        <v>2.1940960296495517</v>
      </c>
      <c r="O48" s="77">
        <v>2.1527058574470526</v>
      </c>
      <c r="P48" s="77">
        <v>2.0543157928438318</v>
      </c>
      <c r="Q48" s="77">
        <v>2.0504775740558245</v>
      </c>
      <c r="R48" s="77">
        <v>2.0463790323308935</v>
      </c>
      <c r="S48" s="77">
        <v>2.0418152565271126</v>
      </c>
      <c r="T48" s="77">
        <v>2.0335006910064233</v>
      </c>
      <c r="U48" s="77">
        <v>2.0246013878201534</v>
      </c>
      <c r="V48" s="77">
        <v>2.0184588224773803</v>
      </c>
      <c r="W48" s="77">
        <v>2.0174708477463521</v>
      </c>
      <c r="X48" s="77">
        <v>2.0081701079116878</v>
      </c>
      <c r="Y48" s="77">
        <v>2.0044346762242258</v>
      </c>
      <c r="Z48" s="77">
        <v>2.0004405057890797</v>
      </c>
      <c r="AA48" s="77">
        <v>1.989140131207261</v>
      </c>
      <c r="AB48" s="77">
        <v>1.9866898541348295</v>
      </c>
      <c r="AC48" s="77">
        <v>1.9823115744539719</v>
      </c>
      <c r="AD48" s="77">
        <v>1.9796727184367982</v>
      </c>
      <c r="AE48" s="77">
        <v>1.9755888704366704</v>
      </c>
      <c r="AF48" s="77">
        <v>1.9707302441222905</v>
      </c>
      <c r="AG48" s="77">
        <v>1.9533430228010789</v>
      </c>
      <c r="AH48" s="77">
        <v>1.9503833612977923</v>
      </c>
      <c r="AI48" s="77">
        <v>1.9497812646470962</v>
      </c>
      <c r="AJ48" s="77">
        <v>1.9470251752127141</v>
      </c>
      <c r="AK48" s="77">
        <v>1.9334243591540148</v>
      </c>
      <c r="AL48" s="77">
        <v>1.9327264901730539</v>
      </c>
      <c r="AM48" s="77">
        <v>1.928845185785693</v>
      </c>
      <c r="AN48" s="77">
        <v>1.9128892067013306</v>
      </c>
      <c r="AO48" s="77">
        <v>1.9091258613680273</v>
      </c>
      <c r="AP48" s="77">
        <v>1.8993563567446587</v>
      </c>
      <c r="AQ48" s="77">
        <v>1.8922270146028835</v>
      </c>
      <c r="AR48" s="77">
        <v>1.8882313318704842</v>
      </c>
      <c r="AS48" s="77">
        <v>1.8801522570100062</v>
      </c>
      <c r="AT48" s="77">
        <v>1.8735937522532542</v>
      </c>
      <c r="AU48" s="77">
        <v>1.8680155513577734</v>
      </c>
      <c r="AV48" s="77">
        <v>1.8622155735648001</v>
      </c>
      <c r="AW48" s="77">
        <v>1.8335207847557051</v>
      </c>
      <c r="AX48" s="77">
        <v>1.8150473224125696</v>
      </c>
      <c r="AY48" s="77">
        <v>1.7951396501659602</v>
      </c>
      <c r="AZ48" s="77">
        <v>1.7782597730229857</v>
      </c>
    </row>
    <row r="49" spans="1:52" x14ac:dyDescent="0.2">
      <c r="A49" s="70" t="s">
        <v>406</v>
      </c>
      <c r="B49" s="79">
        <v>3.6896236969093024</v>
      </c>
      <c r="C49" s="79">
        <v>3.6677159618161927</v>
      </c>
      <c r="D49" s="79">
        <v>3.6433563314833126</v>
      </c>
      <c r="E49" s="79">
        <v>3.6186065710610418</v>
      </c>
      <c r="F49" s="79">
        <v>3.4478700547152079</v>
      </c>
      <c r="G49" s="79">
        <v>3.1994615660215007</v>
      </c>
      <c r="H49" s="79">
        <v>3.2115445079012459</v>
      </c>
      <c r="I49" s="79">
        <v>3.3914949062180657</v>
      </c>
      <c r="J49" s="79">
        <v>3.8351583523819377</v>
      </c>
      <c r="K49" s="79">
        <v>4.349399697258387</v>
      </c>
      <c r="L49" s="79">
        <v>4.3862701685613903</v>
      </c>
      <c r="M49" s="79">
        <v>3.7484431839629107</v>
      </c>
      <c r="N49" s="79">
        <v>3.705407262371057</v>
      </c>
      <c r="O49" s="79">
        <v>3.7146212034956418</v>
      </c>
      <c r="P49" s="79">
        <v>3.5683092465957742</v>
      </c>
      <c r="Q49" s="79">
        <v>3.5526224757615532</v>
      </c>
      <c r="R49" s="79">
        <v>3.5589157958081938</v>
      </c>
      <c r="S49" s="79">
        <v>3.5638537143841229</v>
      </c>
      <c r="T49" s="79">
        <v>3.5519775007950272</v>
      </c>
      <c r="U49" s="79">
        <v>3.5462230683971541</v>
      </c>
      <c r="V49" s="79">
        <v>3.5193417445473005</v>
      </c>
      <c r="W49" s="79">
        <v>3.501928054815906</v>
      </c>
      <c r="X49" s="79">
        <v>3.4896114114053098</v>
      </c>
      <c r="Y49" s="79">
        <v>3.4727538093066443</v>
      </c>
      <c r="Z49" s="79">
        <v>3.4581360569977355</v>
      </c>
      <c r="AA49" s="79">
        <v>3.4448952670257582</v>
      </c>
      <c r="AB49" s="79">
        <v>3.4395518884302709</v>
      </c>
      <c r="AC49" s="79">
        <v>3.4203649306245851</v>
      </c>
      <c r="AD49" s="79">
        <v>3.4157756665762506</v>
      </c>
      <c r="AE49" s="79">
        <v>3.4035375096822365</v>
      </c>
      <c r="AF49" s="79">
        <v>3.3914109123279044</v>
      </c>
      <c r="AG49" s="79">
        <v>3.3830135209054699</v>
      </c>
      <c r="AH49" s="79">
        <v>3.3710287143334203</v>
      </c>
      <c r="AI49" s="79">
        <v>3.3710957112535751</v>
      </c>
      <c r="AJ49" s="79">
        <v>3.3664476493366084</v>
      </c>
      <c r="AK49" s="79">
        <v>3.3578183016857208</v>
      </c>
      <c r="AL49" s="79">
        <v>3.3587214306161957</v>
      </c>
      <c r="AM49" s="79">
        <v>3.3495419336306944</v>
      </c>
      <c r="AN49" s="79">
        <v>3.3453039420514075</v>
      </c>
      <c r="AO49" s="79">
        <v>3.3388624666580213</v>
      </c>
      <c r="AP49" s="79">
        <v>3.334576310024997</v>
      </c>
      <c r="AQ49" s="79">
        <v>3.3221585882632167</v>
      </c>
      <c r="AR49" s="79">
        <v>3.3163410027646134</v>
      </c>
      <c r="AS49" s="79">
        <v>3.3009742909348425</v>
      </c>
      <c r="AT49" s="79">
        <v>3.2884940198429922</v>
      </c>
      <c r="AU49" s="79">
        <v>3.2817603678257181</v>
      </c>
      <c r="AV49" s="79">
        <v>3.2759592156585415</v>
      </c>
      <c r="AW49" s="79">
        <v>3.2376589944970577</v>
      </c>
      <c r="AX49" s="79">
        <v>3.2184392555272257</v>
      </c>
      <c r="AY49" s="79">
        <v>3.196411114660791</v>
      </c>
      <c r="AZ49" s="79">
        <v>3.1785091600633639</v>
      </c>
    </row>
    <row r="50" spans="1:52" x14ac:dyDescent="0.2">
      <c r="A50" s="71" t="s">
        <v>407</v>
      </c>
      <c r="B50" s="80">
        <v>1.9820152355762739</v>
      </c>
      <c r="C50" s="80">
        <v>1.9100652228764821</v>
      </c>
      <c r="D50" s="80">
        <v>1.8295488753733482</v>
      </c>
      <c r="E50" s="80">
        <v>1.8283642113877485</v>
      </c>
      <c r="F50" s="80">
        <v>1.8862266157307972</v>
      </c>
      <c r="G50" s="80">
        <v>1.7522757790116634</v>
      </c>
      <c r="H50" s="80">
        <v>1.748038981672541</v>
      </c>
      <c r="I50" s="80">
        <v>1.8497421115096144</v>
      </c>
      <c r="J50" s="80">
        <v>2.1033838677848462</v>
      </c>
      <c r="K50" s="80">
        <v>2.3835873121323172</v>
      </c>
      <c r="L50" s="80">
        <v>2.3844094377522</v>
      </c>
      <c r="M50" s="80">
        <v>2.0335255080127301</v>
      </c>
      <c r="N50" s="80">
        <v>1.9905323422853882</v>
      </c>
      <c r="O50" s="80">
        <v>1.9391961110141658</v>
      </c>
      <c r="P50" s="80">
        <v>1.8314091449684058</v>
      </c>
      <c r="Q50" s="80">
        <v>1.8044714675617164</v>
      </c>
      <c r="R50" s="80">
        <v>1.8074495201146543</v>
      </c>
      <c r="S50" s="80">
        <v>1.8101907490533697</v>
      </c>
      <c r="T50" s="80">
        <v>1.8054085401759159</v>
      </c>
      <c r="U50" s="80">
        <v>1.8035900587257581</v>
      </c>
      <c r="V50" s="80">
        <v>1.7862515699784254</v>
      </c>
      <c r="W50" s="80">
        <v>1.7744598447831594</v>
      </c>
      <c r="X50" s="80">
        <v>1.7691783025247554</v>
      </c>
      <c r="Y50" s="80">
        <v>1.7592911918834901</v>
      </c>
      <c r="Z50" s="80">
        <v>1.7493889233935949</v>
      </c>
      <c r="AA50" s="80">
        <v>1.7466180715700155</v>
      </c>
      <c r="AB50" s="80">
        <v>1.7414516222038303</v>
      </c>
      <c r="AC50" s="80">
        <v>1.7290928606049272</v>
      </c>
      <c r="AD50" s="80">
        <v>1.7241709856116101</v>
      </c>
      <c r="AE50" s="80">
        <v>1.7156259082860263</v>
      </c>
      <c r="AF50" s="80">
        <v>1.7069971549173546</v>
      </c>
      <c r="AG50" s="80">
        <v>1.7109243384798638</v>
      </c>
      <c r="AH50" s="80">
        <v>1.7037114552288894</v>
      </c>
      <c r="AI50" s="80">
        <v>1.7036327177509969</v>
      </c>
      <c r="AJ50" s="80">
        <v>1.7003405492859662</v>
      </c>
      <c r="AK50" s="80">
        <v>1.6989252825482868</v>
      </c>
      <c r="AL50" s="80">
        <v>1.6992338425511404</v>
      </c>
      <c r="AM50" s="80">
        <v>1.6935064948780718</v>
      </c>
      <c r="AN50" s="80">
        <v>1.6924925617878079</v>
      </c>
      <c r="AO50" s="80">
        <v>1.6874647777899723</v>
      </c>
      <c r="AP50" s="80">
        <v>1.6856198808369081</v>
      </c>
      <c r="AQ50" s="80">
        <v>1.6756523733033641</v>
      </c>
      <c r="AR50" s="80">
        <v>1.6707868372628236</v>
      </c>
      <c r="AS50" s="80">
        <v>1.6597943566890307</v>
      </c>
      <c r="AT50" s="80">
        <v>1.6514565865978685</v>
      </c>
      <c r="AU50" s="80">
        <v>1.645636221982564</v>
      </c>
      <c r="AV50" s="80">
        <v>1.6397044640115375</v>
      </c>
      <c r="AW50" s="80">
        <v>1.6125313911462409</v>
      </c>
      <c r="AX50" s="80">
        <v>1.6018282291962236</v>
      </c>
      <c r="AY50" s="80">
        <v>1.590783401857891</v>
      </c>
      <c r="AZ50" s="80">
        <v>1.5813532338789433</v>
      </c>
    </row>
    <row r="51" spans="1:52" x14ac:dyDescent="0.2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</row>
    <row r="52" spans="1:52" ht="14" x14ac:dyDescent="0.2">
      <c r="A52" s="48" t="s">
        <v>414</v>
      </c>
      <c r="B52" s="81">
        <v>1</v>
      </c>
      <c r="C52" s="81">
        <v>1</v>
      </c>
      <c r="D52" s="81">
        <v>1</v>
      </c>
      <c r="E52" s="81">
        <v>1</v>
      </c>
      <c r="F52" s="81">
        <v>1</v>
      </c>
      <c r="G52" s="81">
        <v>1</v>
      </c>
      <c r="H52" s="81">
        <v>1</v>
      </c>
      <c r="I52" s="81">
        <v>1</v>
      </c>
      <c r="J52" s="81">
        <v>1</v>
      </c>
      <c r="K52" s="81">
        <v>1</v>
      </c>
      <c r="L52" s="81">
        <v>1</v>
      </c>
      <c r="M52" s="81">
        <v>1</v>
      </c>
      <c r="N52" s="81">
        <v>1</v>
      </c>
      <c r="O52" s="81">
        <v>1</v>
      </c>
      <c r="P52" s="81">
        <v>1</v>
      </c>
      <c r="Q52" s="81">
        <v>1</v>
      </c>
      <c r="R52" s="81">
        <v>1</v>
      </c>
      <c r="S52" s="81">
        <v>1</v>
      </c>
      <c r="T52" s="81">
        <v>1</v>
      </c>
      <c r="U52" s="81">
        <v>1</v>
      </c>
      <c r="V52" s="81">
        <v>1</v>
      </c>
      <c r="W52" s="81">
        <v>1</v>
      </c>
      <c r="X52" s="81">
        <v>1</v>
      </c>
      <c r="Y52" s="81">
        <v>1</v>
      </c>
      <c r="Z52" s="81">
        <v>1</v>
      </c>
      <c r="AA52" s="81">
        <v>1</v>
      </c>
      <c r="AB52" s="81">
        <v>1</v>
      </c>
      <c r="AC52" s="81">
        <v>1</v>
      </c>
      <c r="AD52" s="81">
        <v>1</v>
      </c>
      <c r="AE52" s="81">
        <v>1</v>
      </c>
      <c r="AF52" s="81">
        <v>1</v>
      </c>
      <c r="AG52" s="81">
        <v>1</v>
      </c>
      <c r="AH52" s="81">
        <v>1</v>
      </c>
      <c r="AI52" s="81">
        <v>1</v>
      </c>
      <c r="AJ52" s="81">
        <v>1</v>
      </c>
      <c r="AK52" s="81">
        <v>1</v>
      </c>
      <c r="AL52" s="81">
        <v>1</v>
      </c>
      <c r="AM52" s="81">
        <v>1</v>
      </c>
      <c r="AN52" s="81">
        <v>1</v>
      </c>
      <c r="AO52" s="81">
        <v>1</v>
      </c>
      <c r="AP52" s="81">
        <v>1</v>
      </c>
      <c r="AQ52" s="81">
        <v>1</v>
      </c>
      <c r="AR52" s="81">
        <v>1</v>
      </c>
      <c r="AS52" s="81">
        <v>1</v>
      </c>
      <c r="AT52" s="81">
        <v>1</v>
      </c>
      <c r="AU52" s="81">
        <v>1</v>
      </c>
      <c r="AV52" s="81">
        <v>1</v>
      </c>
      <c r="AW52" s="81">
        <v>1</v>
      </c>
      <c r="AX52" s="81">
        <v>1</v>
      </c>
      <c r="AY52" s="81">
        <v>1</v>
      </c>
      <c r="AZ52" s="81">
        <v>1</v>
      </c>
    </row>
    <row r="53" spans="1:52" x14ac:dyDescent="0.2">
      <c r="A53" s="62" t="s">
        <v>397</v>
      </c>
      <c r="B53" s="82">
        <v>0.94251245021450836</v>
      </c>
      <c r="C53" s="82">
        <v>0.9450837773946007</v>
      </c>
      <c r="D53" s="82">
        <v>0.94947197089486379</v>
      </c>
      <c r="E53" s="82">
        <v>0.94199085104743419</v>
      </c>
      <c r="F53" s="82">
        <v>0.93000123444133709</v>
      </c>
      <c r="G53" s="82">
        <v>0.9329647391737711</v>
      </c>
      <c r="H53" s="82">
        <v>0.92805002811261994</v>
      </c>
      <c r="I53" s="82">
        <v>0.91149212630213372</v>
      </c>
      <c r="J53" s="82">
        <v>0.90447281420410186</v>
      </c>
      <c r="K53" s="82">
        <v>0.91519566743158642</v>
      </c>
      <c r="L53" s="82">
        <v>0.91407389506773329</v>
      </c>
      <c r="M53" s="82">
        <v>0.92009492279434502</v>
      </c>
      <c r="N53" s="82">
        <v>0.92379435001146259</v>
      </c>
      <c r="O53" s="82">
        <v>0.92521425793848022</v>
      </c>
      <c r="P53" s="82">
        <v>0.9254361574597989</v>
      </c>
      <c r="Q53" s="82">
        <v>0.92420979829368288</v>
      </c>
      <c r="R53" s="82">
        <v>0.92473577934908036</v>
      </c>
      <c r="S53" s="82">
        <v>0.92453349449985267</v>
      </c>
      <c r="T53" s="82">
        <v>0.92424430138101399</v>
      </c>
      <c r="U53" s="82">
        <v>0.92407794204574889</v>
      </c>
      <c r="V53" s="82">
        <v>0.92357270318968354</v>
      </c>
      <c r="W53" s="82">
        <v>0.92317970285996953</v>
      </c>
      <c r="X53" s="82">
        <v>0.92314940435411941</v>
      </c>
      <c r="Y53" s="82">
        <v>0.92209080585763692</v>
      </c>
      <c r="Z53" s="82">
        <v>0.92109111171399649</v>
      </c>
      <c r="AA53" s="82">
        <v>0.92038945753508394</v>
      </c>
      <c r="AB53" s="82">
        <v>0.91951663828073982</v>
      </c>
      <c r="AC53" s="82">
        <v>0.91872130717017786</v>
      </c>
      <c r="AD53" s="82">
        <v>0.91797857535158967</v>
      </c>
      <c r="AE53" s="82">
        <v>0.91731644996478146</v>
      </c>
      <c r="AF53" s="82">
        <v>0.9166613723721353</v>
      </c>
      <c r="AG53" s="82">
        <v>0.91609756543163134</v>
      </c>
      <c r="AH53" s="82">
        <v>0.91629113927855599</v>
      </c>
      <c r="AI53" s="82">
        <v>0.91632080066224508</v>
      </c>
      <c r="AJ53" s="82">
        <v>0.91624168932338823</v>
      </c>
      <c r="AK53" s="82">
        <v>0.91658806233912926</v>
      </c>
      <c r="AL53" s="82">
        <v>0.91625454879485613</v>
      </c>
      <c r="AM53" s="82">
        <v>0.91579127104907643</v>
      </c>
      <c r="AN53" s="82">
        <v>0.91570044069619227</v>
      </c>
      <c r="AO53" s="82">
        <v>0.91492656944207273</v>
      </c>
      <c r="AP53" s="82">
        <v>0.91414587818834747</v>
      </c>
      <c r="AQ53" s="82">
        <v>0.91313219347071328</v>
      </c>
      <c r="AR53" s="82">
        <v>0.91197043139959</v>
      </c>
      <c r="AS53" s="82">
        <v>0.91075885566153936</v>
      </c>
      <c r="AT53" s="82">
        <v>0.90935857460974623</v>
      </c>
      <c r="AU53" s="82">
        <v>0.90786775351888671</v>
      </c>
      <c r="AV53" s="82">
        <v>0.90603499444370228</v>
      </c>
      <c r="AW53" s="82">
        <v>0.90520223399822819</v>
      </c>
      <c r="AX53" s="82">
        <v>0.90405072015671861</v>
      </c>
      <c r="AY53" s="82">
        <v>0.9029625086522457</v>
      </c>
      <c r="AZ53" s="82">
        <v>0.90178930888343667</v>
      </c>
    </row>
    <row r="54" spans="1:52" x14ac:dyDescent="0.2">
      <c r="A54" s="64" t="s">
        <v>394</v>
      </c>
      <c r="B54" s="83">
        <v>0.92084927563993613</v>
      </c>
      <c r="C54" s="83">
        <v>0.91933447421177905</v>
      </c>
      <c r="D54" s="83">
        <v>0.92370518809259206</v>
      </c>
      <c r="E54" s="83">
        <v>0.89868101937854938</v>
      </c>
      <c r="F54" s="83">
        <v>0.88789171273539225</v>
      </c>
      <c r="G54" s="83">
        <v>0.88907902458273602</v>
      </c>
      <c r="H54" s="83">
        <v>0.88237326718135722</v>
      </c>
      <c r="I54" s="83">
        <v>0.86176824018955078</v>
      </c>
      <c r="J54" s="83">
        <v>0.85273274915967656</v>
      </c>
      <c r="K54" s="83">
        <v>0.86254374071485918</v>
      </c>
      <c r="L54" s="83">
        <v>0.88573079850728609</v>
      </c>
      <c r="M54" s="83">
        <v>0.89045321078511563</v>
      </c>
      <c r="N54" s="83">
        <v>0.8948156827777658</v>
      </c>
      <c r="O54" s="83">
        <v>0.89433087732776895</v>
      </c>
      <c r="P54" s="83">
        <v>0.89820891318073703</v>
      </c>
      <c r="Q54" s="83">
        <v>0.87120422159982203</v>
      </c>
      <c r="R54" s="83">
        <v>0.87254326782120106</v>
      </c>
      <c r="S54" s="83">
        <v>0.87120145594710352</v>
      </c>
      <c r="T54" s="83">
        <v>0.86924120177710928</v>
      </c>
      <c r="U54" s="83">
        <v>0.8664630483672987</v>
      </c>
      <c r="V54" s="83">
        <v>0.86389187613022134</v>
      </c>
      <c r="W54" s="83">
        <v>0.86130290699844103</v>
      </c>
      <c r="X54" s="83">
        <v>0.85843949184680446</v>
      </c>
      <c r="Y54" s="83">
        <v>0.85498440139273391</v>
      </c>
      <c r="Z54" s="83">
        <v>0.8524915580744139</v>
      </c>
      <c r="AA54" s="83">
        <v>0.85040364604289176</v>
      </c>
      <c r="AB54" s="83">
        <v>0.84812743221547882</v>
      </c>
      <c r="AC54" s="83">
        <v>0.84580614515502817</v>
      </c>
      <c r="AD54" s="83">
        <v>0.84364574165297035</v>
      </c>
      <c r="AE54" s="83">
        <v>0.84153759071008394</v>
      </c>
      <c r="AF54" s="83">
        <v>0.83953256903061912</v>
      </c>
      <c r="AG54" s="83">
        <v>0.83772804830578818</v>
      </c>
      <c r="AH54" s="83">
        <v>0.83651633149780869</v>
      </c>
      <c r="AI54" s="83">
        <v>0.8350660820980873</v>
      </c>
      <c r="AJ54" s="83">
        <v>0.83382489388097014</v>
      </c>
      <c r="AK54" s="83">
        <v>0.83237566801025775</v>
      </c>
      <c r="AL54" s="83">
        <v>0.83060685832057513</v>
      </c>
      <c r="AM54" s="83">
        <v>0.82895293326682506</v>
      </c>
      <c r="AN54" s="83">
        <v>0.82778983126472272</v>
      </c>
      <c r="AO54" s="83">
        <v>0.82565123214923841</v>
      </c>
      <c r="AP54" s="83">
        <v>0.82334386180538388</v>
      </c>
      <c r="AQ54" s="83">
        <v>0.82045948696245508</v>
      </c>
      <c r="AR54" s="83">
        <v>0.81761126307996845</v>
      </c>
      <c r="AS54" s="83">
        <v>0.81467364665595021</v>
      </c>
      <c r="AT54" s="83">
        <v>0.81159659708897391</v>
      </c>
      <c r="AU54" s="83">
        <v>0.80849081194908845</v>
      </c>
      <c r="AV54" s="83">
        <v>0.80482246543007863</v>
      </c>
      <c r="AW54" s="83">
        <v>0.80176748217399973</v>
      </c>
      <c r="AX54" s="83">
        <v>0.79920448745116757</v>
      </c>
      <c r="AY54" s="83">
        <v>0.79695654919826109</v>
      </c>
      <c r="AZ54" s="83">
        <v>0.79530769703344761</v>
      </c>
    </row>
    <row r="55" spans="1:52" x14ac:dyDescent="0.2">
      <c r="A55" s="66" t="s">
        <v>406</v>
      </c>
      <c r="B55" s="49">
        <v>0.19226287291258093</v>
      </c>
      <c r="C55" s="49">
        <v>0.18892730950261985</v>
      </c>
      <c r="D55" s="49">
        <v>0.18729377527318264</v>
      </c>
      <c r="E55" s="49">
        <v>0.1827317608716163</v>
      </c>
      <c r="F55" s="49">
        <v>0.17918655210063961</v>
      </c>
      <c r="G55" s="49">
        <v>0.1790682693085611</v>
      </c>
      <c r="H55" s="49">
        <v>0.17822275440618987</v>
      </c>
      <c r="I55" s="49">
        <v>0.17646917091512523</v>
      </c>
      <c r="J55" s="49">
        <v>0.17195322844227523</v>
      </c>
      <c r="K55" s="49">
        <v>0.15689564736270942</v>
      </c>
      <c r="L55" s="49">
        <v>0.16325834232971309</v>
      </c>
      <c r="M55" s="49">
        <v>0.16183220565196418</v>
      </c>
      <c r="N55" s="49">
        <v>0.13926471284329553</v>
      </c>
      <c r="O55" s="49">
        <v>0.14106772164297099</v>
      </c>
      <c r="P55" s="49">
        <v>0.15060696042112257</v>
      </c>
      <c r="Q55" s="49">
        <v>0.16510071404560089</v>
      </c>
      <c r="R55" s="49">
        <v>0.16441106765796673</v>
      </c>
      <c r="S55" s="49">
        <v>0.163407039489081</v>
      </c>
      <c r="T55" s="49">
        <v>0.16253888265540256</v>
      </c>
      <c r="U55" s="49">
        <v>0.16123226946619454</v>
      </c>
      <c r="V55" s="49">
        <v>0.16019209395467693</v>
      </c>
      <c r="W55" s="49">
        <v>0.15851639730845438</v>
      </c>
      <c r="X55" s="49">
        <v>0.15684429616507947</v>
      </c>
      <c r="Y55" s="49">
        <v>0.15670279423884712</v>
      </c>
      <c r="Z55" s="49">
        <v>0.15652234457162401</v>
      </c>
      <c r="AA55" s="49">
        <v>0.15774413629641046</v>
      </c>
      <c r="AB55" s="49">
        <v>0.15830707145917347</v>
      </c>
      <c r="AC55" s="49">
        <v>0.15893993515903651</v>
      </c>
      <c r="AD55" s="49">
        <v>0.16089972414146525</v>
      </c>
      <c r="AE55" s="49">
        <v>0.162438593089959</v>
      </c>
      <c r="AF55" s="49">
        <v>0.16389755611710397</v>
      </c>
      <c r="AG55" s="49">
        <v>0.16462088285277088</v>
      </c>
      <c r="AH55" s="49">
        <v>0.16629545625521294</v>
      </c>
      <c r="AI55" s="49">
        <v>0.1679742352271742</v>
      </c>
      <c r="AJ55" s="49">
        <v>0.16860192233871396</v>
      </c>
      <c r="AK55" s="49">
        <v>0.1712063402257894</v>
      </c>
      <c r="AL55" s="49">
        <v>0.1723427016898352</v>
      </c>
      <c r="AM55" s="49">
        <v>0.17155058281493493</v>
      </c>
      <c r="AN55" s="49">
        <v>0.17405202478785639</v>
      </c>
      <c r="AO55" s="49">
        <v>0.17471813879523954</v>
      </c>
      <c r="AP55" s="49">
        <v>0.17396944189918398</v>
      </c>
      <c r="AQ55" s="49">
        <v>0.17223276686770028</v>
      </c>
      <c r="AR55" s="49">
        <v>0.17314242890579887</v>
      </c>
      <c r="AS55" s="49">
        <v>0.17285628336881112</v>
      </c>
      <c r="AT55" s="49">
        <v>0.1724195791549066</v>
      </c>
      <c r="AU55" s="49">
        <v>0.17308225555620613</v>
      </c>
      <c r="AV55" s="49">
        <v>0.16658155962356763</v>
      </c>
      <c r="AW55" s="49">
        <v>0.16068504968135192</v>
      </c>
      <c r="AX55" s="49">
        <v>0.15924756997183673</v>
      </c>
      <c r="AY55" s="49">
        <v>0.15486421070081044</v>
      </c>
      <c r="AZ55" s="49">
        <v>0.15244669888859549</v>
      </c>
    </row>
    <row r="56" spans="1:52" x14ac:dyDescent="0.2">
      <c r="A56" s="68" t="s">
        <v>407</v>
      </c>
      <c r="B56" s="50">
        <v>0.72858640272735509</v>
      </c>
      <c r="C56" s="50">
        <v>0.73040716470915912</v>
      </c>
      <c r="D56" s="50">
        <v>0.73641141281940925</v>
      </c>
      <c r="E56" s="50">
        <v>0.71594925850693314</v>
      </c>
      <c r="F56" s="50">
        <v>0.70870516063475275</v>
      </c>
      <c r="G56" s="50">
        <v>0.7100107552741749</v>
      </c>
      <c r="H56" s="50">
        <v>0.70415051277516738</v>
      </c>
      <c r="I56" s="50">
        <v>0.68529906927442563</v>
      </c>
      <c r="J56" s="50">
        <v>0.68077952071740133</v>
      </c>
      <c r="K56" s="50">
        <v>0.70564809335214962</v>
      </c>
      <c r="L56" s="50">
        <v>0.72247245617757305</v>
      </c>
      <c r="M56" s="50">
        <v>0.72862100513315131</v>
      </c>
      <c r="N56" s="50">
        <v>0.75555096993447024</v>
      </c>
      <c r="O56" s="50">
        <v>0.75326315568479796</v>
      </c>
      <c r="P56" s="50">
        <v>0.74760195275961439</v>
      </c>
      <c r="Q56" s="50">
        <v>0.70610350755422124</v>
      </c>
      <c r="R56" s="50">
        <v>0.70813220016323419</v>
      </c>
      <c r="S56" s="50">
        <v>0.70779441645802255</v>
      </c>
      <c r="T56" s="50">
        <v>0.70670231912170678</v>
      </c>
      <c r="U56" s="50">
        <v>0.7052307789011043</v>
      </c>
      <c r="V56" s="50">
        <v>0.70369978217554441</v>
      </c>
      <c r="W56" s="50">
        <v>0.70278650968998657</v>
      </c>
      <c r="X56" s="50">
        <v>0.70159519568172513</v>
      </c>
      <c r="Y56" s="50">
        <v>0.69828160715388676</v>
      </c>
      <c r="Z56" s="50">
        <v>0.69596921350278984</v>
      </c>
      <c r="AA56" s="50">
        <v>0.69265950974648127</v>
      </c>
      <c r="AB56" s="50">
        <v>0.68982036075630537</v>
      </c>
      <c r="AC56" s="50">
        <v>0.68686620999599168</v>
      </c>
      <c r="AD56" s="50">
        <v>0.68274601751150521</v>
      </c>
      <c r="AE56" s="50">
        <v>0.67909899762012493</v>
      </c>
      <c r="AF56" s="50">
        <v>0.67563501291351513</v>
      </c>
      <c r="AG56" s="50">
        <v>0.6731071654530173</v>
      </c>
      <c r="AH56" s="50">
        <v>0.67022087524259577</v>
      </c>
      <c r="AI56" s="50">
        <v>0.66709184687091305</v>
      </c>
      <c r="AJ56" s="50">
        <v>0.66522297154225618</v>
      </c>
      <c r="AK56" s="50">
        <v>0.66116932778446824</v>
      </c>
      <c r="AL56" s="50">
        <v>0.65826415663074</v>
      </c>
      <c r="AM56" s="50">
        <v>0.65740235045189011</v>
      </c>
      <c r="AN56" s="50">
        <v>0.6537378064768663</v>
      </c>
      <c r="AO56" s="50">
        <v>0.65093309335399885</v>
      </c>
      <c r="AP56" s="50">
        <v>0.64937441990619993</v>
      </c>
      <c r="AQ56" s="50">
        <v>0.6482267200947549</v>
      </c>
      <c r="AR56" s="50">
        <v>0.64446883417416956</v>
      </c>
      <c r="AS56" s="50">
        <v>0.64181736328713912</v>
      </c>
      <c r="AT56" s="50">
        <v>0.63917701793406734</v>
      </c>
      <c r="AU56" s="50">
        <v>0.6354085563928823</v>
      </c>
      <c r="AV56" s="50">
        <v>0.63824090580651105</v>
      </c>
      <c r="AW56" s="50">
        <v>0.64108243249264785</v>
      </c>
      <c r="AX56" s="50">
        <v>0.63995691747933081</v>
      </c>
      <c r="AY56" s="50">
        <v>0.64209233849745062</v>
      </c>
      <c r="AZ56" s="50">
        <v>0.6428609981448522</v>
      </c>
    </row>
    <row r="57" spans="1:52" x14ac:dyDescent="0.2">
      <c r="A57" s="64" t="s">
        <v>395</v>
      </c>
      <c r="B57" s="83">
        <v>4.2984003670187261E-3</v>
      </c>
      <c r="C57" s="83">
        <v>7.4510924477192595E-3</v>
      </c>
      <c r="D57" s="83">
        <v>7.8893238294232802E-3</v>
      </c>
      <c r="E57" s="83">
        <v>2.5370013128328022E-2</v>
      </c>
      <c r="F57" s="83">
        <v>2.3999961106095608E-2</v>
      </c>
      <c r="G57" s="83">
        <v>2.528815008741743E-2</v>
      </c>
      <c r="H57" s="83">
        <v>2.6607838092580459E-2</v>
      </c>
      <c r="I57" s="83">
        <v>2.97750795460998E-2</v>
      </c>
      <c r="J57" s="83">
        <v>3.1523063600195828E-2</v>
      </c>
      <c r="K57" s="83">
        <v>3.2771320470017788E-2</v>
      </c>
      <c r="L57" s="83">
        <v>9.3822689991631576E-3</v>
      </c>
      <c r="M57" s="83">
        <v>9.9873357536100441E-3</v>
      </c>
      <c r="N57" s="83">
        <v>1.0707770656346502E-2</v>
      </c>
      <c r="O57" s="83">
        <v>1.1917619224097504E-2</v>
      </c>
      <c r="P57" s="83">
        <v>8.0395862537528309E-3</v>
      </c>
      <c r="Q57" s="83">
        <v>3.2599925707508144E-2</v>
      </c>
      <c r="R57" s="83">
        <v>3.1943616351710398E-2</v>
      </c>
      <c r="S57" s="83">
        <v>3.3282932022599986E-2</v>
      </c>
      <c r="T57" s="83">
        <v>3.5107610280190445E-2</v>
      </c>
      <c r="U57" s="83">
        <v>3.7851012645357028E-2</v>
      </c>
      <c r="V57" s="83">
        <v>4.0013526030693296E-2</v>
      </c>
      <c r="W57" s="83">
        <v>4.2304499325499532E-2</v>
      </c>
      <c r="X57" s="83">
        <v>4.5218615986577858E-2</v>
      </c>
      <c r="Y57" s="83">
        <v>4.7743566636789921E-2</v>
      </c>
      <c r="Z57" s="83">
        <v>4.9344985369967682E-2</v>
      </c>
      <c r="AA57" s="83">
        <v>5.0833755808965451E-2</v>
      </c>
      <c r="AB57" s="83">
        <v>5.2356425446727327E-2</v>
      </c>
      <c r="AC57" s="83">
        <v>5.3998225081661196E-2</v>
      </c>
      <c r="AD57" s="83">
        <v>5.5552964078662469E-2</v>
      </c>
      <c r="AE57" s="83">
        <v>5.7130823848912812E-2</v>
      </c>
      <c r="AF57" s="83">
        <v>5.8610471185181617E-2</v>
      </c>
      <c r="AG57" s="83">
        <v>5.9971061062153198E-2</v>
      </c>
      <c r="AH57" s="83">
        <v>6.1426656649847824E-2</v>
      </c>
      <c r="AI57" s="83">
        <v>6.2828587681989123E-2</v>
      </c>
      <c r="AJ57" s="83">
        <v>6.3920971929901871E-2</v>
      </c>
      <c r="AK57" s="83">
        <v>6.5658938013296614E-2</v>
      </c>
      <c r="AL57" s="83">
        <v>6.7064047843122934E-2</v>
      </c>
      <c r="AM57" s="83">
        <v>6.817510059465838E-2</v>
      </c>
      <c r="AN57" s="83">
        <v>6.91618750306838E-2</v>
      </c>
      <c r="AO57" s="83">
        <v>7.0427222406815745E-2</v>
      </c>
      <c r="AP57" s="83">
        <v>7.1761307837094196E-2</v>
      </c>
      <c r="AQ57" s="83">
        <v>7.3435302342039765E-2</v>
      </c>
      <c r="AR57" s="83">
        <v>7.489504587385476E-2</v>
      </c>
      <c r="AS57" s="83">
        <v>7.633223739626023E-2</v>
      </c>
      <c r="AT57" s="83">
        <v>7.7700323552047201E-2</v>
      </c>
      <c r="AU57" s="83">
        <v>7.8980694492596745E-2</v>
      </c>
      <c r="AV57" s="83">
        <v>8.0361015085097687E-2</v>
      </c>
      <c r="AW57" s="83">
        <v>8.2051317754486167E-2</v>
      </c>
      <c r="AX57" s="83">
        <v>8.2998459846170561E-2</v>
      </c>
      <c r="AY57" s="83">
        <v>8.3590704463429241E-2</v>
      </c>
      <c r="AZ57" s="83">
        <v>8.3510947060423696E-2</v>
      </c>
    </row>
    <row r="58" spans="1:52" x14ac:dyDescent="0.2">
      <c r="A58" s="64" t="s">
        <v>396</v>
      </c>
      <c r="B58" s="83">
        <v>1.7364774207553571E-2</v>
      </c>
      <c r="C58" s="83">
        <v>1.8298210735102519E-2</v>
      </c>
      <c r="D58" s="83">
        <v>1.7877458972848422E-2</v>
      </c>
      <c r="E58" s="83">
        <v>1.7939818540556769E-2</v>
      </c>
      <c r="F58" s="83">
        <v>1.8109560599849316E-2</v>
      </c>
      <c r="G58" s="83">
        <v>1.8597564503617575E-2</v>
      </c>
      <c r="H58" s="83">
        <v>1.9068922838682272E-2</v>
      </c>
      <c r="I58" s="83">
        <v>1.9948806566483041E-2</v>
      </c>
      <c r="J58" s="83">
        <v>2.0217001444229457E-2</v>
      </c>
      <c r="K58" s="83">
        <v>1.9880606246709315E-2</v>
      </c>
      <c r="L58" s="83">
        <v>1.8960827561284019E-2</v>
      </c>
      <c r="M58" s="83">
        <v>1.9654376255619308E-2</v>
      </c>
      <c r="N58" s="83">
        <v>1.8270896577350364E-2</v>
      </c>
      <c r="O58" s="83">
        <v>1.8965761386613721E-2</v>
      </c>
      <c r="P58" s="83">
        <v>1.9187658025308838E-2</v>
      </c>
      <c r="Q58" s="83">
        <v>2.0405650986352549E-2</v>
      </c>
      <c r="R58" s="83">
        <v>2.024889517616886E-2</v>
      </c>
      <c r="S58" s="83">
        <v>2.0049106530149231E-2</v>
      </c>
      <c r="T58" s="83">
        <v>1.9895489323714252E-2</v>
      </c>
      <c r="U58" s="83">
        <v>1.9763881033093043E-2</v>
      </c>
      <c r="V58" s="83">
        <v>1.9667301028768989E-2</v>
      </c>
      <c r="W58" s="83">
        <v>1.9572296536028985E-2</v>
      </c>
      <c r="X58" s="83">
        <v>1.9491296520737056E-2</v>
      </c>
      <c r="Y58" s="83">
        <v>1.9362837828113197E-2</v>
      </c>
      <c r="Z58" s="83">
        <v>1.925456826961507E-2</v>
      </c>
      <c r="AA58" s="83">
        <v>1.915205568322674E-2</v>
      </c>
      <c r="AB58" s="83">
        <v>1.9032780618533675E-2</v>
      </c>
      <c r="AC58" s="83">
        <v>1.891693693348839E-2</v>
      </c>
      <c r="AD58" s="83">
        <v>1.877986961995674E-2</v>
      </c>
      <c r="AE58" s="83">
        <v>1.8648035405784677E-2</v>
      </c>
      <c r="AF58" s="83">
        <v>1.8518332156334517E-2</v>
      </c>
      <c r="AG58" s="83">
        <v>1.8398456063689964E-2</v>
      </c>
      <c r="AH58" s="83">
        <v>1.8348151130899468E-2</v>
      </c>
      <c r="AI58" s="83">
        <v>1.8426130882168681E-2</v>
      </c>
      <c r="AJ58" s="83">
        <v>1.8495823512516201E-2</v>
      </c>
      <c r="AK58" s="83">
        <v>1.8553456315575072E-2</v>
      </c>
      <c r="AL58" s="83">
        <v>1.8583642631158043E-2</v>
      </c>
      <c r="AM58" s="83">
        <v>1.8663237187592992E-2</v>
      </c>
      <c r="AN58" s="83">
        <v>1.8748734400785703E-2</v>
      </c>
      <c r="AO58" s="83">
        <v>1.8848114886018594E-2</v>
      </c>
      <c r="AP58" s="83">
        <v>1.9040708545869395E-2</v>
      </c>
      <c r="AQ58" s="83">
        <v>1.923740416621848E-2</v>
      </c>
      <c r="AR58" s="83">
        <v>1.9464122445766778E-2</v>
      </c>
      <c r="AS58" s="83">
        <v>1.9752971609328929E-2</v>
      </c>
      <c r="AT58" s="83">
        <v>2.0061653968725106E-2</v>
      </c>
      <c r="AU58" s="83">
        <v>2.0396247077201404E-2</v>
      </c>
      <c r="AV58" s="83">
        <v>2.0851513928525967E-2</v>
      </c>
      <c r="AW58" s="83">
        <v>2.1383434069742274E-2</v>
      </c>
      <c r="AX58" s="83">
        <v>2.1847772859380513E-2</v>
      </c>
      <c r="AY58" s="83">
        <v>2.2415254990555456E-2</v>
      </c>
      <c r="AZ58" s="83">
        <v>2.2970664789565356E-2</v>
      </c>
    </row>
    <row r="59" spans="1:52" x14ac:dyDescent="0.2">
      <c r="A59" s="62" t="s">
        <v>408</v>
      </c>
      <c r="B59" s="82">
        <v>5.748754978549156E-2</v>
      </c>
      <c r="C59" s="82">
        <v>5.4916222605399315E-2</v>
      </c>
      <c r="D59" s="82">
        <v>5.0528029105136173E-2</v>
      </c>
      <c r="E59" s="82">
        <v>5.8009148952565863E-2</v>
      </c>
      <c r="F59" s="82">
        <v>6.9998765558662912E-2</v>
      </c>
      <c r="G59" s="82">
        <v>6.7035260826228918E-2</v>
      </c>
      <c r="H59" s="82">
        <v>7.1949971887380129E-2</v>
      </c>
      <c r="I59" s="82">
        <v>8.8507873697866279E-2</v>
      </c>
      <c r="J59" s="82">
        <v>9.5527185795898154E-2</v>
      </c>
      <c r="K59" s="82">
        <v>8.480433256841359E-2</v>
      </c>
      <c r="L59" s="82">
        <v>8.5926104932266725E-2</v>
      </c>
      <c r="M59" s="82">
        <v>7.9905077205655012E-2</v>
      </c>
      <c r="N59" s="82">
        <v>7.6205649988537461E-2</v>
      </c>
      <c r="O59" s="82">
        <v>7.4785742061519819E-2</v>
      </c>
      <c r="P59" s="82">
        <v>7.4563842540201153E-2</v>
      </c>
      <c r="Q59" s="82">
        <v>7.5790201706317228E-2</v>
      </c>
      <c r="R59" s="82">
        <v>7.5264220650919769E-2</v>
      </c>
      <c r="S59" s="82">
        <v>7.5466505500147302E-2</v>
      </c>
      <c r="T59" s="82">
        <v>7.5755698618986053E-2</v>
      </c>
      <c r="U59" s="82">
        <v>7.5922057954251207E-2</v>
      </c>
      <c r="V59" s="82">
        <v>7.6427296810316417E-2</v>
      </c>
      <c r="W59" s="82">
        <v>7.6820297140030497E-2</v>
      </c>
      <c r="X59" s="82">
        <v>7.6850595645880648E-2</v>
      </c>
      <c r="Y59" s="82">
        <v>7.7909194142363067E-2</v>
      </c>
      <c r="Z59" s="82">
        <v>7.890888828600344E-2</v>
      </c>
      <c r="AA59" s="82">
        <v>7.9610542464916029E-2</v>
      </c>
      <c r="AB59" s="82">
        <v>8.0483361719260196E-2</v>
      </c>
      <c r="AC59" s="82">
        <v>8.1278692829822197E-2</v>
      </c>
      <c r="AD59" s="82">
        <v>8.2021424648410404E-2</v>
      </c>
      <c r="AE59" s="82">
        <v>8.2683550035218503E-2</v>
      </c>
      <c r="AF59" s="82">
        <v>8.3338627627864703E-2</v>
      </c>
      <c r="AG59" s="82">
        <v>8.3902434568368614E-2</v>
      </c>
      <c r="AH59" s="82">
        <v>8.3708860721443984E-2</v>
      </c>
      <c r="AI59" s="82">
        <v>8.3679199337754973E-2</v>
      </c>
      <c r="AJ59" s="82">
        <v>8.3758310676611797E-2</v>
      </c>
      <c r="AK59" s="82">
        <v>8.3411937660870697E-2</v>
      </c>
      <c r="AL59" s="82">
        <v>8.3745451205143831E-2</v>
      </c>
      <c r="AM59" s="82">
        <v>8.4208728950923559E-2</v>
      </c>
      <c r="AN59" s="82">
        <v>8.4299559303807725E-2</v>
      </c>
      <c r="AO59" s="82">
        <v>8.5073430557927224E-2</v>
      </c>
      <c r="AP59" s="82">
        <v>8.5854121811652556E-2</v>
      </c>
      <c r="AQ59" s="82">
        <v>8.6867806529286717E-2</v>
      </c>
      <c r="AR59" s="82">
        <v>8.8029568600409988E-2</v>
      </c>
      <c r="AS59" s="82">
        <v>8.9241144338460601E-2</v>
      </c>
      <c r="AT59" s="82">
        <v>9.0641425390253702E-2</v>
      </c>
      <c r="AU59" s="82">
        <v>9.2132246481113317E-2</v>
      </c>
      <c r="AV59" s="82">
        <v>9.3965005556297707E-2</v>
      </c>
      <c r="AW59" s="82">
        <v>9.4797766001771783E-2</v>
      </c>
      <c r="AX59" s="82">
        <v>9.5949279843281443E-2</v>
      </c>
      <c r="AY59" s="82">
        <v>9.7037491347754301E-2</v>
      </c>
      <c r="AZ59" s="82">
        <v>9.8210691116563387E-2</v>
      </c>
    </row>
    <row r="60" spans="1:52" x14ac:dyDescent="0.2">
      <c r="A60" s="70" t="s">
        <v>406</v>
      </c>
      <c r="B60" s="49">
        <v>1.4929295351732584E-2</v>
      </c>
      <c r="C60" s="49">
        <v>1.4353967811675679E-2</v>
      </c>
      <c r="D60" s="49">
        <v>1.3418487783509292E-2</v>
      </c>
      <c r="E60" s="49">
        <v>1.5149778686640939E-2</v>
      </c>
      <c r="F60" s="49">
        <v>1.7106623925814801E-2</v>
      </c>
      <c r="G60" s="49">
        <v>1.6301001221379723E-2</v>
      </c>
      <c r="H60" s="49">
        <v>1.7615164251941019E-2</v>
      </c>
      <c r="I60" s="49">
        <v>2.1878415169509197E-2</v>
      </c>
      <c r="J60" s="49">
        <v>2.3180114194189819E-2</v>
      </c>
      <c r="K60" s="49">
        <v>1.8763381615432496E-2</v>
      </c>
      <c r="L60" s="49">
        <v>1.9848075761098677E-2</v>
      </c>
      <c r="M60" s="49">
        <v>1.8212912853735101E-2</v>
      </c>
      <c r="N60" s="49">
        <v>1.5276903972976475E-2</v>
      </c>
      <c r="O60" s="49">
        <v>1.5519009514582573E-2</v>
      </c>
      <c r="P60" s="49">
        <v>1.6621558462568901E-2</v>
      </c>
      <c r="Q60" s="49">
        <v>1.8478811728107242E-2</v>
      </c>
      <c r="R60" s="49">
        <v>1.7856166274808537E-2</v>
      </c>
      <c r="S60" s="49">
        <v>1.7397868477652553E-2</v>
      </c>
      <c r="T60" s="49">
        <v>1.7280877522775871E-2</v>
      </c>
      <c r="U60" s="49">
        <v>1.6865650327746829E-2</v>
      </c>
      <c r="V60" s="49">
        <v>1.7854375560166971E-2</v>
      </c>
      <c r="W60" s="49">
        <v>1.875822790939809E-2</v>
      </c>
      <c r="X60" s="49">
        <v>1.8551072658124612E-2</v>
      </c>
      <c r="Y60" s="49">
        <v>1.9311522837434088E-2</v>
      </c>
      <c r="Z60" s="49">
        <v>2.0041375506863145E-2</v>
      </c>
      <c r="AA60" s="49">
        <v>1.9689010771516694E-2</v>
      </c>
      <c r="AB60" s="49">
        <v>2.0123464232407025E-2</v>
      </c>
      <c r="AC60" s="49">
        <v>2.0997111780430542E-2</v>
      </c>
      <c r="AD60" s="49">
        <v>2.1375595484198061E-2</v>
      </c>
      <c r="AE60" s="49">
        <v>2.193890077546724E-2</v>
      </c>
      <c r="AF60" s="49">
        <v>2.2455121956170394E-2</v>
      </c>
      <c r="AG60" s="49">
        <v>2.1067181330719949E-2</v>
      </c>
      <c r="AH60" s="49">
        <v>2.1405005494872786E-2</v>
      </c>
      <c r="AI60" s="49">
        <v>2.1357173623231373E-2</v>
      </c>
      <c r="AJ60" s="49">
        <v>2.144210293125922E-2</v>
      </c>
      <c r="AK60" s="49">
        <v>2.0477690428181195E-2</v>
      </c>
      <c r="AL60" s="49">
        <v>2.0476890797126876E-2</v>
      </c>
      <c r="AM60" s="49">
        <v>2.0781116014580003E-2</v>
      </c>
      <c r="AN60" s="49">
        <v>1.9658607619562795E-2</v>
      </c>
      <c r="AO60" s="49">
        <v>1.9970810686691452E-2</v>
      </c>
      <c r="AP60" s="49">
        <v>1.9537312371447641E-2</v>
      </c>
      <c r="AQ60" s="49">
        <v>2.006089046894665E-2</v>
      </c>
      <c r="AR60" s="49">
        <v>2.0430019847019788E-2</v>
      </c>
      <c r="AS60" s="49">
        <v>2.1037139132020252E-2</v>
      </c>
      <c r="AT60" s="49">
        <v>2.1587928414206394E-2</v>
      </c>
      <c r="AU60" s="49">
        <v>2.1999671781266675E-2</v>
      </c>
      <c r="AV60" s="49">
        <v>2.2478920657609945E-2</v>
      </c>
      <c r="AW60" s="49">
        <v>2.2762886530824804E-2</v>
      </c>
      <c r="AX60" s="49">
        <v>2.2439833954311927E-2</v>
      </c>
      <c r="AY60" s="49">
        <v>2.1991103308350839E-2</v>
      </c>
      <c r="AZ60" s="49">
        <v>2.1642122561359455E-2</v>
      </c>
    </row>
    <row r="61" spans="1:52" x14ac:dyDescent="0.2">
      <c r="A61" s="71" t="s">
        <v>407</v>
      </c>
      <c r="B61" s="50">
        <v>4.255825443375897E-2</v>
      </c>
      <c r="C61" s="50">
        <v>4.0562254793723634E-2</v>
      </c>
      <c r="D61" s="50">
        <v>3.7109541321626881E-2</v>
      </c>
      <c r="E61" s="50">
        <v>4.2859370265924915E-2</v>
      </c>
      <c r="F61" s="50">
        <v>5.2892141632848111E-2</v>
      </c>
      <c r="G61" s="50">
        <v>5.0734259604849188E-2</v>
      </c>
      <c r="H61" s="50">
        <v>5.433480763543911E-2</v>
      </c>
      <c r="I61" s="50">
        <v>6.6629458528357083E-2</v>
      </c>
      <c r="J61" s="50">
        <v>7.2347071601708335E-2</v>
      </c>
      <c r="K61" s="50">
        <v>6.6040950952981084E-2</v>
      </c>
      <c r="L61" s="50">
        <v>6.6078029171168048E-2</v>
      </c>
      <c r="M61" s="50">
        <v>6.1692164351919904E-2</v>
      </c>
      <c r="N61" s="50">
        <v>6.0928746015560982E-2</v>
      </c>
      <c r="O61" s="50">
        <v>5.9266732546937248E-2</v>
      </c>
      <c r="P61" s="50">
        <v>5.7942284077632251E-2</v>
      </c>
      <c r="Q61" s="50">
        <v>5.7311389978209983E-2</v>
      </c>
      <c r="R61" s="50">
        <v>5.7408054376111232E-2</v>
      </c>
      <c r="S61" s="50">
        <v>5.8068637022494742E-2</v>
      </c>
      <c r="T61" s="50">
        <v>5.8474821096210182E-2</v>
      </c>
      <c r="U61" s="50">
        <v>5.9056407626504381E-2</v>
      </c>
      <c r="V61" s="50">
        <v>5.8572921250149443E-2</v>
      </c>
      <c r="W61" s="50">
        <v>5.8062069230632396E-2</v>
      </c>
      <c r="X61" s="50">
        <v>5.8299522987756036E-2</v>
      </c>
      <c r="Y61" s="50">
        <v>5.8597671304928982E-2</v>
      </c>
      <c r="Z61" s="50">
        <v>5.8867512779140298E-2</v>
      </c>
      <c r="AA61" s="50">
        <v>5.9921531693399345E-2</v>
      </c>
      <c r="AB61" s="50">
        <v>6.0359897486853172E-2</v>
      </c>
      <c r="AC61" s="50">
        <v>6.0281581049391658E-2</v>
      </c>
      <c r="AD61" s="50">
        <v>6.0645829164212343E-2</v>
      </c>
      <c r="AE61" s="50">
        <v>6.0744649259751267E-2</v>
      </c>
      <c r="AF61" s="50">
        <v>6.0883505671694309E-2</v>
      </c>
      <c r="AG61" s="50">
        <v>6.2835253237648672E-2</v>
      </c>
      <c r="AH61" s="50">
        <v>6.2303855226571198E-2</v>
      </c>
      <c r="AI61" s="50">
        <v>6.2322025714523603E-2</v>
      </c>
      <c r="AJ61" s="50">
        <v>6.2316207745352577E-2</v>
      </c>
      <c r="AK61" s="50">
        <v>6.2934247232689505E-2</v>
      </c>
      <c r="AL61" s="50">
        <v>6.3268560408016955E-2</v>
      </c>
      <c r="AM61" s="50">
        <v>6.3427612936343566E-2</v>
      </c>
      <c r="AN61" s="50">
        <v>6.4640951684244927E-2</v>
      </c>
      <c r="AO61" s="50">
        <v>6.5102619871235765E-2</v>
      </c>
      <c r="AP61" s="50">
        <v>6.6316809440204905E-2</v>
      </c>
      <c r="AQ61" s="50">
        <v>6.680691606034006E-2</v>
      </c>
      <c r="AR61" s="50">
        <v>6.7599548753390193E-2</v>
      </c>
      <c r="AS61" s="50">
        <v>6.8204005206440349E-2</v>
      </c>
      <c r="AT61" s="50">
        <v>6.9053496976047304E-2</v>
      </c>
      <c r="AU61" s="50">
        <v>7.0132574699846642E-2</v>
      </c>
      <c r="AV61" s="50">
        <v>7.1486084898687755E-2</v>
      </c>
      <c r="AW61" s="50">
        <v>7.2034879470946972E-2</v>
      </c>
      <c r="AX61" s="50">
        <v>7.350944588896953E-2</v>
      </c>
      <c r="AY61" s="50">
        <v>7.5046388039403458E-2</v>
      </c>
      <c r="AZ61" s="50">
        <v>7.6568568555203914E-2</v>
      </c>
    </row>
    <row r="62" spans="1:52" x14ac:dyDescent="0.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</row>
    <row r="63" spans="1:52" ht="12.75" customHeight="1" x14ac:dyDescent="0.2">
      <c r="A63" s="48" t="s">
        <v>415</v>
      </c>
      <c r="B63" s="84">
        <v>88.424929829004</v>
      </c>
      <c r="C63" s="84">
        <v>85.511546076668935</v>
      </c>
      <c r="D63" s="84">
        <v>83.43807932461516</v>
      </c>
      <c r="E63" s="84">
        <v>81.497680161998147</v>
      </c>
      <c r="F63" s="84">
        <v>79.765471444372551</v>
      </c>
      <c r="G63" s="84">
        <v>78.544350242532829</v>
      </c>
      <c r="H63" s="84">
        <v>77.771322917149007</v>
      </c>
      <c r="I63" s="84">
        <v>78.494728242260322</v>
      </c>
      <c r="J63" s="84">
        <v>76.895529315873731</v>
      </c>
      <c r="K63" s="84">
        <v>67.972303691455792</v>
      </c>
      <c r="L63" s="84">
        <v>69.804269558315056</v>
      </c>
      <c r="M63" s="84">
        <v>67.716603946375827</v>
      </c>
      <c r="N63" s="84">
        <v>54.692343425244538</v>
      </c>
      <c r="O63" s="84">
        <v>53.300158927820732</v>
      </c>
      <c r="P63" s="84">
        <v>55.685193538909843</v>
      </c>
      <c r="Q63" s="84">
        <v>61.041992172383772</v>
      </c>
      <c r="R63" s="84">
        <v>60.413344378209167</v>
      </c>
      <c r="S63" s="84">
        <v>59.763063538596903</v>
      </c>
      <c r="T63" s="84">
        <v>59.261208033991878</v>
      </c>
      <c r="U63" s="84">
        <v>58.502566671633772</v>
      </c>
      <c r="V63" s="84">
        <v>58.313817130259736</v>
      </c>
      <c r="W63" s="84">
        <v>57.861971880589046</v>
      </c>
      <c r="X63" s="84">
        <v>57.021767799222751</v>
      </c>
      <c r="Y63" s="84">
        <v>57.07059079725115</v>
      </c>
      <c r="Z63" s="84">
        <v>57.068157090563098</v>
      </c>
      <c r="AA63" s="84">
        <v>57.179906142976691</v>
      </c>
      <c r="AB63" s="84">
        <v>57.349079865800356</v>
      </c>
      <c r="AC63" s="84">
        <v>57.68597580806496</v>
      </c>
      <c r="AD63" s="84">
        <v>58.301057308617729</v>
      </c>
      <c r="AE63" s="84">
        <v>58.850410510387029</v>
      </c>
      <c r="AF63" s="84">
        <v>59.335480008438047</v>
      </c>
      <c r="AG63" s="84">
        <v>58.595835743146125</v>
      </c>
      <c r="AH63" s="84">
        <v>59.121557369503854</v>
      </c>
      <c r="AI63" s="84">
        <v>59.497301336576868</v>
      </c>
      <c r="AJ63" s="84">
        <v>59.466784667099596</v>
      </c>
      <c r="AK63" s="84">
        <v>59.752755972744367</v>
      </c>
      <c r="AL63" s="84">
        <v>59.866860559383596</v>
      </c>
      <c r="AM63" s="84">
        <v>59.410451696560763</v>
      </c>
      <c r="AN63" s="84">
        <v>59.543294551555547</v>
      </c>
      <c r="AO63" s="84">
        <v>59.543362316662801</v>
      </c>
      <c r="AP63" s="84">
        <v>58.788619297444079</v>
      </c>
      <c r="AQ63" s="84">
        <v>58.037807704687438</v>
      </c>
      <c r="AR63" s="84">
        <v>58.12511160620776</v>
      </c>
      <c r="AS63" s="84">
        <v>57.856156815206923</v>
      </c>
      <c r="AT63" s="84">
        <v>57.512926289951892</v>
      </c>
      <c r="AU63" s="84">
        <v>57.488962965448337</v>
      </c>
      <c r="AV63" s="84">
        <v>55.172079012051576</v>
      </c>
      <c r="AW63" s="84">
        <v>52.964339375467937</v>
      </c>
      <c r="AX63" s="84">
        <v>51.94334558386997</v>
      </c>
      <c r="AY63" s="84">
        <v>49.983629895425082</v>
      </c>
      <c r="AZ63" s="84">
        <v>48.655059705602845</v>
      </c>
    </row>
    <row r="64" spans="1:52" ht="11.25" customHeight="1" x14ac:dyDescent="0.2">
      <c r="A64" s="62" t="s">
        <v>397</v>
      </c>
      <c r="B64" s="85">
        <v>85.340820555020031</v>
      </c>
      <c r="C64" s="85">
        <v>82.493189766025665</v>
      </c>
      <c r="D64" s="85">
        <v>80.558789797212768</v>
      </c>
      <c r="E64" s="85">
        <v>78.296844670701162</v>
      </c>
      <c r="F64" s="85">
        <v>76.439946335430875</v>
      </c>
      <c r="G64" s="85">
        <v>75.412509023171481</v>
      </c>
      <c r="H64" s="85">
        <v>74.397041868994606</v>
      </c>
      <c r="I64" s="85">
        <v>74.301224930523048</v>
      </c>
      <c r="J64" s="85">
        <v>72.47761907988864</v>
      </c>
      <c r="K64" s="85">
        <v>64.445048253846181</v>
      </c>
      <c r="L64" s="85">
        <v>66.091772581825992</v>
      </c>
      <c r="M64" s="85">
        <v>64.345641165211191</v>
      </c>
      <c r="N64" s="85">
        <v>51.988467830834303</v>
      </c>
      <c r="O64" s="85">
        <v>50.583285050379644</v>
      </c>
      <c r="P64" s="85">
        <v>52.803866765328614</v>
      </c>
      <c r="Q64" s="85">
        <v>57.851312264682861</v>
      </c>
      <c r="R64" s="85">
        <v>57.417637594321143</v>
      </c>
      <c r="S64" s="85">
        <v>56.933027540122843</v>
      </c>
      <c r="T64" s="85">
        <v>56.482320077167252</v>
      </c>
      <c r="U64" s="85">
        <v>55.866472191601119</v>
      </c>
      <c r="V64" s="85">
        <v>55.344714652497224</v>
      </c>
      <c r="W64" s="85">
        <v>54.574524422440867</v>
      </c>
      <c r="X64" s="85">
        <v>53.794782242043027</v>
      </c>
      <c r="Y64" s="85">
        <v>53.632411736438314</v>
      </c>
      <c r="Z64" s="85">
        <v>53.429401327597333</v>
      </c>
      <c r="AA64" s="85">
        <v>53.730465775627046</v>
      </c>
      <c r="AB64" s="85">
        <v>53.809059095314417</v>
      </c>
      <c r="AC64" s="85">
        <v>53.906200721415523</v>
      </c>
      <c r="AD64" s="85">
        <v>54.472473865657015</v>
      </c>
      <c r="AE64" s="85">
        <v>54.900256710868653</v>
      </c>
      <c r="AF64" s="85">
        <v>55.280427489414976</v>
      </c>
      <c r="AG64" s="85">
        <v>55.080932558623992</v>
      </c>
      <c r="AH64" s="85">
        <v>55.524436070217078</v>
      </c>
      <c r="AI64" s="85">
        <v>55.951680862232486</v>
      </c>
      <c r="AJ64" s="85">
        <v>55.915896680784904</v>
      </c>
      <c r="AK64" s="85">
        <v>56.579845109178763</v>
      </c>
      <c r="AL64" s="85">
        <v>56.735997787950517</v>
      </c>
      <c r="AM64" s="85">
        <v>56.194891302818057</v>
      </c>
      <c r="AN64" s="85">
        <v>56.774058428489766</v>
      </c>
      <c r="AO64" s="85">
        <v>56.728397658635885</v>
      </c>
      <c r="AP64" s="85">
        <v>56.151663503530273</v>
      </c>
      <c r="AQ64" s="85">
        <v>55.25782650889029</v>
      </c>
      <c r="AR64" s="85">
        <v>55.306020011154054</v>
      </c>
      <c r="AS64" s="85">
        <v>54.907471903684403</v>
      </c>
      <c r="AT64" s="85">
        <v>54.456223894541708</v>
      </c>
      <c r="AU64" s="85">
        <v>54.393652199910512</v>
      </c>
      <c r="AV64" s="85">
        <v>51.891263379621172</v>
      </c>
      <c r="AW64" s="85">
        <v>49.565968969502926</v>
      </c>
      <c r="AX64" s="85">
        <v>48.696742784711425</v>
      </c>
      <c r="AY64" s="85">
        <v>46.864783817722127</v>
      </c>
      <c r="AZ64" s="85">
        <v>45.666551647185244</v>
      </c>
    </row>
    <row r="65" spans="1:52" x14ac:dyDescent="0.2">
      <c r="A65" s="64" t="s">
        <v>394</v>
      </c>
      <c r="B65" s="86">
        <v>91.966561006555494</v>
      </c>
      <c r="C65" s="86">
        <v>89.423633393186719</v>
      </c>
      <c r="D65" s="86">
        <v>87.155674165394785</v>
      </c>
      <c r="E65" s="86">
        <v>86.040037738196219</v>
      </c>
      <c r="F65" s="86">
        <v>84.017983828774206</v>
      </c>
      <c r="G65" s="86">
        <v>83.142146935132885</v>
      </c>
      <c r="H65" s="86">
        <v>82.268418218430028</v>
      </c>
      <c r="I65" s="86">
        <v>82.877511913397285</v>
      </c>
      <c r="J65" s="86">
        <v>81.139453314286598</v>
      </c>
      <c r="K65" s="86">
        <v>71.955551323048738</v>
      </c>
      <c r="L65" s="86">
        <v>71.96862122309949</v>
      </c>
      <c r="M65" s="86">
        <v>70.268868416736822</v>
      </c>
      <c r="N65" s="86">
        <v>56.372473264728399</v>
      </c>
      <c r="O65" s="86">
        <v>54.91656430694637</v>
      </c>
      <c r="P65" s="86">
        <v>57.127864219508595</v>
      </c>
      <c r="Q65" s="86">
        <v>64.163829061521611</v>
      </c>
      <c r="R65" s="86">
        <v>63.599070408658619</v>
      </c>
      <c r="S65" s="86">
        <v>63.081795434189225</v>
      </c>
      <c r="T65" s="86">
        <v>62.639457272962488</v>
      </c>
      <c r="U65" s="86">
        <v>62.066118422632776</v>
      </c>
      <c r="V65" s="86">
        <v>61.575437861896475</v>
      </c>
      <c r="W65" s="86">
        <v>60.811115476688641</v>
      </c>
      <c r="X65" s="86">
        <v>60.065241564456855</v>
      </c>
      <c r="Y65" s="86">
        <v>59.988784256533876</v>
      </c>
      <c r="Z65" s="86">
        <v>59.821620685405129</v>
      </c>
      <c r="AA65" s="86">
        <v>60.215579258832008</v>
      </c>
      <c r="AB65" s="86">
        <v>60.359795747978389</v>
      </c>
      <c r="AC65" s="86">
        <v>60.53068863429764</v>
      </c>
      <c r="AD65" s="86">
        <v>61.241123913704335</v>
      </c>
      <c r="AE65" s="86">
        <v>61.776851653648336</v>
      </c>
      <c r="AF65" s="86">
        <v>62.254862055989733</v>
      </c>
      <c r="AG65" s="86">
        <v>62.087508717668825</v>
      </c>
      <c r="AH65" s="86">
        <v>62.669220300659333</v>
      </c>
      <c r="AI65" s="86">
        <v>63.251450053719225</v>
      </c>
      <c r="AJ65" s="86">
        <v>63.348018679671476</v>
      </c>
      <c r="AK65" s="86">
        <v>64.219914682032339</v>
      </c>
      <c r="AL65" s="86">
        <v>64.494033058939323</v>
      </c>
      <c r="AM65" s="86">
        <v>63.967198784077546</v>
      </c>
      <c r="AN65" s="86">
        <v>64.71806678748915</v>
      </c>
      <c r="AO65" s="86">
        <v>64.765093649229399</v>
      </c>
      <c r="AP65" s="86">
        <v>64.225232092714805</v>
      </c>
      <c r="AQ65" s="86">
        <v>63.33567656968733</v>
      </c>
      <c r="AR65" s="86">
        <v>63.531565648743602</v>
      </c>
      <c r="AS65" s="86">
        <v>63.220828681948852</v>
      </c>
      <c r="AT65" s="86">
        <v>62.856355267347283</v>
      </c>
      <c r="AU65" s="86">
        <v>62.952372233148658</v>
      </c>
      <c r="AV65" s="86">
        <v>60.228323721892117</v>
      </c>
      <c r="AW65" s="86">
        <v>57.703465203134947</v>
      </c>
      <c r="AX65" s="86">
        <v>56.855005869793295</v>
      </c>
      <c r="AY65" s="86">
        <v>54.856594317563911</v>
      </c>
      <c r="AZ65" s="86">
        <v>53.581251701311054</v>
      </c>
    </row>
    <row r="66" spans="1:52" x14ac:dyDescent="0.2">
      <c r="A66" s="66" t="s">
        <v>406</v>
      </c>
      <c r="B66" s="51">
        <v>610.11743006981635</v>
      </c>
      <c r="C66" s="51">
        <v>603.22012505515636</v>
      </c>
      <c r="D66" s="51">
        <v>589.63735536183935</v>
      </c>
      <c r="E66" s="51">
        <v>585.5277572381716</v>
      </c>
      <c r="F66" s="51">
        <v>582.98406877821503</v>
      </c>
      <c r="G66" s="51">
        <v>579.29590020951832</v>
      </c>
      <c r="H66" s="51">
        <v>571.23715948908193</v>
      </c>
      <c r="I66" s="51">
        <v>569.68824170274968</v>
      </c>
      <c r="J66" s="51">
        <v>565.70217312937871</v>
      </c>
      <c r="K66" s="51">
        <v>556.29193275104649</v>
      </c>
      <c r="L66" s="51">
        <v>552.38942906697514</v>
      </c>
      <c r="M66" s="51">
        <v>548.25073928681434</v>
      </c>
      <c r="N66" s="51">
        <v>512.21476427946061</v>
      </c>
      <c r="O66" s="51">
        <v>492.12269785803142</v>
      </c>
      <c r="P66" s="51">
        <v>486.11212164213919</v>
      </c>
      <c r="Q66" s="51">
        <v>482.34326264086451</v>
      </c>
      <c r="R66" s="51">
        <v>481.2860381827154</v>
      </c>
      <c r="S66" s="51">
        <v>479.89011418719355</v>
      </c>
      <c r="T66" s="51">
        <v>478.23066755094345</v>
      </c>
      <c r="U66" s="51">
        <v>476.41322033812918</v>
      </c>
      <c r="V66" s="51">
        <v>474.42846647689123</v>
      </c>
      <c r="W66" s="51">
        <v>472.28609133945378</v>
      </c>
      <c r="X66" s="51">
        <v>469.97883429128302</v>
      </c>
      <c r="Y66" s="51">
        <v>467.74498100294841</v>
      </c>
      <c r="Z66" s="51">
        <v>465.4110647544228</v>
      </c>
      <c r="AA66" s="51">
        <v>463.31269213245525</v>
      </c>
      <c r="AB66" s="51">
        <v>461.20585748638695</v>
      </c>
      <c r="AC66" s="51">
        <v>459.01064570297507</v>
      </c>
      <c r="AD66" s="51">
        <v>457.13259886886027</v>
      </c>
      <c r="AE66" s="51">
        <v>455.23997743028906</v>
      </c>
      <c r="AF66" s="51">
        <v>453.31574261681322</v>
      </c>
      <c r="AG66" s="51">
        <v>449.3015738937861</v>
      </c>
      <c r="AH66" s="51">
        <v>447.9630675441403</v>
      </c>
      <c r="AI66" s="51">
        <v>446.5764239454536</v>
      </c>
      <c r="AJ66" s="51">
        <v>444.787910330675</v>
      </c>
      <c r="AK66" s="51">
        <v>443.12469228217748</v>
      </c>
      <c r="AL66" s="51">
        <v>441.19632851498216</v>
      </c>
      <c r="AM66" s="51">
        <v>438.96027386593926</v>
      </c>
      <c r="AN66" s="51">
        <v>437.27394439161509</v>
      </c>
      <c r="AO66" s="51">
        <v>435.05840167990323</v>
      </c>
      <c r="AP66" s="51">
        <v>432.60828299233191</v>
      </c>
      <c r="AQ66" s="51">
        <v>429.90817113293519</v>
      </c>
      <c r="AR66" s="51">
        <v>427.97606173184295</v>
      </c>
      <c r="AS66" s="51">
        <v>425.83736132361253</v>
      </c>
      <c r="AT66" s="51">
        <v>423.53712469507178</v>
      </c>
      <c r="AU66" s="51">
        <v>421.44220763279662</v>
      </c>
      <c r="AV66" s="51">
        <v>419.0005155231816</v>
      </c>
      <c r="AW66" s="51">
        <v>415.58468116656132</v>
      </c>
      <c r="AX66" s="51">
        <v>412.50755023603375</v>
      </c>
      <c r="AY66" s="51">
        <v>409.02459669288226</v>
      </c>
      <c r="AZ66" s="51">
        <v>405.82401292608756</v>
      </c>
    </row>
    <row r="67" spans="1:52" x14ac:dyDescent="0.2">
      <c r="A67" s="68" t="s">
        <v>407</v>
      </c>
      <c r="B67" s="52">
        <v>0</v>
      </c>
      <c r="C67" s="52">
        <v>0</v>
      </c>
      <c r="D67" s="52">
        <v>0</v>
      </c>
      <c r="E67" s="52">
        <v>0</v>
      </c>
      <c r="F67" s="52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2">
        <v>0</v>
      </c>
      <c r="AI67" s="52">
        <v>0</v>
      </c>
      <c r="AJ67" s="52">
        <v>0</v>
      </c>
      <c r="AK67" s="52">
        <v>0</v>
      </c>
      <c r="AL67" s="52">
        <v>0</v>
      </c>
      <c r="AM67" s="52">
        <v>0</v>
      </c>
      <c r="AN67" s="52">
        <v>0</v>
      </c>
      <c r="AO67" s="52">
        <v>0</v>
      </c>
      <c r="AP67" s="52">
        <v>0</v>
      </c>
      <c r="AQ67" s="52">
        <v>0</v>
      </c>
      <c r="AR67" s="52">
        <v>0</v>
      </c>
      <c r="AS67" s="52">
        <v>0</v>
      </c>
      <c r="AT67" s="52">
        <v>0</v>
      </c>
      <c r="AU67" s="52">
        <v>0</v>
      </c>
      <c r="AV67" s="52">
        <v>0</v>
      </c>
      <c r="AW67" s="52">
        <v>0</v>
      </c>
      <c r="AX67" s="52">
        <v>0</v>
      </c>
      <c r="AY67" s="52">
        <v>0</v>
      </c>
      <c r="AZ67" s="52">
        <v>0</v>
      </c>
    </row>
    <row r="68" spans="1:52" x14ac:dyDescent="0.2">
      <c r="A68" s="64" t="s">
        <v>395</v>
      </c>
      <c r="B68" s="86">
        <v>0</v>
      </c>
      <c r="C68" s="86">
        <v>0</v>
      </c>
      <c r="D68" s="86">
        <v>0</v>
      </c>
      <c r="E68" s="86">
        <v>0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N68" s="86">
        <v>0</v>
      </c>
      <c r="O68" s="86">
        <v>0</v>
      </c>
      <c r="P68" s="86">
        <v>0</v>
      </c>
      <c r="Q68" s="86">
        <v>0</v>
      </c>
      <c r="R68" s="86">
        <v>0</v>
      </c>
      <c r="S68" s="86">
        <v>0</v>
      </c>
      <c r="T68" s="86">
        <v>0</v>
      </c>
      <c r="U68" s="86">
        <v>0</v>
      </c>
      <c r="V68" s="86">
        <v>0</v>
      </c>
      <c r="W68" s="86">
        <v>0</v>
      </c>
      <c r="X68" s="86">
        <v>0</v>
      </c>
      <c r="Y68" s="86">
        <v>0</v>
      </c>
      <c r="Z68" s="86">
        <v>0</v>
      </c>
      <c r="AA68" s="86">
        <v>0</v>
      </c>
      <c r="AB68" s="86">
        <v>0</v>
      </c>
      <c r="AC68" s="86">
        <v>0</v>
      </c>
      <c r="AD68" s="86">
        <v>0</v>
      </c>
      <c r="AE68" s="86">
        <v>0</v>
      </c>
      <c r="AF68" s="86">
        <v>0</v>
      </c>
      <c r="AG68" s="86">
        <v>0</v>
      </c>
      <c r="AH68" s="86">
        <v>0</v>
      </c>
      <c r="AI68" s="86">
        <v>0</v>
      </c>
      <c r="AJ68" s="86">
        <v>0</v>
      </c>
      <c r="AK68" s="86">
        <v>0</v>
      </c>
      <c r="AL68" s="86">
        <v>0</v>
      </c>
      <c r="AM68" s="86">
        <v>0</v>
      </c>
      <c r="AN68" s="86">
        <v>0</v>
      </c>
      <c r="AO68" s="86">
        <v>0</v>
      </c>
      <c r="AP68" s="86">
        <v>0</v>
      </c>
      <c r="AQ68" s="86">
        <v>0</v>
      </c>
      <c r="AR68" s="86">
        <v>0</v>
      </c>
      <c r="AS68" s="86">
        <v>0</v>
      </c>
      <c r="AT68" s="86">
        <v>0</v>
      </c>
      <c r="AU68" s="86">
        <v>0</v>
      </c>
      <c r="AV68" s="86">
        <v>0</v>
      </c>
      <c r="AW68" s="86">
        <v>0</v>
      </c>
      <c r="AX68" s="86">
        <v>0</v>
      </c>
      <c r="AY68" s="86">
        <v>0</v>
      </c>
      <c r="AZ68" s="86">
        <v>0</v>
      </c>
    </row>
    <row r="69" spans="1:52" x14ac:dyDescent="0.2">
      <c r="A69" s="64" t="s">
        <v>396</v>
      </c>
      <c r="B69" s="86">
        <v>0</v>
      </c>
      <c r="C69" s="86">
        <v>0</v>
      </c>
      <c r="D69" s="86">
        <v>0</v>
      </c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86">
        <v>0</v>
      </c>
      <c r="P69" s="86">
        <v>0</v>
      </c>
      <c r="Q69" s="86">
        <v>0</v>
      </c>
      <c r="R69" s="86">
        <v>0</v>
      </c>
      <c r="S69" s="86">
        <v>0</v>
      </c>
      <c r="T69" s="86">
        <v>0</v>
      </c>
      <c r="U69" s="86">
        <v>0</v>
      </c>
      <c r="V69" s="86">
        <v>0</v>
      </c>
      <c r="W69" s="86">
        <v>0</v>
      </c>
      <c r="X69" s="86">
        <v>0</v>
      </c>
      <c r="Y69" s="86">
        <v>0</v>
      </c>
      <c r="Z69" s="86">
        <v>0</v>
      </c>
      <c r="AA69" s="86">
        <v>0</v>
      </c>
      <c r="AB69" s="86">
        <v>0</v>
      </c>
      <c r="AC69" s="86">
        <v>0</v>
      </c>
      <c r="AD69" s="86">
        <v>0</v>
      </c>
      <c r="AE69" s="86">
        <v>0</v>
      </c>
      <c r="AF69" s="86">
        <v>0</v>
      </c>
      <c r="AG69" s="86">
        <v>0</v>
      </c>
      <c r="AH69" s="86">
        <v>0</v>
      </c>
      <c r="AI69" s="86">
        <v>0</v>
      </c>
      <c r="AJ69" s="86">
        <v>0</v>
      </c>
      <c r="AK69" s="86">
        <v>0</v>
      </c>
      <c r="AL69" s="86">
        <v>0</v>
      </c>
      <c r="AM69" s="86">
        <v>0</v>
      </c>
      <c r="AN69" s="86">
        <v>0</v>
      </c>
      <c r="AO69" s="86">
        <v>0</v>
      </c>
      <c r="AP69" s="86">
        <v>0</v>
      </c>
      <c r="AQ69" s="86">
        <v>0</v>
      </c>
      <c r="AR69" s="86">
        <v>0</v>
      </c>
      <c r="AS69" s="86">
        <v>0</v>
      </c>
      <c r="AT69" s="86">
        <v>0</v>
      </c>
      <c r="AU69" s="86">
        <v>0</v>
      </c>
      <c r="AV69" s="86">
        <v>0</v>
      </c>
      <c r="AW69" s="86">
        <v>0</v>
      </c>
      <c r="AX69" s="86">
        <v>0</v>
      </c>
      <c r="AY69" s="86">
        <v>0</v>
      </c>
      <c r="AZ69" s="86">
        <v>0</v>
      </c>
    </row>
    <row r="70" spans="1:52" ht="11.25" customHeight="1" x14ac:dyDescent="0.2">
      <c r="A70" s="62" t="s">
        <v>408</v>
      </c>
      <c r="B70" s="85">
        <v>165.40479826112733</v>
      </c>
      <c r="C70" s="85">
        <v>164.94884195796658</v>
      </c>
      <c r="D70" s="85">
        <v>166.50169513787648</v>
      </c>
      <c r="E70" s="85">
        <v>160.77370469229959</v>
      </c>
      <c r="F70" s="85">
        <v>146.5474349862059</v>
      </c>
      <c r="G70" s="85">
        <v>144.43761069463483</v>
      </c>
      <c r="H70" s="85">
        <v>143.72369301450766</v>
      </c>
      <c r="I70" s="85">
        <v>144.088699237718</v>
      </c>
      <c r="J70" s="85">
        <v>140.36544977221072</v>
      </c>
      <c r="K70" s="85">
        <v>125.33255261153738</v>
      </c>
      <c r="L70" s="85">
        <v>129.75636138155204</v>
      </c>
      <c r="M70" s="85">
        <v>126.69166832410959</v>
      </c>
      <c r="N70" s="85">
        <v>104.00095068771763</v>
      </c>
      <c r="O70" s="85">
        <v>104.149033331185</v>
      </c>
      <c r="P70" s="85">
        <v>110.14221811145302</v>
      </c>
      <c r="Q70" s="85">
        <v>120.34399418626255</v>
      </c>
      <c r="R70" s="85">
        <v>116.26741457584968</v>
      </c>
      <c r="S70" s="85">
        <v>112.09993539085147</v>
      </c>
      <c r="T70" s="85">
        <v>110.30549350134066</v>
      </c>
      <c r="U70" s="85">
        <v>106.57859649005725</v>
      </c>
      <c r="V70" s="85">
        <v>112.43012067615373</v>
      </c>
      <c r="W70" s="85">
        <v>117.85457081745265</v>
      </c>
      <c r="X70" s="85">
        <v>115.70353904269609</v>
      </c>
      <c r="Y70" s="85">
        <v>118.94396324481164</v>
      </c>
      <c r="Z70" s="85">
        <v>121.9117220858506</v>
      </c>
      <c r="AA70" s="85">
        <v>117.73852298835806</v>
      </c>
      <c r="AB70" s="85">
        <v>118.86924284260121</v>
      </c>
      <c r="AC70" s="85">
        <v>122.93571393640345</v>
      </c>
      <c r="AD70" s="85">
        <v>123.7950203972531</v>
      </c>
      <c r="AE70" s="85">
        <v>125.94745202036907</v>
      </c>
      <c r="AF70" s="85">
        <v>127.71432564782754</v>
      </c>
      <c r="AG70" s="85">
        <v>116.87470140022243</v>
      </c>
      <c r="AH70" s="85">
        <v>119.03121359073572</v>
      </c>
      <c r="AI70" s="85">
        <v>118.61502622362782</v>
      </c>
      <c r="AJ70" s="85">
        <v>118.7769114793027</v>
      </c>
      <c r="AK70" s="85">
        <v>112.49719594473821</v>
      </c>
      <c r="AL70" s="85">
        <v>111.78469390575715</v>
      </c>
      <c r="AM70" s="85">
        <v>112.59889848580967</v>
      </c>
      <c r="AN70" s="85">
        <v>104.80270001943067</v>
      </c>
      <c r="AO70" s="85">
        <v>105.22351282492399</v>
      </c>
      <c r="AP70" s="85">
        <v>101.04013451636398</v>
      </c>
      <c r="AQ70" s="85">
        <v>102.16669485316066</v>
      </c>
      <c r="AR70" s="85">
        <v>102.33074781471089</v>
      </c>
      <c r="AS70" s="85">
        <v>103.54770786695398</v>
      </c>
      <c r="AT70" s="85">
        <v>104.24917920845681</v>
      </c>
      <c r="AU70" s="85">
        <v>104.0911288095228</v>
      </c>
      <c r="AV70" s="85">
        <v>103.81068248574952</v>
      </c>
      <c r="AW70" s="85">
        <v>102.64182706147817</v>
      </c>
      <c r="AX70" s="85">
        <v>98.588937143484401</v>
      </c>
      <c r="AY70" s="85">
        <v>94.069650435634159</v>
      </c>
      <c r="AZ70" s="85">
        <v>90.264409678546144</v>
      </c>
    </row>
    <row r="71" spans="1:52" x14ac:dyDescent="0.2">
      <c r="A71" s="70" t="s">
        <v>406</v>
      </c>
      <c r="B71" s="51">
        <v>1089.0367633875401</v>
      </c>
      <c r="C71" s="51">
        <v>1082.8650683090466</v>
      </c>
      <c r="D71" s="51">
        <v>1075.865417869883</v>
      </c>
      <c r="E71" s="51">
        <v>1068.7675116619564</v>
      </c>
      <c r="F71" s="51">
        <v>1057.6237817368801</v>
      </c>
      <c r="G71" s="51">
        <v>1047.3268295862031</v>
      </c>
      <c r="H71" s="51">
        <v>1039.6562566154987</v>
      </c>
      <c r="I71" s="51">
        <v>1029.1085578546554</v>
      </c>
      <c r="J71" s="51">
        <v>1019.0298971640178</v>
      </c>
      <c r="K71" s="51">
        <v>1010.7682594605031</v>
      </c>
      <c r="L71" s="51">
        <v>1003.8834161025077</v>
      </c>
      <c r="M71" s="51">
        <v>996.83870540419321</v>
      </c>
      <c r="N71" s="51">
        <v>953.34489668123513</v>
      </c>
      <c r="O71" s="51">
        <v>942.23335392664148</v>
      </c>
      <c r="P71" s="51">
        <v>933.04300941139036</v>
      </c>
      <c r="Q71" s="51">
        <v>928.6634781350898</v>
      </c>
      <c r="R71" s="51">
        <v>925.89788274253783</v>
      </c>
      <c r="S71" s="51">
        <v>922.38748274053955</v>
      </c>
      <c r="T71" s="51">
        <v>918.07536454083902</v>
      </c>
      <c r="U71" s="51">
        <v>913.72967850097575</v>
      </c>
      <c r="V71" s="51">
        <v>911.79745677968401</v>
      </c>
      <c r="W71" s="51">
        <v>909.77374893306512</v>
      </c>
      <c r="X71" s="51">
        <v>904.63771008172455</v>
      </c>
      <c r="Y71" s="51">
        <v>902.61752166451879</v>
      </c>
      <c r="Z71" s="51">
        <v>900.56123527338093</v>
      </c>
      <c r="AA71" s="51">
        <v>895.14535252952408</v>
      </c>
      <c r="AB71" s="51">
        <v>893.50649851347509</v>
      </c>
      <c r="AC71" s="51">
        <v>890.91579197026226</v>
      </c>
      <c r="AD71" s="51">
        <v>889.1934815772704</v>
      </c>
      <c r="AE71" s="51">
        <v>886.94486628735194</v>
      </c>
      <c r="AF71" s="51">
        <v>884.48474627477538</v>
      </c>
      <c r="AG71" s="51">
        <v>875.07345302688577</v>
      </c>
      <c r="AH71" s="51">
        <v>873.11487663787045</v>
      </c>
      <c r="AI71" s="51">
        <v>872.01445811282747</v>
      </c>
      <c r="AJ71" s="51">
        <v>870.5630376722313</v>
      </c>
      <c r="AK71" s="51">
        <v>864.16052636115649</v>
      </c>
      <c r="AL71" s="51">
        <v>862.74987635289131</v>
      </c>
      <c r="AM71" s="51">
        <v>860.31181003490997</v>
      </c>
      <c r="AN71" s="51">
        <v>854.05650584905402</v>
      </c>
      <c r="AO71" s="51">
        <v>851.79614593677593</v>
      </c>
      <c r="AP71" s="51">
        <v>847.36243713945134</v>
      </c>
      <c r="AQ71" s="51">
        <v>844.17656294069047</v>
      </c>
      <c r="AR71" s="51">
        <v>841.61588783386435</v>
      </c>
      <c r="AS71" s="51">
        <v>837.96726420701589</v>
      </c>
      <c r="AT71" s="51">
        <v>834.66459724603646</v>
      </c>
      <c r="AU71" s="51">
        <v>832.01005737645596</v>
      </c>
      <c r="AV71" s="51">
        <v>829.33787932695259</v>
      </c>
      <c r="AW71" s="51">
        <v>820.03210464339804</v>
      </c>
      <c r="AX71" s="51">
        <v>812.38435149335339</v>
      </c>
      <c r="AY71" s="51">
        <v>803.60914195593443</v>
      </c>
      <c r="AZ71" s="51">
        <v>796.3453420879805</v>
      </c>
    </row>
    <row r="72" spans="1:52" x14ac:dyDescent="0.2">
      <c r="A72" s="71" t="s">
        <v>407</v>
      </c>
      <c r="B72" s="52">
        <v>0</v>
      </c>
      <c r="C72" s="52">
        <v>0</v>
      </c>
      <c r="D72" s="52">
        <v>0</v>
      </c>
      <c r="E72" s="52">
        <v>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2">
        <v>0</v>
      </c>
      <c r="AJ72" s="52">
        <v>0</v>
      </c>
      <c r="AK72" s="52">
        <v>0</v>
      </c>
      <c r="AL72" s="52">
        <v>0</v>
      </c>
      <c r="AM72" s="52">
        <v>0</v>
      </c>
      <c r="AN72" s="52">
        <v>0</v>
      </c>
      <c r="AO72" s="52">
        <v>0</v>
      </c>
      <c r="AP72" s="52">
        <v>0</v>
      </c>
      <c r="AQ72" s="52">
        <v>0</v>
      </c>
      <c r="AR72" s="52">
        <v>0</v>
      </c>
      <c r="AS72" s="52">
        <v>0</v>
      </c>
      <c r="AT72" s="52">
        <v>0</v>
      </c>
      <c r="AU72" s="52">
        <v>0</v>
      </c>
      <c r="AV72" s="52">
        <v>0</v>
      </c>
      <c r="AW72" s="52">
        <v>0</v>
      </c>
      <c r="AX72" s="52">
        <v>0</v>
      </c>
      <c r="AY72" s="52">
        <v>0</v>
      </c>
      <c r="AZ72" s="52">
        <v>0</v>
      </c>
    </row>
    <row r="73" spans="1:52" x14ac:dyDescent="0.2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</row>
    <row r="74" spans="1:52" ht="12.75" customHeight="1" x14ac:dyDescent="0.2">
      <c r="A74" s="48" t="s">
        <v>416</v>
      </c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</row>
    <row r="75" spans="1:52" ht="11.25" customHeight="1" x14ac:dyDescent="0.2">
      <c r="A75" s="62" t="s">
        <v>417</v>
      </c>
      <c r="B75" s="77">
        <v>6.8925774827682007</v>
      </c>
      <c r="C75" s="77">
        <v>6.6361639141024886</v>
      </c>
      <c r="D75" s="77">
        <v>6.5251803108270918</v>
      </c>
      <c r="E75" s="77">
        <v>6.6423228833064121</v>
      </c>
      <c r="F75" s="77">
        <v>6.4464456595395632</v>
      </c>
      <c r="G75" s="77">
        <v>6.0188160700375173</v>
      </c>
      <c r="H75" s="77">
        <v>5.7053675971627094</v>
      </c>
      <c r="I75" s="77">
        <v>5.4332613397239813</v>
      </c>
      <c r="J75" s="77">
        <v>5.3663560998175548</v>
      </c>
      <c r="K75" s="77">
        <v>4.9070432146124743</v>
      </c>
      <c r="L75" s="77">
        <v>5.2433316929140892</v>
      </c>
      <c r="M75" s="77">
        <v>4.9530100969171835</v>
      </c>
      <c r="N75" s="77">
        <v>3.987735707730697</v>
      </c>
      <c r="O75" s="77">
        <v>3.724040680844023</v>
      </c>
      <c r="P75" s="77">
        <v>3.6889586348490724</v>
      </c>
      <c r="Q75" s="77">
        <v>4.7850114740566019</v>
      </c>
      <c r="R75" s="77">
        <v>4.7317748534632624</v>
      </c>
      <c r="S75" s="77">
        <v>4.6608383817956351</v>
      </c>
      <c r="T75" s="77">
        <v>4.602471222923433</v>
      </c>
      <c r="U75" s="77">
        <v>4.5207400753048939</v>
      </c>
      <c r="V75" s="77">
        <v>4.4489652966052553</v>
      </c>
      <c r="W75" s="77">
        <v>4.3695935115352089</v>
      </c>
      <c r="X75" s="77">
        <v>4.2871110472673299</v>
      </c>
      <c r="Y75" s="77">
        <v>4.2472695892666437</v>
      </c>
      <c r="Z75" s="77">
        <v>4.2178790401699082</v>
      </c>
      <c r="AA75" s="77">
        <v>4.2159749211847091</v>
      </c>
      <c r="AB75" s="77">
        <v>4.1988311605168285</v>
      </c>
      <c r="AC75" s="77">
        <v>4.1828166455860476</v>
      </c>
      <c r="AD75" s="77">
        <v>4.2180558919562054</v>
      </c>
      <c r="AE75" s="77">
        <v>4.2457316919975403</v>
      </c>
      <c r="AF75" s="77">
        <v>4.2595086262759665</v>
      </c>
      <c r="AG75" s="77">
        <v>4.2326672503559877</v>
      </c>
      <c r="AH75" s="77">
        <v>4.2527500333143715</v>
      </c>
      <c r="AI75" s="77">
        <v>4.253806456928575</v>
      </c>
      <c r="AJ75" s="77">
        <v>4.2203890715161947</v>
      </c>
      <c r="AK75" s="77">
        <v>4.2379905623016407</v>
      </c>
      <c r="AL75" s="77">
        <v>4.2182818471766472</v>
      </c>
      <c r="AM75" s="77">
        <v>4.1607185911557227</v>
      </c>
      <c r="AN75" s="77">
        <v>4.1738021937336711</v>
      </c>
      <c r="AO75" s="77">
        <v>4.1421744014775559</v>
      </c>
      <c r="AP75" s="77">
        <v>4.0766459188689899</v>
      </c>
      <c r="AQ75" s="77">
        <v>3.9874507958644707</v>
      </c>
      <c r="AR75" s="77">
        <v>3.9736419562632013</v>
      </c>
      <c r="AS75" s="77">
        <v>3.9239026608513572</v>
      </c>
      <c r="AT75" s="77">
        <v>3.8742824125429491</v>
      </c>
      <c r="AU75" s="77">
        <v>3.8445103055440701</v>
      </c>
      <c r="AV75" s="77">
        <v>3.6509090720387589</v>
      </c>
      <c r="AW75" s="77">
        <v>3.4651191575483966</v>
      </c>
      <c r="AX75" s="77">
        <v>3.3822928274293136</v>
      </c>
      <c r="AY75" s="77">
        <v>3.2449828162904955</v>
      </c>
      <c r="AZ75" s="77">
        <v>3.1542048340781252</v>
      </c>
    </row>
    <row r="76" spans="1:52" x14ac:dyDescent="0.2">
      <c r="A76" s="64" t="s">
        <v>394</v>
      </c>
      <c r="B76" s="78">
        <v>7.263043411918928</v>
      </c>
      <c r="C76" s="78">
        <v>7.0453906010429685</v>
      </c>
      <c r="D76" s="78">
        <v>6.9256365961935291</v>
      </c>
      <c r="E76" s="78">
        <v>7.322802582278535</v>
      </c>
      <c r="F76" s="78">
        <v>7.090653688605963</v>
      </c>
      <c r="G76" s="78">
        <v>6.6152082693109797</v>
      </c>
      <c r="H76" s="78">
        <v>6.2741726936611597</v>
      </c>
      <c r="I76" s="78">
        <v>5.9914562658423689</v>
      </c>
      <c r="J76" s="78">
        <v>5.9531749984949824</v>
      </c>
      <c r="K76" s="78">
        <v>5.4564474368849867</v>
      </c>
      <c r="L76" s="78">
        <v>5.6027516068111938</v>
      </c>
      <c r="M76" s="78">
        <v>5.2976222372309252</v>
      </c>
      <c r="N76" s="78">
        <v>4.2483271554177948</v>
      </c>
      <c r="O76" s="78">
        <v>3.9665607446606845</v>
      </c>
      <c r="P76" s="78">
        <v>3.8933964437576996</v>
      </c>
      <c r="Q76" s="78">
        <v>5.3387159917980638</v>
      </c>
      <c r="R76" s="78">
        <v>5.267174098955822</v>
      </c>
      <c r="S76" s="78">
        <v>5.197564242866842</v>
      </c>
      <c r="T76" s="78">
        <v>5.1481431787504564</v>
      </c>
      <c r="U76" s="78">
        <v>5.0809433177659802</v>
      </c>
      <c r="V76" s="78">
        <v>5.020145589215411</v>
      </c>
      <c r="W76" s="78">
        <v>4.9527159832491314</v>
      </c>
      <c r="X76" s="78">
        <v>4.8872950961068797</v>
      </c>
      <c r="Y76" s="78">
        <v>4.8660052486832637</v>
      </c>
      <c r="Z76" s="78">
        <v>4.849737359344731</v>
      </c>
      <c r="AA76" s="78">
        <v>4.8623551086680354</v>
      </c>
      <c r="AB76" s="78">
        <v>4.8566083757310254</v>
      </c>
      <c r="AC76" s="78">
        <v>4.8518759761664185</v>
      </c>
      <c r="AD76" s="78">
        <v>4.9096729378855963</v>
      </c>
      <c r="AE76" s="78">
        <v>4.9592145428867571</v>
      </c>
      <c r="AF76" s="78">
        <v>4.9902953476062937</v>
      </c>
      <c r="AG76" s="78">
        <v>4.9738021565565713</v>
      </c>
      <c r="AH76" s="78">
        <v>5.0165347478622353</v>
      </c>
      <c r="AI76" s="78">
        <v>5.0342210736983928</v>
      </c>
      <c r="AJ76" s="78">
        <v>5.0118431124355309</v>
      </c>
      <c r="AK76" s="78">
        <v>5.0531431103545907</v>
      </c>
      <c r="AL76" s="78">
        <v>5.0461157812855983</v>
      </c>
      <c r="AM76" s="78">
        <v>4.9944405382467565</v>
      </c>
      <c r="AN76" s="78">
        <v>5.0247992770884888</v>
      </c>
      <c r="AO76" s="78">
        <v>5.0025370984735487</v>
      </c>
      <c r="AP76" s="78">
        <v>4.9433593205921698</v>
      </c>
      <c r="AQ76" s="78">
        <v>4.8562767673340677</v>
      </c>
      <c r="AR76" s="78">
        <v>4.8620670093711471</v>
      </c>
      <c r="AS76" s="78">
        <v>4.8222737627243966</v>
      </c>
      <c r="AT76" s="78">
        <v>4.783092603442916</v>
      </c>
      <c r="AU76" s="78">
        <v>4.7663353078100474</v>
      </c>
      <c r="AV76" s="78">
        <v>4.5485407164343794</v>
      </c>
      <c r="AW76" s="78">
        <v>4.3371925080829099</v>
      </c>
      <c r="AX76" s="78">
        <v>4.2502899282272306</v>
      </c>
      <c r="AY76" s="78">
        <v>4.0929489644656769</v>
      </c>
      <c r="AZ76" s="78">
        <v>3.9898278154159628</v>
      </c>
    </row>
    <row r="77" spans="1:52" x14ac:dyDescent="0.2">
      <c r="A77" s="66" t="s">
        <v>406</v>
      </c>
      <c r="B77" s="79">
        <v>54.190802390910591</v>
      </c>
      <c r="C77" s="79">
        <v>53.463692871380339</v>
      </c>
      <c r="D77" s="79">
        <v>53.21892500964119</v>
      </c>
      <c r="E77" s="79">
        <v>56.218399289796459</v>
      </c>
      <c r="F77" s="79">
        <v>54.951430827378502</v>
      </c>
      <c r="G77" s="79">
        <v>51.472405890148316</v>
      </c>
      <c r="H77" s="79">
        <v>48.648572299213605</v>
      </c>
      <c r="I77" s="79">
        <v>45.863831770193848</v>
      </c>
      <c r="J77" s="79">
        <v>46.243953964333286</v>
      </c>
      <c r="K77" s="79">
        <v>47.09449043552506</v>
      </c>
      <c r="L77" s="79">
        <v>47.159110280108294</v>
      </c>
      <c r="M77" s="79">
        <v>45.336965171308407</v>
      </c>
      <c r="N77" s="79">
        <v>42.418398298148837</v>
      </c>
      <c r="O77" s="79">
        <v>39.054227291468386</v>
      </c>
      <c r="P77" s="79">
        <v>37.100978698205466</v>
      </c>
      <c r="Q77" s="79">
        <v>43.999148238177312</v>
      </c>
      <c r="R77" s="79">
        <v>43.702920687257922</v>
      </c>
      <c r="S77" s="79">
        <v>43.35592318636072</v>
      </c>
      <c r="T77" s="79">
        <v>43.09942726790932</v>
      </c>
      <c r="U77" s="79">
        <v>42.769678281513229</v>
      </c>
      <c r="V77" s="79">
        <v>42.419298789884124</v>
      </c>
      <c r="W77" s="79">
        <v>42.188574623156732</v>
      </c>
      <c r="X77" s="79">
        <v>41.946418723492172</v>
      </c>
      <c r="Y77" s="79">
        <v>41.616278526921</v>
      </c>
      <c r="Z77" s="79">
        <v>41.384322401424512</v>
      </c>
      <c r="AA77" s="79">
        <v>41.028730252318041</v>
      </c>
      <c r="AB77" s="79">
        <v>40.692683194396935</v>
      </c>
      <c r="AC77" s="79">
        <v>40.341226260137944</v>
      </c>
      <c r="AD77" s="79">
        <v>40.1746048934097</v>
      </c>
      <c r="AE77" s="79">
        <v>40.05448986238985</v>
      </c>
      <c r="AF77" s="79">
        <v>39.820404790631407</v>
      </c>
      <c r="AG77" s="79">
        <v>39.439961152667003</v>
      </c>
      <c r="AH77" s="79">
        <v>39.285350595782688</v>
      </c>
      <c r="AI77" s="79">
        <v>38.933183249475178</v>
      </c>
      <c r="AJ77" s="79">
        <v>38.542960995031109</v>
      </c>
      <c r="AK77" s="79">
        <v>38.179940059911736</v>
      </c>
      <c r="AL77" s="79">
        <v>37.794768086153077</v>
      </c>
      <c r="AM77" s="79">
        <v>37.526402254587637</v>
      </c>
      <c r="AN77" s="79">
        <v>37.164519509175477</v>
      </c>
      <c r="AO77" s="79">
        <v>36.78244792466046</v>
      </c>
      <c r="AP77" s="79">
        <v>36.447934510742364</v>
      </c>
      <c r="AQ77" s="79">
        <v>36.086305319733704</v>
      </c>
      <c r="AR77" s="79">
        <v>35.851973681196007</v>
      </c>
      <c r="AS77" s="79">
        <v>35.554694421200438</v>
      </c>
      <c r="AT77" s="79">
        <v>35.278895527006171</v>
      </c>
      <c r="AU77" s="79">
        <v>34.924633281397739</v>
      </c>
      <c r="AV77" s="79">
        <v>34.654160676680618</v>
      </c>
      <c r="AW77" s="79">
        <v>34.225629174868637</v>
      </c>
      <c r="AX77" s="79">
        <v>33.791838530533582</v>
      </c>
      <c r="AY77" s="79">
        <v>33.454182692807457</v>
      </c>
      <c r="AZ77" s="79">
        <v>33.133271378844931</v>
      </c>
    </row>
    <row r="78" spans="1:52" x14ac:dyDescent="0.2">
      <c r="A78" s="68" t="s">
        <v>407</v>
      </c>
      <c r="B78" s="80">
        <v>0</v>
      </c>
      <c r="C78" s="80">
        <v>0</v>
      </c>
      <c r="D78" s="80">
        <v>0</v>
      </c>
      <c r="E78" s="80">
        <v>0</v>
      </c>
      <c r="F78" s="80">
        <v>0</v>
      </c>
      <c r="G78" s="80">
        <v>0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  <c r="O78" s="80">
        <v>0</v>
      </c>
      <c r="P78" s="80">
        <v>0</v>
      </c>
      <c r="Q78" s="80">
        <v>0</v>
      </c>
      <c r="R78" s="80">
        <v>0</v>
      </c>
      <c r="S78" s="80">
        <v>0</v>
      </c>
      <c r="T78" s="80">
        <v>0</v>
      </c>
      <c r="U78" s="80">
        <v>0</v>
      </c>
      <c r="V78" s="80">
        <v>0</v>
      </c>
      <c r="W78" s="80">
        <v>0</v>
      </c>
      <c r="X78" s="80">
        <v>0</v>
      </c>
      <c r="Y78" s="80">
        <v>0</v>
      </c>
      <c r="Z78" s="80">
        <v>0</v>
      </c>
      <c r="AA78" s="80">
        <v>0</v>
      </c>
      <c r="AB78" s="80">
        <v>0</v>
      </c>
      <c r="AC78" s="80">
        <v>0</v>
      </c>
      <c r="AD78" s="80">
        <v>0</v>
      </c>
      <c r="AE78" s="80">
        <v>0</v>
      </c>
      <c r="AF78" s="80">
        <v>0</v>
      </c>
      <c r="AG78" s="80">
        <v>0</v>
      </c>
      <c r="AH78" s="80">
        <v>0</v>
      </c>
      <c r="AI78" s="80">
        <v>0</v>
      </c>
      <c r="AJ78" s="80">
        <v>0</v>
      </c>
      <c r="AK78" s="80">
        <v>0</v>
      </c>
      <c r="AL78" s="80">
        <v>0</v>
      </c>
      <c r="AM78" s="80">
        <v>0</v>
      </c>
      <c r="AN78" s="80">
        <v>0</v>
      </c>
      <c r="AO78" s="80">
        <v>0</v>
      </c>
      <c r="AP78" s="80">
        <v>0</v>
      </c>
      <c r="AQ78" s="80">
        <v>0</v>
      </c>
      <c r="AR78" s="80">
        <v>0</v>
      </c>
      <c r="AS78" s="80">
        <v>0</v>
      </c>
      <c r="AT78" s="80">
        <v>0</v>
      </c>
      <c r="AU78" s="80">
        <v>0</v>
      </c>
      <c r="AV78" s="80">
        <v>0</v>
      </c>
      <c r="AW78" s="80">
        <v>0</v>
      </c>
      <c r="AX78" s="80">
        <v>0</v>
      </c>
      <c r="AY78" s="80">
        <v>0</v>
      </c>
      <c r="AZ78" s="80">
        <v>0</v>
      </c>
    </row>
    <row r="79" spans="1:52" x14ac:dyDescent="0.2">
      <c r="A79" s="64" t="s">
        <v>395</v>
      </c>
      <c r="B79" s="78">
        <v>0</v>
      </c>
      <c r="C79" s="78">
        <v>0</v>
      </c>
      <c r="D79" s="78">
        <v>0</v>
      </c>
      <c r="E79" s="78">
        <v>0</v>
      </c>
      <c r="F79" s="78">
        <v>0</v>
      </c>
      <c r="G79" s="78">
        <v>0</v>
      </c>
      <c r="H79" s="78">
        <v>0</v>
      </c>
      <c r="I79" s="78">
        <v>0</v>
      </c>
      <c r="J79" s="78">
        <v>0</v>
      </c>
      <c r="K79" s="78">
        <v>0</v>
      </c>
      <c r="L79" s="78">
        <v>0</v>
      </c>
      <c r="M79" s="78">
        <v>0</v>
      </c>
      <c r="N79" s="78">
        <v>0</v>
      </c>
      <c r="O79" s="78">
        <v>0</v>
      </c>
      <c r="P79" s="78">
        <v>0</v>
      </c>
      <c r="Q79" s="78">
        <v>0</v>
      </c>
      <c r="R79" s="78">
        <v>0</v>
      </c>
      <c r="S79" s="78">
        <v>0</v>
      </c>
      <c r="T79" s="78">
        <v>0</v>
      </c>
      <c r="U79" s="78">
        <v>0</v>
      </c>
      <c r="V79" s="78">
        <v>0</v>
      </c>
      <c r="W79" s="78">
        <v>0</v>
      </c>
      <c r="X79" s="78">
        <v>0</v>
      </c>
      <c r="Y79" s="78">
        <v>0</v>
      </c>
      <c r="Z79" s="78">
        <v>0</v>
      </c>
      <c r="AA79" s="78">
        <v>0</v>
      </c>
      <c r="AB79" s="78">
        <v>0</v>
      </c>
      <c r="AC79" s="78">
        <v>0</v>
      </c>
      <c r="AD79" s="78">
        <v>0</v>
      </c>
      <c r="AE79" s="78">
        <v>0</v>
      </c>
      <c r="AF79" s="78">
        <v>0</v>
      </c>
      <c r="AG79" s="78">
        <v>0</v>
      </c>
      <c r="AH79" s="78">
        <v>0</v>
      </c>
      <c r="AI79" s="78">
        <v>0</v>
      </c>
      <c r="AJ79" s="78">
        <v>0</v>
      </c>
      <c r="AK79" s="78">
        <v>0</v>
      </c>
      <c r="AL79" s="78">
        <v>0</v>
      </c>
      <c r="AM79" s="78">
        <v>0</v>
      </c>
      <c r="AN79" s="78">
        <v>0</v>
      </c>
      <c r="AO79" s="78">
        <v>0</v>
      </c>
      <c r="AP79" s="78">
        <v>0</v>
      </c>
      <c r="AQ79" s="78">
        <v>0</v>
      </c>
      <c r="AR79" s="78">
        <v>0</v>
      </c>
      <c r="AS79" s="78">
        <v>0</v>
      </c>
      <c r="AT79" s="78">
        <v>0</v>
      </c>
      <c r="AU79" s="78">
        <v>0</v>
      </c>
      <c r="AV79" s="78">
        <v>0</v>
      </c>
      <c r="AW79" s="78">
        <v>0</v>
      </c>
      <c r="AX79" s="78">
        <v>0</v>
      </c>
      <c r="AY79" s="78">
        <v>0</v>
      </c>
      <c r="AZ79" s="78">
        <v>0</v>
      </c>
    </row>
    <row r="80" spans="1:52" x14ac:dyDescent="0.2">
      <c r="A80" s="64" t="s">
        <v>396</v>
      </c>
      <c r="B80" s="78">
        <v>0</v>
      </c>
      <c r="C80" s="78">
        <v>0</v>
      </c>
      <c r="D80" s="78">
        <v>0</v>
      </c>
      <c r="E80" s="78">
        <v>0</v>
      </c>
      <c r="F80" s="78">
        <v>0</v>
      </c>
      <c r="G80" s="78">
        <v>0</v>
      </c>
      <c r="H80" s="78">
        <v>0</v>
      </c>
      <c r="I80" s="78">
        <v>0</v>
      </c>
      <c r="J80" s="78">
        <v>0</v>
      </c>
      <c r="K80" s="78">
        <v>0</v>
      </c>
      <c r="L80" s="78">
        <v>0</v>
      </c>
      <c r="M80" s="78">
        <v>0</v>
      </c>
      <c r="N80" s="78">
        <v>0</v>
      </c>
      <c r="O80" s="78">
        <v>0</v>
      </c>
      <c r="P80" s="78">
        <v>0</v>
      </c>
      <c r="Q80" s="78">
        <v>0</v>
      </c>
      <c r="R80" s="78">
        <v>0</v>
      </c>
      <c r="S80" s="78">
        <v>0</v>
      </c>
      <c r="T80" s="78">
        <v>0</v>
      </c>
      <c r="U80" s="78">
        <v>0</v>
      </c>
      <c r="V80" s="78">
        <v>0</v>
      </c>
      <c r="W80" s="78">
        <v>0</v>
      </c>
      <c r="X80" s="78">
        <v>0</v>
      </c>
      <c r="Y80" s="78">
        <v>0</v>
      </c>
      <c r="Z80" s="78">
        <v>0</v>
      </c>
      <c r="AA80" s="78">
        <v>0</v>
      </c>
      <c r="AB80" s="78">
        <v>0</v>
      </c>
      <c r="AC80" s="78">
        <v>0</v>
      </c>
      <c r="AD80" s="78">
        <v>0</v>
      </c>
      <c r="AE80" s="78">
        <v>0</v>
      </c>
      <c r="AF80" s="78">
        <v>0</v>
      </c>
      <c r="AG80" s="78">
        <v>0</v>
      </c>
      <c r="AH80" s="78">
        <v>0</v>
      </c>
      <c r="AI80" s="78">
        <v>0</v>
      </c>
      <c r="AJ80" s="78">
        <v>0</v>
      </c>
      <c r="AK80" s="78">
        <v>0</v>
      </c>
      <c r="AL80" s="78">
        <v>0</v>
      </c>
      <c r="AM80" s="78">
        <v>0</v>
      </c>
      <c r="AN80" s="78">
        <v>0</v>
      </c>
      <c r="AO80" s="78">
        <v>0</v>
      </c>
      <c r="AP80" s="78">
        <v>0</v>
      </c>
      <c r="AQ80" s="78">
        <v>0</v>
      </c>
      <c r="AR80" s="78">
        <v>0</v>
      </c>
      <c r="AS80" s="78">
        <v>0</v>
      </c>
      <c r="AT80" s="78">
        <v>0</v>
      </c>
      <c r="AU80" s="78">
        <v>0</v>
      </c>
      <c r="AV80" s="78">
        <v>0</v>
      </c>
      <c r="AW80" s="78">
        <v>0</v>
      </c>
      <c r="AX80" s="78">
        <v>0</v>
      </c>
      <c r="AY80" s="78">
        <v>0</v>
      </c>
      <c r="AZ80" s="78">
        <v>0</v>
      </c>
    </row>
    <row r="81" spans="1:52" ht="11.25" customHeight="1" x14ac:dyDescent="0.2">
      <c r="A81" s="62" t="s">
        <v>418</v>
      </c>
      <c r="B81" s="77">
        <v>1.8150328669621718</v>
      </c>
      <c r="C81" s="77">
        <v>1.7706810635221979</v>
      </c>
      <c r="D81" s="77">
        <v>1.7370026190769794</v>
      </c>
      <c r="E81" s="77">
        <v>1.7012069249725408</v>
      </c>
      <c r="F81" s="77">
        <v>1.6081057736248103</v>
      </c>
      <c r="G81" s="77">
        <v>1.4853185669258591</v>
      </c>
      <c r="H81" s="77">
        <v>1.4944555970849833</v>
      </c>
      <c r="I81" s="77">
        <v>1.5981387866914145</v>
      </c>
      <c r="J81" s="77">
        <v>1.7783137091437113</v>
      </c>
      <c r="K81" s="77">
        <v>1.8179531898736634</v>
      </c>
      <c r="L81" s="77">
        <v>1.9101012387677581</v>
      </c>
      <c r="M81" s="77">
        <v>1.6053967754710781</v>
      </c>
      <c r="N81" s="77">
        <v>1.3205772819174537</v>
      </c>
      <c r="O81" s="77">
        <v>1.3411886868759211</v>
      </c>
      <c r="P81" s="77">
        <v>1.3765545495855127</v>
      </c>
      <c r="Q81" s="77">
        <v>1.5088507506378463</v>
      </c>
      <c r="R81" s="77">
        <v>1.4647527550330932</v>
      </c>
      <c r="S81" s="77">
        <v>1.419656324353255</v>
      </c>
      <c r="T81" s="77">
        <v>1.3985055859552145</v>
      </c>
      <c r="U81" s="77">
        <v>1.3554593154459047</v>
      </c>
      <c r="V81" s="77">
        <v>1.4205886068259279</v>
      </c>
      <c r="W81" s="77">
        <v>1.4835895141663606</v>
      </c>
      <c r="X81" s="77">
        <v>1.459315788989592</v>
      </c>
      <c r="Y81" s="77">
        <v>1.4951368841732693</v>
      </c>
      <c r="Z81" s="77">
        <v>1.5283422019043196</v>
      </c>
      <c r="AA81" s="77">
        <v>1.4792515745974697</v>
      </c>
      <c r="AB81" s="77">
        <v>1.4930620903865364</v>
      </c>
      <c r="AC81" s="77">
        <v>1.5386205593213758</v>
      </c>
      <c r="AD81" s="77">
        <v>1.5494745734409132</v>
      </c>
      <c r="AE81" s="77">
        <v>1.5736696865533324</v>
      </c>
      <c r="AF81" s="77">
        <v>1.5934422995682089</v>
      </c>
      <c r="AG81" s="77">
        <v>1.4710208983325677</v>
      </c>
      <c r="AH81" s="77">
        <v>1.494985483498027</v>
      </c>
      <c r="AI81" s="77">
        <v>1.4908915356176362</v>
      </c>
      <c r="AJ81" s="77">
        <v>1.4924571436067344</v>
      </c>
      <c r="AK81" s="77">
        <v>1.4204429229298197</v>
      </c>
      <c r="AL81" s="77">
        <v>1.4134030484377624</v>
      </c>
      <c r="AM81" s="77">
        <v>1.4228099409251918</v>
      </c>
      <c r="AN81" s="77">
        <v>1.3325877580602392</v>
      </c>
      <c r="AO81" s="77">
        <v>1.3379856024792056</v>
      </c>
      <c r="AP81" s="77">
        <v>1.2896075078087383</v>
      </c>
      <c r="AQ81" s="77">
        <v>1.3029866399657033</v>
      </c>
      <c r="AR81" s="77">
        <v>1.3058530450112682</v>
      </c>
      <c r="AS81" s="77">
        <v>1.3198740110490825</v>
      </c>
      <c r="AT81" s="77">
        <v>1.3279814858538777</v>
      </c>
      <c r="AU81" s="77">
        <v>1.3265608022193935</v>
      </c>
      <c r="AV81" s="77">
        <v>1.3239953114475618</v>
      </c>
      <c r="AW81" s="77">
        <v>1.3075625862146971</v>
      </c>
      <c r="AX81" s="77">
        <v>1.2598203746558345</v>
      </c>
      <c r="AY81" s="77">
        <v>1.206531906990201</v>
      </c>
      <c r="AZ81" s="77">
        <v>1.1613274601053312</v>
      </c>
    </row>
    <row r="82" spans="1:52" x14ac:dyDescent="0.2">
      <c r="A82" s="70" t="s">
        <v>406</v>
      </c>
      <c r="B82" s="79">
        <v>11.446757922216921</v>
      </c>
      <c r="C82" s="79">
        <v>11.37879095299864</v>
      </c>
      <c r="D82" s="79">
        <v>11.303217177892861</v>
      </c>
      <c r="E82" s="79">
        <v>11.226433055863311</v>
      </c>
      <c r="F82" s="79">
        <v>10.696736877705488</v>
      </c>
      <c r="G82" s="79">
        <v>9.9260697123025459</v>
      </c>
      <c r="H82" s="79">
        <v>9.9635560583495728</v>
      </c>
      <c r="I82" s="79">
        <v>10.521837557155166</v>
      </c>
      <c r="J82" s="79">
        <v>11.89826737340675</v>
      </c>
      <c r="K82" s="79">
        <v>13.49365938948873</v>
      </c>
      <c r="L82" s="79">
        <v>13.608047032824029</v>
      </c>
      <c r="M82" s="79">
        <v>11.629240604658392</v>
      </c>
      <c r="N82" s="79">
        <v>11.124896046630669</v>
      </c>
      <c r="O82" s="79">
        <v>11.152559019970894</v>
      </c>
      <c r="P82" s="79">
        <v>10.726184076873738</v>
      </c>
      <c r="Q82" s="79">
        <v>10.722087343851369</v>
      </c>
      <c r="R82" s="79">
        <v>10.73733013922463</v>
      </c>
      <c r="S82" s="79">
        <v>10.748425314182755</v>
      </c>
      <c r="T82" s="79">
        <v>10.708770287746018</v>
      </c>
      <c r="U82" s="79">
        <v>10.687543285863724</v>
      </c>
      <c r="V82" s="79">
        <v>10.602632476371877</v>
      </c>
      <c r="W82" s="79">
        <v>10.54624560702913</v>
      </c>
      <c r="X82" s="79">
        <v>10.505193663962833</v>
      </c>
      <c r="Y82" s="79">
        <v>10.450455845689909</v>
      </c>
      <c r="Z82" s="79">
        <v>10.402445313235416</v>
      </c>
      <c r="AA82" s="79">
        <v>10.358559626445906</v>
      </c>
      <c r="AB82" s="79">
        <v>10.33839264463194</v>
      </c>
      <c r="AC82" s="79">
        <v>10.276594248439203</v>
      </c>
      <c r="AD82" s="79">
        <v>10.258632739926162</v>
      </c>
      <c r="AE82" s="79">
        <v>10.217668312148556</v>
      </c>
      <c r="AF82" s="79">
        <v>10.177016995190012</v>
      </c>
      <c r="AG82" s="79">
        <v>10.146404919699599</v>
      </c>
      <c r="AH82" s="79">
        <v>10.104981708175274</v>
      </c>
      <c r="AI82" s="79">
        <v>10.099618682770428</v>
      </c>
      <c r="AJ82" s="79">
        <v>10.080050323942233</v>
      </c>
      <c r="AK82" s="79">
        <v>10.048495213877924</v>
      </c>
      <c r="AL82" s="79">
        <v>10.045390463916481</v>
      </c>
      <c r="AM82" s="79">
        <v>10.01205401327972</v>
      </c>
      <c r="AN82" s="79">
        <v>9.993419875271357</v>
      </c>
      <c r="AO82" s="79">
        <v>9.9681292539329611</v>
      </c>
      <c r="AP82" s="79">
        <v>9.9491983392121419</v>
      </c>
      <c r="AQ82" s="79">
        <v>9.9059409164444343</v>
      </c>
      <c r="AR82" s="79">
        <v>9.8823008677626163</v>
      </c>
      <c r="AS82" s="79">
        <v>9.8301478617787428</v>
      </c>
      <c r="AT82" s="79">
        <v>9.7865451581923057</v>
      </c>
      <c r="AU82" s="79">
        <v>9.7599815843412951</v>
      </c>
      <c r="AV82" s="79">
        <v>9.7361144073386487</v>
      </c>
      <c r="AW82" s="79">
        <v>9.6156472365435732</v>
      </c>
      <c r="AX82" s="79">
        <v>9.5518627255325939</v>
      </c>
      <c r="AY82" s="79">
        <v>9.4797251480365201</v>
      </c>
      <c r="AZ82" s="79">
        <v>9.4198041528274477</v>
      </c>
    </row>
    <row r="83" spans="1:52" x14ac:dyDescent="0.2">
      <c r="A83" s="71" t="s">
        <v>407</v>
      </c>
      <c r="B83" s="80">
        <v>0</v>
      </c>
      <c r="C83" s="80">
        <v>0</v>
      </c>
      <c r="D83" s="80">
        <v>0</v>
      </c>
      <c r="E83" s="80">
        <v>0</v>
      </c>
      <c r="F83" s="80">
        <v>0</v>
      </c>
      <c r="G83" s="80">
        <v>0</v>
      </c>
      <c r="H83" s="80">
        <v>0</v>
      </c>
      <c r="I83" s="80">
        <v>0</v>
      </c>
      <c r="J83" s="80">
        <v>0</v>
      </c>
      <c r="K83" s="80">
        <v>0</v>
      </c>
      <c r="L83" s="80">
        <v>0</v>
      </c>
      <c r="M83" s="80">
        <v>0</v>
      </c>
      <c r="N83" s="80">
        <v>0</v>
      </c>
      <c r="O83" s="80">
        <v>0</v>
      </c>
      <c r="P83" s="80">
        <v>0</v>
      </c>
      <c r="Q83" s="80">
        <v>0</v>
      </c>
      <c r="R83" s="80">
        <v>0</v>
      </c>
      <c r="S83" s="80">
        <v>0</v>
      </c>
      <c r="T83" s="80">
        <v>0</v>
      </c>
      <c r="U83" s="80">
        <v>0</v>
      </c>
      <c r="V83" s="80">
        <v>0</v>
      </c>
      <c r="W83" s="80">
        <v>0</v>
      </c>
      <c r="X83" s="80">
        <v>0</v>
      </c>
      <c r="Y83" s="80">
        <v>0</v>
      </c>
      <c r="Z83" s="80">
        <v>0</v>
      </c>
      <c r="AA83" s="80">
        <v>0</v>
      </c>
      <c r="AB83" s="80">
        <v>0</v>
      </c>
      <c r="AC83" s="80">
        <v>0</v>
      </c>
      <c r="AD83" s="80">
        <v>0</v>
      </c>
      <c r="AE83" s="80">
        <v>0</v>
      </c>
      <c r="AF83" s="80">
        <v>0</v>
      </c>
      <c r="AG83" s="80">
        <v>0</v>
      </c>
      <c r="AH83" s="80">
        <v>0</v>
      </c>
      <c r="AI83" s="80">
        <v>0</v>
      </c>
      <c r="AJ83" s="80">
        <v>0</v>
      </c>
      <c r="AK83" s="80">
        <v>0</v>
      </c>
      <c r="AL83" s="80">
        <v>0</v>
      </c>
      <c r="AM83" s="80">
        <v>0</v>
      </c>
      <c r="AN83" s="80">
        <v>0</v>
      </c>
      <c r="AO83" s="80">
        <v>0</v>
      </c>
      <c r="AP83" s="80">
        <v>0</v>
      </c>
      <c r="AQ83" s="80">
        <v>0</v>
      </c>
      <c r="AR83" s="80">
        <v>0</v>
      </c>
      <c r="AS83" s="80">
        <v>0</v>
      </c>
      <c r="AT83" s="80">
        <v>0</v>
      </c>
      <c r="AU83" s="80">
        <v>0</v>
      </c>
      <c r="AV83" s="80">
        <v>0</v>
      </c>
      <c r="AW83" s="80">
        <v>0</v>
      </c>
      <c r="AX83" s="80">
        <v>0</v>
      </c>
      <c r="AY83" s="80">
        <v>0</v>
      </c>
      <c r="AZ83" s="80">
        <v>0</v>
      </c>
    </row>
    <row r="84" spans="1:52" x14ac:dyDescent="0.2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</row>
    <row r="85" spans="1:52" ht="12.75" customHeight="1" x14ac:dyDescent="0.2">
      <c r="A85" s="48" t="s">
        <v>419</v>
      </c>
      <c r="B85" s="81">
        <v>1</v>
      </c>
      <c r="C85" s="81">
        <v>1</v>
      </c>
      <c r="D85" s="81">
        <v>1</v>
      </c>
      <c r="E85" s="81">
        <v>1</v>
      </c>
      <c r="F85" s="81">
        <v>1</v>
      </c>
      <c r="G85" s="81">
        <v>1</v>
      </c>
      <c r="H85" s="81">
        <v>1</v>
      </c>
      <c r="I85" s="81">
        <v>1</v>
      </c>
      <c r="J85" s="81">
        <v>1</v>
      </c>
      <c r="K85" s="81">
        <v>1</v>
      </c>
      <c r="L85" s="81">
        <v>1</v>
      </c>
      <c r="M85" s="81">
        <v>1</v>
      </c>
      <c r="N85" s="81">
        <v>1</v>
      </c>
      <c r="O85" s="81">
        <v>1</v>
      </c>
      <c r="P85" s="81">
        <v>1</v>
      </c>
      <c r="Q85" s="81">
        <v>1</v>
      </c>
      <c r="R85" s="81">
        <v>1</v>
      </c>
      <c r="S85" s="81">
        <v>1</v>
      </c>
      <c r="T85" s="81">
        <v>1</v>
      </c>
      <c r="U85" s="81">
        <v>1</v>
      </c>
      <c r="V85" s="81">
        <v>1</v>
      </c>
      <c r="W85" s="81">
        <v>1</v>
      </c>
      <c r="X85" s="81">
        <v>1</v>
      </c>
      <c r="Y85" s="81">
        <v>1</v>
      </c>
      <c r="Z85" s="81">
        <v>1</v>
      </c>
      <c r="AA85" s="81">
        <v>1</v>
      </c>
      <c r="AB85" s="81">
        <v>1</v>
      </c>
      <c r="AC85" s="81">
        <v>1</v>
      </c>
      <c r="AD85" s="81">
        <v>1</v>
      </c>
      <c r="AE85" s="81">
        <v>1</v>
      </c>
      <c r="AF85" s="81">
        <v>1</v>
      </c>
      <c r="AG85" s="81">
        <v>1</v>
      </c>
      <c r="AH85" s="81">
        <v>1</v>
      </c>
      <c r="AI85" s="81">
        <v>1</v>
      </c>
      <c r="AJ85" s="81">
        <v>1</v>
      </c>
      <c r="AK85" s="81">
        <v>1</v>
      </c>
      <c r="AL85" s="81">
        <v>1</v>
      </c>
      <c r="AM85" s="81">
        <v>1</v>
      </c>
      <c r="AN85" s="81">
        <v>1</v>
      </c>
      <c r="AO85" s="81">
        <v>1</v>
      </c>
      <c r="AP85" s="81">
        <v>1</v>
      </c>
      <c r="AQ85" s="81">
        <v>1</v>
      </c>
      <c r="AR85" s="81">
        <v>1</v>
      </c>
      <c r="AS85" s="81">
        <v>1</v>
      </c>
      <c r="AT85" s="81">
        <v>1</v>
      </c>
      <c r="AU85" s="81">
        <v>1</v>
      </c>
      <c r="AV85" s="81">
        <v>1</v>
      </c>
      <c r="AW85" s="81">
        <v>1</v>
      </c>
      <c r="AX85" s="81">
        <v>1</v>
      </c>
      <c r="AY85" s="81">
        <v>1</v>
      </c>
      <c r="AZ85" s="81">
        <v>1</v>
      </c>
    </row>
    <row r="86" spans="1:52" x14ac:dyDescent="0.2">
      <c r="A86" s="62" t="s">
        <v>397</v>
      </c>
      <c r="B86" s="82">
        <v>0.92794469271305957</v>
      </c>
      <c r="C86" s="82">
        <v>0.92938863823901086</v>
      </c>
      <c r="D86" s="82">
        <v>0.93314565049909681</v>
      </c>
      <c r="E86" s="82">
        <v>0.92344016162164144</v>
      </c>
      <c r="F86" s="82">
        <v>0.91285166264002304</v>
      </c>
      <c r="G86" s="82">
        <v>0.91656312593498901</v>
      </c>
      <c r="H86" s="82">
        <v>0.91005233116937212</v>
      </c>
      <c r="I86" s="82">
        <v>0.8896965897020106</v>
      </c>
      <c r="J86" s="82">
        <v>0.88120884990232273</v>
      </c>
      <c r="K86" s="82">
        <v>0.8931829367121954</v>
      </c>
      <c r="L86" s="82">
        <v>0.89160360424256124</v>
      </c>
      <c r="M86" s="82">
        <v>0.89884250678443933</v>
      </c>
      <c r="N86" s="82">
        <v>0.90114699012668853</v>
      </c>
      <c r="O86" s="82">
        <v>0.90089192487856629</v>
      </c>
      <c r="P86" s="82">
        <v>0.90060571860874228</v>
      </c>
      <c r="Q86" s="82">
        <v>0.89934165234261787</v>
      </c>
      <c r="R86" s="82">
        <v>0.90203304296923525</v>
      </c>
      <c r="S86" s="82">
        <v>0.90377546343568504</v>
      </c>
      <c r="T86" s="82">
        <v>0.90389889572951976</v>
      </c>
      <c r="U86" s="82">
        <v>0.90530125030511122</v>
      </c>
      <c r="V86" s="82">
        <v>0.8997206987096229</v>
      </c>
      <c r="W86" s="82">
        <v>0.89418548827083333</v>
      </c>
      <c r="X86" s="82">
        <v>0.89423282505923052</v>
      </c>
      <c r="Y86" s="82">
        <v>0.89028436346422402</v>
      </c>
      <c r="Z86" s="82">
        <v>0.88649210892274899</v>
      </c>
      <c r="AA86" s="82">
        <v>0.88903420191279658</v>
      </c>
      <c r="AB86" s="82">
        <v>0.88721961656164783</v>
      </c>
      <c r="AC86" s="82">
        <v>0.8833085674263943</v>
      </c>
      <c r="AD86" s="82">
        <v>0.88272907419338575</v>
      </c>
      <c r="AE86" s="82">
        <v>0.88101096117794053</v>
      </c>
      <c r="AF86" s="82">
        <v>0.87950201634697744</v>
      </c>
      <c r="AG86" s="82">
        <v>0.88654531230449984</v>
      </c>
      <c r="AH86" s="82">
        <v>0.88596189218025179</v>
      </c>
      <c r="AI86" s="82">
        <v>0.88719688004801101</v>
      </c>
      <c r="AJ86" s="82">
        <v>0.88717297004839313</v>
      </c>
      <c r="AK86" s="82">
        <v>0.89316955430080847</v>
      </c>
      <c r="AL86" s="82">
        <v>0.89380285201820731</v>
      </c>
      <c r="AM86" s="82">
        <v>0.89195168481821285</v>
      </c>
      <c r="AN86" s="82">
        <v>0.89851559836831218</v>
      </c>
      <c r="AO86" s="82">
        <v>0.89742196082605641</v>
      </c>
      <c r="AP86" s="82">
        <v>0.89903550165425516</v>
      </c>
      <c r="AQ86" s="82">
        <v>0.89567575578519365</v>
      </c>
      <c r="AR86" s="82">
        <v>0.89445801828385296</v>
      </c>
      <c r="AS86" s="82">
        <v>0.89150153284890288</v>
      </c>
      <c r="AT86" s="82">
        <v>0.88872632464227741</v>
      </c>
      <c r="AU86" s="82">
        <v>0.88722855017108082</v>
      </c>
      <c r="AV86" s="82">
        <v>0.88110195941437108</v>
      </c>
      <c r="AW86" s="82">
        <v>0.87591636624084379</v>
      </c>
      <c r="AX86" s="82">
        <v>0.87649207666903994</v>
      </c>
      <c r="AY86" s="82">
        <v>0.87565483439637171</v>
      </c>
      <c r="AZ86" s="82">
        <v>0.87568344491561223</v>
      </c>
    </row>
    <row r="87" spans="1:52" x14ac:dyDescent="0.2">
      <c r="A87" s="64" t="s">
        <v>394</v>
      </c>
      <c r="B87" s="83">
        <v>0.92794469271305957</v>
      </c>
      <c r="C87" s="83">
        <v>0.92938863823901086</v>
      </c>
      <c r="D87" s="83">
        <v>0.93314565049909681</v>
      </c>
      <c r="E87" s="83">
        <v>0.92344016162164144</v>
      </c>
      <c r="F87" s="83">
        <v>0.91285166264002304</v>
      </c>
      <c r="G87" s="83">
        <v>0.91656312593498901</v>
      </c>
      <c r="H87" s="83">
        <v>0.91005233116937212</v>
      </c>
      <c r="I87" s="83">
        <v>0.8896965897020106</v>
      </c>
      <c r="J87" s="83">
        <v>0.88120884990232273</v>
      </c>
      <c r="K87" s="83">
        <v>0.8931829367121954</v>
      </c>
      <c r="L87" s="83">
        <v>0.89160360424256124</v>
      </c>
      <c r="M87" s="83">
        <v>0.89884250678443933</v>
      </c>
      <c r="N87" s="83">
        <v>0.90114699012668853</v>
      </c>
      <c r="O87" s="83">
        <v>0.90089192487856629</v>
      </c>
      <c r="P87" s="83">
        <v>0.90060571860874228</v>
      </c>
      <c r="Q87" s="83">
        <v>0.89934165234261787</v>
      </c>
      <c r="R87" s="83">
        <v>0.90203304296923525</v>
      </c>
      <c r="S87" s="83">
        <v>0.90377546343568504</v>
      </c>
      <c r="T87" s="83">
        <v>0.90389889572951976</v>
      </c>
      <c r="U87" s="83">
        <v>0.90530125030511122</v>
      </c>
      <c r="V87" s="83">
        <v>0.8997206987096229</v>
      </c>
      <c r="W87" s="83">
        <v>0.89418548827083333</v>
      </c>
      <c r="X87" s="83">
        <v>0.89423282505923052</v>
      </c>
      <c r="Y87" s="83">
        <v>0.89028436346422402</v>
      </c>
      <c r="Z87" s="83">
        <v>0.88649210892274899</v>
      </c>
      <c r="AA87" s="83">
        <v>0.88903420191279658</v>
      </c>
      <c r="AB87" s="83">
        <v>0.88721961656164783</v>
      </c>
      <c r="AC87" s="83">
        <v>0.8833085674263943</v>
      </c>
      <c r="AD87" s="83">
        <v>0.88272907419338575</v>
      </c>
      <c r="AE87" s="83">
        <v>0.88101096117794053</v>
      </c>
      <c r="AF87" s="83">
        <v>0.87950201634697744</v>
      </c>
      <c r="AG87" s="83">
        <v>0.88654531230449984</v>
      </c>
      <c r="AH87" s="83">
        <v>0.88596189218025179</v>
      </c>
      <c r="AI87" s="83">
        <v>0.88719688004801101</v>
      </c>
      <c r="AJ87" s="83">
        <v>0.88717297004839313</v>
      </c>
      <c r="AK87" s="83">
        <v>0.89316955430080847</v>
      </c>
      <c r="AL87" s="83">
        <v>0.89380285201820731</v>
      </c>
      <c r="AM87" s="83">
        <v>0.89195168481821285</v>
      </c>
      <c r="AN87" s="83">
        <v>0.89851559836831218</v>
      </c>
      <c r="AO87" s="83">
        <v>0.89742196082605641</v>
      </c>
      <c r="AP87" s="83">
        <v>0.89903550165425516</v>
      </c>
      <c r="AQ87" s="83">
        <v>0.89567575578519365</v>
      </c>
      <c r="AR87" s="83">
        <v>0.89445801828385296</v>
      </c>
      <c r="AS87" s="83">
        <v>0.89150153284890288</v>
      </c>
      <c r="AT87" s="83">
        <v>0.88872632464227741</v>
      </c>
      <c r="AU87" s="83">
        <v>0.88722855017108082</v>
      </c>
      <c r="AV87" s="83">
        <v>0.88110195941437108</v>
      </c>
      <c r="AW87" s="83">
        <v>0.87591636624084379</v>
      </c>
      <c r="AX87" s="83">
        <v>0.87649207666903994</v>
      </c>
      <c r="AY87" s="83">
        <v>0.87565483439637171</v>
      </c>
      <c r="AZ87" s="83">
        <v>0.87568344491561223</v>
      </c>
    </row>
    <row r="88" spans="1:52" x14ac:dyDescent="0.2">
      <c r="A88" s="66" t="s">
        <v>406</v>
      </c>
      <c r="B88" s="49">
        <v>0.92794469271305957</v>
      </c>
      <c r="C88" s="49">
        <v>0.92938863823901086</v>
      </c>
      <c r="D88" s="49">
        <v>0.93314565049909681</v>
      </c>
      <c r="E88" s="49">
        <v>0.92344016162164144</v>
      </c>
      <c r="F88" s="49">
        <v>0.91285166264002304</v>
      </c>
      <c r="G88" s="49">
        <v>0.91656312593498901</v>
      </c>
      <c r="H88" s="49">
        <v>0.91005233116937212</v>
      </c>
      <c r="I88" s="49">
        <v>0.8896965897020106</v>
      </c>
      <c r="J88" s="49">
        <v>0.88120884990232273</v>
      </c>
      <c r="K88" s="49">
        <v>0.8931829367121954</v>
      </c>
      <c r="L88" s="49">
        <v>0.89160360424256124</v>
      </c>
      <c r="M88" s="49">
        <v>0.89884250678443933</v>
      </c>
      <c r="N88" s="49">
        <v>0.90114699012668853</v>
      </c>
      <c r="O88" s="49">
        <v>0.90089192487856629</v>
      </c>
      <c r="P88" s="49">
        <v>0.90060571860874228</v>
      </c>
      <c r="Q88" s="49">
        <v>0.89934165234261787</v>
      </c>
      <c r="R88" s="49">
        <v>0.90203304296923525</v>
      </c>
      <c r="S88" s="49">
        <v>0.90377546343568504</v>
      </c>
      <c r="T88" s="49">
        <v>0.90389889572951976</v>
      </c>
      <c r="U88" s="49">
        <v>0.90530125030511122</v>
      </c>
      <c r="V88" s="49">
        <v>0.8997206987096229</v>
      </c>
      <c r="W88" s="49">
        <v>0.89418548827083333</v>
      </c>
      <c r="X88" s="49">
        <v>0.89423282505923052</v>
      </c>
      <c r="Y88" s="49">
        <v>0.89028436346422402</v>
      </c>
      <c r="Z88" s="49">
        <v>0.88649210892274899</v>
      </c>
      <c r="AA88" s="49">
        <v>0.88903420191279658</v>
      </c>
      <c r="AB88" s="49">
        <v>0.88721961656164783</v>
      </c>
      <c r="AC88" s="49">
        <v>0.8833085674263943</v>
      </c>
      <c r="AD88" s="49">
        <v>0.88272907419338575</v>
      </c>
      <c r="AE88" s="49">
        <v>0.88101096117794053</v>
      </c>
      <c r="AF88" s="49">
        <v>0.87950201634697744</v>
      </c>
      <c r="AG88" s="49">
        <v>0.88654531230449984</v>
      </c>
      <c r="AH88" s="49">
        <v>0.88596189218025179</v>
      </c>
      <c r="AI88" s="49">
        <v>0.88719688004801101</v>
      </c>
      <c r="AJ88" s="49">
        <v>0.88717297004839313</v>
      </c>
      <c r="AK88" s="49">
        <v>0.89316955430080847</v>
      </c>
      <c r="AL88" s="49">
        <v>0.89380285201820731</v>
      </c>
      <c r="AM88" s="49">
        <v>0.89195168481821285</v>
      </c>
      <c r="AN88" s="49">
        <v>0.89851559836831218</v>
      </c>
      <c r="AO88" s="49">
        <v>0.89742196082605641</v>
      </c>
      <c r="AP88" s="49">
        <v>0.89903550165425516</v>
      </c>
      <c r="AQ88" s="49">
        <v>0.89567575578519365</v>
      </c>
      <c r="AR88" s="49">
        <v>0.89445801828385296</v>
      </c>
      <c r="AS88" s="49">
        <v>0.89150153284890288</v>
      </c>
      <c r="AT88" s="49">
        <v>0.88872632464227741</v>
      </c>
      <c r="AU88" s="49">
        <v>0.88722855017108082</v>
      </c>
      <c r="AV88" s="49">
        <v>0.88110195941437108</v>
      </c>
      <c r="AW88" s="49">
        <v>0.87591636624084379</v>
      </c>
      <c r="AX88" s="49">
        <v>0.87649207666903994</v>
      </c>
      <c r="AY88" s="49">
        <v>0.87565483439637171</v>
      </c>
      <c r="AZ88" s="49">
        <v>0.87568344491561223</v>
      </c>
    </row>
    <row r="89" spans="1:52" x14ac:dyDescent="0.2">
      <c r="A89" s="68" t="s">
        <v>407</v>
      </c>
      <c r="B89" s="50">
        <v>0</v>
      </c>
      <c r="C89" s="50">
        <v>0</v>
      </c>
      <c r="D89" s="50">
        <v>0</v>
      </c>
      <c r="E89" s="50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0">
        <v>0</v>
      </c>
    </row>
    <row r="90" spans="1:52" x14ac:dyDescent="0.2">
      <c r="A90" s="64" t="s">
        <v>395</v>
      </c>
      <c r="B90" s="87">
        <v>0</v>
      </c>
      <c r="C90" s="87">
        <v>0</v>
      </c>
      <c r="D90" s="87">
        <v>0</v>
      </c>
      <c r="E90" s="87">
        <v>0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0</v>
      </c>
      <c r="O90" s="87">
        <v>0</v>
      </c>
      <c r="P90" s="87">
        <v>0</v>
      </c>
      <c r="Q90" s="87">
        <v>0</v>
      </c>
      <c r="R90" s="87">
        <v>0</v>
      </c>
      <c r="S90" s="87">
        <v>0</v>
      </c>
      <c r="T90" s="87">
        <v>0</v>
      </c>
      <c r="U90" s="87">
        <v>0</v>
      </c>
      <c r="V90" s="87">
        <v>0</v>
      </c>
      <c r="W90" s="87">
        <v>0</v>
      </c>
      <c r="X90" s="87">
        <v>0</v>
      </c>
      <c r="Y90" s="87">
        <v>0</v>
      </c>
      <c r="Z90" s="87">
        <v>0</v>
      </c>
      <c r="AA90" s="87">
        <v>0</v>
      </c>
      <c r="AB90" s="87">
        <v>0</v>
      </c>
      <c r="AC90" s="87">
        <v>0</v>
      </c>
      <c r="AD90" s="87">
        <v>0</v>
      </c>
      <c r="AE90" s="87">
        <v>0</v>
      </c>
      <c r="AF90" s="87">
        <v>0</v>
      </c>
      <c r="AG90" s="87">
        <v>0</v>
      </c>
      <c r="AH90" s="87">
        <v>0</v>
      </c>
      <c r="AI90" s="87">
        <v>0</v>
      </c>
      <c r="AJ90" s="87">
        <v>0</v>
      </c>
      <c r="AK90" s="87">
        <v>0</v>
      </c>
      <c r="AL90" s="87">
        <v>0</v>
      </c>
      <c r="AM90" s="87">
        <v>0</v>
      </c>
      <c r="AN90" s="87">
        <v>0</v>
      </c>
      <c r="AO90" s="87">
        <v>0</v>
      </c>
      <c r="AP90" s="87">
        <v>0</v>
      </c>
      <c r="AQ90" s="87">
        <v>0</v>
      </c>
      <c r="AR90" s="87">
        <v>0</v>
      </c>
      <c r="AS90" s="87">
        <v>0</v>
      </c>
      <c r="AT90" s="87">
        <v>0</v>
      </c>
      <c r="AU90" s="87">
        <v>0</v>
      </c>
      <c r="AV90" s="87">
        <v>0</v>
      </c>
      <c r="AW90" s="87">
        <v>0</v>
      </c>
      <c r="AX90" s="87">
        <v>0</v>
      </c>
      <c r="AY90" s="87">
        <v>0</v>
      </c>
      <c r="AZ90" s="87">
        <v>0</v>
      </c>
    </row>
    <row r="91" spans="1:52" x14ac:dyDescent="0.2">
      <c r="A91" s="64" t="s">
        <v>396</v>
      </c>
      <c r="B91" s="87">
        <v>0</v>
      </c>
      <c r="C91" s="87">
        <v>0</v>
      </c>
      <c r="D91" s="87">
        <v>0</v>
      </c>
      <c r="E91" s="87">
        <v>0</v>
      </c>
      <c r="F91" s="87">
        <v>0</v>
      </c>
      <c r="G91" s="87">
        <v>0</v>
      </c>
      <c r="H91" s="87">
        <v>0</v>
      </c>
      <c r="I91" s="87">
        <v>0</v>
      </c>
      <c r="J91" s="87">
        <v>0</v>
      </c>
      <c r="K91" s="87">
        <v>0</v>
      </c>
      <c r="L91" s="87">
        <v>0</v>
      </c>
      <c r="M91" s="87">
        <v>0</v>
      </c>
      <c r="N91" s="87">
        <v>0</v>
      </c>
      <c r="O91" s="87">
        <v>0</v>
      </c>
      <c r="P91" s="87">
        <v>0</v>
      </c>
      <c r="Q91" s="87">
        <v>0</v>
      </c>
      <c r="R91" s="87">
        <v>0</v>
      </c>
      <c r="S91" s="87">
        <v>0</v>
      </c>
      <c r="T91" s="87">
        <v>0</v>
      </c>
      <c r="U91" s="87">
        <v>0</v>
      </c>
      <c r="V91" s="87">
        <v>0</v>
      </c>
      <c r="W91" s="87">
        <v>0</v>
      </c>
      <c r="X91" s="87">
        <v>0</v>
      </c>
      <c r="Y91" s="87">
        <v>0</v>
      </c>
      <c r="Z91" s="87">
        <v>0</v>
      </c>
      <c r="AA91" s="87">
        <v>0</v>
      </c>
      <c r="AB91" s="87">
        <v>0</v>
      </c>
      <c r="AC91" s="87">
        <v>0</v>
      </c>
      <c r="AD91" s="87">
        <v>0</v>
      </c>
      <c r="AE91" s="87">
        <v>0</v>
      </c>
      <c r="AF91" s="87">
        <v>0</v>
      </c>
      <c r="AG91" s="87">
        <v>0</v>
      </c>
      <c r="AH91" s="87">
        <v>0</v>
      </c>
      <c r="AI91" s="87">
        <v>0</v>
      </c>
      <c r="AJ91" s="87">
        <v>0</v>
      </c>
      <c r="AK91" s="87">
        <v>0</v>
      </c>
      <c r="AL91" s="87">
        <v>0</v>
      </c>
      <c r="AM91" s="87">
        <v>0</v>
      </c>
      <c r="AN91" s="87">
        <v>0</v>
      </c>
      <c r="AO91" s="87">
        <v>0</v>
      </c>
      <c r="AP91" s="87">
        <v>0</v>
      </c>
      <c r="AQ91" s="87">
        <v>0</v>
      </c>
      <c r="AR91" s="87">
        <v>0</v>
      </c>
      <c r="AS91" s="87">
        <v>0</v>
      </c>
      <c r="AT91" s="87">
        <v>0</v>
      </c>
      <c r="AU91" s="87">
        <v>0</v>
      </c>
      <c r="AV91" s="87">
        <v>0</v>
      </c>
      <c r="AW91" s="87">
        <v>0</v>
      </c>
      <c r="AX91" s="87">
        <v>0</v>
      </c>
      <c r="AY91" s="87">
        <v>0</v>
      </c>
      <c r="AZ91" s="87">
        <v>0</v>
      </c>
    </row>
    <row r="92" spans="1:52" x14ac:dyDescent="0.2">
      <c r="A92" s="62" t="s">
        <v>408</v>
      </c>
      <c r="B92" s="82">
        <v>7.2055307286940457E-2</v>
      </c>
      <c r="C92" s="82">
        <v>7.0611361760989144E-2</v>
      </c>
      <c r="D92" s="82">
        <v>6.6854349500903146E-2</v>
      </c>
      <c r="E92" s="82">
        <v>7.6559838378358544E-2</v>
      </c>
      <c r="F92" s="82">
        <v>8.7148337359976999E-2</v>
      </c>
      <c r="G92" s="82">
        <v>8.3436874065010935E-2</v>
      </c>
      <c r="H92" s="82">
        <v>8.9947668830627991E-2</v>
      </c>
      <c r="I92" s="82">
        <v>0.1103034102979894</v>
      </c>
      <c r="J92" s="82">
        <v>0.11879115009767734</v>
      </c>
      <c r="K92" s="82">
        <v>0.10681706328780466</v>
      </c>
      <c r="L92" s="82">
        <v>0.10839639575743877</v>
      </c>
      <c r="M92" s="82">
        <v>0.10115749321556072</v>
      </c>
      <c r="N92" s="82">
        <v>9.8853009873311568E-2</v>
      </c>
      <c r="O92" s="82">
        <v>9.9108075121433784E-2</v>
      </c>
      <c r="P92" s="82">
        <v>9.9394281391257791E-2</v>
      </c>
      <c r="Q92" s="82">
        <v>0.10065834765738206</v>
      </c>
      <c r="R92" s="82">
        <v>9.7966957030764718E-2</v>
      </c>
      <c r="S92" s="82">
        <v>9.6224536564314955E-2</v>
      </c>
      <c r="T92" s="82">
        <v>9.6101104270480214E-2</v>
      </c>
      <c r="U92" s="82">
        <v>9.4698749694888798E-2</v>
      </c>
      <c r="V92" s="82">
        <v>0.10027930129037711</v>
      </c>
      <c r="W92" s="82">
        <v>0.10581451172916675</v>
      </c>
      <c r="X92" s="82">
        <v>0.1057671749407695</v>
      </c>
      <c r="Y92" s="82">
        <v>0.10971563653577594</v>
      </c>
      <c r="Z92" s="82">
        <v>0.11350789107725093</v>
      </c>
      <c r="AA92" s="82">
        <v>0.11096579808720348</v>
      </c>
      <c r="AB92" s="82">
        <v>0.11278038343835209</v>
      </c>
      <c r="AC92" s="82">
        <v>0.11669143257360563</v>
      </c>
      <c r="AD92" s="82">
        <v>0.11727092580661427</v>
      </c>
      <c r="AE92" s="82">
        <v>0.1189890388220595</v>
      </c>
      <c r="AF92" s="82">
        <v>0.12049798365302261</v>
      </c>
      <c r="AG92" s="82">
        <v>0.11345468769550021</v>
      </c>
      <c r="AH92" s="82">
        <v>0.11403810781974813</v>
      </c>
      <c r="AI92" s="82">
        <v>0.11280311995198906</v>
      </c>
      <c r="AJ92" s="82">
        <v>0.11282702995160696</v>
      </c>
      <c r="AK92" s="82">
        <v>0.10683044569919165</v>
      </c>
      <c r="AL92" s="82">
        <v>0.10619714798179269</v>
      </c>
      <c r="AM92" s="82">
        <v>0.10804831518178715</v>
      </c>
      <c r="AN92" s="82">
        <v>0.10148440163168793</v>
      </c>
      <c r="AO92" s="82">
        <v>0.10257803917394367</v>
      </c>
      <c r="AP92" s="82">
        <v>0.10096449834574482</v>
      </c>
      <c r="AQ92" s="82">
        <v>0.10432424421480645</v>
      </c>
      <c r="AR92" s="82">
        <v>0.105541981716147</v>
      </c>
      <c r="AS92" s="82">
        <v>0.10849846715109718</v>
      </c>
      <c r="AT92" s="82">
        <v>0.11127367535772266</v>
      </c>
      <c r="AU92" s="82">
        <v>0.11277144982891922</v>
      </c>
      <c r="AV92" s="82">
        <v>0.11889804058562889</v>
      </c>
      <c r="AW92" s="82">
        <v>0.12408363375915624</v>
      </c>
      <c r="AX92" s="82">
        <v>0.12350792333096003</v>
      </c>
      <c r="AY92" s="82">
        <v>0.12434516560362822</v>
      </c>
      <c r="AZ92" s="82">
        <v>0.12431655508438774</v>
      </c>
    </row>
    <row r="93" spans="1:52" x14ac:dyDescent="0.2">
      <c r="A93" s="70" t="s">
        <v>406</v>
      </c>
      <c r="B93" s="49">
        <v>7.2055307286940457E-2</v>
      </c>
      <c r="C93" s="49">
        <v>7.0611361760989144E-2</v>
      </c>
      <c r="D93" s="49">
        <v>6.6854349500903146E-2</v>
      </c>
      <c r="E93" s="49">
        <v>7.6559838378358544E-2</v>
      </c>
      <c r="F93" s="49">
        <v>8.7148337359976999E-2</v>
      </c>
      <c r="G93" s="49">
        <v>8.3436874065010935E-2</v>
      </c>
      <c r="H93" s="49">
        <v>8.9947668830627991E-2</v>
      </c>
      <c r="I93" s="49">
        <v>0.1103034102979894</v>
      </c>
      <c r="J93" s="49">
        <v>0.11879115009767734</v>
      </c>
      <c r="K93" s="49">
        <v>0.10681706328780466</v>
      </c>
      <c r="L93" s="49">
        <v>0.10839639575743877</v>
      </c>
      <c r="M93" s="49">
        <v>0.10115749321556072</v>
      </c>
      <c r="N93" s="49">
        <v>9.8853009873311568E-2</v>
      </c>
      <c r="O93" s="49">
        <v>9.9108075121433784E-2</v>
      </c>
      <c r="P93" s="49">
        <v>9.9394281391257791E-2</v>
      </c>
      <c r="Q93" s="49">
        <v>0.10065834765738206</v>
      </c>
      <c r="R93" s="49">
        <v>9.7966957030764718E-2</v>
      </c>
      <c r="S93" s="49">
        <v>9.6224536564314955E-2</v>
      </c>
      <c r="T93" s="49">
        <v>9.6101104270480214E-2</v>
      </c>
      <c r="U93" s="49">
        <v>9.4698749694888798E-2</v>
      </c>
      <c r="V93" s="49">
        <v>0.10027930129037711</v>
      </c>
      <c r="W93" s="49">
        <v>0.10581451172916675</v>
      </c>
      <c r="X93" s="49">
        <v>0.1057671749407695</v>
      </c>
      <c r="Y93" s="49">
        <v>0.10971563653577594</v>
      </c>
      <c r="Z93" s="49">
        <v>0.11350789107725093</v>
      </c>
      <c r="AA93" s="49">
        <v>0.11096579808720348</v>
      </c>
      <c r="AB93" s="49">
        <v>0.11278038343835209</v>
      </c>
      <c r="AC93" s="49">
        <v>0.11669143257360563</v>
      </c>
      <c r="AD93" s="49">
        <v>0.11727092580661427</v>
      </c>
      <c r="AE93" s="49">
        <v>0.1189890388220595</v>
      </c>
      <c r="AF93" s="49">
        <v>0.12049798365302261</v>
      </c>
      <c r="AG93" s="49">
        <v>0.11345468769550021</v>
      </c>
      <c r="AH93" s="49">
        <v>0.11403810781974813</v>
      </c>
      <c r="AI93" s="49">
        <v>0.11280311995198906</v>
      </c>
      <c r="AJ93" s="49">
        <v>0.11282702995160696</v>
      </c>
      <c r="AK93" s="49">
        <v>0.10683044569919165</v>
      </c>
      <c r="AL93" s="49">
        <v>0.10619714798179269</v>
      </c>
      <c r="AM93" s="49">
        <v>0.10804831518178715</v>
      </c>
      <c r="AN93" s="49">
        <v>0.10148440163168793</v>
      </c>
      <c r="AO93" s="49">
        <v>0.10257803917394367</v>
      </c>
      <c r="AP93" s="49">
        <v>0.10096449834574482</v>
      </c>
      <c r="AQ93" s="49">
        <v>0.10432424421480645</v>
      </c>
      <c r="AR93" s="49">
        <v>0.105541981716147</v>
      </c>
      <c r="AS93" s="49">
        <v>0.10849846715109718</v>
      </c>
      <c r="AT93" s="49">
        <v>0.11127367535772266</v>
      </c>
      <c r="AU93" s="49">
        <v>0.11277144982891922</v>
      </c>
      <c r="AV93" s="49">
        <v>0.11889804058562889</v>
      </c>
      <c r="AW93" s="49">
        <v>0.12408363375915624</v>
      </c>
      <c r="AX93" s="49">
        <v>0.12350792333096003</v>
      </c>
      <c r="AY93" s="49">
        <v>0.12434516560362822</v>
      </c>
      <c r="AZ93" s="49">
        <v>0.12431655508438774</v>
      </c>
    </row>
    <row r="94" spans="1:52" x14ac:dyDescent="0.2">
      <c r="A94" s="71" t="s">
        <v>407</v>
      </c>
      <c r="B94" s="50">
        <v>0</v>
      </c>
      <c r="C94" s="50">
        <v>0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0">
        <v>0</v>
      </c>
      <c r="AK94" s="50">
        <v>0</v>
      </c>
      <c r="AL94" s="50">
        <v>0</v>
      </c>
      <c r="AM94" s="50">
        <v>0</v>
      </c>
      <c r="AN94" s="50">
        <v>0</v>
      </c>
      <c r="AO94" s="50">
        <v>0</v>
      </c>
      <c r="AP94" s="50">
        <v>0</v>
      </c>
      <c r="AQ94" s="50">
        <v>0</v>
      </c>
      <c r="AR94" s="50">
        <v>0</v>
      </c>
      <c r="AS94" s="50">
        <v>0</v>
      </c>
      <c r="AT94" s="50">
        <v>0</v>
      </c>
      <c r="AU94" s="50">
        <v>0</v>
      </c>
      <c r="AV94" s="50">
        <v>0</v>
      </c>
      <c r="AW94" s="50">
        <v>0</v>
      </c>
      <c r="AX94" s="50">
        <v>0</v>
      </c>
      <c r="AY94" s="50">
        <v>0</v>
      </c>
      <c r="AZ94" s="50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Cover sheet</vt:lpstr>
      <vt:lpstr>Assumptions</vt:lpstr>
      <vt:lpstr>Dashboard</vt:lpstr>
      <vt:lpstr>Analysis - road transport</vt:lpstr>
      <vt:lpstr>Analysis - rail transport</vt:lpstr>
      <vt:lpstr>Analysis - road LNG and CNG</vt:lpstr>
      <vt:lpstr>Datadump - road fuels</vt:lpstr>
      <vt:lpstr>Datadump - road E and H2</vt:lpstr>
      <vt:lpstr>Datadump - rail</vt:lpstr>
      <vt:lpstr>'Datadump - rail'!Print_Titles</vt:lpstr>
      <vt:lpstr>'Analysis - road LNG and CNG'!Verkeersprestaties_personenauto_s__brandstof_uitgebreid__leeftijd_02062021_130906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den Haan</dc:creator>
  <cp:lastModifiedBy>Mathijs Bijkerk</cp:lastModifiedBy>
  <dcterms:created xsi:type="dcterms:W3CDTF">2021-04-28T07:58:45Z</dcterms:created>
  <dcterms:modified xsi:type="dcterms:W3CDTF">2021-06-11T08:55:49Z</dcterms:modified>
</cp:coreProperties>
</file>