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source_analyses/nl/2015/6_residences/"/>
    </mc:Choice>
  </mc:AlternateContent>
  <xr:revisionPtr revIDLastSave="0" documentId="13_ncr:1_{CBB4B6CD-4E83-4241-9257-CECD534A225E}" xr6:coauthVersionLast="40" xr6:coauthVersionMax="40" xr10:uidLastSave="{00000000-0000-0000-0000-000000000000}"/>
  <bookViews>
    <workbookView xWindow="0" yWindow="460" windowWidth="30880" windowHeight="28340" tabRatio="710" activeTab="9" xr2:uid="{00000000-000D-0000-FFFF-FFFF00000000}"/>
  </bookViews>
  <sheets>
    <sheet name="Cover sheet" sheetId="4" r:id="rId1"/>
    <sheet name="Changelog" sheetId="5" r:id="rId2"/>
    <sheet name="Sources and assumptions" sheetId="2" r:id="rId3"/>
    <sheet name="Final demand per energy carrier" sheetId="1" r:id="rId4"/>
    <sheet name="Applicance split" sheetId="10" r:id="rId5"/>
    <sheet name="Electricity" sheetId="7" r:id="rId6"/>
    <sheet name="Cooking" sheetId="6" r:id="rId7"/>
    <sheet name="Heat pumps" sheetId="8" r:id="rId8"/>
    <sheet name="Cooling" sheetId="9" r:id="rId9"/>
    <sheet name="Housing types" sheetId="11" r:id="rId10"/>
  </sheets>
  <externalReferences>
    <externalReference r:id="rId11"/>
    <externalReference r:id="rId12"/>
  </externalReferences>
  <definedNames>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'[2]Fuel aggregation'!$L$11</definedName>
    <definedName name="Final_demand_solar_thermal">'[2]Fuel aggregation'!$G$11</definedName>
    <definedName name="Final_demand_space_heating">[2]Dashboard!$E$20</definedName>
    <definedName name="Final_demand_woodpellets">'[2]Fuel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2" i="11" l="1"/>
  <c r="D13" i="11"/>
  <c r="D14" i="11"/>
  <c r="D15" i="11"/>
  <c r="D11" i="11"/>
  <c r="C7" i="11"/>
  <c r="C4" i="11"/>
  <c r="C5" i="11"/>
  <c r="C6" i="11"/>
  <c r="C3" i="11"/>
  <c r="C12" i="11" l="1"/>
  <c r="C13" i="11"/>
  <c r="C14" i="11"/>
  <c r="C15" i="11"/>
  <c r="C11" i="11"/>
  <c r="G10" i="11"/>
  <c r="B16" i="11"/>
  <c r="B8" i="11"/>
  <c r="G25" i="10" l="1"/>
  <c r="H17" i="8" s="1"/>
  <c r="H18" i="8" s="1"/>
  <c r="K18" i="8" s="1"/>
  <c r="E24" i="1" s="1"/>
  <c r="Q27" i="1" s="1"/>
  <c r="D19" i="8"/>
  <c r="F9" i="8"/>
  <c r="E18" i="8" s="1"/>
  <c r="F4" i="8"/>
  <c r="D26" i="8"/>
  <c r="J18" i="8" s="1"/>
  <c r="F24" i="1" s="1"/>
  <c r="H9" i="8"/>
  <c r="F19" i="8" s="1"/>
  <c r="I19" i="8" s="1"/>
  <c r="L19" i="8" s="1"/>
  <c r="F33" i="1" s="1"/>
  <c r="H4" i="8"/>
  <c r="F18" i="8" s="1"/>
  <c r="G24" i="10"/>
  <c r="I17" i="8"/>
  <c r="I18" i="8" s="1"/>
  <c r="E28" i="8"/>
  <c r="B22" i="6"/>
  <c r="D28" i="8"/>
  <c r="C39" i="7"/>
  <c r="C2" i="7"/>
  <c r="I21" i="8"/>
  <c r="L21" i="8" s="1"/>
  <c r="F31" i="1" s="1"/>
  <c r="H12" i="8"/>
  <c r="E26" i="8"/>
  <c r="P26" i="1"/>
  <c r="P42" i="1"/>
  <c r="I11" i="1"/>
  <c r="I22" i="1" s="1"/>
  <c r="N22" i="1" s="1"/>
  <c r="H23" i="1"/>
  <c r="N23" i="1" s="1"/>
  <c r="C38" i="7"/>
  <c r="F12" i="8"/>
  <c r="K17" i="1"/>
  <c r="J11" i="1"/>
  <c r="J19" i="1" s="1"/>
  <c r="J77" i="1" s="1"/>
  <c r="J78" i="1" s="1"/>
  <c r="J79" i="1" s="1"/>
  <c r="G12" i="1"/>
  <c r="C41" i="7"/>
  <c r="D38" i="6"/>
  <c r="E38" i="6" s="1"/>
  <c r="D36" i="6"/>
  <c r="E36" i="6" s="1"/>
  <c r="D37" i="6"/>
  <c r="E37" i="6" s="1"/>
  <c r="B45" i="6"/>
  <c r="B46" i="6" s="1"/>
  <c r="D39" i="6"/>
  <c r="E39" i="6" s="1"/>
  <c r="M39" i="1"/>
  <c r="K32" i="1"/>
  <c r="N32" i="1" s="1"/>
  <c r="N34" i="1"/>
  <c r="N37" i="1"/>
  <c r="N38" i="1"/>
  <c r="N21" i="1"/>
  <c r="N19" i="1"/>
  <c r="M24" i="1"/>
  <c r="C34" i="7"/>
  <c r="D34" i="7" s="1"/>
  <c r="C33" i="7"/>
  <c r="E33" i="7"/>
  <c r="F70" i="1" s="1"/>
  <c r="C32" i="7"/>
  <c r="C31" i="7"/>
  <c r="E31" i="7"/>
  <c r="F68" i="1" s="1"/>
  <c r="C29" i="7"/>
  <c r="E29" i="7" s="1"/>
  <c r="F66" i="1" s="1"/>
  <c r="F46" i="1"/>
  <c r="N46" i="1" s="1"/>
  <c r="C42" i="7"/>
  <c r="C40" i="7"/>
  <c r="E40" i="7" s="1"/>
  <c r="B61" i="1" s="1"/>
  <c r="C36" i="7"/>
  <c r="C35" i="7"/>
  <c r="C30" i="7"/>
  <c r="D35" i="7"/>
  <c r="D33" i="7"/>
  <c r="D32" i="7"/>
  <c r="D31" i="7"/>
  <c r="D29" i="7"/>
  <c r="D40" i="7"/>
  <c r="N61" i="1"/>
  <c r="N60" i="1"/>
  <c r="N62" i="1"/>
  <c r="D41" i="7"/>
  <c r="D39" i="7"/>
  <c r="C5" i="4"/>
  <c r="N56" i="1"/>
  <c r="N47" i="1"/>
  <c r="H77" i="1" l="1"/>
  <c r="H78" i="1" s="1"/>
  <c r="H79" i="1" s="1"/>
  <c r="E35" i="7"/>
  <c r="F72" i="1" s="1"/>
  <c r="E32" i="7"/>
  <c r="F69" i="1" s="1"/>
  <c r="E41" i="7"/>
  <c r="G36" i="6" s="1"/>
  <c r="B23" i="6"/>
  <c r="B24" i="6" s="1"/>
  <c r="B26" i="6" s="1"/>
  <c r="F36" i="6"/>
  <c r="B50" i="6"/>
  <c r="F60" i="1"/>
  <c r="B47" i="6"/>
  <c r="B49" i="6" s="1"/>
  <c r="E39" i="7"/>
  <c r="G77" i="1"/>
  <c r="G78" i="1" s="1"/>
  <c r="G79" i="1" s="1"/>
  <c r="N17" i="1"/>
  <c r="K12" i="1"/>
  <c r="K77" i="1"/>
  <c r="K78" i="1" s="1"/>
  <c r="K79" i="1" s="1"/>
  <c r="N31" i="1"/>
  <c r="D42" i="7"/>
  <c r="E42" i="7"/>
  <c r="F48" i="1" s="1"/>
  <c r="E36" i="7"/>
  <c r="F73" i="1" s="1"/>
  <c r="D36" i="7"/>
  <c r="F38" i="6"/>
  <c r="I77" i="1"/>
  <c r="I78" i="1" s="1"/>
  <c r="I79" i="1" s="1"/>
  <c r="I12" i="1"/>
  <c r="N33" i="1"/>
  <c r="D30" i="7"/>
  <c r="E30" i="7"/>
  <c r="F67" i="1" s="1"/>
  <c r="F62" i="1"/>
  <c r="F61" i="1"/>
  <c r="F37" i="6"/>
  <c r="J12" i="1"/>
  <c r="D38" i="7"/>
  <c r="E38" i="7"/>
  <c r="M18" i="8"/>
  <c r="E39" i="1" s="1"/>
  <c r="L18" i="8"/>
  <c r="F39" i="1" s="1"/>
  <c r="F35" i="1" s="1"/>
  <c r="P27" i="1"/>
  <c r="N24" i="1"/>
  <c r="E34" i="7"/>
  <c r="F71" i="1" s="1"/>
  <c r="H12" i="1"/>
  <c r="E19" i="8"/>
  <c r="H19" i="8" s="1"/>
  <c r="J19" i="8" s="1"/>
  <c r="F18" i="1" s="1"/>
  <c r="H21" i="8"/>
  <c r="J21" i="8" s="1"/>
  <c r="F16" i="1" s="1"/>
  <c r="B51" i="6" l="1"/>
  <c r="B52" i="6" s="1"/>
  <c r="H36" i="6"/>
  <c r="J36" i="6" s="1"/>
  <c r="H37" i="6"/>
  <c r="J37" i="6" s="1"/>
  <c r="H38" i="6"/>
  <c r="F55" i="1" s="1"/>
  <c r="B27" i="6"/>
  <c r="B28" i="6" s="1"/>
  <c r="B29" i="6" s="1"/>
  <c r="D71" i="1"/>
  <c r="D61" i="1"/>
  <c r="N35" i="1"/>
  <c r="D72" i="1"/>
  <c r="N16" i="1"/>
  <c r="F54" i="1"/>
  <c r="D62" i="1"/>
  <c r="F53" i="1"/>
  <c r="Q43" i="1"/>
  <c r="F20" i="1"/>
  <c r="F12" i="1" s="1"/>
  <c r="D67" i="1"/>
  <c r="D66" i="1"/>
  <c r="D70" i="1"/>
  <c r="B67" i="1"/>
  <c r="B47" i="1"/>
  <c r="N48" i="1"/>
  <c r="D47" i="1"/>
  <c r="D46" i="1"/>
  <c r="D48" i="1"/>
  <c r="D73" i="1"/>
  <c r="N18" i="1"/>
  <c r="P43" i="1"/>
  <c r="N39" i="1"/>
  <c r="D68" i="1"/>
  <c r="D69" i="1"/>
  <c r="D60" i="1"/>
  <c r="J38" i="6" l="1"/>
  <c r="B54" i="6"/>
  <c r="B53" i="6"/>
  <c r="B30" i="6"/>
  <c r="I39" i="6" s="1"/>
  <c r="J39" i="6" s="1"/>
  <c r="K39" i="6" s="1"/>
  <c r="O48" i="1"/>
  <c r="O47" i="1"/>
  <c r="O46" i="1"/>
  <c r="N55" i="1"/>
  <c r="N20" i="1"/>
  <c r="N53" i="1"/>
  <c r="N54" i="1"/>
  <c r="F77" i="1"/>
  <c r="F78" i="1" s="1"/>
  <c r="F79" i="1" s="1"/>
  <c r="E52" i="1" l="1"/>
  <c r="D55" i="1" s="1"/>
  <c r="K38" i="6"/>
  <c r="K36" i="6"/>
  <c r="K37" i="6"/>
  <c r="B53" i="1" l="1"/>
  <c r="E15" i="1"/>
  <c r="E12" i="1" s="1"/>
  <c r="D52" i="1"/>
  <c r="N52" i="1"/>
  <c r="O54" i="1" s="1"/>
  <c r="D53" i="1"/>
  <c r="D56" i="1"/>
  <c r="D54" i="1"/>
  <c r="D22" i="1" l="1"/>
  <c r="D24" i="1"/>
  <c r="D15" i="1"/>
  <c r="D19" i="1"/>
  <c r="D16" i="1"/>
  <c r="D23" i="1"/>
  <c r="O53" i="1"/>
  <c r="O55" i="1"/>
  <c r="O52" i="1"/>
  <c r="D20" i="1"/>
  <c r="D17" i="1"/>
  <c r="D21" i="1"/>
  <c r="N15" i="1"/>
  <c r="O22" i="1" s="1"/>
  <c r="O56" i="1"/>
  <c r="D18" i="1"/>
  <c r="B16" i="1"/>
  <c r="O15" i="1"/>
  <c r="N36" i="1"/>
  <c r="E30" i="1"/>
  <c r="O17" i="1" l="1"/>
  <c r="O20" i="1"/>
  <c r="O19" i="1"/>
  <c r="O18" i="1"/>
  <c r="O21" i="1"/>
  <c r="O16" i="1"/>
  <c r="O23" i="1"/>
  <c r="O24" i="1"/>
  <c r="E77" i="1"/>
  <c r="E78" i="1" s="1"/>
  <c r="E79" i="1" s="1"/>
  <c r="N30" i="1"/>
  <c r="O36" i="1" s="1"/>
  <c r="D30" i="1"/>
  <c r="D39" i="1"/>
  <c r="D31" i="1"/>
  <c r="D36" i="1"/>
  <c r="D33" i="1"/>
  <c r="D35" i="1"/>
  <c r="B31" i="1"/>
  <c r="D37" i="1"/>
  <c r="D32" i="1"/>
  <c r="D34" i="1"/>
  <c r="D38" i="1"/>
  <c r="D40" i="1" l="1"/>
  <c r="O35" i="1"/>
  <c r="O39" i="1"/>
  <c r="O30" i="1"/>
  <c r="O37" i="1"/>
  <c r="O38" i="1"/>
  <c r="O32" i="1"/>
  <c r="O33" i="1"/>
  <c r="O34" i="1"/>
  <c r="O31" i="1"/>
</calcChain>
</file>

<file path=xl/sharedStrings.xml><?xml version="1.0" encoding="utf-8"?>
<sst xmlns="http://schemas.openxmlformats.org/spreadsheetml/2006/main" count="331" uniqueCount="255">
  <si>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</si>
  <si>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</si>
  <si>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</si>
  <si>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</si>
  <si>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</si>
  <si>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</si>
  <si>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</si>
  <si>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</si>
  <si>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</si>
  <si>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</si>
  <si>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</si>
  <si>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</si>
  <si>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</si>
  <si>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</si>
  <si>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</si>
  <si>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</si>
  <si>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</si>
  <si>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</si>
  <si>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</si>
  <si>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</si>
  <si>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</si>
  <si>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</si>
  <si>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</si>
  <si>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</si>
  <si>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</si>
  <si>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</si>
  <si>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</si>
  <si>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</si>
  <si>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</si>
  <si>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</si>
  <si>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</si>
  <si>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</si>
  <si>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</si>
  <si>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</si>
  <si>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</si>
  <si>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</si>
  <si>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Electric Heat Pump (ground)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</si>
  <si>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</si>
  <si>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</si>
  <si>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</si>
  <si>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</si>
  <si>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</si>
  <si>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</si>
  <si>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</si>
  <si>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</si>
  <si>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</si>
  <si>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Electric Heat Pump (ground)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</si>
  <si>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</si>
  <si>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</si>
  <si>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</si>
  <si>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</si>
  <si>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</si>
  <si>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</si>
  <si>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</si>
  <si>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</si>
  <si>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</si>
  <si>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</si>
  <si>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</si>
  <si>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</si>
  <si>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</si>
  <si>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</si>
  <si>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</si>
  <si>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</si>
  <si>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</si>
  <si>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</si>
  <si>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</si>
  <si>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</si>
  <si>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</si>
  <si>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</si>
  <si>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</si>
  <si>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</si>
  <si>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</si>
  <si>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</si>
  <si>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</si>
  <si>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</si>
  <si>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</si>
  <si>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</si>
  <si>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</si>
  <si>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</si>
  <si>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</si>
  <si>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</si>
  <si>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</si>
  <si>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</si>
  <si>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</si>
  <si>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</si>
  <si>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</si>
  <si>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</si>
  <si>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</si>
  <si>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</si>
  <si>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</si>
  <si>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</si>
  <si>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</si>
  <si>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</si>
  <si>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</si>
  <si>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</si>
  <si>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</si>
  <si>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</si>
  <si>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</si>
  <si>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</si>
  <si>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Joris Berkhout</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</si>
  <si>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</si>
  <si>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</si>
  <si>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</si>
  <si>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</si>
  <si>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</si>
  <si>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</si>
  <si>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</si>
  <si>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Combined with the final electricity demand from the IEA energy balance, this allowed me to determine the final demand for the technologies</t>
  </si>
  <si>
    <t>Sources and assumptions</t>
  </si>
  <si>
    <t>I have assumed that 'ventilatie' is the same as cooling</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</si>
  <si>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</si>
  <si>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</si>
  <si>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</si>
  <si>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</si>
  <si>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</si>
  <si>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</si>
  <si>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</si>
  <si>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</si>
  <si>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</si>
  <si>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</si>
  <si>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</si>
  <si>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</si>
  <si>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</si>
  <si>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</si>
  <si>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</si>
  <si>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</si>
  <si>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</si>
  <si>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</si>
  <si>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</si>
  <si>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</si>
  <si>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</si>
  <si>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</si>
  <si>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</si>
  <si>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Enenrgietrends 2014</t>
  </si>
  <si>
    <t>Final electricity demand</t>
  </si>
  <si>
    <t>Technology</t>
  </si>
  <si>
    <t>I split the final demand for the electric cooking technologies by using data from 'Correctie elektriciteitsverbruik koken (ECN)', table 1 (last colum)</t>
  </si>
  <si>
    <t>Share of total</t>
  </si>
  <si>
    <t>Relative final demand</t>
  </si>
  <si>
    <t>Final electricity demand for cooking (TJ)</t>
  </si>
  <si>
    <t>Final demand (TJ)</t>
  </si>
  <si>
    <t>Assumption</t>
  </si>
  <si>
    <t>I have assumed that oil and coal can only be used for space heating and not for hot water</t>
  </si>
  <si>
    <t>Final result</t>
  </si>
  <si>
    <t>Finally, I used the efficiencies to translate the final demand in a useful demand, using the latter to determine the technology shares for each application</t>
  </si>
  <si>
    <t>Source:</t>
  </si>
  <si>
    <t>Hyperlink:</t>
  </si>
  <si>
    <t>Original data</t>
  </si>
  <si>
    <t>Corrected data</t>
  </si>
  <si>
    <t>Category</t>
  </si>
  <si>
    <t>http://refman.et-model.com/publications/2028</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</si>
  <si>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</si>
  <si>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Improved documentation and traceability of numbers</t>
  </si>
  <si>
    <t>http://refman.et-model.com/publications/2030</t>
  </si>
  <si>
    <t>The numbers in red are used to the 'Final demand per energy carrier' sheet (use Trace Dependents to find their destination)</t>
  </si>
  <si>
    <t>Correctie elektriciteitsverbruik koken, tabel 1, page 4 (ECN, 2014)</t>
  </si>
  <si>
    <t>Technology efficiency</t>
  </si>
  <si>
    <t>TJ</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</si>
  <si>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</si>
  <si>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</si>
  <si>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</si>
  <si>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This is a summary of 6_residences_source_analysis.md; see that document for more details</t>
  </si>
  <si>
    <t>IEA energy balance NL 2015</t>
  </si>
  <si>
    <t>https://refman.energytransitionmodel.com/publications/2068</t>
  </si>
  <si>
    <t xml:space="preserve">Energietrends 2016, page 9 (ECN, Energie-Nederland en Netbeheer Nederland) </t>
  </si>
  <si>
    <t xml:space="preserve">The numbers from Energietrends 2016 need to be recast on the ETM categories. </t>
  </si>
  <si>
    <t>http://statline.cbs.nl/Statweb/publication/?DM=SLNL&amp;PA=82380NED&amp;D1=2,5-6&amp;D2=a&amp;D3=1&amp;D4=21&amp;HDR=T&amp;STB=G2,G1,G3&amp;VW=T</t>
  </si>
  <si>
    <t>Total heat pumps air/water</t>
  </si>
  <si>
    <t>Hybrid heat pumps</t>
  </si>
  <si>
    <t>Heat pumps air</t>
  </si>
  <si>
    <t>Number of heat pumps</t>
  </si>
  <si>
    <t>[-]</t>
  </si>
  <si>
    <t>Heat pump ground</t>
  </si>
  <si>
    <t>Final demand electricity and gas</t>
  </si>
  <si>
    <t>input.ambient_heat</t>
  </si>
  <si>
    <t>input.electricity</t>
  </si>
  <si>
    <t>input.network_gas</t>
  </si>
  <si>
    <t>input.ambient_hea</t>
  </si>
  <si>
    <t>Hybrid heat pump</t>
  </si>
  <si>
    <t>Heat pump air</t>
  </si>
  <si>
    <t>From ETSource</t>
  </si>
  <si>
    <t>hybrid heat pump (space heating</t>
  </si>
  <si>
    <t>water heating</t>
  </si>
  <si>
    <t>Final demand electricity for space heating</t>
  </si>
  <si>
    <t>final demand gas for space heating</t>
  </si>
  <si>
    <t>Final demand electricity for water heating</t>
  </si>
  <si>
    <t>final demand gas for water heating</t>
  </si>
  <si>
    <t>Final demand electricity and gas for space heating</t>
  </si>
  <si>
    <t>Final demand electricity and gas for water heating</t>
  </si>
  <si>
    <t>Onttrekking van koude in 2015</t>
  </si>
  <si>
    <t>Hernieuwbare Energie in Nederland 2015, page 57 (CBS)</t>
  </si>
  <si>
    <t>I used the split of electricity consumption over the various technologies/applications from 'Energietrends 2016', page 9 (https://refman.energytransitionmodel.com/publications/2068)</t>
  </si>
  <si>
    <t>I have combined data from 'Hernieuwbare energie in Nederland 2014' (CBS) and Statline data) to obtain the final demands for heat pumps</t>
  </si>
  <si>
    <t>I have assumed that wood pellets are not used for cooking in 2015</t>
  </si>
  <si>
    <t>https://energiecijfers.databank.nl/jive?cat_open_var=db_ggv_hh&amp;var=db_ggv_hh&amp;geolevel=nederland&amp;favorite=nederland_1</t>
  </si>
  <si>
    <t>Tapwater</t>
  </si>
  <si>
    <t>Other</t>
  </si>
  <si>
    <t>Tapwater vs space heating</t>
  </si>
  <si>
    <t>hybrid heat pump (hot water)</t>
  </si>
  <si>
    <t>The split for FD for space heating and electiricity is based on the Energiecijfers databank (see tab application split)</t>
  </si>
  <si>
    <t>Share of final demand electricity</t>
  </si>
  <si>
    <t>Final demand electricity(TJ)</t>
  </si>
  <si>
    <t>Final demand gas (TJ)</t>
  </si>
  <si>
    <t>output.useable_heat.network_gas</t>
  </si>
  <si>
    <t>Finally, I have assumed that the share of gas-fired heaters for both water and space heating is half the share of wood pellet heater for space heating</t>
  </si>
  <si>
    <t>Final demand share space heating</t>
  </si>
  <si>
    <t>Final demand share water heating</t>
  </si>
  <si>
    <t>gas</t>
  </si>
  <si>
    <t>electricity</t>
  </si>
  <si>
    <t>kWh</t>
  </si>
  <si>
    <t>m3</t>
  </si>
  <si>
    <t>gas/household</t>
  </si>
  <si>
    <t>demand for cooking/household</t>
  </si>
  <si>
    <t>average efficiency electrical devices</t>
  </si>
  <si>
    <t>%</t>
  </si>
  <si>
    <t>number of households in the Netherlands</t>
  </si>
  <si>
    <t>#</t>
  </si>
  <si>
    <t>UD with electricity</t>
  </si>
  <si>
    <t>UD with gas</t>
  </si>
  <si>
    <t>m3 gas for cooking /household</t>
  </si>
  <si>
    <t>TJ/m3</t>
  </si>
  <si>
    <t>energy content of gas</t>
  </si>
  <si>
    <t>share of gas</t>
  </si>
  <si>
    <t>FD of gas</t>
  </si>
  <si>
    <t>total UD for cooking</t>
  </si>
  <si>
    <t>TJ/kWh</t>
  </si>
  <si>
    <t>kWh electricity for cooking per household</t>
  </si>
  <si>
    <t>electricity per household for cooking</t>
  </si>
  <si>
    <t>FD gas</t>
  </si>
  <si>
    <t>UD shares</t>
  </si>
  <si>
    <t>UD [TJ]</t>
  </si>
  <si>
    <t>Value</t>
  </si>
  <si>
    <t>Unit</t>
  </si>
  <si>
    <t>Description</t>
  </si>
  <si>
    <t>Source</t>
  </si>
  <si>
    <t>https://forum.nuon.nl/energie-besparen-42/inductie-koken-versus-gas-koken-1906</t>
  </si>
  <si>
    <t>Physics</t>
  </si>
  <si>
    <t>Area analysis</t>
  </si>
  <si>
    <t>ETM</t>
  </si>
  <si>
    <t>Alternative calculation starting with gas use per household</t>
  </si>
  <si>
    <t>HHP for space heating</t>
  </si>
  <si>
    <t>HHP for water heating</t>
  </si>
  <si>
    <t>FD share</t>
  </si>
  <si>
    <t>Final demand share</t>
  </si>
  <si>
    <t>Apartments</t>
  </si>
  <si>
    <t>Corner houses</t>
  </si>
  <si>
    <t>Detached houses</t>
  </si>
  <si>
    <t>Semi-detached houses</t>
  </si>
  <si>
    <t>Terraced houses</t>
  </si>
  <si>
    <t>Total</t>
  </si>
  <si>
    <t>share</t>
  </si>
  <si>
    <t>http://statline.cbs.nl/Statweb/publication/?DM=SLNL&amp;PA=81528NED&amp;D1=0&amp;D2=1-5&amp;D3=0&amp;D4=5&amp;HDR=G1&amp;STB=G2,G3,T&amp;VW=T</t>
  </si>
  <si>
    <t>natural gas TJ per m3 (LHV):</t>
  </si>
  <si>
    <t>TJ for space heating</t>
  </si>
  <si>
    <t>https://www.kadaster.nl/documents/20838/88047/Productbeschrijving+Woningtypering/a72e071a-e7af-4b93-aef2-a211de0f2056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</si>
</sst>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0.0%"/>
    <numFmt numFmtId="166" formatCode="[$-409]mmmm\ d\,\ yyyy;@"/>
    <numFmt numFmtId="167" formatCode="0.000"/>
    <numFmt numFmtId="168" formatCode="0.0000"/>
    <numFmt numFmtId="169" formatCode="#,##0.00000000"/>
    <numFmt numFmtId="170" formatCode="0.00000"/>
    <numFmt numFmtId="171" formatCode="#,##0.00000000000000000"/>
    <numFmt numFmtId="172" formatCode="#,##0.0000000000000000000"/>
    <numFmt numFmtId="173" formatCode="0.0000000000000000"/>
    <numFmt numFmtId="174" formatCode="0.00000000000000000000000000000"/>
    <numFmt numFmtId="175" formatCode="0.000%"/>
    <numFmt numFmtId="176" formatCode="0.000000000000000%"/>
  </numFmts>
  <fonts count="22">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u/>
      <sz val="12"/>
      <name val="Calibri"/>
      <family val="2"/>
      <scheme val="minor"/>
    </font>
    <font>
      <sz val="12"/>
      <name val="Calibri"/>
      <family val="2"/>
      <scheme val="minor"/>
    </font>
    <font>
      <i/>
      <sz val="12"/>
      <color theme="1"/>
      <name val="Calibri"/>
      <family val="2"/>
      <scheme val="minor"/>
    </font>
    <font>
      <b/>
      <u/>
      <sz val="12"/>
      <color theme="1"/>
      <name val="Calibri"/>
      <family val="2"/>
      <scheme val="minor"/>
    </font>
    <font>
      <sz val="11"/>
      <name val="Calibri"/>
      <family val="2"/>
      <scheme val="minor"/>
    </font>
    <font>
      <sz val="10"/>
      <name val="Arial"/>
      <family val="2"/>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family val="2"/>
      <scheme val="minor"/>
    </font>
    <font>
      <b/>
      <sz val="12"/>
      <color theme="0" tint="-0.34998626667073579"/>
      <name val="Calibri"/>
      <family val="2"/>
      <scheme val="minor"/>
    </font>
    <font>
      <sz val="12"/>
      <color theme="0" tint="-0.34998626667073579"/>
      <name val="Calibri"/>
      <family val="2"/>
      <scheme val="minor"/>
    </font>
    <font>
      <sz val="13"/>
      <color rgb="FF333333"/>
      <name val="Helvetica Neue"/>
      <family val="2"/>
    </font>
  </fonts>
  <fills count="14">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style="thin">
        <color auto="1"/>
      </top>
      <bottom/>
      <diagonal/>
    </border>
    <border>
      <left style="medium">
        <color indexed="64"/>
      </left>
      <right style="medium">
        <color indexed="64"/>
      </right>
      <top/>
      <bottom/>
      <diagonal/>
    </border>
  </borders>
  <cellStyleXfs count="123">
    <xf numFmtId="0" fontId="0" fillId="0" borderId="0"/>
    <xf numFmtId="9" fontId="2" fillId="0" borderId="0" applyFont="0" applyFill="0" applyBorder="0" applyAlignment="0" applyProtection="0"/>
    <xf numFmtId="164" fontId="10" fillId="3" borderId="23">
      <alignment horizontal="right" vertical="center"/>
    </xf>
    <xf numFmtId="0" fontId="11" fillId="0" borderId="0" applyNumberFormat="0" applyFont="0" applyFill="0" applyBorder="0" applyAlignment="0" applyProtection="0"/>
    <xf numFmtId="9" fontId="11" fillId="0" borderId="0" applyNumberFormat="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4"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03">
    <xf numFmtId="0" fontId="0" fillId="0" borderId="0" xfId="0"/>
    <xf numFmtId="0" fontId="5" fillId="2" borderId="0" xfId="0" applyFont="1" applyFill="1" applyBorder="1"/>
    <xf numFmtId="0" fontId="0" fillId="2" borderId="0" xfId="0" applyFill="1" applyBorder="1"/>
    <xf numFmtId="0" fontId="0" fillId="2" borderId="0" xfId="0" applyFill="1"/>
    <xf numFmtId="0" fontId="4" fillId="2" borderId="1" xfId="0" applyFont="1" applyFill="1" applyBorder="1"/>
    <xf numFmtId="0" fontId="0" fillId="2" borderId="2" xfId="0" applyFill="1" applyBorder="1"/>
    <xf numFmtId="0" fontId="0" fillId="2" borderId="3" xfId="0" applyFill="1" applyBorder="1"/>
    <xf numFmtId="0" fontId="4"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4" fillId="2" borderId="12"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Fill="1" applyBorder="1" applyAlignment="1">
      <alignment wrapText="1"/>
    </xf>
    <xf numFmtId="0" fontId="4" fillId="0" borderId="5" xfId="0" applyFont="1" applyFill="1" applyBorder="1" applyAlignment="1">
      <alignment vertical="top" wrapText="1"/>
    </xf>
    <xf numFmtId="0" fontId="4" fillId="0" borderId="13" xfId="0" applyFont="1" applyFill="1" applyBorder="1" applyAlignment="1">
      <alignment vertical="top" wrapText="1"/>
    </xf>
    <xf numFmtId="0" fontId="6" fillId="2" borderId="10" xfId="0" applyFont="1" applyFill="1" applyBorder="1"/>
    <xf numFmtId="0" fontId="4" fillId="2" borderId="2" xfId="0" applyFont="1" applyFill="1" applyBorder="1" applyAlignment="1">
      <alignment vertical="top" wrapText="1"/>
    </xf>
    <xf numFmtId="3" fontId="4" fillId="2" borderId="2" xfId="0" applyNumberFormat="1" applyFont="1" applyFill="1" applyBorder="1" applyAlignment="1">
      <alignment vertical="top" wrapText="1"/>
    </xf>
    <xf numFmtId="3" fontId="4"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3" fillId="2" borderId="10" xfId="0" applyFont="1" applyFill="1" applyBorder="1"/>
    <xf numFmtId="0" fontId="4" fillId="2" borderId="0" xfId="0" applyFont="1" applyFill="1" applyBorder="1" applyAlignment="1">
      <alignment vertical="top" wrapText="1"/>
    </xf>
    <xf numFmtId="0" fontId="0" fillId="2" borderId="5" xfId="0" applyFill="1" applyBorder="1"/>
    <xf numFmtId="0" fontId="6" fillId="2" borderId="5" xfId="0" applyFont="1" applyFill="1" applyBorder="1"/>
    <xf numFmtId="0" fontId="7" fillId="0" borderId="0" xfId="0" applyFont="1" applyFill="1" applyBorder="1"/>
    <xf numFmtId="0" fontId="7" fillId="0" borderId="5" xfId="0" applyFont="1" applyFill="1" applyBorder="1"/>
    <xf numFmtId="0" fontId="7" fillId="2" borderId="0" xfId="0" applyFont="1" applyFill="1" applyBorder="1"/>
    <xf numFmtId="0" fontId="6" fillId="2" borderId="0" xfId="0" applyFont="1" applyFill="1" applyBorder="1"/>
    <xf numFmtId="4" fontId="4" fillId="2" borderId="2" xfId="0" applyNumberFormat="1" applyFont="1" applyFill="1" applyBorder="1"/>
    <xf numFmtId="4" fontId="4" fillId="2" borderId="14" xfId="0" applyNumberFormat="1" applyFont="1" applyFill="1" applyBorder="1"/>
    <xf numFmtId="0" fontId="6" fillId="2" borderId="12" xfId="0" applyFont="1" applyFill="1" applyBorder="1"/>
    <xf numFmtId="0" fontId="7" fillId="2" borderId="5" xfId="0" applyFont="1" applyFill="1" applyBorder="1"/>
    <xf numFmtId="4" fontId="4" fillId="2" borderId="5" xfId="0" applyNumberFormat="1" applyFont="1" applyFill="1" applyBorder="1"/>
    <xf numFmtId="4" fontId="4"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9" fillId="2" borderId="10" xfId="0" applyFont="1" applyFill="1" applyBorder="1"/>
    <xf numFmtId="0" fontId="4" fillId="2" borderId="5" xfId="0" applyFont="1" applyFill="1" applyBorder="1"/>
    <xf numFmtId="4" fontId="4" fillId="2" borderId="19" xfId="0" applyNumberFormat="1" applyFont="1" applyFill="1" applyBorder="1"/>
    <xf numFmtId="0" fontId="4" fillId="2" borderId="10" xfId="0" applyFont="1" applyFill="1" applyBorder="1"/>
    <xf numFmtId="0" fontId="4" fillId="2" borderId="2" xfId="0" applyFont="1" applyFill="1" applyBorder="1" applyAlignment="1"/>
    <xf numFmtId="0" fontId="4" fillId="2" borderId="3" xfId="0" applyFont="1" applyFill="1" applyBorder="1" applyAlignment="1"/>
    <xf numFmtId="4" fontId="4" fillId="0" borderId="16" xfId="0" applyNumberFormat="1" applyFont="1" applyFill="1" applyBorder="1"/>
    <xf numFmtId="4" fontId="4" fillId="0" borderId="0" xfId="0" applyNumberFormat="1" applyFont="1" applyFill="1" applyBorder="1"/>
    <xf numFmtId="0" fontId="4" fillId="2" borderId="0" xfId="0" applyFont="1" applyFill="1" applyBorder="1" applyAlignment="1"/>
    <xf numFmtId="0" fontId="4" fillId="2" borderId="20" xfId="0" applyFont="1" applyFill="1" applyBorder="1" applyAlignment="1">
      <alignment wrapText="1"/>
    </xf>
    <xf numFmtId="0" fontId="4" fillId="2" borderId="5" xfId="0" applyFont="1" applyFill="1" applyBorder="1" applyAlignment="1"/>
    <xf numFmtId="0" fontId="4" fillId="2" borderId="6" xfId="0" applyFont="1" applyFill="1" applyBorder="1" applyAlignment="1"/>
    <xf numFmtId="9" fontId="4" fillId="0" borderId="0" xfId="1" applyNumberFormat="1" applyFont="1" applyFill="1" applyBorder="1"/>
    <xf numFmtId="0" fontId="0" fillId="2" borderId="21" xfId="0" applyFill="1" applyBorder="1"/>
    <xf numFmtId="0" fontId="0" fillId="2" borderId="22" xfId="0" applyFill="1" applyBorder="1"/>
    <xf numFmtId="4" fontId="4" fillId="2" borderId="0"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7"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18" xfId="0" applyNumberFormat="1" applyFont="1" applyFill="1" applyBorder="1"/>
    <xf numFmtId="4" fontId="0" fillId="2" borderId="0" xfId="0" applyNumberFormat="1" applyFont="1" applyFill="1" applyBorder="1"/>
    <xf numFmtId="4" fontId="0" fillId="2" borderId="11" xfId="0" applyNumberFormat="1" applyFont="1" applyFill="1" applyBorder="1"/>
    <xf numFmtId="4" fontId="6" fillId="2" borderId="0" xfId="0" applyNumberFormat="1" applyFont="1" applyFill="1" applyBorder="1"/>
    <xf numFmtId="4" fontId="6" fillId="2" borderId="5" xfId="0" applyNumberFormat="1" applyFont="1" applyFill="1" applyBorder="1"/>
    <xf numFmtId="10" fontId="4" fillId="0" borderId="4" xfId="1" applyNumberFormat="1" applyFont="1" applyFill="1" applyBorder="1"/>
    <xf numFmtId="10" fontId="4" fillId="0" borderId="5" xfId="1" applyNumberFormat="1" applyFont="1" applyFill="1" applyBorder="1"/>
    <xf numFmtId="10" fontId="6" fillId="2" borderId="0" xfId="0" applyNumberFormat="1" applyFont="1" applyFill="1" applyBorder="1"/>
    <xf numFmtId="10" fontId="6" fillId="2" borderId="5" xfId="0" applyNumberFormat="1" applyFont="1" applyFill="1" applyBorder="1"/>
    <xf numFmtId="4" fontId="16" fillId="4" borderId="0" xfId="13" applyNumberFormat="1"/>
    <xf numFmtId="4" fontId="16" fillId="4" borderId="5" xfId="13" applyNumberFormat="1" applyBorder="1"/>
    <xf numFmtId="4" fontId="16" fillId="4" borderId="16" xfId="13" applyNumberFormat="1" applyBorder="1"/>
    <xf numFmtId="4" fontId="16" fillId="4" borderId="0" xfId="13" applyNumberFormat="1" applyBorder="1"/>
    <xf numFmtId="10" fontId="16" fillId="4" borderId="0" xfId="13" applyNumberFormat="1"/>
    <xf numFmtId="10" fontId="16" fillId="4" borderId="5" xfId="13" applyNumberFormat="1" applyBorder="1"/>
    <xf numFmtId="4" fontId="16" fillId="4" borderId="2" xfId="13" applyNumberFormat="1" applyBorder="1"/>
    <xf numFmtId="4" fontId="16" fillId="4" borderId="4" xfId="13" applyNumberFormat="1" applyBorder="1"/>
    <xf numFmtId="10" fontId="16" fillId="4" borderId="6" xfId="13" applyNumberFormat="1" applyBorder="1"/>
    <xf numFmtId="4" fontId="16" fillId="4" borderId="11" xfId="13" applyNumberFormat="1" applyBorder="1"/>
    <xf numFmtId="4" fontId="16" fillId="4" borderId="13" xfId="13" applyNumberFormat="1" applyBorder="1"/>
    <xf numFmtId="10" fontId="16" fillId="4" borderId="3" xfId="13" applyNumberFormat="1" applyBorder="1"/>
    <xf numFmtId="10" fontId="16" fillId="4" borderId="20" xfId="13" applyNumberFormat="1" applyBorder="1"/>
    <xf numFmtId="4" fontId="16" fillId="4" borderId="14" xfId="13" applyNumberFormat="1" applyBorder="1"/>
    <xf numFmtId="4" fontId="16" fillId="4" borderId="1" xfId="13" applyNumberFormat="1" applyBorder="1"/>
    <xf numFmtId="0" fontId="4" fillId="2" borderId="0" xfId="0" applyFont="1" applyFill="1"/>
    <xf numFmtId="3" fontId="4" fillId="2" borderId="0" xfId="0" applyNumberFormat="1" applyFont="1" applyFill="1" applyBorder="1" applyAlignment="1">
      <alignment vertical="top" wrapText="1"/>
    </xf>
    <xf numFmtId="4" fontId="4" fillId="2" borderId="0" xfId="0" applyNumberFormat="1" applyFont="1" applyFill="1" applyBorder="1"/>
    <xf numFmtId="4" fontId="16" fillId="2" borderId="0" xfId="13" applyNumberFormat="1" applyFill="1" applyBorder="1"/>
    <xf numFmtId="4" fontId="0" fillId="2" borderId="10" xfId="0" applyNumberFormat="1" applyFont="1" applyFill="1" applyBorder="1"/>
    <xf numFmtId="4" fontId="16" fillId="2" borderId="10" xfId="13" applyNumberFormat="1" applyFill="1" applyBorder="1"/>
    <xf numFmtId="4" fontId="6" fillId="2" borderId="10" xfId="0" applyNumberFormat="1" applyFont="1" applyFill="1" applyBorder="1"/>
    <xf numFmtId="4" fontId="0" fillId="2" borderId="10" xfId="0" applyNumberFormat="1" applyFill="1" applyBorder="1"/>
    <xf numFmtId="4" fontId="4" fillId="2" borderId="10" xfId="0" applyNumberFormat="1" applyFont="1" applyFill="1" applyBorder="1"/>
    <xf numFmtId="10" fontId="4" fillId="2" borderId="10" xfId="1" applyNumberFormat="1" applyFont="1" applyFill="1" applyBorder="1"/>
    <xf numFmtId="9" fontId="4" fillId="2" borderId="10" xfId="1" applyNumberFormat="1" applyFont="1" applyFill="1" applyBorder="1"/>
    <xf numFmtId="0" fontId="0" fillId="2" borderId="7" xfId="0" applyFill="1" applyBorder="1"/>
    <xf numFmtId="0" fontId="4" fillId="2" borderId="10" xfId="0" applyFont="1" applyFill="1" applyBorder="1" applyAlignment="1">
      <alignment vertical="top" wrapText="1"/>
    </xf>
    <xf numFmtId="0" fontId="4" fillId="2" borderId="0" xfId="0" applyFont="1" applyFill="1" applyBorder="1" applyAlignment="1">
      <alignment vertical="top"/>
    </xf>
    <xf numFmtId="0" fontId="4"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3" fillId="2" borderId="11" xfId="1" applyNumberFormat="1" applyFont="1" applyFill="1" applyBorder="1"/>
    <xf numFmtId="0" fontId="3" fillId="2" borderId="11" xfId="0" applyFont="1" applyFill="1" applyBorder="1"/>
    <xf numFmtId="0" fontId="5" fillId="2" borderId="0" xfId="44" applyFont="1" applyFill="1"/>
    <xf numFmtId="0" fontId="1" fillId="2" borderId="0" xfId="44" applyFill="1"/>
    <xf numFmtId="0" fontId="4" fillId="2" borderId="1" xfId="44" applyFont="1" applyFill="1" applyBorder="1"/>
    <xf numFmtId="0" fontId="1" fillId="2" borderId="3" xfId="44" applyFill="1" applyBorder="1"/>
    <xf numFmtId="0" fontId="4" fillId="2" borderId="0" xfId="44" applyFont="1" applyFill="1" applyBorder="1"/>
    <xf numFmtId="0" fontId="1" fillId="2" borderId="0" xfId="44" applyFill="1" applyBorder="1"/>
    <xf numFmtId="0" fontId="17" fillId="5" borderId="16" xfId="44" applyFont="1" applyFill="1" applyBorder="1" applyAlignment="1">
      <alignment vertical="center"/>
    </xf>
    <xf numFmtId="0" fontId="1" fillId="2" borderId="0" xfId="44" applyFill="1" applyBorder="1" applyAlignment="1">
      <alignment horizontal="left"/>
    </xf>
    <xf numFmtId="0" fontId="1" fillId="2" borderId="20" xfId="44" applyFill="1" applyBorder="1"/>
    <xf numFmtId="0" fontId="1" fillId="2" borderId="0" xfId="44" applyFont="1" applyFill="1" applyBorder="1" applyAlignment="1">
      <alignment horizontal="left"/>
    </xf>
    <xf numFmtId="0" fontId="17" fillId="5" borderId="4" xfId="44" applyFont="1" applyFill="1" applyBorder="1" applyAlignment="1">
      <alignment vertical="center"/>
    </xf>
    <xf numFmtId="0" fontId="1" fillId="2" borderId="5" xfId="44" applyFont="1" applyFill="1" applyBorder="1"/>
    <xf numFmtId="0" fontId="1" fillId="2" borderId="6" xfId="44" applyFill="1" applyBorder="1"/>
    <xf numFmtId="0" fontId="1" fillId="2" borderId="2" xfId="44" applyFill="1" applyBorder="1"/>
    <xf numFmtId="0" fontId="4" fillId="2" borderId="16" xfId="44" applyFont="1" applyFill="1" applyBorder="1"/>
    <xf numFmtId="0" fontId="8" fillId="2" borderId="0" xfId="44" applyFont="1" applyFill="1" applyBorder="1"/>
    <xf numFmtId="0" fontId="1" fillId="2" borderId="25" xfId="44" applyFill="1" applyBorder="1"/>
    <xf numFmtId="0" fontId="1" fillId="6" borderId="0" xfId="44" applyFill="1" applyBorder="1"/>
    <xf numFmtId="0" fontId="1" fillId="7" borderId="0" xfId="44" applyFill="1" applyBorder="1"/>
    <xf numFmtId="0" fontId="1" fillId="8" borderId="0" xfId="44" applyFill="1" applyBorder="1"/>
    <xf numFmtId="0" fontId="1" fillId="9" borderId="0" xfId="44" applyFill="1" applyBorder="1"/>
    <xf numFmtId="0" fontId="1" fillId="2" borderId="16" xfId="44" applyFill="1" applyBorder="1"/>
    <xf numFmtId="0" fontId="1" fillId="10" borderId="0" xfId="44" applyFill="1" applyBorder="1"/>
    <xf numFmtId="0" fontId="1" fillId="11" borderId="0" xfId="44" applyFill="1" applyBorder="1"/>
    <xf numFmtId="0" fontId="1" fillId="12" borderId="0" xfId="44" applyFill="1" applyBorder="1"/>
    <xf numFmtId="0" fontId="1" fillId="13" borderId="0" xfId="44" applyFill="1" applyBorder="1"/>
    <xf numFmtId="0" fontId="1" fillId="2" borderId="4" xfId="44" applyFill="1" applyBorder="1"/>
    <xf numFmtId="0" fontId="1"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1" fillId="2" borderId="0" xfId="44" applyFill="1" applyAlignment="1">
      <alignment wrapText="1"/>
    </xf>
    <xf numFmtId="0" fontId="17" fillId="5" borderId="1" xfId="44" applyFont="1" applyFill="1" applyBorder="1" applyAlignment="1">
      <alignment vertical="top"/>
    </xf>
    <xf numFmtId="0" fontId="4" fillId="2" borderId="2" xfId="44" applyFont="1" applyFill="1" applyBorder="1" applyAlignment="1">
      <alignment wrapText="1"/>
    </xf>
    <xf numFmtId="0" fontId="4" fillId="2" borderId="3" xfId="44" applyFont="1" applyFill="1" applyBorder="1" applyAlignment="1">
      <alignment vertical="top"/>
    </xf>
    <xf numFmtId="0" fontId="17" fillId="5" borderId="16" xfId="44" applyFont="1" applyFill="1" applyBorder="1" applyAlignment="1">
      <alignment vertical="top"/>
    </xf>
    <xf numFmtId="0" fontId="4" fillId="2" borderId="0" xfId="44" applyFont="1" applyFill="1" applyBorder="1" applyAlignment="1">
      <alignment wrapText="1"/>
    </xf>
    <xf numFmtId="0" fontId="4" fillId="2" borderId="20" xfId="44" applyFont="1" applyFill="1" applyBorder="1" applyAlignment="1">
      <alignment vertical="top"/>
    </xf>
    <xf numFmtId="166" fontId="15" fillId="0" borderId="16" xfId="44" applyNumberFormat="1" applyFont="1" applyFill="1" applyBorder="1" applyAlignment="1">
      <alignment horizontal="left" vertical="top"/>
    </xf>
    <xf numFmtId="0" fontId="1" fillId="0" borderId="0" xfId="44" applyFont="1" applyFill="1" applyBorder="1" applyAlignment="1">
      <alignment wrapText="1"/>
    </xf>
    <xf numFmtId="2" fontId="1" fillId="0" borderId="20" xfId="44" applyNumberFormat="1" applyFill="1" applyBorder="1" applyAlignment="1">
      <alignment vertical="top"/>
    </xf>
    <xf numFmtId="166" fontId="1" fillId="0" borderId="16" xfId="44" applyNumberFormat="1" applyFont="1" applyFill="1" applyBorder="1" applyAlignment="1">
      <alignment horizontal="left" vertical="top"/>
    </xf>
    <xf numFmtId="166" fontId="1" fillId="0" borderId="16" xfId="44" applyNumberFormat="1" applyFill="1" applyBorder="1" applyAlignment="1">
      <alignment horizontal="left" vertical="top"/>
    </xf>
    <xf numFmtId="0" fontId="1" fillId="0" borderId="0" xfId="44" applyFill="1" applyBorder="1" applyAlignment="1">
      <alignment wrapText="1"/>
    </xf>
    <xf numFmtId="0" fontId="1" fillId="0" borderId="16" xfId="44" applyFill="1" applyBorder="1" applyAlignment="1">
      <alignment vertical="top"/>
    </xf>
    <xf numFmtId="166" fontId="15" fillId="0" borderId="16" xfId="44" applyNumberFormat="1" applyFont="1" applyBorder="1" applyAlignment="1">
      <alignment horizontal="left" vertical="top"/>
    </xf>
    <xf numFmtId="0" fontId="15" fillId="0" borderId="0" xfId="44" applyFont="1" applyAlignment="1">
      <alignment wrapText="1"/>
    </xf>
    <xf numFmtId="2" fontId="15" fillId="0" borderId="20" xfId="44" applyNumberFormat="1" applyFont="1" applyBorder="1" applyAlignment="1">
      <alignment vertical="top"/>
    </xf>
    <xf numFmtId="166" fontId="1" fillId="0" borderId="4" xfId="44" applyNumberFormat="1" applyFill="1" applyBorder="1" applyAlignment="1">
      <alignment horizontal="left" vertical="top"/>
    </xf>
    <xf numFmtId="0" fontId="1" fillId="0" borderId="5" xfId="44" applyFill="1" applyBorder="1" applyAlignment="1">
      <alignment wrapText="1"/>
    </xf>
    <xf numFmtId="2" fontId="1" fillId="0" borderId="6" xfId="44" applyNumberFormat="1" applyFill="1" applyBorder="1" applyAlignment="1">
      <alignment vertical="top"/>
    </xf>
    <xf numFmtId="0" fontId="1" fillId="2" borderId="0" xfId="44" applyFill="1" applyAlignment="1">
      <alignment vertical="top"/>
    </xf>
    <xf numFmtId="2" fontId="1" fillId="2" borderId="0" xfId="44" applyNumberFormat="1" applyFill="1" applyAlignment="1">
      <alignment vertical="top"/>
    </xf>
    <xf numFmtId="0" fontId="0" fillId="0" borderId="0" xfId="44" applyFont="1" applyFill="1" applyBorder="1" applyAlignment="1">
      <alignment wrapText="1"/>
    </xf>
    <xf numFmtId="164" fontId="1" fillId="2" borderId="0" xfId="44" applyNumberFormat="1" applyFill="1" applyBorder="1" applyAlignment="1">
      <alignment horizontal="left"/>
    </xf>
    <xf numFmtId="0" fontId="8" fillId="2" borderId="0" xfId="0" applyFont="1" applyFill="1"/>
    <xf numFmtId="10" fontId="0" fillId="0" borderId="0" xfId="45" applyNumberFormat="1" applyFont="1"/>
    <xf numFmtId="10" fontId="0" fillId="0" borderId="0" xfId="0" applyNumberFormat="1"/>
    <xf numFmtId="0" fontId="4" fillId="0" borderId="0" xfId="0" applyFont="1"/>
    <xf numFmtId="0" fontId="8" fillId="0" borderId="0" xfId="0" applyFont="1"/>
    <xf numFmtId="0" fontId="0" fillId="0" borderId="0" xfId="0" applyBorder="1"/>
    <xf numFmtId="3" fontId="0" fillId="0" borderId="0" xfId="0" applyNumberFormat="1" applyFont="1" applyFill="1" applyBorder="1" applyAlignment="1">
      <alignment vertical="top" wrapText="1"/>
    </xf>
    <xf numFmtId="2" fontId="3" fillId="0" borderId="0" xfId="0" applyNumberFormat="1" applyFont="1"/>
    <xf numFmtId="4" fontId="3" fillId="2" borderId="10" xfId="0" applyNumberFormat="1" applyFont="1" applyFill="1" applyBorder="1" applyAlignment="1">
      <alignment horizontal="left"/>
    </xf>
    <xf numFmtId="0" fontId="18" fillId="2" borderId="0" xfId="0" applyFont="1" applyFill="1"/>
    <xf numFmtId="167" fontId="0" fillId="0" borderId="0" xfId="0" applyNumberFormat="1"/>
    <xf numFmtId="49" fontId="0" fillId="2" borderId="0" xfId="0" applyNumberFormat="1" applyFill="1" applyBorder="1"/>
    <xf numFmtId="2" fontId="0" fillId="2" borderId="0" xfId="0" applyNumberFormat="1" applyFill="1" applyBorder="1"/>
    <xf numFmtId="2" fontId="0" fillId="2" borderId="11" xfId="0" applyNumberFormat="1" applyFill="1" applyBorder="1"/>
    <xf numFmtId="0" fontId="4" fillId="2" borderId="26" xfId="0" applyFont="1" applyFill="1" applyBorder="1" applyAlignment="1">
      <alignment wrapText="1"/>
    </xf>
    <xf numFmtId="1" fontId="0" fillId="2" borderId="0" xfId="0" applyNumberFormat="1" applyFill="1" applyBorder="1"/>
    <xf numFmtId="1" fontId="4" fillId="2" borderId="22" xfId="0" applyNumberFormat="1" applyFont="1" applyFill="1" applyBorder="1"/>
    <xf numFmtId="0" fontId="0" fillId="2" borderId="7" xfId="0" applyFont="1" applyFill="1" applyBorder="1"/>
    <xf numFmtId="0" fontId="0" fillId="2" borderId="9" xfId="0" applyFont="1" applyFill="1" applyBorder="1" applyAlignment="1">
      <alignment wrapText="1"/>
    </xf>
    <xf numFmtId="0" fontId="0" fillId="2" borderId="0" xfId="0" applyFont="1" applyFill="1" applyBorder="1" applyAlignment="1">
      <alignment wrapText="1"/>
    </xf>
    <xf numFmtId="0" fontId="0" fillId="2" borderId="8" xfId="0" applyFont="1" applyFill="1" applyBorder="1" applyAlignment="1">
      <alignment wrapText="1"/>
    </xf>
    <xf numFmtId="0" fontId="0" fillId="2" borderId="12" xfId="0" applyFont="1" applyFill="1" applyBorder="1"/>
    <xf numFmtId="0" fontId="13" fillId="2" borderId="0" xfId="120" applyFill="1"/>
    <xf numFmtId="0" fontId="0" fillId="2" borderId="25" xfId="0" applyFill="1" applyBorder="1"/>
    <xf numFmtId="2" fontId="0" fillId="2" borderId="25" xfId="0" applyNumberFormat="1" applyFill="1" applyBorder="1"/>
    <xf numFmtId="0" fontId="0" fillId="2" borderId="5" xfId="0" applyFont="1" applyFill="1" applyBorder="1" applyAlignment="1">
      <alignment wrapText="1"/>
    </xf>
    <xf numFmtId="49" fontId="0" fillId="2" borderId="13" xfId="0" applyNumberFormat="1" applyFont="1" applyFill="1" applyBorder="1" applyAlignment="1">
      <alignment wrapText="1"/>
    </xf>
    <xf numFmtId="0" fontId="0" fillId="0" borderId="25" xfId="0" applyFill="1" applyBorder="1"/>
    <xf numFmtId="4" fontId="0" fillId="0" borderId="25" xfId="0" applyNumberFormat="1" applyFont="1" applyFill="1" applyBorder="1" applyAlignment="1">
      <alignment vertical="top" wrapText="1"/>
    </xf>
    <xf numFmtId="0" fontId="4" fillId="2" borderId="8" xfId="0" applyFont="1" applyFill="1" applyBorder="1"/>
    <xf numFmtId="0" fontId="7" fillId="2" borderId="10" xfId="0" applyFont="1" applyFill="1" applyBorder="1"/>
    <xf numFmtId="2" fontId="0" fillId="2" borderId="22" xfId="0" applyNumberFormat="1" applyFill="1" applyBorder="1"/>
    <xf numFmtId="0" fontId="4" fillId="2" borderId="27" xfId="0" applyFont="1" applyFill="1" applyBorder="1"/>
    <xf numFmtId="0" fontId="4" fillId="2" borderId="26" xfId="0" applyFont="1" applyFill="1" applyBorder="1"/>
    <xf numFmtId="0" fontId="0" fillId="2" borderId="30" xfId="0" applyFont="1" applyFill="1" applyBorder="1" applyAlignment="1">
      <alignment wrapText="1"/>
    </xf>
    <xf numFmtId="0" fontId="0" fillId="2" borderId="6" xfId="0" applyFont="1" applyFill="1" applyBorder="1" applyAlignment="1">
      <alignment wrapText="1"/>
    </xf>
    <xf numFmtId="2" fontId="0" fillId="2" borderId="20" xfId="0" applyNumberFormat="1" applyFill="1" applyBorder="1"/>
    <xf numFmtId="1" fontId="0" fillId="2" borderId="20" xfId="0" applyNumberFormat="1" applyFill="1" applyBorder="1"/>
    <xf numFmtId="2" fontId="0" fillId="2" borderId="31" xfId="0" applyNumberFormat="1" applyFill="1" applyBorder="1"/>
    <xf numFmtId="167" fontId="0" fillId="2" borderId="10" xfId="0" applyNumberFormat="1" applyFill="1" applyBorder="1"/>
    <xf numFmtId="9" fontId="0" fillId="2" borderId="0" xfId="1" applyFont="1" applyFill="1"/>
    <xf numFmtId="11" fontId="0" fillId="2" borderId="0" xfId="0" applyNumberFormat="1" applyFill="1"/>
    <xf numFmtId="165" fontId="0" fillId="2" borderId="0" xfId="0" applyNumberFormat="1" applyFill="1"/>
    <xf numFmtId="3" fontId="16" fillId="4" borderId="25" xfId="13" applyNumberFormat="1" applyBorder="1"/>
    <xf numFmtId="4" fontId="16" fillId="4" borderId="32" xfId="13" applyNumberFormat="1" applyBorder="1"/>
    <xf numFmtId="0" fontId="7" fillId="0" borderId="1" xfId="0" applyFont="1" applyFill="1" applyBorder="1"/>
    <xf numFmtId="0" fontId="7" fillId="0" borderId="16" xfId="0" applyFont="1" applyFill="1" applyBorder="1"/>
    <xf numFmtId="0" fontId="7" fillId="0" borderId="4" xfId="0" applyFont="1" applyFill="1" applyBorder="1"/>
    <xf numFmtId="168" fontId="0" fillId="2" borderId="0" xfId="0" applyNumberFormat="1" applyFill="1"/>
    <xf numFmtId="167" fontId="0" fillId="2" borderId="0" xfId="0" applyNumberFormat="1" applyFill="1"/>
    <xf numFmtId="2" fontId="0" fillId="2" borderId="0" xfId="0" applyNumberFormat="1" applyFill="1"/>
    <xf numFmtId="164" fontId="0" fillId="2" borderId="0" xfId="0" applyNumberFormat="1" applyFill="1"/>
    <xf numFmtId="10" fontId="0" fillId="2" borderId="0" xfId="0" applyNumberFormat="1" applyFill="1"/>
    <xf numFmtId="9" fontId="0" fillId="2" borderId="0" xfId="0" applyNumberFormat="1" applyFill="1"/>
    <xf numFmtId="2" fontId="4" fillId="2" borderId="0" xfId="0" applyNumberFormat="1" applyFont="1" applyFill="1"/>
    <xf numFmtId="4" fontId="4" fillId="2" borderId="0" xfId="0" applyNumberFormat="1" applyFont="1" applyFill="1"/>
    <xf numFmtId="0" fontId="4" fillId="2" borderId="28" xfId="0" applyFont="1" applyFill="1" applyBorder="1"/>
    <xf numFmtId="0" fontId="0" fillId="2" borderId="33" xfId="0" applyFill="1" applyBorder="1"/>
    <xf numFmtId="0" fontId="7" fillId="2" borderId="34" xfId="0" applyFont="1" applyFill="1" applyBorder="1"/>
    <xf numFmtId="0" fontId="0" fillId="0" borderId="29" xfId="0" applyFill="1" applyBorder="1"/>
    <xf numFmtId="0" fontId="0" fillId="0" borderId="0" xfId="0" applyFill="1" applyBorder="1"/>
    <xf numFmtId="0" fontId="0" fillId="0" borderId="11" xfId="0" applyFill="1" applyBorder="1"/>
    <xf numFmtId="169" fontId="0" fillId="0" borderId="25" xfId="0" applyNumberFormat="1" applyFont="1" applyFill="1" applyBorder="1" applyAlignment="1">
      <alignment horizontal="right"/>
    </xf>
    <xf numFmtId="0" fontId="0" fillId="0" borderId="10" xfId="0" applyFill="1" applyBorder="1"/>
    <xf numFmtId="167" fontId="0" fillId="0" borderId="10" xfId="0" applyNumberFormat="1" applyFill="1" applyBorder="1"/>
    <xf numFmtId="3" fontId="15" fillId="0" borderId="25" xfId="0" applyNumberFormat="1" applyFont="1" applyFill="1" applyBorder="1"/>
    <xf numFmtId="0" fontId="0" fillId="0" borderId="21" xfId="0" applyFill="1" applyBorder="1"/>
    <xf numFmtId="0" fontId="0" fillId="0" borderId="22" xfId="0" applyFill="1" applyBorder="1"/>
    <xf numFmtId="0" fontId="0" fillId="0" borderId="24" xfId="0" applyFill="1" applyBorder="1"/>
    <xf numFmtId="2" fontId="15" fillId="0" borderId="0" xfId="0" applyNumberFormat="1" applyFont="1" applyFill="1" applyBorder="1"/>
    <xf numFmtId="4" fontId="8" fillId="0" borderId="0" xfId="0" applyNumberFormat="1" applyFont="1" applyFill="1" applyBorder="1"/>
    <xf numFmtId="2" fontId="3" fillId="0" borderId="0" xfId="0" applyNumberFormat="1" applyFont="1" applyFill="1" applyBorder="1"/>
    <xf numFmtId="9" fontId="0" fillId="0" borderId="11" xfId="1" applyFont="1" applyFill="1" applyBorder="1"/>
    <xf numFmtId="2" fontId="0" fillId="0" borderId="22" xfId="0" applyNumberFormat="1" applyFill="1" applyBorder="1"/>
    <xf numFmtId="9" fontId="0" fillId="0" borderId="24" xfId="1" applyFont="1" applyFill="1" applyBorder="1"/>
    <xf numFmtId="0" fontId="19" fillId="2" borderId="12" xfId="0" applyFont="1" applyFill="1" applyBorder="1"/>
    <xf numFmtId="0" fontId="19" fillId="2" borderId="5" xfId="0" applyFont="1" applyFill="1" applyBorder="1"/>
    <xf numFmtId="0" fontId="19" fillId="2" borderId="13" xfId="0" applyFont="1" applyFill="1" applyBorder="1"/>
    <xf numFmtId="0" fontId="20" fillId="0" borderId="29" xfId="0" applyFont="1" applyFill="1" applyBorder="1"/>
    <xf numFmtId="0" fontId="20" fillId="0" borderId="0" xfId="0" applyFont="1" applyFill="1" applyBorder="1"/>
    <xf numFmtId="0" fontId="20" fillId="0" borderId="11" xfId="0" applyFont="1" applyFill="1" applyBorder="1"/>
    <xf numFmtId="169" fontId="20" fillId="0" borderId="25" xfId="0" applyNumberFormat="1" applyFont="1" applyFill="1" applyBorder="1" applyAlignment="1">
      <alignment horizontal="right"/>
    </xf>
    <xf numFmtId="0" fontId="20" fillId="0" borderId="10" xfId="0" applyFont="1" applyFill="1" applyBorder="1"/>
    <xf numFmtId="3" fontId="20" fillId="0" borderId="25" xfId="0" applyNumberFormat="1" applyFont="1" applyFill="1" applyBorder="1"/>
    <xf numFmtId="11" fontId="20" fillId="0" borderId="11" xfId="0" applyNumberFormat="1" applyFont="1" applyFill="1" applyBorder="1"/>
    <xf numFmtId="9" fontId="20" fillId="0" borderId="11" xfId="1" applyFont="1" applyFill="1" applyBorder="1"/>
    <xf numFmtId="0" fontId="20" fillId="0" borderId="21" xfId="0" applyFont="1" applyFill="1" applyBorder="1"/>
    <xf numFmtId="0" fontId="20" fillId="0" borderId="22" xfId="0" applyFont="1" applyFill="1" applyBorder="1"/>
    <xf numFmtId="0" fontId="20" fillId="0" borderId="24" xfId="0" applyFont="1" applyFill="1" applyBorder="1"/>
    <xf numFmtId="168" fontId="0" fillId="2" borderId="25" xfId="0" applyNumberFormat="1" applyFill="1" applyBorder="1"/>
    <xf numFmtId="0" fontId="21" fillId="0" borderId="0" xfId="0" applyFont="1"/>
    <xf numFmtId="10" fontId="21" fillId="0" borderId="0" xfId="0" applyNumberFormat="1" applyFont="1"/>
    <xf numFmtId="170" fontId="0" fillId="2" borderId="0" xfId="0" applyNumberFormat="1" applyFill="1"/>
    <xf numFmtId="167" fontId="0" fillId="2" borderId="25" xfId="0" applyNumberFormat="1" applyFill="1" applyBorder="1"/>
    <xf numFmtId="173" fontId="0" fillId="2" borderId="0" xfId="0" applyNumberFormat="1" applyFill="1"/>
    <xf numFmtId="171" fontId="3" fillId="2" borderId="10" xfId="0" applyNumberFormat="1" applyFont="1" applyFill="1" applyBorder="1" applyAlignment="1">
      <alignment horizontal="left"/>
    </xf>
    <xf numFmtId="172" fontId="3" fillId="2" borderId="10" xfId="0" applyNumberFormat="1" applyFont="1" applyFill="1" applyBorder="1" applyAlignment="1">
      <alignment horizontal="left"/>
    </xf>
    <xf numFmtId="174" fontId="0" fillId="2" borderId="0" xfId="0" applyNumberFormat="1" applyFill="1"/>
    <xf numFmtId="167" fontId="0" fillId="2" borderId="0" xfId="0" applyNumberFormat="1" applyFill="1" applyBorder="1"/>
    <xf numFmtId="167" fontId="3" fillId="2" borderId="11" xfId="0" applyNumberFormat="1" applyFont="1" applyFill="1" applyBorder="1"/>
    <xf numFmtId="2" fontId="18" fillId="2" borderId="0" xfId="0" applyNumberFormat="1" applyFont="1" applyFill="1" applyBorder="1"/>
    <xf numFmtId="167" fontId="0" fillId="2" borderId="11" xfId="0" applyNumberFormat="1" applyFill="1" applyBorder="1"/>
    <xf numFmtId="2" fontId="4" fillId="2" borderId="0" xfId="0" applyNumberFormat="1" applyFont="1" applyFill="1" applyBorder="1"/>
    <xf numFmtId="0" fontId="4" fillId="2" borderId="5" xfId="0" applyFont="1" applyFill="1" applyBorder="1" applyAlignment="1">
      <alignment vertical="center" wrapText="1"/>
    </xf>
    <xf numFmtId="0" fontId="0" fillId="2" borderId="12" xfId="0" applyFill="1" applyBorder="1"/>
    <xf numFmtId="0" fontId="4" fillId="2" borderId="13" xfId="0" applyFont="1" applyFill="1" applyBorder="1" applyAlignment="1">
      <alignment vertical="center" wrapText="1"/>
    </xf>
    <xf numFmtId="167" fontId="0" fillId="2" borderId="22" xfId="0" applyNumberFormat="1" applyFill="1" applyBorder="1"/>
    <xf numFmtId="167" fontId="0" fillId="2" borderId="24" xfId="0" applyNumberFormat="1" applyFill="1" applyBorder="1"/>
    <xf numFmtId="2" fontId="4" fillId="2" borderId="11" xfId="0" applyNumberFormat="1" applyFont="1" applyFill="1" applyBorder="1"/>
    <xf numFmtId="2" fontId="0" fillId="2" borderId="3" xfId="0" applyNumberFormat="1" applyFill="1" applyBorder="1"/>
    <xf numFmtId="49" fontId="0" fillId="2" borderId="5" xfId="0" applyNumberFormat="1" applyFill="1" applyBorder="1"/>
    <xf numFmtId="49" fontId="0" fillId="2" borderId="0" xfId="0" applyNumberFormat="1" applyFill="1" applyBorder="1" applyAlignment="1">
      <alignment wrapText="1"/>
    </xf>
    <xf numFmtId="0" fontId="0" fillId="2" borderId="0" xfId="0" applyFill="1" applyBorder="1" applyAlignment="1">
      <alignment wrapText="1"/>
    </xf>
    <xf numFmtId="0" fontId="0" fillId="2" borderId="5" xfId="0" applyFill="1" applyBorder="1" applyAlignment="1">
      <alignment wrapText="1"/>
    </xf>
    <xf numFmtId="0" fontId="0" fillId="2" borderId="13" xfId="0" applyFill="1" applyBorder="1" applyAlignment="1">
      <alignment wrapText="1"/>
    </xf>
    <xf numFmtId="10" fontId="0" fillId="2" borderId="0" xfId="1" applyNumberFormat="1" applyFont="1" applyFill="1"/>
    <xf numFmtId="175" fontId="0" fillId="2" borderId="0" xfId="1" applyNumberFormat="1" applyFont="1" applyFill="1"/>
    <xf numFmtId="176" fontId="0" fillId="2" borderId="0" xfId="0" applyNumberFormat="1" applyFill="1"/>
    <xf numFmtId="10" fontId="3" fillId="2" borderId="11" xfId="1" applyNumberFormat="1" applyFont="1" applyFill="1" applyBorder="1"/>
    <xf numFmtId="4" fontId="4" fillId="2" borderId="11" xfId="0" applyNumberFormat="1" applyFont="1" applyFill="1" applyBorder="1"/>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9" fillId="2" borderId="7" xfId="0" applyFont="1" applyFill="1" applyBorder="1" applyAlignment="1">
      <alignment horizontal="center"/>
    </xf>
    <xf numFmtId="0" fontId="19" fillId="2" borderId="8" xfId="0" applyFont="1" applyFill="1" applyBorder="1" applyAlignment="1">
      <alignment horizontal="center"/>
    </xf>
    <xf numFmtId="0" fontId="19" fillId="2" borderId="9"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0" fillId="0" borderId="25" xfId="0" applyBorder="1"/>
    <xf numFmtId="0" fontId="0" fillId="0" borderId="35" xfId="0" applyBorder="1"/>
    <xf numFmtId="0" fontId="0" fillId="0" borderId="11" xfId="0" applyBorder="1"/>
    <xf numFmtId="0" fontId="0" fillId="0" borderId="29" xfId="0" applyBorder="1"/>
    <xf numFmtId="10" fontId="0" fillId="0" borderId="0" xfId="1" applyNumberFormat="1" applyFont="1"/>
  </cellXfs>
  <cellStyles count="123">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2"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cellStyle name="Input cel" xfId="2" xr:uid="{00000000-0005-0000-0000-000072000000}"/>
    <cellStyle name="Normal" xfId="0" builtinId="0"/>
    <cellStyle name="Normal 2" xfId="3" xr:uid="{00000000-0005-0000-0000-000074000000}"/>
    <cellStyle name="Normal 2 2" xfId="44" xr:uid="{00000000-0005-0000-0000-000075000000}"/>
    <cellStyle name="Percent" xfId="1" builtinId="5"/>
    <cellStyle name="Percent 2" xfId="4" xr:uid="{00000000-0005-0000-0000-000077000000}"/>
    <cellStyle name="Percent 3" xfId="5" xr:uid="{00000000-0005-0000-0000-000078000000}"/>
    <cellStyle name="Percent 4" xfId="45" xr:uid="{00000000-0005-0000-0000-000079000000}"/>
    <cellStyle name="Warning Text 3" xfId="6" xr:uid="{00000000-0005-0000-0000-00007A000000}"/>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10</xdr:col>
      <xdr:colOff>685800</xdr:colOff>
      <xdr:row>21</xdr:row>
      <xdr:rowOff>88900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651000" y="812800"/>
          <a:ext cx="8191500" cy="3543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266700</xdr:colOff>
      <xdr:row>1</xdr:row>
      <xdr:rowOff>139700</xdr:rowOff>
    </xdr:from>
    <xdr:to>
      <xdr:col>13</xdr:col>
      <xdr:colOff>12217</xdr:colOff>
      <xdr:row>20</xdr:row>
      <xdr:rowOff>63500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5029200" y="342900"/>
          <a:ext cx="7949717" cy="3784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190500</xdr:colOff>
      <xdr:row>3</xdr:row>
      <xdr:rowOff>63500</xdr:rowOff>
    </xdr:from>
    <xdr:to>
      <xdr:col>4</xdr:col>
      <xdr:colOff>2717800</xdr:colOff>
      <xdr:row>17</xdr:row>
      <xdr:rowOff>38100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90500" y="635000"/>
          <a:ext cx="8420100" cy="2641600"/>
        </a:xfrm>
        <a:prstGeom prst="rect">
          <a:avLst/>
        </a:prstGeom>
      </xdr:spPr>
    </xdr:pic>
    <xdr:clientData/>
  </xdr:twoCellAnchor>
  <xdr:twoCellAnchor editAs="oneCell">
    <xdr:from>
      <xdr:col>6</xdr:col>
      <xdr:colOff>990600</xdr:colOff>
      <xdr:row>10</xdr:row>
      <xdr:rowOff>201836</xdr:rowOff>
    </xdr:from>
    <xdr:to>
      <xdr:col>14</xdr:col>
      <xdr:colOff>457200</xdr:colOff>
      <xdr:row>29</xdr:row>
      <xdr:rowOff>139700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3093700" y="2233836"/>
          <a:ext cx="6743700" cy="38621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321733</xdr:colOff>
      <xdr:row>5</xdr:row>
      <xdr:rowOff>135466</xdr:rowOff>
    </xdr:from>
    <xdr:to>
      <xdr:col>16</xdr:col>
      <xdr:colOff>385945</xdr:colOff>
      <xdr:row>14</xdr:row>
      <xdr:rowOff>403906</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a:stretch>
          <a:fillRect/>
        </a:stretch>
      </xdr:blipFill>
      <xdr:spPr>
        <a:xfrm>
          <a:off x="11954933" y="1168399"/>
          <a:ext cx="13360400" cy="2447707"/>
        </a:xfrm>
        <a:prstGeom prst="rect">
          <a:avLst/>
        </a:prstGeom>
      </xdr:spPr>
    </xdr:pic>
    <xdr:clientData/>
  </xdr:twoCellAnchor>
  <xdr:twoCellAnchor editAs="oneCell">
    <xdr:from>
      <xdr:col>14</xdr:col>
      <xdr:colOff>0</xdr:colOff>
      <xdr:row>21</xdr:row>
      <xdr:rowOff>0</xdr:rowOff>
    </xdr:from>
    <xdr:to>
      <xdr:col>14</xdr:col>
      <xdr:colOff>4538133</xdr:colOff>
      <xdr:row>25</xdr:row>
      <xdr:rowOff>171824</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
        <a:stretch>
          <a:fillRect/>
        </a:stretch>
      </xdr:blipFill>
      <xdr:spPr>
        <a:xfrm>
          <a:off x="11633200" y="4334933"/>
          <a:ext cx="4559300" cy="1003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203200</xdr:colOff>
      <xdr:row>0</xdr:row>
      <xdr:rowOff>0</xdr:rowOff>
    </xdr:from>
    <xdr:to>
      <xdr:col>16</xdr:col>
      <xdr:colOff>482600</xdr:colOff>
      <xdr:row>23</xdr:row>
      <xdr:rowOff>49407</xdr:rowOff>
    </xdr:to>
    <xdr:pic>
      <xdr:nvPicPr>
        <xdr:cNvPr id="2" name="Picture 1">
          <a:extLst>
            <a:ext uri="{FF2B5EF4-FFF2-40B4-BE49-F238E27FC236}">
              <a16:creationId xmlns:a16="http://schemas.microsoft.com/office/drawing/2014/main" id="{BA4A4F26-4B90-CD4F-B98B-1DC186763CC6}"/>
            </a:ext>
          </a:extLst>
        </xdr:cNvPr>
        <xdr:cNvPicPr>
          <a:picLocks noChangeAspect="1"/>
        </xdr:cNvPicPr>
      </xdr:nvPicPr>
      <xdr:blipFill>
        <a:blip xmlns:r="http://schemas.openxmlformats.org/officeDocument/2006/relationships" r:embed="rId1"/>
        <a:stretch>
          <a:fillRect/>
        </a:stretch>
      </xdr:blipFill>
      <xdr:spPr>
        <a:xfrm>
          <a:off x="8661400" y="0"/>
          <a:ext cx="7708900" cy="4875407"/>
        </a:xfrm>
        <a:prstGeom prst="rect">
          <a:avLst/>
        </a:prstGeom>
      </xdr:spPr>
    </xdr:pic>
    <xdr:clientData/>
  </xdr:twoCellAnchor>
  <xdr:twoCellAnchor editAs="oneCell">
    <xdr:from>
      <xdr:col>5</xdr:col>
      <xdr:colOff>101600</xdr:colOff>
      <xdr:row>26</xdr:row>
      <xdr:rowOff>12700</xdr:rowOff>
    </xdr:from>
    <xdr:to>
      <xdr:col>19</xdr:col>
      <xdr:colOff>25400</xdr:colOff>
      <xdr:row>36</xdr:row>
      <xdr:rowOff>190500</xdr:rowOff>
    </xdr:to>
    <xdr:pic>
      <xdr:nvPicPr>
        <xdr:cNvPr id="3" name="Picture 2">
          <a:extLst>
            <a:ext uri="{FF2B5EF4-FFF2-40B4-BE49-F238E27FC236}">
              <a16:creationId xmlns:a16="http://schemas.microsoft.com/office/drawing/2014/main" id="{7D1FE90F-2FEF-4046-9F4D-5C99FDA797D1}"/>
            </a:ext>
          </a:extLst>
        </xdr:cNvPr>
        <xdr:cNvPicPr>
          <a:picLocks noChangeAspect="1"/>
        </xdr:cNvPicPr>
      </xdr:nvPicPr>
      <xdr:blipFill>
        <a:blip xmlns:r="http://schemas.openxmlformats.org/officeDocument/2006/relationships" r:embed="rId2"/>
        <a:stretch>
          <a:fillRect/>
        </a:stretch>
      </xdr:blipFill>
      <xdr:spPr>
        <a:xfrm>
          <a:off x="5702300" y="5448300"/>
          <a:ext cx="12687300" cy="2209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tatline.cbs.nl/Statweb/publication/?DM=SLNL&amp;PA=82380NED&amp;D1=2,5-6&amp;D2=a&amp;D3=1&amp;D4=21&amp;HDR=T&amp;STB=G2,G1,G3&amp;VW=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heetViews>
  <sheetFormatPr baseColWidth="10" defaultRowHeight="16"/>
  <cols>
    <col min="1" max="1" width="2.83203125" style="109" customWidth="1"/>
    <col min="2" max="2" width="14" style="109" customWidth="1"/>
    <col min="3" max="3" width="44" style="109" customWidth="1"/>
    <col min="4" max="4" width="9.33203125" style="109" customWidth="1"/>
    <col min="5" max="5" width="10.83203125" style="109"/>
    <col min="6" max="6" width="34.6640625" style="109" customWidth="1"/>
    <col min="7" max="7" width="4.5" style="109" customWidth="1"/>
    <col min="8" max="8" width="20.83203125" style="109" customWidth="1"/>
    <col min="9" max="16384" width="10.83203125" style="109"/>
  </cols>
  <sheetData>
    <row r="2" spans="2:8" ht="21">
      <c r="B2" s="108" t="s">
        <v>71</v>
      </c>
    </row>
    <row r="4" spans="2:8">
      <c r="B4" s="110" t="s">
        <v>72</v>
      </c>
      <c r="C4" s="136" t="s">
        <v>97</v>
      </c>
      <c r="D4" s="111"/>
      <c r="F4" s="112"/>
      <c r="G4" s="113"/>
      <c r="H4" s="112"/>
    </row>
    <row r="5" spans="2:8">
      <c r="B5" s="114" t="s">
        <v>73</v>
      </c>
      <c r="C5" s="162">
        <f>MAX(Changelog!D:D)</f>
        <v>2</v>
      </c>
      <c r="D5" s="116"/>
      <c r="F5" s="113"/>
      <c r="G5" s="113"/>
      <c r="H5" s="113"/>
    </row>
    <row r="6" spans="2:8">
      <c r="B6" s="114" t="s">
        <v>74</v>
      </c>
      <c r="C6" s="117" t="s">
        <v>75</v>
      </c>
      <c r="D6" s="116"/>
      <c r="F6" s="113"/>
      <c r="G6" s="113"/>
      <c r="H6" s="113"/>
    </row>
    <row r="7" spans="2:8">
      <c r="B7" s="114" t="s">
        <v>76</v>
      </c>
      <c r="C7" s="115">
        <v>2013</v>
      </c>
      <c r="D7" s="116"/>
      <c r="F7" s="113"/>
      <c r="G7" s="113"/>
      <c r="H7" s="113"/>
    </row>
    <row r="8" spans="2:8">
      <c r="B8" s="114" t="s">
        <v>77</v>
      </c>
      <c r="C8" s="137" t="s">
        <v>98</v>
      </c>
      <c r="D8" s="116"/>
      <c r="F8" s="113"/>
      <c r="G8" s="113"/>
      <c r="H8" s="113"/>
    </row>
    <row r="9" spans="2:8">
      <c r="B9" s="114" t="s">
        <v>78</v>
      </c>
      <c r="C9" s="138" t="s">
        <v>99</v>
      </c>
      <c r="D9" s="116"/>
      <c r="F9" s="113"/>
      <c r="G9" s="113"/>
      <c r="H9" s="113"/>
    </row>
    <row r="10" spans="2:8">
      <c r="B10" s="118" t="s">
        <v>79</v>
      </c>
      <c r="C10" s="119" t="s">
        <v>80</v>
      </c>
      <c r="D10" s="120"/>
      <c r="F10" s="113"/>
      <c r="G10" s="113"/>
      <c r="H10" s="113"/>
    </row>
    <row r="12" spans="2:8">
      <c r="B12" s="110" t="s">
        <v>81</v>
      </c>
      <c r="C12" s="121"/>
      <c r="D12" s="111"/>
    </row>
    <row r="13" spans="2:8">
      <c r="B13" s="122"/>
      <c r="C13" s="113"/>
      <c r="D13" s="116"/>
    </row>
    <row r="14" spans="2:8">
      <c r="B14" s="122" t="s">
        <v>82</v>
      </c>
      <c r="C14" s="123" t="s">
        <v>83</v>
      </c>
      <c r="D14" s="116"/>
    </row>
    <row r="15" spans="2:8" ht="17" thickBot="1">
      <c r="B15" s="122"/>
      <c r="C15" s="112" t="s">
        <v>84</v>
      </c>
      <c r="D15" s="116"/>
    </row>
    <row r="16" spans="2:8" ht="17" thickBot="1">
      <c r="B16" s="122"/>
      <c r="C16" s="124" t="s">
        <v>85</v>
      </c>
      <c r="D16" s="116"/>
    </row>
    <row r="17" spans="2:4">
      <c r="B17" s="122"/>
      <c r="C17" s="113" t="s">
        <v>86</v>
      </c>
      <c r="D17" s="116"/>
    </row>
    <row r="18" spans="2:4">
      <c r="B18" s="122"/>
      <c r="C18" s="113"/>
      <c r="D18" s="116"/>
    </row>
    <row r="19" spans="2:4">
      <c r="B19" s="122" t="s">
        <v>87</v>
      </c>
      <c r="C19" s="125" t="s">
        <v>88</v>
      </c>
      <c r="D19" s="116"/>
    </row>
    <row r="20" spans="2:4">
      <c r="B20" s="122"/>
      <c r="C20" s="126" t="s">
        <v>89</v>
      </c>
      <c r="D20" s="116"/>
    </row>
    <row r="21" spans="2:4">
      <c r="B21" s="122"/>
      <c r="C21" s="127" t="s">
        <v>90</v>
      </c>
      <c r="D21" s="116"/>
    </row>
    <row r="22" spans="2:4">
      <c r="B22" s="122"/>
      <c r="C22" s="128" t="s">
        <v>91</v>
      </c>
      <c r="D22" s="116"/>
    </row>
    <row r="23" spans="2:4">
      <c r="B23" s="129"/>
      <c r="C23" s="130" t="s">
        <v>92</v>
      </c>
      <c r="D23" s="116"/>
    </row>
    <row r="24" spans="2:4">
      <c r="B24" s="129"/>
      <c r="C24" s="131" t="s">
        <v>93</v>
      </c>
      <c r="D24" s="116"/>
    </row>
    <row r="25" spans="2:4">
      <c r="B25" s="129"/>
      <c r="C25" s="132" t="s">
        <v>94</v>
      </c>
      <c r="D25" s="116"/>
    </row>
    <row r="26" spans="2:4">
      <c r="B26" s="129"/>
      <c r="C26" s="133" t="s">
        <v>95</v>
      </c>
      <c r="D26" s="116"/>
    </row>
    <row r="27" spans="2:4">
      <c r="B27" s="134"/>
      <c r="C27" s="135"/>
      <c r="D27" s="120"/>
    </row>
    <row r="29" spans="2:4">
      <c r="B29" s="110" t="s">
        <v>96</v>
      </c>
      <c r="C29" s="121"/>
      <c r="D29" s="111"/>
    </row>
    <row r="30" spans="2:4">
      <c r="B30" s="283" t="s">
        <v>104</v>
      </c>
      <c r="C30" s="284"/>
      <c r="D30" s="285"/>
    </row>
    <row r="31" spans="2:4">
      <c r="B31" s="283"/>
      <c r="C31" s="284"/>
      <c r="D31" s="285"/>
    </row>
    <row r="32" spans="2:4">
      <c r="B32" s="283"/>
      <c r="C32" s="284"/>
      <c r="D32" s="285"/>
    </row>
    <row r="33" spans="2:4">
      <c r="B33" s="283"/>
      <c r="C33" s="284"/>
      <c r="D33" s="285"/>
    </row>
    <row r="34" spans="2:4">
      <c r="B34" s="283"/>
      <c r="C34" s="284"/>
      <c r="D34" s="285"/>
    </row>
    <row r="35" spans="2:4">
      <c r="B35" s="283"/>
      <c r="C35" s="284"/>
      <c r="D35" s="285"/>
    </row>
    <row r="36" spans="2:4">
      <c r="B36" s="283"/>
      <c r="C36" s="284"/>
      <c r="D36" s="285"/>
    </row>
    <row r="37" spans="2:4">
      <c r="B37" s="283"/>
      <c r="C37" s="284"/>
      <c r="D37" s="285"/>
    </row>
    <row r="38" spans="2:4">
      <c r="B38" s="283"/>
      <c r="C38" s="284"/>
      <c r="D38" s="285"/>
    </row>
    <row r="39" spans="2:4">
      <c r="B39" s="286"/>
      <c r="C39" s="287"/>
      <c r="D39" s="288"/>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BACF-BB73-7448-B383-B3DC2E3D1D63}">
  <sheetPr>
    <tabColor theme="8" tint="0.39997558519241921"/>
  </sheetPr>
  <dimension ref="A2:H39"/>
  <sheetViews>
    <sheetView tabSelected="1" workbookViewId="0">
      <selection activeCell="D11" sqref="D11:D15"/>
    </sheetView>
  </sheetViews>
  <sheetFormatPr baseColWidth="10" defaultRowHeight="16"/>
  <cols>
    <col min="1" max="1" width="21.33203125" customWidth="1"/>
    <col min="4" max="4" width="19.6640625" customWidth="1"/>
    <col min="6" max="6" width="26.33203125" customWidth="1"/>
    <col min="7" max="7" width="11.1640625" bestFit="1" customWidth="1"/>
  </cols>
  <sheetData>
    <row r="2" spans="1:7" ht="17" thickBot="1">
      <c r="B2" t="s">
        <v>216</v>
      </c>
      <c r="C2" t="s">
        <v>250</v>
      </c>
    </row>
    <row r="3" spans="1:7" ht="17" thickBot="1">
      <c r="A3" t="s">
        <v>244</v>
      </c>
      <c r="B3" s="298">
        <v>2662751</v>
      </c>
      <c r="C3" s="302">
        <f>ROUND(B3/$B$8,4)</f>
        <v>0.35270000000000001</v>
      </c>
    </row>
    <row r="4" spans="1:7" ht="17" thickBot="1">
      <c r="A4" s="300" t="s">
        <v>245</v>
      </c>
      <c r="B4" s="299">
        <v>975392</v>
      </c>
      <c r="C4" s="302">
        <f t="shared" ref="C4:C6" si="0">ROUND(B4/$B$8,4)</f>
        <v>0.12920000000000001</v>
      </c>
    </row>
    <row r="5" spans="1:7" ht="17" thickBot="1">
      <c r="A5" t="s">
        <v>246</v>
      </c>
      <c r="B5" s="298">
        <v>1011732</v>
      </c>
      <c r="C5" s="302">
        <f t="shared" si="0"/>
        <v>0.13400000000000001</v>
      </c>
    </row>
    <row r="6" spans="1:7" ht="17" thickBot="1">
      <c r="A6" t="s">
        <v>247</v>
      </c>
      <c r="B6" s="298">
        <v>663599</v>
      </c>
      <c r="C6" s="302">
        <f t="shared" si="0"/>
        <v>8.7900000000000006E-2</v>
      </c>
    </row>
    <row r="7" spans="1:7" ht="17" thickBot="1">
      <c r="A7" t="s">
        <v>248</v>
      </c>
      <c r="B7" s="301">
        <v>2237033</v>
      </c>
      <c r="C7" s="302">
        <f>1-SUM(C3:C6)</f>
        <v>0.29620000000000002</v>
      </c>
    </row>
    <row r="8" spans="1:7">
      <c r="A8" s="166" t="s">
        <v>249</v>
      </c>
      <c r="B8">
        <f>SUM(B3:B7)</f>
        <v>7550507</v>
      </c>
    </row>
    <row r="10" spans="1:7" ht="17" thickBot="1">
      <c r="B10" t="s">
        <v>210</v>
      </c>
      <c r="C10" t="s">
        <v>157</v>
      </c>
      <c r="D10" t="s">
        <v>253</v>
      </c>
      <c r="F10" t="s">
        <v>252</v>
      </c>
      <c r="G10">
        <f>31.65/1000000</f>
        <v>3.1649999999999997E-5</v>
      </c>
    </row>
    <row r="11" spans="1:7" ht="17" thickBot="1">
      <c r="A11" t="s">
        <v>244</v>
      </c>
      <c r="B11" s="298">
        <v>840</v>
      </c>
      <c r="C11">
        <f>B11*$G$10</f>
        <v>2.6585999999999999E-2</v>
      </c>
      <c r="D11">
        <f>ROUND(C11*'Applicance split'!$G$25,5)</f>
        <v>2.2120000000000001E-2</v>
      </c>
    </row>
    <row r="12" spans="1:7" ht="17" thickBot="1">
      <c r="A12" s="300" t="s">
        <v>245</v>
      </c>
      <c r="B12" s="299">
        <v>1430</v>
      </c>
      <c r="C12">
        <f t="shared" ref="C12:C15" si="1">B12*$G$10</f>
        <v>4.5259499999999994E-2</v>
      </c>
      <c r="D12">
        <f>ROUND(C12*'Applicance split'!$G$25,5)</f>
        <v>3.7650000000000003E-2</v>
      </c>
    </row>
    <row r="13" spans="1:7" ht="17" thickBot="1">
      <c r="A13" t="s">
        <v>246</v>
      </c>
      <c r="B13" s="298">
        <v>2210</v>
      </c>
      <c r="C13">
        <f t="shared" si="1"/>
        <v>6.9946499999999995E-2</v>
      </c>
      <c r="D13">
        <f>ROUND(C13*'Applicance split'!$G$25,5)</f>
        <v>5.8189999999999999E-2</v>
      </c>
    </row>
    <row r="14" spans="1:7" ht="17" thickBot="1">
      <c r="A14" t="s">
        <v>247</v>
      </c>
      <c r="B14" s="298">
        <v>1670</v>
      </c>
      <c r="C14">
        <f t="shared" si="1"/>
        <v>5.2855499999999993E-2</v>
      </c>
      <c r="D14">
        <f>ROUND(C14*'Applicance split'!$G$25,5)</f>
        <v>4.3970000000000002E-2</v>
      </c>
    </row>
    <row r="15" spans="1:7" ht="17" thickBot="1">
      <c r="A15" t="s">
        <v>248</v>
      </c>
      <c r="B15" s="301">
        <v>1190</v>
      </c>
      <c r="C15">
        <f t="shared" si="1"/>
        <v>3.7663499999999996E-2</v>
      </c>
      <c r="D15">
        <f>ROUND(C15*'Applicance split'!$G$25,5)</f>
        <v>3.1329999999999997E-2</v>
      </c>
    </row>
    <row r="16" spans="1:7">
      <c r="A16" s="166" t="s">
        <v>249</v>
      </c>
      <c r="B16">
        <f>SUM(B11:B15)</f>
        <v>7340</v>
      </c>
    </row>
    <row r="25" spans="8:8">
      <c r="H25" t="s">
        <v>254</v>
      </c>
    </row>
    <row r="39" spans="6:6">
      <c r="F39" t="s">
        <v>251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13"/>
  <sheetViews>
    <sheetView workbookViewId="0">
      <selection activeCell="B8" sqref="B8"/>
    </sheetView>
  </sheetViews>
  <sheetFormatPr baseColWidth="10" defaultRowHeight="16"/>
  <cols>
    <col min="1" max="1" width="10.83203125" style="109"/>
    <col min="2" max="2" width="18.6640625" style="109" customWidth="1"/>
    <col min="3" max="3" width="59.5" style="139" customWidth="1"/>
    <col min="4" max="16384" width="10.83203125" style="109"/>
  </cols>
  <sheetData>
    <row r="2" spans="2:4" ht="21">
      <c r="B2" s="108" t="s">
        <v>100</v>
      </c>
    </row>
    <row r="4" spans="2:4">
      <c r="B4" s="140" t="s">
        <v>77</v>
      </c>
      <c r="C4" s="141" t="s">
        <v>101</v>
      </c>
      <c r="D4" s="142" t="s">
        <v>102</v>
      </c>
    </row>
    <row r="5" spans="2:4">
      <c r="B5" s="143"/>
      <c r="C5" s="144"/>
      <c r="D5" s="145"/>
    </row>
    <row r="6" spans="2:4">
      <c r="B6" s="146">
        <v>42369</v>
      </c>
      <c r="C6" s="161" t="s">
        <v>103</v>
      </c>
      <c r="D6" s="148">
        <v>1</v>
      </c>
    </row>
    <row r="7" spans="2:4">
      <c r="B7" s="149">
        <v>42387</v>
      </c>
      <c r="C7" s="161" t="s">
        <v>152</v>
      </c>
      <c r="D7" s="148">
        <v>2</v>
      </c>
    </row>
    <row r="8" spans="2:4">
      <c r="B8" s="149"/>
      <c r="C8" s="147"/>
      <c r="D8" s="148"/>
    </row>
    <row r="9" spans="2:4">
      <c r="B9" s="149"/>
      <c r="C9" s="147"/>
      <c r="D9" s="148"/>
    </row>
    <row r="10" spans="2:4">
      <c r="B10" s="150"/>
      <c r="C10" s="151"/>
      <c r="D10" s="148"/>
    </row>
    <row r="11" spans="2:4">
      <c r="B11" s="150"/>
      <c r="C11" s="151"/>
      <c r="D11" s="148"/>
    </row>
    <row r="12" spans="2:4">
      <c r="B12" s="150"/>
      <c r="C12" s="151"/>
      <c r="D12" s="148"/>
    </row>
    <row r="13" spans="2:4">
      <c r="B13" s="150"/>
      <c r="C13" s="151"/>
      <c r="D13" s="148"/>
    </row>
    <row r="14" spans="2:4">
      <c r="B14" s="150"/>
      <c r="C14" s="151"/>
      <c r="D14" s="148"/>
    </row>
    <row r="15" spans="2:4">
      <c r="B15" s="150"/>
      <c r="C15" s="151"/>
      <c r="D15" s="148"/>
    </row>
    <row r="16" spans="2:4">
      <c r="B16" s="150"/>
      <c r="C16" s="151"/>
      <c r="D16" s="148"/>
    </row>
    <row r="17" spans="2:4">
      <c r="B17" s="150"/>
      <c r="C17" s="151"/>
      <c r="D17" s="148"/>
    </row>
    <row r="18" spans="2:4">
      <c r="B18" s="150"/>
      <c r="C18" s="151"/>
      <c r="D18" s="148"/>
    </row>
    <row r="19" spans="2:4">
      <c r="B19" s="150"/>
      <c r="C19" s="151"/>
      <c r="D19" s="148"/>
    </row>
    <row r="20" spans="2:4">
      <c r="B20" s="150"/>
      <c r="C20" s="151"/>
      <c r="D20" s="148"/>
    </row>
    <row r="21" spans="2:4">
      <c r="B21" s="150"/>
      <c r="C21" s="151"/>
      <c r="D21" s="148"/>
    </row>
    <row r="22" spans="2:4">
      <c r="B22" s="150"/>
      <c r="C22" s="151"/>
      <c r="D22" s="148"/>
    </row>
    <row r="23" spans="2:4">
      <c r="B23" s="150"/>
      <c r="C23" s="151"/>
      <c r="D23" s="148"/>
    </row>
    <row r="24" spans="2:4">
      <c r="B24" s="150"/>
      <c r="C24" s="151"/>
      <c r="D24" s="148"/>
    </row>
    <row r="25" spans="2:4">
      <c r="B25" s="150"/>
      <c r="C25" s="151"/>
      <c r="D25" s="148"/>
    </row>
    <row r="26" spans="2:4">
      <c r="B26" s="150"/>
      <c r="C26" s="151"/>
      <c r="D26" s="148"/>
    </row>
    <row r="27" spans="2:4">
      <c r="B27" s="150"/>
      <c r="C27" s="151"/>
      <c r="D27" s="148"/>
    </row>
    <row r="28" spans="2:4">
      <c r="B28" s="150"/>
      <c r="C28" s="151"/>
      <c r="D28" s="148"/>
    </row>
    <row r="29" spans="2:4">
      <c r="B29" s="150"/>
      <c r="C29" s="151"/>
      <c r="D29" s="148"/>
    </row>
    <row r="30" spans="2:4">
      <c r="B30" s="150"/>
      <c r="C30" s="151"/>
      <c r="D30" s="148"/>
    </row>
    <row r="31" spans="2:4">
      <c r="B31" s="150"/>
      <c r="C31" s="151"/>
      <c r="D31" s="148"/>
    </row>
    <row r="32" spans="2:4">
      <c r="B32" s="152"/>
      <c r="C32" s="151"/>
      <c r="D32" s="148"/>
    </row>
    <row r="33" spans="2:4">
      <c r="B33" s="150"/>
      <c r="C33" s="151"/>
      <c r="D33" s="148"/>
    </row>
    <row r="34" spans="2:4">
      <c r="B34" s="150"/>
      <c r="C34" s="151"/>
      <c r="D34" s="148"/>
    </row>
    <row r="35" spans="2:4">
      <c r="B35" s="150"/>
      <c r="C35" s="151"/>
      <c r="D35" s="148"/>
    </row>
    <row r="36" spans="2:4">
      <c r="B36" s="150"/>
      <c r="C36" s="151"/>
      <c r="D36" s="148"/>
    </row>
    <row r="37" spans="2:4">
      <c r="B37" s="150"/>
      <c r="C37" s="151"/>
      <c r="D37" s="148"/>
    </row>
    <row r="38" spans="2:4">
      <c r="B38" s="150"/>
      <c r="C38" s="151"/>
      <c r="D38" s="148"/>
    </row>
    <row r="39" spans="2:4">
      <c r="B39" s="150"/>
      <c r="C39" s="151"/>
      <c r="D39" s="148"/>
    </row>
    <row r="40" spans="2:4">
      <c r="B40" s="153"/>
      <c r="C40" s="151"/>
      <c r="D40" s="148"/>
    </row>
    <row r="41" spans="2:4">
      <c r="B41" s="150"/>
      <c r="C41" s="151"/>
      <c r="D41" s="148"/>
    </row>
    <row r="42" spans="2:4">
      <c r="B42" s="153"/>
      <c r="C42" s="151"/>
      <c r="D42" s="148"/>
    </row>
    <row r="43" spans="2:4">
      <c r="B43" s="153"/>
      <c r="C43" s="154"/>
      <c r="D43" s="155"/>
    </row>
    <row r="44" spans="2:4">
      <c r="B44" s="153"/>
      <c r="C44" s="151"/>
      <c r="D44" s="148"/>
    </row>
    <row r="45" spans="2:4">
      <c r="B45" s="150"/>
      <c r="C45" s="151"/>
      <c r="D45" s="148"/>
    </row>
    <row r="46" spans="2:4">
      <c r="B46" s="150"/>
      <c r="C46" s="151"/>
      <c r="D46" s="148"/>
    </row>
    <row r="47" spans="2:4">
      <c r="B47" s="150"/>
      <c r="C47" s="151"/>
      <c r="D47" s="148"/>
    </row>
    <row r="48" spans="2:4">
      <c r="B48" s="156"/>
      <c r="C48" s="157"/>
      <c r="D48" s="158"/>
    </row>
    <row r="49" spans="2:4">
      <c r="B49" s="159"/>
      <c r="D49" s="160"/>
    </row>
    <row r="50" spans="2:4">
      <c r="B50" s="159"/>
      <c r="D50" s="160"/>
    </row>
    <row r="51" spans="2:4">
      <c r="B51" s="159"/>
      <c r="D51" s="160"/>
    </row>
    <row r="52" spans="2:4">
      <c r="B52" s="159"/>
      <c r="D52" s="160"/>
    </row>
    <row r="53" spans="2:4">
      <c r="B53" s="159"/>
      <c r="D53" s="160"/>
    </row>
    <row r="54" spans="2:4">
      <c r="B54" s="159"/>
      <c r="D54" s="160"/>
    </row>
    <row r="55" spans="2:4">
      <c r="B55" s="159"/>
      <c r="D55" s="160"/>
    </row>
    <row r="56" spans="2:4">
      <c r="B56" s="159"/>
      <c r="D56" s="159"/>
    </row>
    <row r="57" spans="2:4">
      <c r="B57" s="159"/>
      <c r="D57" s="159"/>
    </row>
    <row r="58" spans="2:4">
      <c r="B58" s="159"/>
      <c r="D58" s="159"/>
    </row>
    <row r="59" spans="2:4">
      <c r="B59" s="159"/>
      <c r="D59" s="159"/>
    </row>
    <row r="60" spans="2:4">
      <c r="B60" s="159"/>
      <c r="D60" s="159"/>
    </row>
    <row r="61" spans="2:4">
      <c r="B61" s="159"/>
      <c r="D61" s="159"/>
    </row>
    <row r="62" spans="2:4">
      <c r="B62" s="159"/>
      <c r="D62" s="159"/>
    </row>
    <row r="63" spans="2:4">
      <c r="B63" s="159"/>
      <c r="D63" s="159"/>
    </row>
    <row r="64" spans="2:4">
      <c r="B64" s="159"/>
      <c r="D64" s="159"/>
    </row>
    <row r="65" spans="2:4">
      <c r="B65" s="159"/>
      <c r="D65" s="159"/>
    </row>
    <row r="66" spans="2:4">
      <c r="B66" s="159"/>
      <c r="D66" s="159"/>
    </row>
    <row r="67" spans="2:4">
      <c r="B67" s="159"/>
      <c r="D67" s="159"/>
    </row>
    <row r="68" spans="2:4">
      <c r="B68" s="159"/>
      <c r="D68" s="159"/>
    </row>
    <row r="69" spans="2:4">
      <c r="B69" s="159"/>
      <c r="D69" s="159"/>
    </row>
    <row r="70" spans="2:4">
      <c r="B70" s="159"/>
      <c r="D70" s="159"/>
    </row>
    <row r="71" spans="2:4">
      <c r="B71" s="159"/>
      <c r="D71" s="159"/>
    </row>
    <row r="72" spans="2:4">
      <c r="B72" s="159"/>
      <c r="D72" s="159"/>
    </row>
    <row r="73" spans="2:4">
      <c r="B73" s="159"/>
      <c r="D73" s="159"/>
    </row>
    <row r="74" spans="2:4">
      <c r="B74" s="159"/>
      <c r="D74" s="159"/>
    </row>
    <row r="75" spans="2:4">
      <c r="B75" s="159"/>
      <c r="D75" s="159"/>
    </row>
    <row r="76" spans="2:4">
      <c r="B76" s="159"/>
      <c r="D76" s="159"/>
    </row>
    <row r="77" spans="2:4">
      <c r="B77" s="159"/>
      <c r="D77" s="159"/>
    </row>
    <row r="78" spans="2:4">
      <c r="B78" s="159"/>
      <c r="D78" s="159"/>
    </row>
    <row r="79" spans="2:4">
      <c r="B79" s="159"/>
      <c r="D79" s="159"/>
    </row>
    <row r="80" spans="2:4">
      <c r="B80" s="159"/>
      <c r="D80" s="159"/>
    </row>
    <row r="81" spans="2:4">
      <c r="B81" s="159"/>
      <c r="D81" s="159"/>
    </row>
    <row r="82" spans="2:4">
      <c r="B82" s="159"/>
      <c r="D82" s="159"/>
    </row>
    <row r="83" spans="2:4">
      <c r="B83" s="159"/>
      <c r="D83" s="159"/>
    </row>
    <row r="84" spans="2:4">
      <c r="B84" s="159"/>
      <c r="D84" s="159"/>
    </row>
    <row r="85" spans="2:4">
      <c r="B85" s="159"/>
      <c r="D85" s="159"/>
    </row>
    <row r="86" spans="2:4">
      <c r="B86" s="159"/>
      <c r="D86" s="159"/>
    </row>
    <row r="87" spans="2:4">
      <c r="D87" s="159"/>
    </row>
    <row r="88" spans="2:4">
      <c r="D88" s="159"/>
    </row>
    <row r="89" spans="2:4">
      <c r="D89" s="159"/>
    </row>
    <row r="90" spans="2:4">
      <c r="D90" s="159"/>
    </row>
    <row r="91" spans="2:4">
      <c r="D91" s="159"/>
    </row>
    <row r="92" spans="2:4">
      <c r="D92" s="159"/>
    </row>
    <row r="93" spans="2:4">
      <c r="D93" s="159"/>
    </row>
    <row r="94" spans="2:4">
      <c r="D94" s="159"/>
    </row>
    <row r="95" spans="2:4">
      <c r="D95" s="159"/>
    </row>
    <row r="96" spans="2:4">
      <c r="D96" s="159"/>
    </row>
    <row r="97" spans="4:4">
      <c r="D97" s="159"/>
    </row>
    <row r="98" spans="4:4">
      <c r="D98" s="159"/>
    </row>
    <row r="99" spans="4:4">
      <c r="D99" s="159"/>
    </row>
    <row r="100" spans="4:4">
      <c r="D100" s="159"/>
    </row>
    <row r="101" spans="4:4">
      <c r="D101" s="159"/>
    </row>
    <row r="102" spans="4:4">
      <c r="D102" s="159"/>
    </row>
    <row r="103" spans="4:4">
      <c r="D103" s="159"/>
    </row>
    <row r="104" spans="4:4">
      <c r="D104" s="159"/>
    </row>
    <row r="105" spans="4:4">
      <c r="D105" s="159"/>
    </row>
    <row r="106" spans="4:4">
      <c r="D106" s="159"/>
    </row>
    <row r="107" spans="4:4">
      <c r="D107" s="159"/>
    </row>
    <row r="108" spans="4:4">
      <c r="D108" s="159"/>
    </row>
    <row r="109" spans="4:4">
      <c r="D109" s="159"/>
    </row>
    <row r="110" spans="4:4">
      <c r="D110" s="159"/>
    </row>
    <row r="111" spans="4:4">
      <c r="D111" s="159"/>
    </row>
    <row r="112" spans="4:4">
      <c r="D112" s="159"/>
    </row>
    <row r="113" spans="4:4">
      <c r="D113" s="159"/>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D24"/>
  <sheetViews>
    <sheetView workbookViewId="0">
      <selection activeCell="B21" sqref="B21"/>
    </sheetView>
  </sheetViews>
  <sheetFormatPr baseColWidth="10" defaultRowHeight="16"/>
  <cols>
    <col min="1" max="1" width="2.6640625" style="3" customWidth="1"/>
    <col min="2" max="2" width="3.1640625" style="163" customWidth="1"/>
    <col min="3" max="3" width="2.33203125" style="3" customWidth="1"/>
    <col min="4" max="16384" width="10.83203125" style="3"/>
  </cols>
  <sheetData>
    <row r="2" spans="2:4">
      <c r="B2" s="163" t="s">
        <v>161</v>
      </c>
    </row>
    <row r="4" spans="2:4">
      <c r="B4" s="87" t="s">
        <v>108</v>
      </c>
    </row>
    <row r="6" spans="2:4">
      <c r="B6" s="163">
        <v>1</v>
      </c>
      <c r="C6" s="3" t="s">
        <v>191</v>
      </c>
    </row>
    <row r="7" spans="2:4">
      <c r="C7" s="3" t="s">
        <v>105</v>
      </c>
      <c r="D7" s="3" t="s">
        <v>106</v>
      </c>
    </row>
    <row r="8" spans="2:4">
      <c r="C8" s="3" t="s">
        <v>105</v>
      </c>
      <c r="D8" s="3" t="s">
        <v>107</v>
      </c>
    </row>
    <row r="9" spans="2:4">
      <c r="C9" s="3" t="s">
        <v>105</v>
      </c>
      <c r="D9" s="3" t="s">
        <v>109</v>
      </c>
    </row>
    <row r="10" spans="2:4">
      <c r="B10" s="163">
        <v>2</v>
      </c>
      <c r="C10" s="3" t="s">
        <v>136</v>
      </c>
    </row>
    <row r="11" spans="2:4">
      <c r="B11" s="163">
        <v>3</v>
      </c>
      <c r="C11" s="3" t="s">
        <v>160</v>
      </c>
    </row>
    <row r="12" spans="2:4">
      <c r="B12" s="163">
        <v>4</v>
      </c>
      <c r="C12" s="3" t="s">
        <v>192</v>
      </c>
    </row>
    <row r="14" spans="2:4">
      <c r="B14" s="87" t="s">
        <v>141</v>
      </c>
    </row>
    <row r="16" spans="2:4">
      <c r="B16" s="163">
        <v>1</v>
      </c>
      <c r="C16" s="3" t="s">
        <v>199</v>
      </c>
    </row>
    <row r="18" spans="2:3">
      <c r="B18" s="163">
        <v>3</v>
      </c>
      <c r="C18" s="3" t="s">
        <v>142</v>
      </c>
    </row>
    <row r="19" spans="2:3">
      <c r="B19" s="163">
        <v>4</v>
      </c>
      <c r="C19" s="3" t="s">
        <v>193</v>
      </c>
    </row>
    <row r="20" spans="2:3">
      <c r="B20" s="163">
        <v>5</v>
      </c>
      <c r="C20" s="3" t="s">
        <v>204</v>
      </c>
    </row>
    <row r="22" spans="2:3">
      <c r="B22" s="87" t="s">
        <v>143</v>
      </c>
    </row>
    <row r="24" spans="2:3">
      <c r="C24" s="3" t="s">
        <v>144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8" tint="0.39997558519241921"/>
  </sheetPr>
  <dimension ref="A2:Q81"/>
  <sheetViews>
    <sheetView zoomScale="90" zoomScaleNormal="90" workbookViewId="0">
      <pane xSplit="2" ySplit="9" topLeftCell="C10" activePane="bottomRight" state="frozen"/>
      <selection pane="topRight" activeCell="C1" sqref="C1"/>
      <selection pane="bottomLeft" activeCell="A10" sqref="A10"/>
      <selection pane="bottomRight" activeCell="O36" sqref="O36"/>
    </sheetView>
  </sheetViews>
  <sheetFormatPr baseColWidth="10" defaultRowHeight="16"/>
  <cols>
    <col min="1" max="1" width="21.1640625" style="3" bestFit="1" customWidth="1"/>
    <col min="2" max="2" width="40.83203125" style="3" customWidth="1"/>
    <col min="3" max="3" width="41.5" style="3" bestFit="1" customWidth="1"/>
    <col min="4" max="4" width="37.33203125" style="3" customWidth="1"/>
    <col min="5" max="5" width="29" style="3" bestFit="1" customWidth="1"/>
    <col min="6" max="6" width="28" style="3" bestFit="1" customWidth="1"/>
    <col min="7" max="7" width="15.1640625" style="3" bestFit="1" customWidth="1"/>
    <col min="8" max="8" width="11.33203125" style="3" bestFit="1" customWidth="1"/>
    <col min="9" max="9" width="11" style="3" bestFit="1" customWidth="1"/>
    <col min="10" max="10" width="14.83203125" style="3" bestFit="1" customWidth="1"/>
    <col min="11" max="11" width="14.6640625" style="3" bestFit="1" customWidth="1"/>
    <col min="12" max="12" width="4.5" style="3" customWidth="1"/>
    <col min="13" max="13" width="19.83203125" style="3" customWidth="1"/>
    <col min="14" max="14" width="22.6640625" style="3" customWidth="1"/>
    <col min="15" max="15" width="29.1640625" style="3" customWidth="1"/>
    <col min="16" max="16384" width="10.83203125" style="3"/>
  </cols>
  <sheetData>
    <row r="2" spans="2:15" ht="21">
      <c r="B2" s="1" t="s">
        <v>0</v>
      </c>
      <c r="C2" s="2"/>
      <c r="D2" s="2"/>
      <c r="E2" s="2"/>
      <c r="F2" s="2"/>
      <c r="G2" s="2"/>
      <c r="H2" s="2"/>
      <c r="I2" s="2"/>
      <c r="J2" s="2"/>
      <c r="K2" s="2"/>
      <c r="L2" s="2"/>
    </row>
    <row r="3" spans="2:15">
      <c r="E3" s="2"/>
      <c r="F3" s="2"/>
      <c r="G3" s="2"/>
      <c r="H3" s="2"/>
      <c r="I3" s="2"/>
      <c r="J3" s="2"/>
      <c r="K3" s="2"/>
      <c r="L3" s="2"/>
    </row>
    <row r="4" spans="2:15">
      <c r="B4" s="4" t="s">
        <v>1</v>
      </c>
      <c r="C4" s="5"/>
      <c r="D4" s="5"/>
      <c r="E4" s="5"/>
      <c r="F4" s="5"/>
      <c r="G4" s="6"/>
      <c r="H4" s="2"/>
      <c r="I4" s="2"/>
      <c r="J4" s="2"/>
      <c r="K4" s="2"/>
      <c r="L4" s="2"/>
    </row>
    <row r="5" spans="2:15" ht="30" customHeight="1">
      <c r="B5" s="289" t="s">
        <v>151</v>
      </c>
      <c r="C5" s="290"/>
      <c r="D5" s="290"/>
      <c r="E5" s="290"/>
      <c r="F5" s="290"/>
      <c r="G5" s="291"/>
      <c r="H5" s="2"/>
      <c r="I5" s="2"/>
      <c r="J5" s="2"/>
      <c r="K5" s="2"/>
      <c r="L5" s="2"/>
    </row>
    <row r="6" spans="2:15" ht="17" thickBot="1">
      <c r="B6" s="2"/>
      <c r="C6" s="2"/>
      <c r="D6" s="2"/>
      <c r="E6" s="2"/>
      <c r="F6" s="2"/>
      <c r="G6" s="2"/>
      <c r="H6" s="2"/>
      <c r="I6" s="2"/>
      <c r="J6" s="2"/>
      <c r="K6" s="2"/>
      <c r="L6" s="2"/>
    </row>
    <row r="7" spans="2:15">
      <c r="B7" s="7" t="s">
        <v>0</v>
      </c>
      <c r="C7" s="8"/>
      <c r="D7" s="8"/>
      <c r="E7" s="8"/>
      <c r="F7" s="8"/>
      <c r="G7" s="8"/>
      <c r="H7" s="8"/>
      <c r="I7" s="8"/>
      <c r="J7" s="8"/>
      <c r="K7" s="9"/>
      <c r="L7" s="2"/>
      <c r="M7" s="98"/>
      <c r="N7" s="8"/>
      <c r="O7" s="9"/>
    </row>
    <row r="8" spans="2:15">
      <c r="B8" s="10"/>
      <c r="C8" s="2"/>
      <c r="D8" s="2"/>
      <c r="E8" s="2"/>
      <c r="F8" s="2"/>
      <c r="G8" s="2"/>
      <c r="H8" s="2"/>
      <c r="I8" s="2"/>
      <c r="J8" s="2"/>
      <c r="K8" s="11"/>
      <c r="L8" s="2"/>
      <c r="M8" s="10"/>
      <c r="N8" s="2"/>
      <c r="O8" s="11"/>
    </row>
    <row r="9" spans="2:15" ht="48">
      <c r="B9" s="12" t="s">
        <v>2</v>
      </c>
      <c r="C9" s="13" t="s">
        <v>3</v>
      </c>
      <c r="D9" s="14" t="s">
        <v>4</v>
      </c>
      <c r="E9" s="15" t="s">
        <v>5</v>
      </c>
      <c r="F9" s="15" t="s">
        <v>6</v>
      </c>
      <c r="G9" s="15" t="s">
        <v>7</v>
      </c>
      <c r="H9" s="15" t="s">
        <v>8</v>
      </c>
      <c r="I9" s="15" t="s">
        <v>9</v>
      </c>
      <c r="J9" s="15" t="s">
        <v>10</v>
      </c>
      <c r="K9" s="16" t="s">
        <v>11</v>
      </c>
      <c r="L9" s="25"/>
      <c r="M9" s="99" t="s">
        <v>68</v>
      </c>
      <c r="N9" s="100" t="s">
        <v>69</v>
      </c>
      <c r="O9" s="101" t="s">
        <v>70</v>
      </c>
    </row>
    <row r="10" spans="2:15" ht="17" thickBot="1">
      <c r="B10" s="17" t="s">
        <v>12</v>
      </c>
      <c r="C10" s="18"/>
      <c r="D10" s="18"/>
      <c r="E10" s="19"/>
      <c r="F10" s="19"/>
      <c r="G10" s="19"/>
      <c r="H10" s="19"/>
      <c r="I10" s="19"/>
      <c r="J10" s="19"/>
      <c r="K10" s="20"/>
      <c r="L10" s="88"/>
      <c r="M10" s="10"/>
      <c r="N10" s="2"/>
      <c r="O10" s="11"/>
    </row>
    <row r="11" spans="2:15" s="23" customFormat="1" ht="17" thickBot="1">
      <c r="B11" s="21"/>
      <c r="C11" s="22" t="s">
        <v>13</v>
      </c>
      <c r="D11" s="22"/>
      <c r="E11" s="190">
        <v>285206.03000000003</v>
      </c>
      <c r="F11" s="190">
        <v>81669.899999999994</v>
      </c>
      <c r="G11" s="190">
        <v>909.83</v>
      </c>
      <c r="H11" s="191">
        <v>270.01</v>
      </c>
      <c r="I11" s="190">
        <f>1011.99+257.99+198.18</f>
        <v>1468.16</v>
      </c>
      <c r="J11" s="190">
        <f>18364.48+20.01</f>
        <v>18384.489999999998</v>
      </c>
      <c r="K11" s="190">
        <v>12075.69</v>
      </c>
      <c r="L11" s="57"/>
      <c r="M11" s="21"/>
      <c r="N11" s="102"/>
      <c r="O11" s="103"/>
    </row>
    <row r="12" spans="2:15">
      <c r="B12" s="24"/>
      <c r="C12" s="25"/>
      <c r="D12" s="25"/>
      <c r="E12" s="57">
        <f t="shared" ref="E12:K12" si="0">SUM(E15:E24)</f>
        <v>224517.8390705974</v>
      </c>
      <c r="F12" s="57">
        <f t="shared" si="0"/>
        <v>6533.5919999999996</v>
      </c>
      <c r="G12" s="57">
        <f t="shared" si="0"/>
        <v>0</v>
      </c>
      <c r="H12" s="57">
        <f t="shared" si="0"/>
        <v>270.01</v>
      </c>
      <c r="I12" s="57">
        <f t="shared" si="0"/>
        <v>1468.16</v>
      </c>
      <c r="J12" s="57">
        <f t="shared" si="0"/>
        <v>18384.489999999998</v>
      </c>
      <c r="K12" s="57">
        <f t="shared" si="0"/>
        <v>10046.039564691657</v>
      </c>
      <c r="L12" s="57"/>
      <c r="M12" s="10"/>
      <c r="N12" s="2"/>
      <c r="O12" s="11"/>
    </row>
    <row r="13" spans="2:15">
      <c r="B13" s="12"/>
      <c r="C13" s="26"/>
      <c r="D13" s="26"/>
      <c r="E13" s="36"/>
      <c r="F13" s="36"/>
      <c r="G13" s="36"/>
      <c r="H13" s="36"/>
      <c r="I13" s="36"/>
      <c r="J13" s="36"/>
      <c r="K13" s="37"/>
      <c r="L13" s="89"/>
      <c r="M13" s="10"/>
      <c r="N13" s="2"/>
      <c r="O13" s="11"/>
    </row>
    <row r="14" spans="2:15">
      <c r="B14" s="17" t="s">
        <v>34</v>
      </c>
      <c r="C14" s="27"/>
      <c r="D14" s="26"/>
      <c r="E14" s="36"/>
      <c r="F14" s="36"/>
      <c r="G14" s="36"/>
      <c r="H14" s="36"/>
      <c r="I14" s="36"/>
      <c r="J14" s="36"/>
      <c r="K14" s="37"/>
      <c r="L14" s="89"/>
      <c r="M14" s="10"/>
      <c r="N14" s="2"/>
      <c r="O14" s="11"/>
    </row>
    <row r="15" spans="2:15">
      <c r="B15" s="24" t="s">
        <v>140</v>
      </c>
      <c r="C15" s="208" t="s">
        <v>35</v>
      </c>
      <c r="D15" s="83">
        <f t="shared" ref="D15:D24" si="1">SUM(E15:K15)/SUM($E$15:$K$24)</f>
        <v>0.8233096226334633</v>
      </c>
      <c r="E15" s="78">
        <f>((E11-E52)*'Applicance split'!G25)-SUM(E16:E24)</f>
        <v>215065.04717760382</v>
      </c>
      <c r="F15" s="78"/>
      <c r="G15" s="78"/>
      <c r="H15" s="78"/>
      <c r="I15" s="78"/>
      <c r="J15" s="78"/>
      <c r="K15" s="85"/>
      <c r="L15" s="90"/>
      <c r="M15" s="10">
        <v>1.0669999999999999</v>
      </c>
      <c r="N15" s="175">
        <f t="shared" ref="N15:N23" si="2">M15*SUM(E15:K15)</f>
        <v>229474.40533850327</v>
      </c>
      <c r="O15" s="281">
        <f t="shared" ref="O15:O24" si="3">N15/SUM($N$15:$N$24)</f>
        <v>0.8423011155342941</v>
      </c>
    </row>
    <row r="16" spans="2:15">
      <c r="B16" s="258">
        <f>SUM(E15:K24)</f>
        <v>261220.13063528904</v>
      </c>
      <c r="C16" s="209" t="s">
        <v>36</v>
      </c>
      <c r="D16" s="84">
        <f t="shared" si="1"/>
        <v>1.1274039404187343E-3</v>
      </c>
      <c r="E16" s="75"/>
      <c r="F16" s="75">
        <f>'Heat pumps'!J21</f>
        <v>294.50060459492141</v>
      </c>
      <c r="G16" s="75"/>
      <c r="H16" s="75"/>
      <c r="I16" s="75"/>
      <c r="J16" s="75"/>
      <c r="K16" s="81"/>
      <c r="L16" s="90"/>
      <c r="M16" s="10">
        <v>4.8000000000000078</v>
      </c>
      <c r="N16" s="175">
        <f t="shared" si="2"/>
        <v>1413.602902055625</v>
      </c>
      <c r="O16" s="281">
        <f t="shared" si="3"/>
        <v>5.188723768855914E-3</v>
      </c>
    </row>
    <row r="17" spans="1:17">
      <c r="B17" s="17"/>
      <c r="C17" s="209" t="s">
        <v>37</v>
      </c>
      <c r="D17" s="84">
        <f t="shared" si="1"/>
        <v>3.8458136975353406E-2</v>
      </c>
      <c r="E17" s="75"/>
      <c r="F17" s="75"/>
      <c r="G17" s="75"/>
      <c r="H17" s="75"/>
      <c r="I17" s="75"/>
      <c r="J17" s="75"/>
      <c r="K17" s="81">
        <f>'Applicance split'!G25*K11</f>
        <v>10046.039564691657</v>
      </c>
      <c r="L17" s="90"/>
      <c r="M17" s="10">
        <v>1</v>
      </c>
      <c r="N17" s="175">
        <f t="shared" si="2"/>
        <v>10046.039564691657</v>
      </c>
      <c r="O17" s="281">
        <f t="shared" si="3"/>
        <v>3.6874658503022351E-2</v>
      </c>
    </row>
    <row r="18" spans="1:17">
      <c r="B18" s="17"/>
      <c r="C18" s="209" t="s">
        <v>38</v>
      </c>
      <c r="D18" s="84">
        <f t="shared" si="1"/>
        <v>1.0618342174039698E-3</v>
      </c>
      <c r="E18" s="75"/>
      <c r="F18" s="75">
        <f>'Heat pumps'!J19</f>
        <v>277.37247298328492</v>
      </c>
      <c r="G18" s="75"/>
      <c r="H18" s="75"/>
      <c r="I18" s="75"/>
      <c r="J18" s="75"/>
      <c r="K18" s="81"/>
      <c r="L18" s="90"/>
      <c r="M18" s="10">
        <v>4.5000000000000044</v>
      </c>
      <c r="N18" s="175">
        <f t="shared" si="2"/>
        <v>1248.1761284247834</v>
      </c>
      <c r="O18" s="281">
        <f t="shared" si="3"/>
        <v>4.5815137588203535E-3</v>
      </c>
    </row>
    <row r="19" spans="1:17">
      <c r="B19" s="17"/>
      <c r="C19" s="209" t="s">
        <v>39</v>
      </c>
      <c r="D19" s="84">
        <f t="shared" si="1"/>
        <v>7.0379300229614E-2</v>
      </c>
      <c r="E19" s="75"/>
      <c r="F19" s="75"/>
      <c r="G19" s="75"/>
      <c r="H19" s="75"/>
      <c r="I19" s="75"/>
      <c r="J19" s="75">
        <f>J11</f>
        <v>18384.489999999998</v>
      </c>
      <c r="K19" s="81"/>
      <c r="L19" s="90"/>
      <c r="M19" s="10">
        <v>0.82</v>
      </c>
      <c r="N19" s="175">
        <f t="shared" si="2"/>
        <v>15075.281799999997</v>
      </c>
      <c r="O19" s="281">
        <f t="shared" si="3"/>
        <v>5.53348276833001E-2</v>
      </c>
    </row>
    <row r="20" spans="1:17" ht="17" thickBot="1">
      <c r="B20" s="17"/>
      <c r="C20" s="209" t="s">
        <v>40</v>
      </c>
      <c r="D20" s="84">
        <f t="shared" si="1"/>
        <v>2.2627898997661721E-2</v>
      </c>
      <c r="E20" s="75"/>
      <c r="F20" s="75">
        <f>Electricity!E38-SUM(F15:F19,F21:F24)</f>
        <v>5910.8627321713211</v>
      </c>
      <c r="G20" s="75"/>
      <c r="H20" s="75"/>
      <c r="I20" s="75"/>
      <c r="J20" s="75"/>
      <c r="K20" s="81"/>
      <c r="L20" s="90"/>
      <c r="M20" s="10">
        <v>1</v>
      </c>
      <c r="N20" s="175">
        <f t="shared" si="2"/>
        <v>5910.8627321713211</v>
      </c>
      <c r="O20" s="281">
        <f t="shared" si="3"/>
        <v>2.1696216036528122E-2</v>
      </c>
    </row>
    <row r="21" spans="1:17" ht="17" thickBot="1">
      <c r="B21" s="17"/>
      <c r="C21" s="209" t="s">
        <v>41</v>
      </c>
      <c r="D21" s="84">
        <f t="shared" si="1"/>
        <v>3.5984975496104146E-2</v>
      </c>
      <c r="E21" s="207">
        <v>9400</v>
      </c>
      <c r="F21" s="75"/>
      <c r="G21" s="75"/>
      <c r="H21" s="75"/>
      <c r="I21" s="75"/>
      <c r="J21" s="75"/>
      <c r="K21" s="81"/>
      <c r="L21" s="90"/>
      <c r="M21" s="10">
        <v>0.8</v>
      </c>
      <c r="N21" s="175">
        <f t="shared" si="2"/>
        <v>7520</v>
      </c>
      <c r="O21" s="281">
        <f t="shared" si="3"/>
        <v>2.7602661741183296E-2</v>
      </c>
    </row>
    <row r="22" spans="1:17">
      <c r="B22" s="17"/>
      <c r="C22" s="209" t="s">
        <v>42</v>
      </c>
      <c r="D22" s="84">
        <f t="shared" si="1"/>
        <v>5.6203937898255604E-3</v>
      </c>
      <c r="E22" s="75"/>
      <c r="F22" s="75"/>
      <c r="G22" s="75"/>
      <c r="H22" s="75"/>
      <c r="I22" s="75">
        <f>I11</f>
        <v>1468.16</v>
      </c>
      <c r="J22" s="75"/>
      <c r="K22" s="81"/>
      <c r="L22" s="90"/>
      <c r="M22" s="10">
        <v>0.85</v>
      </c>
      <c r="N22" s="175">
        <f t="shared" si="2"/>
        <v>1247.9360000000001</v>
      </c>
      <c r="O22" s="281">
        <f t="shared" si="3"/>
        <v>4.5806323514156009E-3</v>
      </c>
    </row>
    <row r="23" spans="1:17">
      <c r="B23" s="17"/>
      <c r="C23" s="209" t="s">
        <v>43</v>
      </c>
      <c r="D23" s="84">
        <f t="shared" si="1"/>
        <v>1.0336492801811788E-3</v>
      </c>
      <c r="E23" s="75"/>
      <c r="F23" s="75"/>
      <c r="G23" s="75"/>
      <c r="H23" s="75">
        <f>H11</f>
        <v>270.01</v>
      </c>
      <c r="I23" s="75"/>
      <c r="J23" s="75"/>
      <c r="K23" s="81"/>
      <c r="L23" s="90"/>
      <c r="M23" s="10">
        <v>0.8</v>
      </c>
      <c r="N23" s="175">
        <f t="shared" si="2"/>
        <v>216.00800000000001</v>
      </c>
      <c r="O23" s="281">
        <f t="shared" si="3"/>
        <v>7.9287177624860652E-4</v>
      </c>
    </row>
    <row r="24" spans="1:17">
      <c r="B24" s="17"/>
      <c r="C24" s="210" t="s">
        <v>181</v>
      </c>
      <c r="D24" s="84">
        <f t="shared" si="1"/>
        <v>3.967844399739407E-4</v>
      </c>
      <c r="E24" s="75">
        <f>'Heat pumps'!K18</f>
        <v>52.791892993570187</v>
      </c>
      <c r="F24" s="75">
        <f>'Heat pumps'!J18</f>
        <v>50.856190250472608</v>
      </c>
      <c r="G24" s="75"/>
      <c r="H24" s="75"/>
      <c r="I24" s="75"/>
      <c r="J24" s="75"/>
      <c r="K24" s="81"/>
      <c r="L24" s="90"/>
      <c r="M24" s="202">
        <f>1/'Heat pumps'!F4</f>
        <v>2.8070962566756963</v>
      </c>
      <c r="N24" s="175">
        <f>Q26*SUM(E24)+F24*P26</f>
        <v>285.1818059512658</v>
      </c>
      <c r="O24" s="281">
        <f t="shared" si="3"/>
        <v>1.0467788463314578E-3</v>
      </c>
    </row>
    <row r="25" spans="1:17">
      <c r="B25" s="17"/>
      <c r="C25" s="30"/>
      <c r="D25" s="70"/>
      <c r="E25" s="32"/>
      <c r="F25" s="32"/>
      <c r="G25" s="32"/>
      <c r="H25" s="32"/>
      <c r="I25" s="32"/>
      <c r="J25" s="32"/>
      <c r="K25" s="33"/>
      <c r="L25" s="89"/>
      <c r="M25" s="202"/>
      <c r="N25" s="175"/>
      <c r="O25" s="262"/>
    </row>
    <row r="26" spans="1:17">
      <c r="A26" s="280"/>
      <c r="B26" s="17"/>
      <c r="C26" s="30"/>
      <c r="D26" s="70"/>
      <c r="E26" s="89"/>
      <c r="F26" s="89"/>
      <c r="G26" s="89"/>
      <c r="H26" s="89"/>
      <c r="I26" s="89"/>
      <c r="J26" s="89"/>
      <c r="K26" s="282"/>
      <c r="L26" s="89"/>
      <c r="M26" s="202"/>
      <c r="N26" s="175"/>
      <c r="O26" s="262"/>
      <c r="P26" s="3">
        <f>('Heat pumps'!E5+'Heat pumps'!E4)/'Heat pumps'!E5</f>
        <v>4.4999999999999938</v>
      </c>
      <c r="Q26" s="211">
        <v>1.0669999999999999</v>
      </c>
    </row>
    <row r="27" spans="1:17">
      <c r="B27" s="17"/>
      <c r="C27" s="30"/>
      <c r="D27" s="70"/>
      <c r="E27" s="89"/>
      <c r="F27" s="89"/>
      <c r="G27" s="89"/>
      <c r="H27" s="89"/>
      <c r="I27" s="89"/>
      <c r="J27" s="89"/>
      <c r="K27" s="282"/>
      <c r="L27" s="64"/>
      <c r="M27" s="202"/>
      <c r="N27" s="175"/>
      <c r="O27" s="106"/>
      <c r="P27" s="3">
        <f>F24*P26</f>
        <v>228.85285612712642</v>
      </c>
      <c r="Q27" s="3">
        <f>Q26*SUM(E24)</f>
        <v>56.328949824139386</v>
      </c>
    </row>
    <row r="28" spans="1:17">
      <c r="B28" s="34"/>
      <c r="C28" s="35"/>
      <c r="D28" s="71"/>
      <c r="E28" s="36"/>
      <c r="F28" s="36"/>
      <c r="G28" s="36"/>
      <c r="H28" s="36"/>
      <c r="I28" s="36"/>
      <c r="J28" s="36"/>
      <c r="K28" s="37"/>
      <c r="L28" s="64"/>
      <c r="M28" s="202"/>
      <c r="N28" s="175"/>
      <c r="O28" s="106"/>
    </row>
    <row r="29" spans="1:17">
      <c r="B29" s="17" t="s">
        <v>44</v>
      </c>
      <c r="C29" s="35"/>
      <c r="D29" s="71"/>
      <c r="E29" s="58"/>
      <c r="F29" s="58"/>
      <c r="G29" s="58"/>
      <c r="H29" s="58"/>
      <c r="I29" s="58"/>
      <c r="J29" s="58"/>
      <c r="K29" s="59"/>
      <c r="L29" s="90"/>
      <c r="M29" s="202"/>
      <c r="N29" s="175"/>
      <c r="O29" s="106"/>
    </row>
    <row r="30" spans="1:17">
      <c r="B30" s="24" t="s">
        <v>140</v>
      </c>
      <c r="C30" s="28" t="s">
        <v>45</v>
      </c>
      <c r="D30" s="76">
        <f t="shared" ref="D30:D39" si="4">SUM(E30:K30)/SUM($E$30:$K$39)</f>
        <v>0.84696580926643039</v>
      </c>
      <c r="E30" s="86">
        <f>((E11-E52)*'Applicance split'!G24)-SUM(E31:E39)</f>
        <v>43596.363141101756</v>
      </c>
      <c r="F30" s="75"/>
      <c r="G30" s="75"/>
      <c r="H30" s="75"/>
      <c r="I30" s="75"/>
      <c r="J30" s="75"/>
      <c r="K30" s="81"/>
      <c r="L30" s="90"/>
      <c r="M30" s="202">
        <v>0.9</v>
      </c>
      <c r="N30" s="175">
        <f t="shared" ref="N30:N38" si="5">M30*SUM(E30:K30)</f>
        <v>39236.72682699158</v>
      </c>
      <c r="O30" s="281">
        <f t="shared" ref="O30:O39" si="6">N30/SUM($N$30:$N$39)</f>
        <v>0.84230112317962036</v>
      </c>
    </row>
    <row r="31" spans="1:17">
      <c r="B31" s="259">
        <f>SUM(E30:K39)</f>
        <v>51473.580945211012</v>
      </c>
      <c r="C31" s="28" t="s">
        <v>46</v>
      </c>
      <c r="D31" s="76">
        <f t="shared" si="4"/>
        <v>1.1559210436206165E-3</v>
      </c>
      <c r="E31" s="74"/>
      <c r="F31" s="75">
        <f>'Heat pumps'!L21</f>
        <v>59.499395405078594</v>
      </c>
      <c r="G31" s="75"/>
      <c r="H31" s="75"/>
      <c r="I31" s="75"/>
      <c r="J31" s="75"/>
      <c r="K31" s="81"/>
      <c r="L31" s="90"/>
      <c r="M31" s="202">
        <v>3.0000000000000031</v>
      </c>
      <c r="N31" s="175">
        <f t="shared" si="5"/>
        <v>178.49818621523596</v>
      </c>
      <c r="O31" s="281">
        <f t="shared" si="6"/>
        <v>3.8318492619825416E-3</v>
      </c>
    </row>
    <row r="32" spans="1:17">
      <c r="B32" s="17"/>
      <c r="C32" s="28" t="s">
        <v>47</v>
      </c>
      <c r="D32" s="76">
        <f t="shared" si="4"/>
        <v>3.9430915783161137E-2</v>
      </c>
      <c r="E32" s="74"/>
      <c r="F32" s="75"/>
      <c r="G32" s="75"/>
      <c r="H32" s="75"/>
      <c r="I32" s="75"/>
      <c r="J32" s="75"/>
      <c r="K32" s="81">
        <f>'Applicance split'!G24*K11</f>
        <v>2029.6504353083433</v>
      </c>
      <c r="L32" s="90"/>
      <c r="M32" s="202">
        <v>1</v>
      </c>
      <c r="N32" s="175">
        <f t="shared" si="5"/>
        <v>2029.6504353083433</v>
      </c>
      <c r="O32" s="281">
        <f t="shared" si="6"/>
        <v>4.3570832216977315E-2</v>
      </c>
    </row>
    <row r="33" spans="1:17">
      <c r="B33" s="17"/>
      <c r="C33" s="28" t="s">
        <v>48</v>
      </c>
      <c r="D33" s="76">
        <f t="shared" si="4"/>
        <v>1.0573481535914107E-3</v>
      </c>
      <c r="E33" s="74"/>
      <c r="F33" s="75">
        <f>'Heat pumps'!L19</f>
        <v>54.425495771156882</v>
      </c>
      <c r="G33" s="75"/>
      <c r="H33" s="75"/>
      <c r="I33" s="75"/>
      <c r="J33" s="75"/>
      <c r="K33" s="81"/>
      <c r="L33" s="90"/>
      <c r="M33" s="202">
        <v>3.0000000000000031</v>
      </c>
      <c r="N33" s="175">
        <f t="shared" si="5"/>
        <v>163.27648731347082</v>
      </c>
      <c r="O33" s="281">
        <f t="shared" si="6"/>
        <v>3.5050826043509773E-3</v>
      </c>
    </row>
    <row r="34" spans="1:17">
      <c r="B34" s="17"/>
      <c r="C34" s="28" t="s">
        <v>49</v>
      </c>
      <c r="D34" s="76">
        <f t="shared" si="4"/>
        <v>0</v>
      </c>
      <c r="E34" s="74"/>
      <c r="F34" s="75"/>
      <c r="G34" s="75"/>
      <c r="H34" s="75"/>
      <c r="I34" s="75"/>
      <c r="J34" s="75"/>
      <c r="K34" s="81"/>
      <c r="L34" s="90"/>
      <c r="M34" s="202">
        <v>0.82</v>
      </c>
      <c r="N34" s="175">
        <f t="shared" si="5"/>
        <v>0</v>
      </c>
      <c r="O34" s="281">
        <f t="shared" si="6"/>
        <v>0</v>
      </c>
    </row>
    <row r="35" spans="1:17" ht="17" thickBot="1">
      <c r="B35" s="17"/>
      <c r="C35" s="28" t="s">
        <v>50</v>
      </c>
      <c r="D35" s="76">
        <f t="shared" si="4"/>
        <v>7.6943326205316964E-2</v>
      </c>
      <c r="E35" s="74"/>
      <c r="F35" s="75">
        <f>Electricity!E39-SUM(F30:F34,F36:F39)</f>
        <v>3960.5485296231582</v>
      </c>
      <c r="G35" s="75"/>
      <c r="H35" s="75"/>
      <c r="I35" s="75"/>
      <c r="J35" s="75"/>
      <c r="K35" s="81"/>
      <c r="L35" s="90"/>
      <c r="M35" s="202">
        <v>0.95</v>
      </c>
      <c r="N35" s="175">
        <f t="shared" si="5"/>
        <v>3762.5211031419999</v>
      </c>
      <c r="O35" s="281">
        <f t="shared" si="6"/>
        <v>8.0770645450053274E-2</v>
      </c>
    </row>
    <row r="36" spans="1:17" ht="17" thickBot="1">
      <c r="B36" s="17"/>
      <c r="C36" s="28" t="s">
        <v>51</v>
      </c>
      <c r="D36" s="76">
        <f t="shared" si="4"/>
        <v>3.4008514034865614E-2</v>
      </c>
      <c r="E36" s="206">
        <v>1750.54</v>
      </c>
      <c r="F36" s="75"/>
      <c r="G36" s="75"/>
      <c r="H36" s="75"/>
      <c r="I36" s="75"/>
      <c r="J36" s="75"/>
      <c r="K36" s="81"/>
      <c r="L36" s="90"/>
      <c r="M36" s="202">
        <v>0.67</v>
      </c>
      <c r="N36" s="175">
        <f t="shared" si="5"/>
        <v>1172.8618000000001</v>
      </c>
      <c r="O36" s="281">
        <f t="shared" si="6"/>
        <v>2.5178012830440202E-2</v>
      </c>
    </row>
    <row r="37" spans="1:17">
      <c r="B37" s="17"/>
      <c r="C37" s="28" t="s">
        <v>52</v>
      </c>
      <c r="D37" s="76">
        <f t="shared" si="4"/>
        <v>0</v>
      </c>
      <c r="E37" s="74"/>
      <c r="F37" s="75"/>
      <c r="G37" s="75"/>
      <c r="H37" s="75"/>
      <c r="I37" s="75">
        <v>0</v>
      </c>
      <c r="J37" s="75"/>
      <c r="K37" s="81"/>
      <c r="L37" s="90"/>
      <c r="M37" s="202">
        <v>0.85</v>
      </c>
      <c r="N37" s="175">
        <f t="shared" si="5"/>
        <v>0</v>
      </c>
      <c r="O37" s="281">
        <f t="shared" si="6"/>
        <v>0</v>
      </c>
    </row>
    <row r="38" spans="1:17">
      <c r="B38" s="17"/>
      <c r="C38" s="28" t="s">
        <v>53</v>
      </c>
      <c r="D38" s="76">
        <f t="shared" si="4"/>
        <v>0</v>
      </c>
      <c r="E38" s="74"/>
      <c r="F38" s="75"/>
      <c r="G38" s="75"/>
      <c r="H38" s="75">
        <v>0</v>
      </c>
      <c r="I38" s="75"/>
      <c r="J38" s="75"/>
      <c r="K38" s="81"/>
      <c r="L38" s="90"/>
      <c r="M38" s="202">
        <v>0.8</v>
      </c>
      <c r="N38" s="175">
        <f t="shared" si="5"/>
        <v>0</v>
      </c>
      <c r="O38" s="281">
        <f t="shared" si="6"/>
        <v>0</v>
      </c>
      <c r="P38" s="205"/>
    </row>
    <row r="39" spans="1:17">
      <c r="B39" s="17"/>
      <c r="C39" s="210" t="s">
        <v>198</v>
      </c>
      <c r="D39" s="76">
        <f t="shared" si="4"/>
        <v>4.3816551301379352E-4</v>
      </c>
      <c r="E39" s="79">
        <f>'Heat pumps'!M18</f>
        <v>13.532368800909246</v>
      </c>
      <c r="F39" s="73">
        <f>'Heat pumps'!L18</f>
        <v>9.0215792006061637</v>
      </c>
      <c r="G39" s="73"/>
      <c r="H39" s="73"/>
      <c r="I39" s="73"/>
      <c r="J39" s="73"/>
      <c r="K39" s="82"/>
      <c r="L39" s="64"/>
      <c r="M39" s="202">
        <f>1/'Heat pumps'!H4</f>
        <v>1.687500000000002</v>
      </c>
      <c r="N39" s="175">
        <f>Q42*SUM(E39)+F39*P42</f>
        <v>39.243869522636857</v>
      </c>
      <c r="O39" s="281">
        <f t="shared" si="6"/>
        <v>8.4245445657542251E-4</v>
      </c>
    </row>
    <row r="40" spans="1:17">
      <c r="B40" s="17"/>
      <c r="C40" s="30"/>
      <c r="D40" s="70">
        <f>SUM(D39:D39)</f>
        <v>4.3816551301379352E-4</v>
      </c>
      <c r="E40" s="64"/>
      <c r="F40" s="64"/>
      <c r="G40" s="64"/>
      <c r="H40" s="64"/>
      <c r="I40" s="64"/>
      <c r="J40" s="64"/>
      <c r="K40" s="65"/>
      <c r="L40" s="64"/>
      <c r="M40" s="10"/>
      <c r="N40" s="175"/>
      <c r="O40" s="106"/>
    </row>
    <row r="41" spans="1:17">
      <c r="B41" s="17"/>
      <c r="C41" s="30"/>
      <c r="D41" s="70"/>
      <c r="E41" s="64"/>
      <c r="F41" s="64"/>
      <c r="G41" s="64"/>
      <c r="H41" s="64"/>
      <c r="I41" s="64"/>
      <c r="J41" s="64"/>
      <c r="K41" s="65"/>
      <c r="L41" s="64"/>
      <c r="M41" s="10"/>
      <c r="N41" s="175"/>
      <c r="O41" s="106"/>
    </row>
    <row r="42" spans="1:17">
      <c r="A42" s="280"/>
      <c r="B42" s="17"/>
      <c r="C42" s="30"/>
      <c r="D42" s="70"/>
      <c r="E42" s="64"/>
      <c r="F42" s="64"/>
      <c r="G42" s="64"/>
      <c r="H42" s="64"/>
      <c r="I42" s="64"/>
      <c r="J42" s="64"/>
      <c r="K42" s="65"/>
      <c r="L42" s="64"/>
      <c r="M42" s="10"/>
      <c r="N42" s="175"/>
      <c r="O42" s="106"/>
      <c r="P42" s="3">
        <f>('Heat pumps'!G5+'Heat pumps'!G4)/'Heat pumps'!G5</f>
        <v>3.0000000000000044</v>
      </c>
      <c r="Q42" s="3">
        <v>0.9</v>
      </c>
    </row>
    <row r="43" spans="1:17">
      <c r="B43" s="17"/>
      <c r="C43" s="30"/>
      <c r="D43" s="70"/>
      <c r="E43" s="64"/>
      <c r="F43" s="64"/>
      <c r="G43" s="64"/>
      <c r="H43" s="64"/>
      <c r="I43" s="64"/>
      <c r="J43" s="64"/>
      <c r="K43" s="65"/>
      <c r="L43" s="64"/>
      <c r="M43" s="10"/>
      <c r="N43" s="175"/>
      <c r="O43" s="106"/>
      <c r="P43" s="3">
        <f>F39*P42</f>
        <v>27.064737601818532</v>
      </c>
      <c r="Q43" s="3">
        <f>Q42*SUM(E39)</f>
        <v>12.179131920818323</v>
      </c>
    </row>
    <row r="44" spans="1:17">
      <c r="B44" s="34"/>
      <c r="C44" s="35"/>
      <c r="D44" s="71"/>
      <c r="E44" s="58"/>
      <c r="F44" s="58"/>
      <c r="G44" s="58"/>
      <c r="H44" s="58"/>
      <c r="I44" s="58"/>
      <c r="J44" s="58"/>
      <c r="K44" s="59"/>
      <c r="L44" s="90"/>
      <c r="M44" s="10"/>
      <c r="N44" s="2"/>
      <c r="O44" s="107"/>
    </row>
    <row r="45" spans="1:17">
      <c r="B45" s="17" t="s">
        <v>54</v>
      </c>
      <c r="C45" s="35"/>
      <c r="D45" s="71"/>
      <c r="E45" s="63"/>
      <c r="F45" s="58"/>
      <c r="G45" s="58"/>
      <c r="H45" s="58"/>
      <c r="I45" s="58"/>
      <c r="J45" s="58"/>
      <c r="K45" s="59"/>
      <c r="L45" s="90"/>
      <c r="M45" s="10"/>
      <c r="N45" s="2"/>
      <c r="O45" s="107"/>
    </row>
    <row r="46" spans="1:17">
      <c r="B46" s="24" t="s">
        <v>140</v>
      </c>
      <c r="C46" s="28" t="s">
        <v>55</v>
      </c>
      <c r="D46" s="76">
        <f>F46/SUM($E$46:$K$48)</f>
        <v>8.4392917232800665E-2</v>
      </c>
      <c r="E46" s="74"/>
      <c r="F46" s="75">
        <f>Cooling!B6/(M46-1)</f>
        <v>551.38888888888857</v>
      </c>
      <c r="G46" s="75"/>
      <c r="H46" s="75"/>
      <c r="I46" s="75"/>
      <c r="J46" s="75"/>
      <c r="K46" s="81"/>
      <c r="L46" s="90"/>
      <c r="M46" s="10">
        <v>4.6000000000000023</v>
      </c>
      <c r="N46" s="175">
        <f>M46*SUM(E46:K46)</f>
        <v>2536.3888888888887</v>
      </c>
      <c r="O46" s="106">
        <f>N46/SUM($N$46:$N$48)</f>
        <v>9.5838639462540856E-2</v>
      </c>
    </row>
    <row r="47" spans="1:17">
      <c r="B47" s="171">
        <f>SUM(E46:K48)</f>
        <v>6533.5919999999996</v>
      </c>
      <c r="C47" s="28" t="s">
        <v>56</v>
      </c>
      <c r="D47" s="76">
        <f>F47/SUM($E$46:$K$48)</f>
        <v>0</v>
      </c>
      <c r="E47" s="74"/>
      <c r="F47" s="75">
        <v>0</v>
      </c>
      <c r="G47" s="75"/>
      <c r="H47" s="75"/>
      <c r="I47" s="75"/>
      <c r="J47" s="75"/>
      <c r="K47" s="81"/>
      <c r="L47" s="64"/>
      <c r="M47" s="10">
        <v>4.5000000000000044</v>
      </c>
      <c r="N47" s="175">
        <f>M47*SUM(E47:K47)</f>
        <v>0</v>
      </c>
      <c r="O47" s="106">
        <f>N47/SUM($N$46:$N$48)</f>
        <v>0</v>
      </c>
    </row>
    <row r="48" spans="1:17">
      <c r="B48" s="17"/>
      <c r="C48" s="29" t="s">
        <v>57</v>
      </c>
      <c r="D48" s="80">
        <f>F48/SUM($E$46:$K$48)</f>
        <v>0.91560708276719927</v>
      </c>
      <c r="E48" s="74"/>
      <c r="F48" s="73">
        <f>Electricity!E42-F46</f>
        <v>5982.203111111111</v>
      </c>
      <c r="G48" s="73"/>
      <c r="H48" s="73"/>
      <c r="I48" s="73"/>
      <c r="J48" s="73"/>
      <c r="K48" s="82"/>
      <c r="L48" s="64"/>
      <c r="M48" s="10">
        <v>4</v>
      </c>
      <c r="N48" s="175">
        <f>M48*SUM(E48:K48)</f>
        <v>23928.812444444444</v>
      </c>
      <c r="O48" s="106">
        <f>N48/SUM($N$46:$N$48)</f>
        <v>0.90416136053745921</v>
      </c>
    </row>
    <row r="49" spans="2:16">
      <c r="B49" s="17"/>
      <c r="C49" s="30"/>
      <c r="D49" s="70"/>
      <c r="E49" s="60"/>
      <c r="F49" s="64"/>
      <c r="G49" s="64"/>
      <c r="H49" s="64"/>
      <c r="I49" s="64"/>
      <c r="J49" s="64"/>
      <c r="K49" s="65"/>
      <c r="L49" s="64"/>
      <c r="M49" s="10"/>
      <c r="N49" s="175"/>
      <c r="O49" s="107"/>
    </row>
    <row r="50" spans="2:16">
      <c r="B50" s="34"/>
      <c r="C50" s="35"/>
      <c r="D50" s="71"/>
      <c r="E50" s="58"/>
      <c r="F50" s="58"/>
      <c r="G50" s="58"/>
      <c r="H50" s="58"/>
      <c r="I50" s="58"/>
      <c r="J50" s="58"/>
      <c r="K50" s="59"/>
      <c r="L50" s="90"/>
      <c r="M50" s="10"/>
      <c r="N50" s="175"/>
      <c r="O50" s="107"/>
    </row>
    <row r="51" spans="2:16">
      <c r="B51" s="17" t="s">
        <v>58</v>
      </c>
      <c r="C51" s="35"/>
      <c r="D51" s="71"/>
      <c r="E51" s="63"/>
      <c r="F51" s="58"/>
      <c r="G51" s="58"/>
      <c r="H51" s="58"/>
      <c r="I51" s="58"/>
      <c r="J51" s="58"/>
      <c r="K51" s="59"/>
      <c r="L51" s="90"/>
      <c r="M51" s="10"/>
      <c r="N51" s="175"/>
      <c r="O51" s="107"/>
    </row>
    <row r="52" spans="2:16">
      <c r="B52" s="24" t="s">
        <v>140</v>
      </c>
      <c r="C52" s="28" t="s">
        <v>59</v>
      </c>
      <c r="D52" s="83">
        <f>E52/SUM($E$52:$K$56)</f>
        <v>0.75775132227312425</v>
      </c>
      <c r="E52" s="74">
        <f>Cooking!I39</f>
        <v>15327.755419499999</v>
      </c>
      <c r="F52" s="75"/>
      <c r="G52" s="75"/>
      <c r="H52" s="75"/>
      <c r="I52" s="75"/>
      <c r="J52" s="75"/>
      <c r="K52" s="81"/>
      <c r="L52" s="90"/>
      <c r="M52" s="10">
        <v>0.4</v>
      </c>
      <c r="N52" s="175">
        <f>M52*SUM(E52:K52)</f>
        <v>6131.1021677999997</v>
      </c>
      <c r="O52" s="106">
        <f>N52/SUM($N$52:$N$56)</f>
        <v>0.66076297521383776</v>
      </c>
    </row>
    <row r="53" spans="2:16">
      <c r="B53" s="171">
        <f>SUM(E52:K56)</f>
        <v>20227.949419499997</v>
      </c>
      <c r="C53" s="28" t="s">
        <v>60</v>
      </c>
      <c r="D53" s="84">
        <f>F53/SUM($E$52:$K$56)</f>
        <v>2.3577638481050885E-2</v>
      </c>
      <c r="E53" s="74"/>
      <c r="F53" s="72">
        <f>Cooking!H36</f>
        <v>476.92727862595405</v>
      </c>
      <c r="G53" s="75"/>
      <c r="H53" s="75"/>
      <c r="I53" s="75"/>
      <c r="J53" s="75"/>
      <c r="K53" s="81"/>
      <c r="L53" s="90"/>
      <c r="M53" s="10">
        <v>0.55000000000000004</v>
      </c>
      <c r="N53" s="175">
        <f>M53*SUM(E53:K53)</f>
        <v>262.31000324427475</v>
      </c>
      <c r="O53" s="106">
        <f>N53/SUM($N$52:$N$56)</f>
        <v>2.826975206551351E-2</v>
      </c>
    </row>
    <row r="54" spans="2:16">
      <c r="B54" s="17"/>
      <c r="C54" s="28" t="s">
        <v>61</v>
      </c>
      <c r="D54" s="84">
        <f>F54/SUM($E$52:$K$56)</f>
        <v>0.17290268219437319</v>
      </c>
      <c r="E54" s="74"/>
      <c r="F54" s="75">
        <f>Cooking!H37</f>
        <v>3497.4667099236635</v>
      </c>
      <c r="G54" s="75"/>
      <c r="H54" s="75"/>
      <c r="I54" s="75"/>
      <c r="J54" s="75"/>
      <c r="K54" s="81"/>
      <c r="L54" s="90"/>
      <c r="M54" s="10">
        <v>0.6</v>
      </c>
      <c r="N54" s="175">
        <f>M54*SUM(E54:K54)</f>
        <v>2098.480025954198</v>
      </c>
      <c r="O54" s="106">
        <f>N54/SUM($N$52:$N$56)</f>
        <v>0.22615801652410808</v>
      </c>
    </row>
    <row r="55" spans="2:16">
      <c r="B55" s="17"/>
      <c r="C55" s="28" t="s">
        <v>62</v>
      </c>
      <c r="D55" s="84">
        <f>F55/SUM($E$52:$K$56)</f>
        <v>4.576835705145172E-2</v>
      </c>
      <c r="E55" s="74"/>
      <c r="F55" s="75">
        <f>Cooking!H38</f>
        <v>925.80001145038148</v>
      </c>
      <c r="G55" s="75"/>
      <c r="H55" s="75"/>
      <c r="I55" s="75"/>
      <c r="J55" s="75"/>
      <c r="K55" s="81"/>
      <c r="L55" s="64"/>
      <c r="M55" s="10">
        <v>0.85</v>
      </c>
      <c r="N55" s="175">
        <f>M55*SUM(E55:K55)</f>
        <v>786.93000973282426</v>
      </c>
      <c r="O55" s="106">
        <f>N55/SUM($N$52:$N$56)</f>
        <v>8.4809256196540533E-2</v>
      </c>
    </row>
    <row r="56" spans="2:16">
      <c r="B56" s="17"/>
      <c r="C56" s="29" t="s">
        <v>63</v>
      </c>
      <c r="D56" s="80">
        <f>H56/SUM($E$52:$K$56)</f>
        <v>0</v>
      </c>
      <c r="E56" s="74"/>
      <c r="F56" s="73"/>
      <c r="G56" s="73"/>
      <c r="H56" s="73"/>
      <c r="I56" s="73"/>
      <c r="J56" s="72">
        <v>0</v>
      </c>
      <c r="K56" s="82"/>
      <c r="L56" s="64"/>
      <c r="M56" s="10">
        <v>0.3</v>
      </c>
      <c r="N56" s="175">
        <f>M56*SUM(E56:K56)</f>
        <v>0</v>
      </c>
      <c r="O56" s="106">
        <f>N56/SUM($N$52:$N$56)</f>
        <v>0</v>
      </c>
    </row>
    <row r="57" spans="2:16">
      <c r="B57" s="17"/>
      <c r="C57" s="30"/>
      <c r="D57" s="70"/>
      <c r="E57" s="60"/>
      <c r="F57" s="61"/>
      <c r="G57" s="61"/>
      <c r="H57" s="61"/>
      <c r="I57" s="61"/>
      <c r="J57" s="61"/>
      <c r="K57" s="62"/>
      <c r="L57" s="91"/>
      <c r="M57" s="10"/>
      <c r="N57" s="175"/>
      <c r="O57" s="107"/>
    </row>
    <row r="58" spans="2:16">
      <c r="B58" s="34"/>
      <c r="C58" s="35"/>
      <c r="D58" s="71"/>
      <c r="E58" s="58"/>
      <c r="F58" s="58"/>
      <c r="G58" s="58"/>
      <c r="H58" s="58"/>
      <c r="I58" s="58"/>
      <c r="J58" s="58"/>
      <c r="K58" s="59"/>
      <c r="L58" s="92"/>
      <c r="M58" s="10"/>
      <c r="N58" s="175"/>
      <c r="O58" s="107"/>
    </row>
    <row r="59" spans="2:16">
      <c r="B59" s="17" t="s">
        <v>64</v>
      </c>
      <c r="C59" s="35"/>
      <c r="D59" s="71"/>
      <c r="E59" s="63"/>
      <c r="F59" s="58"/>
      <c r="G59" s="58"/>
      <c r="H59" s="58"/>
      <c r="I59" s="58"/>
      <c r="J59" s="58"/>
      <c r="K59" s="58"/>
      <c r="L59" s="92"/>
      <c r="M59" s="10"/>
      <c r="N59" s="175"/>
      <c r="O59" s="107"/>
    </row>
    <row r="60" spans="2:16">
      <c r="B60" s="24" t="s">
        <v>140</v>
      </c>
      <c r="C60" s="28" t="s">
        <v>65</v>
      </c>
      <c r="D60" s="76">
        <f>F60/SUM($E$60:$K$62)</f>
        <v>0.83333333333333337</v>
      </c>
      <c r="E60" s="74"/>
      <c r="F60" s="75">
        <f>$B$61*N60/SUM($N$60:$N$62)</f>
        <v>8166.9900000000007</v>
      </c>
      <c r="G60" s="75"/>
      <c r="H60" s="75"/>
      <c r="I60" s="75"/>
      <c r="J60" s="75"/>
      <c r="K60" s="75"/>
      <c r="L60" s="92"/>
      <c r="M60" s="10">
        <v>0.05</v>
      </c>
      <c r="N60" s="263">
        <f>O60/M60</f>
        <v>9.8999999999999986</v>
      </c>
      <c r="O60" s="106">
        <v>0.495</v>
      </c>
      <c r="P60" s="23" t="s">
        <v>158</v>
      </c>
    </row>
    <row r="61" spans="2:16">
      <c r="B61" s="171">
        <f>Electricity!E40</f>
        <v>9800.387999999999</v>
      </c>
      <c r="C61" s="28" t="s">
        <v>66</v>
      </c>
      <c r="D61" s="76">
        <f>F61/SUM($E$60:$K$62)</f>
        <v>0.16329966329966328</v>
      </c>
      <c r="E61" s="74"/>
      <c r="F61" s="75">
        <f>$B$61*N61/SUM($N$60:$N$62)</f>
        <v>1600.4000606060606</v>
      </c>
      <c r="G61" s="75"/>
      <c r="H61" s="75"/>
      <c r="I61" s="75"/>
      <c r="J61" s="75"/>
      <c r="K61" s="75"/>
      <c r="L61" s="93"/>
      <c r="M61" s="10">
        <v>0.25</v>
      </c>
      <c r="N61" s="263">
        <f>O61/M61</f>
        <v>1.94</v>
      </c>
      <c r="O61" s="106">
        <v>0.48499999999999999</v>
      </c>
      <c r="P61" s="172" t="s">
        <v>159</v>
      </c>
    </row>
    <row r="62" spans="2:16">
      <c r="B62" s="17"/>
      <c r="C62" s="29" t="s">
        <v>67</v>
      </c>
      <c r="D62" s="80">
        <f>F62/SUM($E$60:$K$62)</f>
        <v>3.3670033670033669E-3</v>
      </c>
      <c r="E62" s="79"/>
      <c r="F62" s="73">
        <f>$B$61*N62/SUM($N$60:$N$62)</f>
        <v>32.997939393939397</v>
      </c>
      <c r="G62" s="73"/>
      <c r="H62" s="73"/>
      <c r="I62" s="73"/>
      <c r="J62" s="73"/>
      <c r="K62" s="73"/>
      <c r="L62" s="93"/>
      <c r="M62" s="10">
        <v>0.5</v>
      </c>
      <c r="N62" s="263">
        <f>O62/M62</f>
        <v>0.04</v>
      </c>
      <c r="O62" s="106">
        <v>0.02</v>
      </c>
    </row>
    <row r="63" spans="2:16">
      <c r="B63" s="17"/>
      <c r="C63" s="31"/>
      <c r="D63" s="70"/>
      <c r="E63" s="66"/>
      <c r="F63" s="66"/>
      <c r="G63" s="66"/>
      <c r="H63" s="66"/>
      <c r="I63" s="66"/>
      <c r="J63" s="66"/>
      <c r="K63" s="66"/>
      <c r="L63" s="93"/>
      <c r="M63" s="10"/>
      <c r="N63" s="2"/>
      <c r="O63" s="11"/>
    </row>
    <row r="64" spans="2:16">
      <c r="B64" s="34"/>
      <c r="C64" s="27"/>
      <c r="D64" s="71"/>
      <c r="E64" s="67"/>
      <c r="F64" s="67"/>
      <c r="G64" s="67"/>
      <c r="H64" s="67"/>
      <c r="I64" s="67"/>
      <c r="J64" s="67"/>
      <c r="K64" s="67"/>
      <c r="L64" s="92"/>
      <c r="M64" s="10"/>
      <c r="N64" s="2"/>
      <c r="O64" s="11"/>
    </row>
    <row r="65" spans="2:15">
      <c r="B65" s="17" t="s">
        <v>14</v>
      </c>
      <c r="C65" s="27"/>
      <c r="D65" s="71"/>
      <c r="E65" s="67"/>
      <c r="F65" s="67"/>
      <c r="G65" s="67"/>
      <c r="H65" s="67"/>
      <c r="I65" s="67"/>
      <c r="J65" s="67"/>
      <c r="K65" s="67"/>
      <c r="L65" s="92"/>
      <c r="M65" s="10"/>
      <c r="N65" s="2"/>
      <c r="O65" s="11"/>
    </row>
    <row r="66" spans="2:15">
      <c r="B66" s="24" t="s">
        <v>140</v>
      </c>
      <c r="C66" s="39" t="s">
        <v>15</v>
      </c>
      <c r="D66" s="76">
        <f>F66/SUM($E$66:$K$73)</f>
        <v>8.1967213114754106E-2</v>
      </c>
      <c r="E66" s="74"/>
      <c r="F66" s="72">
        <f>Electricity!E29</f>
        <v>4083.4949999999999</v>
      </c>
      <c r="G66" s="72"/>
      <c r="H66" s="72"/>
      <c r="I66" s="72"/>
      <c r="J66" s="72"/>
      <c r="K66" s="78"/>
      <c r="L66" s="92"/>
      <c r="M66" s="10"/>
      <c r="N66" s="104"/>
      <c r="O66" s="11"/>
    </row>
    <row r="67" spans="2:15">
      <c r="B67" s="171">
        <f>SUM(E66:K73)</f>
        <v>49818.638999999996</v>
      </c>
      <c r="C67" s="39" t="s">
        <v>16</v>
      </c>
      <c r="D67" s="76">
        <f t="shared" ref="D67:D73" si="7">F67/SUM($E$66:$K$73)</f>
        <v>0.29508196721311475</v>
      </c>
      <c r="E67" s="74"/>
      <c r="F67" s="72">
        <f>Electricity!E30</f>
        <v>14700.581999999999</v>
      </c>
      <c r="G67" s="72"/>
      <c r="H67" s="72"/>
      <c r="I67" s="72"/>
      <c r="J67" s="72"/>
      <c r="K67" s="75"/>
      <c r="L67" s="92"/>
      <c r="M67" s="10"/>
      <c r="N67" s="104"/>
      <c r="O67" s="11"/>
    </row>
    <row r="68" spans="2:15">
      <c r="B68" s="21"/>
      <c r="C68" s="39" t="s">
        <v>17</v>
      </c>
      <c r="D68" s="76">
        <f t="shared" si="7"/>
        <v>8.1967213114754106E-2</v>
      </c>
      <c r="E68" s="74"/>
      <c r="F68" s="72">
        <f>Electricity!E31</f>
        <v>4083.4949999999999</v>
      </c>
      <c r="G68" s="72"/>
      <c r="H68" s="72"/>
      <c r="I68" s="72"/>
      <c r="J68" s="72"/>
      <c r="K68" s="75"/>
      <c r="L68" s="92"/>
      <c r="M68" s="10"/>
      <c r="N68" s="104"/>
      <c r="O68" s="11"/>
    </row>
    <row r="69" spans="2:15">
      <c r="B69" s="21"/>
      <c r="C69" s="39" t="s">
        <v>18</v>
      </c>
      <c r="D69" s="76">
        <f t="shared" si="7"/>
        <v>9.8360655737704916E-2</v>
      </c>
      <c r="E69" s="74"/>
      <c r="F69" s="72">
        <f>Electricity!E32</f>
        <v>4900.1939999999995</v>
      </c>
      <c r="G69" s="72"/>
      <c r="H69" s="72"/>
      <c r="I69" s="72"/>
      <c r="J69" s="72"/>
      <c r="K69" s="75"/>
      <c r="L69" s="92"/>
      <c r="M69" s="10"/>
      <c r="N69" s="104"/>
      <c r="O69" s="11"/>
    </row>
    <row r="70" spans="2:15">
      <c r="B70" s="21"/>
      <c r="C70" s="39" t="s">
        <v>19</v>
      </c>
      <c r="D70" s="76">
        <f t="shared" si="7"/>
        <v>0.13114754098360656</v>
      </c>
      <c r="E70" s="74"/>
      <c r="F70" s="72">
        <f>Electricity!E33</f>
        <v>6533.5919999999996</v>
      </c>
      <c r="G70" s="72"/>
      <c r="H70" s="72"/>
      <c r="I70" s="72"/>
      <c r="J70" s="72"/>
      <c r="K70" s="75"/>
      <c r="L70" s="92"/>
      <c r="M70" s="10"/>
      <c r="N70" s="104"/>
      <c r="O70" s="11"/>
    </row>
    <row r="71" spans="2:15">
      <c r="B71" s="21"/>
      <c r="C71" s="39" t="s">
        <v>20</v>
      </c>
      <c r="D71" s="76">
        <f t="shared" si="7"/>
        <v>0.13114754098360656</v>
      </c>
      <c r="E71" s="74"/>
      <c r="F71" s="72">
        <f>Electricity!E34</f>
        <v>6533.5919999999996</v>
      </c>
      <c r="G71" s="72"/>
      <c r="H71" s="72"/>
      <c r="I71" s="72"/>
      <c r="J71" s="72"/>
      <c r="K71" s="75"/>
      <c r="L71" s="92"/>
      <c r="M71" s="10"/>
      <c r="N71" s="104"/>
      <c r="O71" s="11"/>
    </row>
    <row r="72" spans="2:15">
      <c r="B72" s="21"/>
      <c r="C72" s="39" t="s">
        <v>21</v>
      </c>
      <c r="D72" s="76">
        <f t="shared" si="7"/>
        <v>6.5573770491803282E-2</v>
      </c>
      <c r="E72" s="74"/>
      <c r="F72" s="72">
        <f>Electricity!E35</f>
        <v>3266.7959999999998</v>
      </c>
      <c r="G72" s="72"/>
      <c r="H72" s="72"/>
      <c r="I72" s="72"/>
      <c r="J72" s="72"/>
      <c r="K72" s="75"/>
      <c r="L72" s="17"/>
      <c r="M72" s="10"/>
      <c r="N72" s="104"/>
      <c r="O72" s="11"/>
    </row>
    <row r="73" spans="2:15">
      <c r="B73" s="21"/>
      <c r="C73" s="40" t="s">
        <v>22</v>
      </c>
      <c r="D73" s="77">
        <f t="shared" si="7"/>
        <v>0.11475409836065575</v>
      </c>
      <c r="E73" s="79"/>
      <c r="F73" s="73">
        <f>Electricity!E36</f>
        <v>5716.893</v>
      </c>
      <c r="G73" s="73"/>
      <c r="H73" s="73"/>
      <c r="I73" s="73"/>
      <c r="J73" s="73"/>
      <c r="K73" s="73"/>
      <c r="L73" s="94"/>
      <c r="M73" s="10"/>
      <c r="N73" s="104"/>
      <c r="O73" s="11"/>
    </row>
    <row r="74" spans="2:15">
      <c r="B74" s="17"/>
      <c r="C74" s="31"/>
      <c r="D74" s="31"/>
      <c r="E74" s="31"/>
      <c r="F74" s="31"/>
      <c r="G74" s="31"/>
      <c r="H74" s="31"/>
      <c r="I74" s="31"/>
      <c r="J74" s="31"/>
      <c r="K74" s="31"/>
      <c r="L74" s="95"/>
      <c r="M74" s="10"/>
      <c r="N74" s="2"/>
      <c r="O74" s="11"/>
    </row>
    <row r="75" spans="2:15">
      <c r="B75" s="34"/>
      <c r="C75" s="26"/>
      <c r="D75" s="26"/>
      <c r="E75" s="41"/>
      <c r="F75" s="38"/>
      <c r="G75" s="38"/>
      <c r="H75" s="38"/>
      <c r="I75" s="38"/>
      <c r="J75" s="38"/>
      <c r="K75" s="38"/>
      <c r="L75" s="95"/>
      <c r="M75" s="10"/>
      <c r="N75" s="2"/>
      <c r="O75" s="11"/>
    </row>
    <row r="76" spans="2:15">
      <c r="B76" s="42" t="s">
        <v>23</v>
      </c>
      <c r="C76" s="43"/>
      <c r="D76" s="43"/>
      <c r="E76" s="44" t="s">
        <v>24</v>
      </c>
      <c r="F76" s="36" t="s">
        <v>25</v>
      </c>
      <c r="G76" s="36" t="s">
        <v>26</v>
      </c>
      <c r="H76" s="36" t="s">
        <v>27</v>
      </c>
      <c r="I76" s="36" t="s">
        <v>28</v>
      </c>
      <c r="J76" s="36" t="s">
        <v>29</v>
      </c>
      <c r="K76" s="36" t="s">
        <v>30</v>
      </c>
      <c r="L76" s="95"/>
      <c r="M76" s="10"/>
      <c r="N76" s="2"/>
      <c r="O76" s="11"/>
    </row>
    <row r="77" spans="2:15">
      <c r="B77" s="45"/>
      <c r="C77" s="46" t="s">
        <v>31</v>
      </c>
      <c r="D77" s="47"/>
      <c r="E77" s="48">
        <f t="shared" ref="E77:K77" si="8">SUM(E15:E74)</f>
        <v>285206.03000000003</v>
      </c>
      <c r="F77" s="49">
        <f t="shared" si="8"/>
        <v>81669.900000000009</v>
      </c>
      <c r="G77" s="49">
        <f t="shared" si="8"/>
        <v>0</v>
      </c>
      <c r="H77" s="49">
        <f t="shared" si="8"/>
        <v>270.01</v>
      </c>
      <c r="I77" s="49">
        <f t="shared" si="8"/>
        <v>1468.16</v>
      </c>
      <c r="J77" s="49">
        <f t="shared" si="8"/>
        <v>18384.489999999998</v>
      </c>
      <c r="K77" s="49">
        <f t="shared" si="8"/>
        <v>12075.69</v>
      </c>
      <c r="L77" s="96"/>
      <c r="M77" s="10"/>
      <c r="N77" s="2"/>
      <c r="O77" s="11"/>
    </row>
    <row r="78" spans="2:15">
      <c r="B78" s="45"/>
      <c r="C78" s="50" t="s">
        <v>32</v>
      </c>
      <c r="D78" s="51"/>
      <c r="E78" s="48">
        <f t="shared" ref="E78:K78" si="9">E11-E77</f>
        <v>0</v>
      </c>
      <c r="F78" s="49">
        <f t="shared" si="9"/>
        <v>0</v>
      </c>
      <c r="G78" s="49">
        <f t="shared" si="9"/>
        <v>909.83</v>
      </c>
      <c r="H78" s="49">
        <f t="shared" si="9"/>
        <v>0</v>
      </c>
      <c r="I78" s="49">
        <f t="shared" si="9"/>
        <v>0</v>
      </c>
      <c r="J78" s="49">
        <f t="shared" si="9"/>
        <v>0</v>
      </c>
      <c r="K78" s="49">
        <f t="shared" si="9"/>
        <v>0</v>
      </c>
      <c r="L78" s="97"/>
      <c r="M78" s="10"/>
      <c r="N78" s="2"/>
      <c r="O78" s="11"/>
    </row>
    <row r="79" spans="2:15">
      <c r="B79" s="45"/>
      <c r="C79" s="52" t="s">
        <v>33</v>
      </c>
      <c r="D79" s="53"/>
      <c r="E79" s="68">
        <f t="shared" ref="E79:K79" si="10">E78/E11</f>
        <v>0</v>
      </c>
      <c r="F79" s="69">
        <f t="shared" si="10"/>
        <v>0</v>
      </c>
      <c r="G79" s="69">
        <f t="shared" si="10"/>
        <v>1</v>
      </c>
      <c r="H79" s="69">
        <f t="shared" si="10"/>
        <v>0</v>
      </c>
      <c r="I79" s="69">
        <f t="shared" si="10"/>
        <v>0</v>
      </c>
      <c r="J79" s="69">
        <f t="shared" si="10"/>
        <v>0</v>
      </c>
      <c r="K79" s="69">
        <f t="shared" si="10"/>
        <v>0</v>
      </c>
      <c r="L79" s="10"/>
      <c r="M79" s="10"/>
      <c r="N79" s="2"/>
      <c r="O79" s="11"/>
    </row>
    <row r="80" spans="2:15">
      <c r="B80" s="45"/>
      <c r="C80" s="50"/>
      <c r="D80" s="50"/>
      <c r="E80" s="54"/>
      <c r="F80" s="54"/>
      <c r="G80" s="54"/>
      <c r="H80" s="54"/>
      <c r="I80" s="54"/>
      <c r="J80" s="54"/>
      <c r="K80" s="54"/>
      <c r="M80" s="10"/>
      <c r="N80" s="2"/>
      <c r="O80" s="11"/>
    </row>
    <row r="81" spans="2:15" ht="17" thickBot="1">
      <c r="B81" s="55"/>
      <c r="C81" s="56"/>
      <c r="D81" s="56"/>
      <c r="E81" s="56"/>
      <c r="F81" s="56"/>
      <c r="G81" s="56"/>
      <c r="H81" s="56"/>
      <c r="I81" s="56"/>
      <c r="J81" s="56"/>
      <c r="K81" s="56"/>
      <c r="M81" s="55"/>
      <c r="N81" s="56"/>
      <c r="O81" s="105"/>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73 D52:D56 D60:D62 D46:D48 B47 B53 B67" emptyCellReferenc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27"/>
  <sheetViews>
    <sheetView workbookViewId="0">
      <selection activeCell="G24" sqref="G24:G25"/>
    </sheetView>
  </sheetViews>
  <sheetFormatPr baseColWidth="10" defaultRowHeight="16"/>
  <cols>
    <col min="7" max="7" width="22.6640625" bestFit="1" customWidth="1"/>
  </cols>
  <sheetData>
    <row r="1" spans="1:1">
      <c r="A1" t="s">
        <v>194</v>
      </c>
    </row>
    <row r="23" spans="5:7">
      <c r="G23" t="s">
        <v>197</v>
      </c>
    </row>
    <row r="24" spans="5:7">
      <c r="E24" t="s">
        <v>195</v>
      </c>
      <c r="F24">
        <v>55.6</v>
      </c>
      <c r="G24" s="165">
        <f>F24/SUM(F$24:F$25)</f>
        <v>0.16807738814993953</v>
      </c>
    </row>
    <row r="25" spans="5:7">
      <c r="E25" t="s">
        <v>112</v>
      </c>
      <c r="F25">
        <v>275.2</v>
      </c>
      <c r="G25" s="165">
        <f>F25/SUM(F$24:F$25)</f>
        <v>0.83192261185006044</v>
      </c>
    </row>
    <row r="26" spans="5:7">
      <c r="E26" t="s">
        <v>64</v>
      </c>
      <c r="F26">
        <v>9.6999999999999993</v>
      </c>
      <c r="G26" s="173"/>
    </row>
    <row r="27" spans="5:7">
      <c r="E27" t="s">
        <v>196</v>
      </c>
      <c r="F27">
        <v>64.099999999999994</v>
      </c>
      <c r="G27" s="17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G44"/>
  <sheetViews>
    <sheetView workbookViewId="0">
      <selection activeCell="D36" sqref="D36"/>
    </sheetView>
  </sheetViews>
  <sheetFormatPr baseColWidth="10" defaultRowHeight="16"/>
  <cols>
    <col min="1" max="1" width="3.33203125" customWidth="1"/>
    <col min="2" max="2" width="20.6640625" bestFit="1" customWidth="1"/>
    <col min="3" max="3" width="18.1640625" bestFit="1" customWidth="1"/>
    <col min="4" max="4" width="24.33203125" bestFit="1" customWidth="1"/>
    <col min="5" max="5" width="21" customWidth="1"/>
  </cols>
  <sheetData>
    <row r="2" spans="2:4">
      <c r="B2" s="166" t="s">
        <v>134</v>
      </c>
      <c r="C2" s="166">
        <f>'Final demand per energy carrier'!F11</f>
        <v>81669.899999999994</v>
      </c>
      <c r="D2" s="167" t="s">
        <v>162</v>
      </c>
    </row>
    <row r="4" spans="2:4">
      <c r="C4" t="s">
        <v>133</v>
      </c>
    </row>
    <row r="5" spans="2:4">
      <c r="B5" t="s">
        <v>132</v>
      </c>
      <c r="C5" s="164">
        <v>0.05</v>
      </c>
    </row>
    <row r="6" spans="2:4">
      <c r="B6" t="s">
        <v>131</v>
      </c>
      <c r="C6" s="164">
        <v>0.05</v>
      </c>
    </row>
    <row r="7" spans="2:4">
      <c r="B7" t="s">
        <v>130</v>
      </c>
      <c r="C7" s="164">
        <v>0.06</v>
      </c>
    </row>
    <row r="8" spans="2:4">
      <c r="B8" t="s">
        <v>129</v>
      </c>
      <c r="C8" s="164">
        <v>0.04</v>
      </c>
    </row>
    <row r="9" spans="2:4">
      <c r="B9" t="s">
        <v>128</v>
      </c>
      <c r="C9" s="164">
        <v>0.13</v>
      </c>
    </row>
    <row r="10" spans="2:4">
      <c r="B10" t="s">
        <v>127</v>
      </c>
      <c r="C10" s="164">
        <v>0.05</v>
      </c>
    </row>
    <row r="11" spans="2:4">
      <c r="B11" t="s">
        <v>126</v>
      </c>
      <c r="C11" s="164">
        <v>0.08</v>
      </c>
    </row>
    <row r="12" spans="2:4">
      <c r="B12" t="s">
        <v>125</v>
      </c>
      <c r="C12" s="164">
        <v>0.04</v>
      </c>
    </row>
    <row r="13" spans="2:4">
      <c r="B13" t="s">
        <v>124</v>
      </c>
      <c r="C13" s="164">
        <v>0.04</v>
      </c>
    </row>
    <row r="14" spans="2:4">
      <c r="B14" t="s">
        <v>123</v>
      </c>
      <c r="C14" s="164">
        <v>0.08</v>
      </c>
    </row>
    <row r="15" spans="2:4">
      <c r="B15" t="s">
        <v>122</v>
      </c>
      <c r="C15" s="164">
        <v>0.05</v>
      </c>
    </row>
    <row r="16" spans="2:4">
      <c r="B16" t="s">
        <v>121</v>
      </c>
      <c r="C16" s="164">
        <v>0.08</v>
      </c>
    </row>
    <row r="17" spans="2:7">
      <c r="B17" t="s">
        <v>120</v>
      </c>
      <c r="C17" s="164">
        <v>0.06</v>
      </c>
    </row>
    <row r="18" spans="2:7">
      <c r="B18" t="s">
        <v>119</v>
      </c>
      <c r="C18" s="164">
        <v>0.04</v>
      </c>
    </row>
    <row r="19" spans="2:7">
      <c r="B19" t="s">
        <v>118</v>
      </c>
      <c r="C19" s="164">
        <v>0.01</v>
      </c>
    </row>
    <row r="20" spans="2:7">
      <c r="B20" t="s">
        <v>117</v>
      </c>
      <c r="C20" s="164">
        <v>0.01</v>
      </c>
    </row>
    <row r="21" spans="2:7">
      <c r="B21" t="s">
        <v>116</v>
      </c>
      <c r="C21" s="164">
        <v>0.01</v>
      </c>
    </row>
    <row r="22" spans="2:7">
      <c r="B22" t="s">
        <v>115</v>
      </c>
      <c r="C22" s="164">
        <v>0.12</v>
      </c>
      <c r="E22" t="s">
        <v>145</v>
      </c>
      <c r="F22" t="s">
        <v>164</v>
      </c>
      <c r="G22" s="168"/>
    </row>
    <row r="23" spans="2:7">
      <c r="B23" t="s">
        <v>114</v>
      </c>
      <c r="E23" t="s">
        <v>146</v>
      </c>
      <c r="F23" t="s">
        <v>163</v>
      </c>
      <c r="G23" s="169"/>
    </row>
    <row r="24" spans="2:7">
      <c r="G24" s="169"/>
    </row>
    <row r="25" spans="2:7">
      <c r="B25" t="s">
        <v>165</v>
      </c>
      <c r="G25" s="169"/>
    </row>
    <row r="26" spans="2:7">
      <c r="G26" s="169"/>
    </row>
    <row r="27" spans="2:7">
      <c r="G27" s="168"/>
    </row>
    <row r="28" spans="2:7" s="166" customFormat="1">
      <c r="B28" s="166" t="s">
        <v>149</v>
      </c>
      <c r="C28" s="166" t="s">
        <v>147</v>
      </c>
      <c r="D28" s="166" t="s">
        <v>148</v>
      </c>
      <c r="E28" s="166" t="s">
        <v>134</v>
      </c>
    </row>
    <row r="29" spans="2:7">
      <c r="B29" t="s">
        <v>113</v>
      </c>
      <c r="C29" s="165">
        <f>C5</f>
        <v>0.05</v>
      </c>
      <c r="D29" s="164">
        <f t="shared" ref="D29:D36" si="0">C29/SUM($C$5:$C$22)</f>
        <v>0.05</v>
      </c>
      <c r="E29" s="170">
        <f t="shared" ref="E29:E36" si="1">C29*$C$2</f>
        <v>4083.4949999999999</v>
      </c>
    </row>
    <row r="30" spans="2:7">
      <c r="B30" t="s">
        <v>16</v>
      </c>
      <c r="C30" s="165">
        <f>C9+C10</f>
        <v>0.18</v>
      </c>
      <c r="D30" s="164">
        <f t="shared" si="0"/>
        <v>0.18</v>
      </c>
      <c r="E30" s="170">
        <f t="shared" si="1"/>
        <v>14700.581999999999</v>
      </c>
    </row>
    <row r="31" spans="2:7">
      <c r="B31" t="s">
        <v>17</v>
      </c>
      <c r="C31" s="165">
        <f>C6</f>
        <v>0.05</v>
      </c>
      <c r="D31" s="164">
        <f t="shared" si="0"/>
        <v>0.05</v>
      </c>
      <c r="E31" s="170">
        <f t="shared" si="1"/>
        <v>4083.4949999999999</v>
      </c>
    </row>
    <row r="32" spans="2:7">
      <c r="B32" t="s">
        <v>18</v>
      </c>
      <c r="C32" s="165">
        <f>C7</f>
        <v>0.06</v>
      </c>
      <c r="D32" s="164">
        <f t="shared" si="0"/>
        <v>0.06</v>
      </c>
      <c r="E32" s="170">
        <f t="shared" si="1"/>
        <v>4900.1939999999995</v>
      </c>
    </row>
    <row r="33" spans="2:5">
      <c r="B33" t="s">
        <v>19</v>
      </c>
      <c r="C33" s="165">
        <f>C11</f>
        <v>0.08</v>
      </c>
      <c r="D33" s="164">
        <f t="shared" si="0"/>
        <v>0.08</v>
      </c>
      <c r="E33" s="170">
        <f t="shared" si="1"/>
        <v>6533.5919999999996</v>
      </c>
    </row>
    <row r="34" spans="2:5">
      <c r="B34" t="s">
        <v>20</v>
      </c>
      <c r="C34" s="165">
        <f>C12+C13</f>
        <v>0.08</v>
      </c>
      <c r="D34" s="164">
        <f t="shared" si="0"/>
        <v>0.08</v>
      </c>
      <c r="E34" s="170">
        <f t="shared" si="1"/>
        <v>6533.5919999999996</v>
      </c>
    </row>
    <row r="35" spans="2:5">
      <c r="B35" t="s">
        <v>21</v>
      </c>
      <c r="C35" s="165">
        <f>C8</f>
        <v>0.04</v>
      </c>
      <c r="D35" s="164">
        <f t="shared" si="0"/>
        <v>0.04</v>
      </c>
      <c r="E35" s="170">
        <f t="shared" si="1"/>
        <v>3266.7959999999998</v>
      </c>
    </row>
    <row r="36" spans="2:5">
      <c r="B36" t="s">
        <v>22</v>
      </c>
      <c r="C36" s="165">
        <f>C18+C19+C20+C21</f>
        <v>7.0000000000000007E-2</v>
      </c>
      <c r="D36" s="164">
        <f t="shared" si="0"/>
        <v>7.0000000000000007E-2</v>
      </c>
      <c r="E36" s="170">
        <f t="shared" si="1"/>
        <v>5716.893</v>
      </c>
    </row>
    <row r="37" spans="2:5">
      <c r="D37" s="164"/>
      <c r="E37" s="170"/>
    </row>
    <row r="38" spans="2:5">
      <c r="B38" t="s">
        <v>112</v>
      </c>
      <c r="C38" s="165">
        <f>C14</f>
        <v>0.08</v>
      </c>
      <c r="D38" s="164">
        <f>C38/SUM($C$5:$C$22)</f>
        <v>0.08</v>
      </c>
      <c r="E38" s="170">
        <f>C38*$C$2</f>
        <v>6533.5919999999996</v>
      </c>
    </row>
    <row r="39" spans="2:5">
      <c r="B39" t="s">
        <v>111</v>
      </c>
      <c r="C39" s="165">
        <f>C15</f>
        <v>0.05</v>
      </c>
      <c r="D39" s="164">
        <f>C39/SUM($C$5:$C$22)</f>
        <v>0.05</v>
      </c>
      <c r="E39" s="170">
        <f>C39*$C$2</f>
        <v>4083.4949999999999</v>
      </c>
    </row>
    <row r="40" spans="2:5">
      <c r="B40" t="s">
        <v>64</v>
      </c>
      <c r="C40" s="165">
        <f>C22</f>
        <v>0.12</v>
      </c>
      <c r="D40" s="164">
        <f>C40/SUM($C$5:$C$22)</f>
        <v>0.12</v>
      </c>
      <c r="E40" s="170">
        <f>C40*$C$2</f>
        <v>9800.387999999999</v>
      </c>
    </row>
    <row r="41" spans="2:5">
      <c r="B41" t="s">
        <v>58</v>
      </c>
      <c r="C41" s="165">
        <f>C17</f>
        <v>0.06</v>
      </c>
      <c r="D41" s="164">
        <f>C41/SUM($C$5:$C$22)</f>
        <v>0.06</v>
      </c>
      <c r="E41" s="170">
        <f>C41*$C$2</f>
        <v>4900.1939999999995</v>
      </c>
    </row>
    <row r="42" spans="2:5">
      <c r="B42" t="s">
        <v>110</v>
      </c>
      <c r="C42" s="165">
        <f>C16</f>
        <v>0.08</v>
      </c>
      <c r="D42" s="164">
        <f>C42/SUM($C$5:$C$22)</f>
        <v>0.08</v>
      </c>
      <c r="E42" s="170">
        <f>C42*$C$2</f>
        <v>6533.5919999999996</v>
      </c>
    </row>
    <row r="44" spans="2:5">
      <c r="B44" s="167" t="s">
        <v>154</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2:L73"/>
  <sheetViews>
    <sheetView workbookViewId="0">
      <selection activeCell="D51" sqref="D51"/>
    </sheetView>
  </sheetViews>
  <sheetFormatPr baseColWidth="10" defaultRowHeight="16"/>
  <cols>
    <col min="1" max="1" width="5.1640625" style="3" bestFit="1" customWidth="1"/>
    <col min="2" max="2" width="22.6640625" style="3" bestFit="1" customWidth="1"/>
    <col min="3" max="3" width="14.5" style="3" customWidth="1"/>
    <col min="4" max="4" width="35" style="3" bestFit="1" customWidth="1"/>
    <col min="5" max="5" width="69" style="3" bestFit="1" customWidth="1"/>
    <col min="6" max="6" width="12.5" style="3" customWidth="1"/>
    <col min="7" max="7" width="14.5" style="3" customWidth="1"/>
    <col min="8" max="8" width="16" style="3" customWidth="1"/>
    <col min="9" max="16384" width="10.83203125" style="3"/>
  </cols>
  <sheetData>
    <row r="2" spans="2:11">
      <c r="B2" s="3" t="s">
        <v>145</v>
      </c>
      <c r="C2" s="3" t="s">
        <v>155</v>
      </c>
    </row>
    <row r="3" spans="2:11">
      <c r="B3" s="3" t="s">
        <v>146</v>
      </c>
      <c r="C3" s="3" t="s">
        <v>150</v>
      </c>
    </row>
    <row r="7" spans="2:11">
      <c r="K7" s="214"/>
    </row>
    <row r="8" spans="2:11">
      <c r="K8" s="214"/>
    </row>
    <row r="9" spans="2:11">
      <c r="K9" s="214"/>
    </row>
    <row r="18" spans="2:5" ht="17" thickBot="1"/>
    <row r="19" spans="2:5">
      <c r="B19" s="195" t="s">
        <v>231</v>
      </c>
      <c r="C19" s="196" t="s">
        <v>232</v>
      </c>
      <c r="D19" s="196" t="s">
        <v>233</v>
      </c>
      <c r="E19" s="219" t="s">
        <v>234</v>
      </c>
    </row>
    <row r="20" spans="2:5" ht="17" thickBot="1">
      <c r="B20" s="222">
        <v>530</v>
      </c>
      <c r="C20" s="223" t="s">
        <v>209</v>
      </c>
      <c r="D20" s="223" t="s">
        <v>226</v>
      </c>
      <c r="E20" s="224" t="s">
        <v>235</v>
      </c>
    </row>
    <row r="21" spans="2:5" ht="17" thickBot="1">
      <c r="B21" s="225">
        <v>3.5999999999999998E-6</v>
      </c>
      <c r="C21" s="223" t="s">
        <v>225</v>
      </c>
      <c r="D21" s="223"/>
      <c r="E21" s="224" t="s">
        <v>236</v>
      </c>
    </row>
    <row r="22" spans="2:5">
      <c r="B22" s="226">
        <f>B20*B21</f>
        <v>1.908E-3</v>
      </c>
      <c r="C22" s="223" t="s">
        <v>157</v>
      </c>
      <c r="D22" s="223" t="s">
        <v>227</v>
      </c>
      <c r="E22" s="224"/>
    </row>
    <row r="23" spans="2:5">
      <c r="B23" s="227">
        <f>SUMPRODUCT(C36:C38,D36:D38)/SUM(C36:C38)</f>
        <v>0.65833333333333333</v>
      </c>
      <c r="C23" s="223" t="s">
        <v>105</v>
      </c>
      <c r="D23" s="223" t="s">
        <v>213</v>
      </c>
      <c r="E23" s="224"/>
    </row>
    <row r="24" spans="2:5" ht="17" thickBot="1">
      <c r="B24" s="226">
        <f>B22*B23</f>
        <v>1.2561E-3</v>
      </c>
      <c r="C24" s="223" t="s">
        <v>157</v>
      </c>
      <c r="D24" s="223" t="s">
        <v>212</v>
      </c>
      <c r="E24" s="224"/>
    </row>
    <row r="25" spans="2:5" ht="17" thickBot="1">
      <c r="B25" s="228">
        <v>7449298</v>
      </c>
      <c r="C25" s="223" t="s">
        <v>216</v>
      </c>
      <c r="D25" s="223" t="s">
        <v>215</v>
      </c>
      <c r="E25" s="224" t="s">
        <v>237</v>
      </c>
    </row>
    <row r="26" spans="2:5">
      <c r="B26" s="226">
        <f>B24*B25</f>
        <v>9357.0632177999996</v>
      </c>
      <c r="C26" s="223" t="s">
        <v>157</v>
      </c>
      <c r="D26" s="223" t="s">
        <v>224</v>
      </c>
      <c r="E26" s="224"/>
    </row>
    <row r="27" spans="2:5">
      <c r="B27" s="226">
        <f>G36*B23</f>
        <v>3225.9610499999994</v>
      </c>
      <c r="C27" s="223" t="s">
        <v>157</v>
      </c>
      <c r="D27" s="223" t="s">
        <v>217</v>
      </c>
      <c r="E27" s="224"/>
    </row>
    <row r="28" spans="2:5">
      <c r="B28" s="226">
        <f>B26-B27</f>
        <v>6131.1021677999997</v>
      </c>
      <c r="C28" s="223" t="s">
        <v>157</v>
      </c>
      <c r="D28" s="223" t="s">
        <v>218</v>
      </c>
      <c r="E28" s="224"/>
    </row>
    <row r="29" spans="2:5">
      <c r="B29" s="226">
        <f>B28/B26</f>
        <v>0.65523786952051</v>
      </c>
      <c r="C29" s="223" t="s">
        <v>214</v>
      </c>
      <c r="D29" s="223" t="s">
        <v>222</v>
      </c>
      <c r="E29" s="224"/>
    </row>
    <row r="30" spans="2:5" ht="17" thickBot="1">
      <c r="B30" s="229">
        <f>B28/D39</f>
        <v>15327.755419499999</v>
      </c>
      <c r="C30" s="230"/>
      <c r="D30" s="230" t="s">
        <v>228</v>
      </c>
      <c r="E30" s="231"/>
    </row>
    <row r="34" spans="2:12" ht="17" thickBot="1"/>
    <row r="35" spans="2:12" ht="49" thickBot="1">
      <c r="B35" s="195" t="s">
        <v>135</v>
      </c>
      <c r="C35" s="192" t="s">
        <v>137</v>
      </c>
      <c r="D35" s="177" t="s">
        <v>156</v>
      </c>
      <c r="E35" s="177" t="s">
        <v>138</v>
      </c>
      <c r="F35" s="177" t="s">
        <v>200</v>
      </c>
      <c r="G35" s="177" t="s">
        <v>139</v>
      </c>
      <c r="H35" s="196" t="s">
        <v>201</v>
      </c>
      <c r="I35" s="177" t="s">
        <v>202</v>
      </c>
      <c r="J35" s="196" t="s">
        <v>230</v>
      </c>
      <c r="K35" s="219" t="s">
        <v>229</v>
      </c>
    </row>
    <row r="36" spans="2:12" ht="17" thickBot="1">
      <c r="B36" s="221" t="s">
        <v>60</v>
      </c>
      <c r="C36" s="190">
        <v>0.02</v>
      </c>
      <c r="D36" s="232">
        <f>'Final demand per energy carrier'!M53</f>
        <v>0.55000000000000004</v>
      </c>
      <c r="E36" s="223">
        <f>C36/D36</f>
        <v>3.6363636363636362E-2</v>
      </c>
      <c r="F36" s="223">
        <f>E36/SUM($E$36:$E$38)</f>
        <v>9.7328244274809142E-2</v>
      </c>
      <c r="G36" s="233">
        <f>Electricity!E41</f>
        <v>4900.1939999999995</v>
      </c>
      <c r="H36" s="234">
        <f>F36*$G$36</f>
        <v>476.92727862595405</v>
      </c>
      <c r="I36" s="223"/>
      <c r="J36" s="223">
        <f>H36*D36</f>
        <v>262.31000324427475</v>
      </c>
      <c r="K36" s="235">
        <f>J36/(SUM(J$36:J$39))</f>
        <v>2.8269752065513517E-2</v>
      </c>
      <c r="L36" s="203"/>
    </row>
    <row r="37" spans="2:12" ht="17" thickBot="1">
      <c r="B37" s="193" t="s">
        <v>61</v>
      </c>
      <c r="C37" s="190">
        <v>0.16</v>
      </c>
      <c r="D37" s="232">
        <f>'Final demand per energy carrier'!M54</f>
        <v>0.6</v>
      </c>
      <c r="E37" s="223">
        <f>C37/D37</f>
        <v>0.26666666666666666</v>
      </c>
      <c r="F37" s="223">
        <f>E37/SUM($E$36:$E$38)</f>
        <v>0.71374045801526709</v>
      </c>
      <c r="G37" s="223"/>
      <c r="H37" s="234">
        <f>F37*$G$36</f>
        <v>3497.4667099236635</v>
      </c>
      <c r="I37" s="223"/>
      <c r="J37" s="223">
        <f>H37*D37</f>
        <v>2098.480025954198</v>
      </c>
      <c r="K37" s="235">
        <f>J37/(SUM(J$36:J$39))</f>
        <v>0.22615801652410814</v>
      </c>
      <c r="L37" s="203"/>
    </row>
    <row r="38" spans="2:12" ht="17" thickBot="1">
      <c r="B38" s="193" t="s">
        <v>62</v>
      </c>
      <c r="C38" s="190">
        <v>0.06</v>
      </c>
      <c r="D38" s="232">
        <f>'Final demand per energy carrier'!M55</f>
        <v>0.85</v>
      </c>
      <c r="E38" s="223">
        <f>C38/D38</f>
        <v>7.0588235294117646E-2</v>
      </c>
      <c r="F38" s="223">
        <f>E38/SUM($E$36:$E$38)</f>
        <v>0.18893129770992365</v>
      </c>
      <c r="G38" s="223"/>
      <c r="H38" s="234">
        <f>F38*$G$36</f>
        <v>925.80001145038148</v>
      </c>
      <c r="I38" s="223"/>
      <c r="J38" s="223">
        <f>H38*D38</f>
        <v>786.93000973282426</v>
      </c>
      <c r="K38" s="235">
        <f>J38/(SUM(J$36:J$39))</f>
        <v>8.4809256196540547E-2</v>
      </c>
      <c r="L38" s="203"/>
    </row>
    <row r="39" spans="2:12" ht="17" thickBot="1">
      <c r="B39" s="220" t="s">
        <v>59</v>
      </c>
      <c r="C39" s="230"/>
      <c r="D39" s="236">
        <f>'Final demand per energy carrier'!M52</f>
        <v>0.4</v>
      </c>
      <c r="E39" s="236">
        <f>C39/D39</f>
        <v>0</v>
      </c>
      <c r="F39" s="230"/>
      <c r="G39" s="230"/>
      <c r="H39" s="230"/>
      <c r="I39" s="236">
        <f>B30</f>
        <v>15327.755419499999</v>
      </c>
      <c r="J39" s="230">
        <f>I39*D39</f>
        <v>6131.1021677999997</v>
      </c>
      <c r="K39" s="237">
        <f>J39/(SUM(J$36:J$39))</f>
        <v>0.66076297521383787</v>
      </c>
      <c r="L39" s="203"/>
    </row>
    <row r="41" spans="2:12" ht="17" thickBot="1"/>
    <row r="42" spans="2:12">
      <c r="B42" s="292" t="s">
        <v>239</v>
      </c>
      <c r="C42" s="293"/>
      <c r="D42" s="293"/>
      <c r="E42" s="294"/>
    </row>
    <row r="43" spans="2:12">
      <c r="B43" s="238" t="s">
        <v>231</v>
      </c>
      <c r="C43" s="239" t="s">
        <v>232</v>
      </c>
      <c r="D43" s="239" t="s">
        <v>233</v>
      </c>
      <c r="E43" s="240" t="s">
        <v>234</v>
      </c>
    </row>
    <row r="44" spans="2:12" ht="17" thickBot="1">
      <c r="B44" s="241">
        <v>65</v>
      </c>
      <c r="C44" s="242" t="s">
        <v>210</v>
      </c>
      <c r="D44" s="242" t="s">
        <v>219</v>
      </c>
      <c r="E44" s="243" t="s">
        <v>235</v>
      </c>
    </row>
    <row r="45" spans="2:12" ht="17" thickBot="1">
      <c r="B45" s="244">
        <f>31.65/10^6</f>
        <v>3.1649999999999997E-5</v>
      </c>
      <c r="C45" s="242" t="s">
        <v>220</v>
      </c>
      <c r="D45" s="242" t="s">
        <v>221</v>
      </c>
      <c r="E45" s="243" t="s">
        <v>238</v>
      </c>
    </row>
    <row r="46" spans="2:12">
      <c r="B46" s="245">
        <f>B44*B45</f>
        <v>2.0572499999999996E-3</v>
      </c>
      <c r="C46" s="242" t="s">
        <v>157</v>
      </c>
      <c r="D46" s="242" t="s">
        <v>211</v>
      </c>
      <c r="E46" s="243"/>
    </row>
    <row r="47" spans="2:12" ht="17" thickBot="1">
      <c r="B47" s="245">
        <f>B46*D39</f>
        <v>8.2289999999999989E-4</v>
      </c>
      <c r="C47" s="242" t="s">
        <v>157</v>
      </c>
      <c r="D47" s="242" t="s">
        <v>212</v>
      </c>
      <c r="E47" s="243"/>
    </row>
    <row r="48" spans="2:12" ht="17" thickBot="1">
      <c r="B48" s="246">
        <v>7449298</v>
      </c>
      <c r="C48" s="242" t="s">
        <v>216</v>
      </c>
      <c r="D48" s="242" t="s">
        <v>215</v>
      </c>
      <c r="E48" s="243" t="s">
        <v>237</v>
      </c>
    </row>
    <row r="49" spans="2:7">
      <c r="B49" s="245">
        <f>B47*B48</f>
        <v>6130.0273241999994</v>
      </c>
      <c r="C49" s="242" t="s">
        <v>157</v>
      </c>
      <c r="D49" s="242" t="s">
        <v>224</v>
      </c>
      <c r="E49" s="243"/>
    </row>
    <row r="50" spans="2:7">
      <c r="B50" s="245">
        <f>SUMPRODUCT(C36:C38,D36:D38)/SUM(C36:C38)</f>
        <v>0.65833333333333333</v>
      </c>
      <c r="C50" s="242" t="s">
        <v>214</v>
      </c>
      <c r="D50" s="242" t="s">
        <v>213</v>
      </c>
      <c r="E50" s="243"/>
    </row>
    <row r="51" spans="2:7">
      <c r="B51" s="245">
        <f>G36*B50</f>
        <v>3225.9610499999994</v>
      </c>
      <c r="C51" s="242" t="s">
        <v>157</v>
      </c>
      <c r="D51" s="242" t="s">
        <v>217</v>
      </c>
      <c r="E51" s="247"/>
    </row>
    <row r="52" spans="2:7">
      <c r="B52" s="245">
        <f>B49-B51</f>
        <v>2904.0662742</v>
      </c>
      <c r="C52" s="242" t="s">
        <v>157</v>
      </c>
      <c r="D52" s="242" t="s">
        <v>218</v>
      </c>
      <c r="E52" s="248"/>
    </row>
    <row r="53" spans="2:7">
      <c r="B53" s="245">
        <f>B52/D39</f>
        <v>7260.1656854999992</v>
      </c>
      <c r="C53" s="242"/>
      <c r="D53" s="242" t="s">
        <v>223</v>
      </c>
      <c r="E53" s="247"/>
    </row>
    <row r="54" spans="2:7" ht="17" thickBot="1">
      <c r="B54" s="249">
        <f>B52/B49</f>
        <v>0.47374442569536113</v>
      </c>
      <c r="C54" s="250" t="s">
        <v>214</v>
      </c>
      <c r="D54" s="250" t="s">
        <v>222</v>
      </c>
      <c r="E54" s="251"/>
    </row>
    <row r="62" spans="2:7">
      <c r="D62" s="215"/>
      <c r="E62" s="204"/>
      <c r="G62" s="213"/>
    </row>
    <row r="63" spans="2:7">
      <c r="D63" s="215"/>
      <c r="E63" s="204"/>
      <c r="F63" s="213"/>
      <c r="G63" s="213"/>
    </row>
    <row r="64" spans="2:7">
      <c r="F64" s="213"/>
      <c r="G64" s="213"/>
    </row>
    <row r="65" spans="3:7">
      <c r="D65" s="216"/>
      <c r="E65" s="204"/>
      <c r="G65" s="213"/>
    </row>
    <row r="66" spans="3:7">
      <c r="D66" s="216"/>
      <c r="E66" s="204"/>
      <c r="F66" s="213"/>
      <c r="G66" s="213"/>
    </row>
    <row r="67" spans="3:7">
      <c r="F67" s="213"/>
      <c r="G67" s="213"/>
    </row>
    <row r="69" spans="3:7">
      <c r="C69" s="213"/>
      <c r="D69" s="216"/>
      <c r="E69" s="204"/>
      <c r="G69" s="217"/>
    </row>
    <row r="70" spans="3:7">
      <c r="C70" s="218"/>
      <c r="D70" s="216"/>
      <c r="E70" s="204"/>
      <c r="F70" s="217"/>
      <c r="G70" s="213"/>
    </row>
    <row r="71" spans="3:7">
      <c r="F71" s="213"/>
      <c r="G71" s="213"/>
    </row>
    <row r="72" spans="3:7">
      <c r="D72" s="216"/>
      <c r="E72" s="204"/>
      <c r="G72" s="213"/>
    </row>
    <row r="73" spans="3:7">
      <c r="D73" s="216"/>
      <c r="E73" s="204"/>
      <c r="F73" s="213"/>
      <c r="G73" s="213"/>
    </row>
  </sheetData>
  <mergeCells count="1">
    <mergeCell ref="B42:E42"/>
  </mergeCells>
  <dataValidations count="1">
    <dataValidation type="decimal" operator="greaterThanOrEqual" allowBlank="1" showInputMessage="1" showErrorMessage="1" errorTitle="Number Range" error="You may only enter positive numbers here. " sqref="B21 B45" xr:uid="{00000000-0002-0000-0600-000000000000}">
      <formula1>0</formula1>
    </dataValidation>
  </dataValidation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C1:N41"/>
  <sheetViews>
    <sheetView zoomScale="113" workbookViewId="0">
      <selection activeCell="D26" sqref="D26"/>
    </sheetView>
  </sheetViews>
  <sheetFormatPr baseColWidth="10" defaultRowHeight="16"/>
  <cols>
    <col min="1" max="1" width="3.1640625" style="3" customWidth="1"/>
    <col min="2" max="2" width="13.33203125" style="3" customWidth="1"/>
    <col min="3" max="3" width="23.33203125" style="3" bestFit="1" customWidth="1"/>
    <col min="4" max="4" width="19.5" style="3" customWidth="1"/>
    <col min="5" max="5" width="18.6640625" style="3" customWidth="1"/>
    <col min="6" max="6" width="12.5" style="3" customWidth="1"/>
    <col min="7" max="7" width="19.5" style="3" customWidth="1"/>
    <col min="8" max="8" width="22" style="3" bestFit="1" customWidth="1"/>
    <col min="9" max="9" width="17.1640625" style="3" customWidth="1"/>
    <col min="10" max="10" width="24.1640625" style="3" bestFit="1" customWidth="1"/>
    <col min="11" max="12" width="23" style="3" bestFit="1" customWidth="1"/>
    <col min="13" max="13" width="24.1640625" style="3" bestFit="1" customWidth="1"/>
    <col min="14" max="14" width="51.83203125" style="3" bestFit="1" customWidth="1"/>
    <col min="15" max="15" width="110.6640625" style="3" bestFit="1" customWidth="1"/>
    <col min="16" max="16384" width="10.83203125" style="3"/>
  </cols>
  <sheetData>
    <row r="1" spans="3:14" ht="17" thickBot="1"/>
    <row r="2" spans="3:14" ht="16" customHeight="1">
      <c r="C2" s="295" t="s">
        <v>180</v>
      </c>
      <c r="D2" s="296"/>
      <c r="E2" s="296"/>
      <c r="F2" s="296"/>
      <c r="G2" s="296"/>
      <c r="H2" s="297"/>
    </row>
    <row r="3" spans="3:14" ht="49" thickBot="1">
      <c r="C3" s="267"/>
      <c r="D3" s="273"/>
      <c r="E3" s="275" t="s">
        <v>112</v>
      </c>
      <c r="F3" s="276" t="s">
        <v>173</v>
      </c>
      <c r="G3" s="275" t="s">
        <v>182</v>
      </c>
      <c r="H3" s="277" t="s">
        <v>173</v>
      </c>
    </row>
    <row r="4" spans="3:14" ht="17" thickBot="1">
      <c r="C4" s="10" t="s">
        <v>178</v>
      </c>
      <c r="D4" s="174" t="s">
        <v>174</v>
      </c>
      <c r="E4" s="252">
        <v>0.63199000312402398</v>
      </c>
      <c r="F4" s="175">
        <f>SUM(E5,E6/E7)</f>
        <v>0.35624001051686416</v>
      </c>
      <c r="G4" s="187">
        <v>0.44444444444444497</v>
      </c>
      <c r="H4" s="176">
        <f>SUM(G5,G6/G7)</f>
        <v>0.59259259259259189</v>
      </c>
      <c r="I4" s="175"/>
      <c r="J4" s="175"/>
    </row>
    <row r="5" spans="3:14" ht="17" thickBot="1">
      <c r="C5" s="10"/>
      <c r="D5" s="174" t="s">
        <v>175</v>
      </c>
      <c r="E5" s="252">
        <v>0.18056857232115001</v>
      </c>
      <c r="F5" s="2"/>
      <c r="G5" s="187">
        <v>0.22222222222222199</v>
      </c>
      <c r="H5" s="11"/>
      <c r="N5" s="185" t="s">
        <v>166</v>
      </c>
    </row>
    <row r="6" spans="3:14" ht="17" thickBot="1">
      <c r="C6" s="10"/>
      <c r="D6" s="174" t="s">
        <v>176</v>
      </c>
      <c r="E6" s="252">
        <v>0.18744142455482701</v>
      </c>
      <c r="F6" s="2"/>
      <c r="G6" s="187">
        <v>0.33333333333333298</v>
      </c>
      <c r="H6" s="11"/>
    </row>
    <row r="7" spans="3:14" ht="33" thickBot="1">
      <c r="C7" s="10"/>
      <c r="D7" s="274" t="s">
        <v>203</v>
      </c>
      <c r="E7" s="256">
        <v>1.0669999999999999</v>
      </c>
      <c r="F7" s="2"/>
      <c r="G7" s="187">
        <v>0.9</v>
      </c>
      <c r="H7" s="11"/>
    </row>
    <row r="8" spans="3:14" ht="17" thickBot="1">
      <c r="C8" s="10"/>
      <c r="D8" s="174"/>
      <c r="E8" s="175"/>
      <c r="F8" s="2"/>
      <c r="G8" s="175"/>
      <c r="H8" s="11"/>
    </row>
    <row r="9" spans="3:14" ht="17" thickBot="1">
      <c r="C9" s="10" t="s">
        <v>179</v>
      </c>
      <c r="D9" s="174" t="s">
        <v>177</v>
      </c>
      <c r="E9" s="187">
        <v>0.77777777777777801</v>
      </c>
      <c r="F9" s="175">
        <f>E10</f>
        <v>0.22222222222222199</v>
      </c>
      <c r="G9" s="187">
        <v>0.66666666666666696</v>
      </c>
      <c r="H9" s="176">
        <f>G10</f>
        <v>0.33333333333333298</v>
      </c>
      <c r="I9" s="175"/>
      <c r="J9" s="175"/>
    </row>
    <row r="10" spans="3:14" ht="17" thickBot="1">
      <c r="C10" s="10"/>
      <c r="D10" s="174" t="s">
        <v>175</v>
      </c>
      <c r="E10" s="187">
        <v>0.22222222222222199</v>
      </c>
      <c r="F10" s="2"/>
      <c r="G10" s="187">
        <v>0.33333333333333298</v>
      </c>
      <c r="H10" s="11"/>
      <c r="I10" s="2"/>
      <c r="J10" s="2"/>
    </row>
    <row r="11" spans="3:14" ht="17" thickBot="1">
      <c r="C11" s="10"/>
      <c r="D11" s="174"/>
      <c r="E11" s="175"/>
      <c r="F11" s="2"/>
      <c r="G11" s="175"/>
      <c r="H11" s="11"/>
      <c r="I11" s="2"/>
      <c r="J11" s="2"/>
    </row>
    <row r="12" spans="3:14" ht="17" thickBot="1">
      <c r="C12" s="10" t="s">
        <v>172</v>
      </c>
      <c r="D12" s="2" t="s">
        <v>174</v>
      </c>
      <c r="E12" s="256">
        <v>0.79166666666666696</v>
      </c>
      <c r="F12" s="175">
        <f>E13</f>
        <v>0.20833333333333301</v>
      </c>
      <c r="G12" s="187">
        <v>0.66666700000000001</v>
      </c>
      <c r="H12" s="176">
        <f>G13</f>
        <v>0.33333000000000002</v>
      </c>
      <c r="I12" s="175"/>
      <c r="J12" s="175"/>
    </row>
    <row r="13" spans="3:14" ht="17" thickBot="1">
      <c r="C13" s="55"/>
      <c r="D13" s="56" t="s">
        <v>175</v>
      </c>
      <c r="E13" s="256">
        <v>0.20833333333333301</v>
      </c>
      <c r="F13" s="56"/>
      <c r="G13" s="187">
        <v>0.33333000000000002</v>
      </c>
      <c r="H13" s="105"/>
      <c r="I13" s="2"/>
      <c r="J13" s="2"/>
    </row>
    <row r="14" spans="3:14" ht="17" thickBot="1"/>
    <row r="15" spans="3:14" ht="48">
      <c r="C15" s="180"/>
      <c r="D15" s="183" t="s">
        <v>170</v>
      </c>
      <c r="E15" s="183" t="s">
        <v>205</v>
      </c>
      <c r="F15" s="183" t="s">
        <v>206</v>
      </c>
      <c r="G15" s="183" t="s">
        <v>173</v>
      </c>
      <c r="H15" s="183" t="s">
        <v>187</v>
      </c>
      <c r="I15" s="197" t="s">
        <v>188</v>
      </c>
      <c r="J15" s="183" t="s">
        <v>183</v>
      </c>
      <c r="K15" s="183" t="s">
        <v>184</v>
      </c>
      <c r="L15" s="183" t="s">
        <v>185</v>
      </c>
      <c r="M15" s="181" t="s">
        <v>186</v>
      </c>
    </row>
    <row r="16" spans="3:14" ht="17" thickBot="1">
      <c r="C16" s="184"/>
      <c r="D16" s="182" t="s">
        <v>171</v>
      </c>
      <c r="E16" s="188"/>
      <c r="F16" s="188"/>
      <c r="G16" s="182" t="s">
        <v>157</v>
      </c>
      <c r="H16" s="188" t="s">
        <v>157</v>
      </c>
      <c r="I16" s="198" t="s">
        <v>157</v>
      </c>
      <c r="J16" s="188"/>
      <c r="K16" s="188"/>
      <c r="L16" s="188"/>
      <c r="M16" s="189"/>
    </row>
    <row r="17" spans="3:13" ht="17" thickBot="1">
      <c r="C17" s="10" t="s">
        <v>167</v>
      </c>
      <c r="D17" s="186">
        <v>105800</v>
      </c>
      <c r="E17" s="2"/>
      <c r="F17" s="2"/>
      <c r="G17" s="186">
        <v>458</v>
      </c>
      <c r="H17" s="175">
        <f>G17*'Applicance split'!G25</f>
        <v>381.02055622732769</v>
      </c>
      <c r="I17" s="272">
        <f>G17*'Applicance split'!G24</f>
        <v>76.979443772672298</v>
      </c>
      <c r="J17" s="2"/>
      <c r="K17" s="2"/>
      <c r="L17" s="2"/>
      <c r="M17" s="11"/>
    </row>
    <row r="18" spans="3:13" ht="17" thickBot="1">
      <c r="C18" s="10" t="s">
        <v>168</v>
      </c>
      <c r="D18" s="186">
        <v>20000</v>
      </c>
      <c r="E18" s="175">
        <f>D18*F4/(D18*F4+D19*F9)</f>
        <v>0.27202753644137617</v>
      </c>
      <c r="F18" s="175">
        <f>D18*H4/(D18*H4+D19*H9)</f>
        <v>0.29298663248489282</v>
      </c>
      <c r="G18" s="178"/>
      <c r="H18" s="178">
        <f>H17*$E18</f>
        <v>103.64808324404279</v>
      </c>
      <c r="I18" s="200">
        <f>I17*$F18</f>
        <v>22.553948001515408</v>
      </c>
      <c r="J18" s="265">
        <f>D26*H18</f>
        <v>50.856190250472608</v>
      </c>
      <c r="K18" s="265">
        <f>H18*E26</f>
        <v>52.791892993570187</v>
      </c>
      <c r="L18" s="265">
        <f>I18*D28</f>
        <v>9.0215792006061637</v>
      </c>
      <c r="M18" s="271">
        <f>I18*E28</f>
        <v>13.532368800909246</v>
      </c>
    </row>
    <row r="19" spans="3:13">
      <c r="C19" s="10" t="s">
        <v>169</v>
      </c>
      <c r="D19" s="2">
        <f>D17-D18</f>
        <v>85800</v>
      </c>
      <c r="E19" s="175">
        <f>D19*F9/(D18*F4+D19*F9)</f>
        <v>0.72797246355862388</v>
      </c>
      <c r="F19" s="175">
        <f>D19*H9/(D18*H4+D19*H9)</f>
        <v>0.70701336751510713</v>
      </c>
      <c r="G19" s="178"/>
      <c r="H19" s="178">
        <f>E19*$H17</f>
        <v>277.37247298328492</v>
      </c>
      <c r="I19" s="200">
        <f>F19*$I17</f>
        <v>54.425495771156882</v>
      </c>
      <c r="J19" s="265">
        <f>H19</f>
        <v>277.37247298328492</v>
      </c>
      <c r="K19" s="265"/>
      <c r="L19" s="265">
        <f>I19</f>
        <v>54.425495771156882</v>
      </c>
      <c r="M19" s="176"/>
    </row>
    <row r="20" spans="3:13" ht="17" thickBot="1">
      <c r="C20" s="10"/>
      <c r="D20" s="2"/>
      <c r="E20" s="2"/>
      <c r="F20" s="2"/>
      <c r="G20" s="2"/>
      <c r="H20" s="175"/>
      <c r="I20" s="199"/>
      <c r="J20" s="2"/>
      <c r="K20" s="2"/>
      <c r="L20" s="2"/>
      <c r="M20" s="11"/>
    </row>
    <row r="21" spans="3:13" ht="17" thickBot="1">
      <c r="C21" s="55" t="s">
        <v>172</v>
      </c>
      <c r="D21" s="186">
        <v>37625</v>
      </c>
      <c r="E21" s="56"/>
      <c r="F21" s="56"/>
      <c r="G21" s="186">
        <v>354</v>
      </c>
      <c r="H21" s="194">
        <f>G21*'Applicance split'!G25</f>
        <v>294.50060459492141</v>
      </c>
      <c r="I21" s="201">
        <f>G21*'Applicance split'!G24</f>
        <v>59.499395405078594</v>
      </c>
      <c r="J21" s="179">
        <f>H21/F12*E13</f>
        <v>294.50060459492141</v>
      </c>
      <c r="K21" s="179"/>
      <c r="L21" s="179">
        <f>I21/H12*G13</f>
        <v>59.499395405078594</v>
      </c>
      <c r="M21" s="105"/>
    </row>
    <row r="22" spans="3:13" ht="17" thickBot="1">
      <c r="J22" s="212"/>
      <c r="K22" s="212"/>
      <c r="L22" s="212"/>
      <c r="M22" s="212"/>
    </row>
    <row r="23" spans="3:13">
      <c r="C23" s="295" t="s">
        <v>243</v>
      </c>
      <c r="D23" s="296"/>
      <c r="E23" s="297"/>
    </row>
    <row r="24" spans="3:13">
      <c r="C24" s="267"/>
      <c r="D24" s="266" t="s">
        <v>208</v>
      </c>
      <c r="E24" s="268" t="s">
        <v>207</v>
      </c>
    </row>
    <row r="25" spans="3:13">
      <c r="C25" s="45" t="s">
        <v>240</v>
      </c>
      <c r="D25" s="2"/>
      <c r="E25" s="11"/>
    </row>
    <row r="26" spans="3:13">
      <c r="C26" s="10" t="s">
        <v>242</v>
      </c>
      <c r="D26" s="261">
        <f>E5/SUM(E5:E6)</f>
        <v>0.49066213921901525</v>
      </c>
      <c r="E26" s="264">
        <f>E6/SUM(E5:E6)</f>
        <v>0.50933786078098475</v>
      </c>
    </row>
    <row r="27" spans="3:13" ht="17">
      <c r="C27" s="45" t="s">
        <v>241</v>
      </c>
      <c r="D27" s="261"/>
      <c r="E27" s="264"/>
      <c r="I27" s="253"/>
      <c r="J27" s="254"/>
      <c r="K27" s="254"/>
    </row>
    <row r="28" spans="3:13" ht="17" thickBot="1">
      <c r="C28" s="55" t="s">
        <v>242</v>
      </c>
      <c r="D28" s="269">
        <f>G5/SUM(G5:G6)</f>
        <v>0.4</v>
      </c>
      <c r="E28" s="270">
        <f>G6/SUM(G5:G6)</f>
        <v>0.60000000000000009</v>
      </c>
      <c r="H28" s="279"/>
    </row>
    <row r="29" spans="3:13">
      <c r="H29" s="279"/>
    </row>
    <row r="30" spans="3:13">
      <c r="H30" s="279"/>
    </row>
    <row r="31" spans="3:13">
      <c r="H31" s="279"/>
    </row>
    <row r="32" spans="3:13">
      <c r="H32" s="279"/>
    </row>
    <row r="33" spans="4:8">
      <c r="D33" s="255"/>
      <c r="E33" s="255"/>
      <c r="H33" s="279"/>
    </row>
    <row r="34" spans="4:8">
      <c r="D34" s="255"/>
      <c r="E34" s="255"/>
      <c r="H34" s="279"/>
    </row>
    <row r="35" spans="4:8">
      <c r="H35" s="279"/>
    </row>
    <row r="36" spans="4:8">
      <c r="H36" s="279"/>
    </row>
    <row r="37" spans="4:8">
      <c r="H37" s="279"/>
    </row>
    <row r="38" spans="4:8">
      <c r="H38" s="279"/>
    </row>
    <row r="39" spans="4:8">
      <c r="H39" s="279"/>
    </row>
    <row r="40" spans="4:8">
      <c r="H40" s="279"/>
    </row>
    <row r="41" spans="4:8">
      <c r="D41" s="257"/>
      <c r="E41" s="278"/>
      <c r="F41" s="257"/>
      <c r="G41" s="260"/>
      <c r="H41" s="279"/>
    </row>
  </sheetData>
  <mergeCells count="2">
    <mergeCell ref="C23:E23"/>
    <mergeCell ref="C2:H2"/>
  </mergeCells>
  <hyperlinks>
    <hyperlink ref="N5" r:id="rId1" xr:uid="{00000000-0004-0000-0700-000000000000}"/>
  </hyperlinks>
  <pageMargins left="0.75" right="0.75" top="1" bottom="1" header="0.5" footer="0.5"/>
  <pageSetup paperSize="9" orientation="portrait" horizontalDpi="4294967292" verticalDpi="429496729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2:C6"/>
  <sheetViews>
    <sheetView workbookViewId="0">
      <selection activeCell="C3" sqref="C3"/>
    </sheetView>
  </sheetViews>
  <sheetFormatPr baseColWidth="10" defaultRowHeight="16"/>
  <cols>
    <col min="1" max="1" width="3.5" customWidth="1"/>
  </cols>
  <sheetData>
    <row r="2" spans="2:3">
      <c r="B2" t="s">
        <v>145</v>
      </c>
      <c r="C2" t="s">
        <v>190</v>
      </c>
    </row>
    <row r="3" spans="2:3">
      <c r="B3" t="s">
        <v>146</v>
      </c>
      <c r="C3" t="s">
        <v>153</v>
      </c>
    </row>
    <row r="5" spans="2:3">
      <c r="B5" t="s">
        <v>189</v>
      </c>
    </row>
    <row r="6" spans="2:3">
      <c r="B6">
        <v>1985</v>
      </c>
      <c r="C6" t="s">
        <v>157</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Changelog</vt:lpstr>
      <vt:lpstr>Sources and assumptions</vt:lpstr>
      <vt:lpstr>Final demand per energy carrier</vt:lpstr>
      <vt:lpstr>Applicance split</vt:lpstr>
      <vt:lpstr>Electricity</vt:lpstr>
      <vt:lpstr>Cooking</vt:lpstr>
      <vt:lpstr>Heat pumps</vt:lpstr>
      <vt:lpstr>Cooling</vt:lpstr>
      <vt:lpstr>Housing types</vt:lpstr>
    </vt:vector>
  </TitlesOfParts>
  <Company>Quintel Intelligence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Michiel den Haan</cp:lastModifiedBy>
  <dcterms:created xsi:type="dcterms:W3CDTF">2015-12-01T15:18:13Z</dcterms:created>
  <dcterms:modified xsi:type="dcterms:W3CDTF">2018-11-22T08:59:54Z</dcterms:modified>
</cp:coreProperties>
</file>