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martlubben/Projects/etdataset/source_analyses/dk/2015/6_residences/"/>
    </mc:Choice>
  </mc:AlternateContent>
  <xr:revisionPtr revIDLastSave="0" documentId="13_ncr:1_{24FDCF13-C7ED-9C43-964D-7D8BA0BAB616}" xr6:coauthVersionLast="34" xr6:coauthVersionMax="34" xr10:uidLastSave="{00000000-0000-0000-0000-000000000000}"/>
  <bookViews>
    <workbookView xWindow="48000" yWindow="-3160" windowWidth="19200" windowHeight="21160" tabRatio="710" firstSheet="2" activeTab="7" xr2:uid="{00000000-000D-0000-FFFF-FFFF00000000}"/>
  </bookViews>
  <sheets>
    <sheet name="Cover sheet" sheetId="4" r:id="rId1"/>
    <sheet name="Changelog" sheetId="5" r:id="rId2"/>
    <sheet name="Sources and assumptions" sheetId="2" r:id="rId3"/>
    <sheet name="Final demand per energy carrier" sheetId="1" r:id="rId4"/>
    <sheet name="Application split" sheetId="10" r:id="rId5"/>
    <sheet name="Electricity" sheetId="7" r:id="rId6"/>
    <sheet name="Cooking" sheetId="6" r:id="rId7"/>
    <sheet name="Heat pumps" sheetId="8" r:id="rId8"/>
    <sheet name="Lighting" sheetId="12" r:id="rId9"/>
    <sheet name="Cooling" sheetId="9" r:id="rId10"/>
    <sheet name="Validation" sheetId="11" r:id="rId11"/>
  </sheets>
  <externalReferences>
    <externalReference r:id="rId12"/>
    <externalReference r:id="rId13"/>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6" i="6" l="1"/>
  <c r="E10" i="6"/>
  <c r="B7" i="6" s="1"/>
  <c r="G9" i="7" l="1"/>
  <c r="G10" i="7"/>
  <c r="G11" i="7"/>
  <c r="G12" i="7"/>
  <c r="G13" i="7"/>
  <c r="G8" i="7"/>
  <c r="E13" i="7"/>
  <c r="E12" i="7"/>
  <c r="E11" i="7"/>
  <c r="E10" i="7"/>
  <c r="E9" i="7"/>
  <c r="E8" i="7"/>
  <c r="D13" i="7"/>
  <c r="D12" i="7"/>
  <c r="D11" i="7"/>
  <c r="D10" i="7"/>
  <c r="D9" i="7"/>
  <c r="D8" i="7"/>
  <c r="B61" i="1" l="1"/>
  <c r="G24" i="12"/>
  <c r="I37" i="10" l="1"/>
  <c r="F11" i="10"/>
  <c r="J21" i="1" s="1"/>
  <c r="F10" i="10"/>
  <c r="J36" i="1" s="1"/>
  <c r="E12" i="10"/>
  <c r="G12" i="10" s="1"/>
  <c r="G11" i="10" l="1"/>
  <c r="G10" i="10"/>
  <c r="K32" i="10"/>
  <c r="G16" i="1"/>
  <c r="K33" i="10"/>
  <c r="I24" i="1" s="1"/>
  <c r="G31" i="1"/>
  <c r="F60" i="1"/>
  <c r="B47" i="1"/>
  <c r="I39" i="1" l="1"/>
  <c r="K37" i="10"/>
  <c r="G77" i="1"/>
  <c r="I12" i="1"/>
  <c r="D19" i="8"/>
  <c r="G32" i="7"/>
  <c r="G31" i="7"/>
  <c r="G30" i="7"/>
  <c r="G17" i="8" s="1"/>
  <c r="F48" i="1"/>
  <c r="B6" i="9"/>
  <c r="C15" i="9"/>
  <c r="C14" i="9"/>
  <c r="C13" i="9"/>
  <c r="F11" i="7"/>
  <c r="F12" i="7"/>
  <c r="F13" i="7"/>
  <c r="F70" i="1" s="1"/>
  <c r="F9" i="7"/>
  <c r="F10" i="7"/>
  <c r="F69" i="1" s="1"/>
  <c r="F8" i="7"/>
  <c r="F66" i="1" s="1"/>
  <c r="O33" i="10"/>
  <c r="H35" i="10"/>
  <c r="L35" i="10" s="1"/>
  <c r="D14" i="12"/>
  <c r="D10" i="12"/>
  <c r="D12" i="12" s="1"/>
  <c r="D9" i="12"/>
  <c r="F22" i="1" l="1"/>
  <c r="F68" i="1"/>
  <c r="F67" i="1"/>
  <c r="L9" i="10"/>
  <c r="L10" i="10"/>
  <c r="L11" i="10"/>
  <c r="L12" i="10"/>
  <c r="L13" i="10"/>
  <c r="G50" i="10"/>
  <c r="H24" i="10"/>
  <c r="L25" i="10"/>
  <c r="L26" i="10"/>
  <c r="L27" i="10"/>
  <c r="L24" i="10"/>
  <c r="H23" i="10"/>
  <c r="L23" i="10" s="1"/>
  <c r="L36" i="10" l="1"/>
  <c r="E14" i="7" l="1"/>
  <c r="C8" i="7" s="1"/>
  <c r="E15" i="7"/>
  <c r="E16" i="7"/>
  <c r="L18" i="10"/>
  <c r="L17" i="10"/>
  <c r="C16" i="7" l="1"/>
  <c r="F16" i="7"/>
  <c r="G16" i="7" s="1"/>
  <c r="F73" i="1" s="1"/>
  <c r="C15" i="7"/>
  <c r="F15" i="7"/>
  <c r="G15" i="7" s="1"/>
  <c r="F71" i="1" s="1"/>
  <c r="C11" i="7"/>
  <c r="F14" i="7"/>
  <c r="G14" i="7" s="1"/>
  <c r="C14" i="7"/>
  <c r="C13" i="7"/>
  <c r="C10" i="7"/>
  <c r="C12" i="7"/>
  <c r="C9" i="7"/>
  <c r="I11" i="1"/>
  <c r="F72" i="1" l="1"/>
  <c r="B67" i="1" s="1"/>
  <c r="G17" i="7"/>
  <c r="E19" i="8"/>
  <c r="F9" i="8"/>
  <c r="F4" i="8"/>
  <c r="D26" i="8"/>
  <c r="H9" i="8"/>
  <c r="H4" i="8"/>
  <c r="E28" i="8"/>
  <c r="D28" i="8"/>
  <c r="C2" i="7"/>
  <c r="H12" i="8"/>
  <c r="E26" i="8"/>
  <c r="P26" i="1"/>
  <c r="P42" i="1"/>
  <c r="H25" i="1"/>
  <c r="N25" i="1"/>
  <c r="F12" i="8"/>
  <c r="N41" i="1"/>
  <c r="J12" i="1"/>
  <c r="H12" i="1"/>
  <c r="D15" i="6"/>
  <c r="E15" i="6" s="1"/>
  <c r="D13" i="6"/>
  <c r="D14" i="6"/>
  <c r="E14" i="6" s="1"/>
  <c r="B22" i="6"/>
  <c r="B23" i="6"/>
  <c r="D16" i="6"/>
  <c r="M42" i="1"/>
  <c r="N36" i="1"/>
  <c r="N33" i="1"/>
  <c r="N38" i="1"/>
  <c r="N39" i="1"/>
  <c r="N40" i="1"/>
  <c r="N23" i="1"/>
  <c r="N21" i="1"/>
  <c r="N18" i="1"/>
  <c r="M26" i="1"/>
  <c r="N61" i="1"/>
  <c r="N60" i="1"/>
  <c r="N62" i="1"/>
  <c r="N56" i="1"/>
  <c r="N47" i="1"/>
  <c r="J77" i="1"/>
  <c r="I77" i="1"/>
  <c r="I78" i="1" s="1"/>
  <c r="I79" i="1" s="1"/>
  <c r="H77" i="1"/>
  <c r="H78" i="1" s="1"/>
  <c r="H79" i="1" s="1"/>
  <c r="E16" i="6" l="1"/>
  <c r="J16" i="6"/>
  <c r="M17" i="10"/>
  <c r="F37" i="1"/>
  <c r="E18" i="8"/>
  <c r="F18" i="8"/>
  <c r="F19" i="8"/>
  <c r="G57" i="10"/>
  <c r="G56" i="10"/>
  <c r="I17" i="8"/>
  <c r="K19" i="1"/>
  <c r="K12" i="1" s="1"/>
  <c r="M18" i="10"/>
  <c r="B24" i="6"/>
  <c r="B26" i="6" s="1"/>
  <c r="I21" i="8"/>
  <c r="L21" i="8" s="1"/>
  <c r="F32" i="1" s="1"/>
  <c r="N32" i="1" s="1"/>
  <c r="K34" i="1"/>
  <c r="J32" i="10" s="1"/>
  <c r="F62" i="1"/>
  <c r="N31" i="1"/>
  <c r="H17" i="8"/>
  <c r="G12" i="1"/>
  <c r="N46" i="1"/>
  <c r="D46" i="1"/>
  <c r="N24" i="1"/>
  <c r="E13" i="6"/>
  <c r="B27" i="6"/>
  <c r="J78" i="1"/>
  <c r="J79" i="1" s="1"/>
  <c r="H21" i="8"/>
  <c r="J21" i="8" s="1"/>
  <c r="F17" i="1" s="1"/>
  <c r="H18" i="8" l="1"/>
  <c r="K18" i="8" s="1"/>
  <c r="E26" i="1" s="1"/>
  <c r="I19" i="8"/>
  <c r="L19" i="8" s="1"/>
  <c r="F35" i="1" s="1"/>
  <c r="N35" i="1" s="1"/>
  <c r="N34" i="1"/>
  <c r="J33" i="10"/>
  <c r="J37" i="10" s="1"/>
  <c r="N16" i="1"/>
  <c r="K77" i="1"/>
  <c r="K78" i="1" s="1"/>
  <c r="K79" i="1" s="1"/>
  <c r="N19" i="1"/>
  <c r="I18" i="8"/>
  <c r="M18" i="8" s="1"/>
  <c r="E57" i="1"/>
  <c r="F61" i="1"/>
  <c r="D60" i="1" s="1"/>
  <c r="D66" i="1"/>
  <c r="J18" i="8"/>
  <c r="F26" i="1" s="1"/>
  <c r="P27" i="1" s="1"/>
  <c r="H19" i="8"/>
  <c r="J19" i="8" s="1"/>
  <c r="F20" i="1" s="1"/>
  <c r="G78" i="1"/>
  <c r="G79" i="1" s="1"/>
  <c r="D71" i="1"/>
  <c r="D72" i="1"/>
  <c r="D67" i="1"/>
  <c r="D70" i="1"/>
  <c r="Q27" i="1"/>
  <c r="F13" i="6"/>
  <c r="F14" i="6"/>
  <c r="F15" i="6"/>
  <c r="D48" i="1"/>
  <c r="D47" i="1"/>
  <c r="N48" i="1"/>
  <c r="O48" i="1" s="1"/>
  <c r="N17" i="1"/>
  <c r="D68" i="1"/>
  <c r="D69" i="1"/>
  <c r="D73" i="1"/>
  <c r="G13" i="6" l="1"/>
  <c r="H14" i="6" s="1"/>
  <c r="J14" i="6" s="1"/>
  <c r="F57" i="1"/>
  <c r="N20" i="1"/>
  <c r="D62" i="1"/>
  <c r="D61" i="1"/>
  <c r="E42" i="1"/>
  <c r="L18" i="8"/>
  <c r="F42" i="1" s="1"/>
  <c r="N37" i="1" s="1"/>
  <c r="N26" i="1"/>
  <c r="E52" i="1"/>
  <c r="G51" i="10"/>
  <c r="H15" i="6"/>
  <c r="F55" i="1" s="1"/>
  <c r="O47" i="1"/>
  <c r="O46" i="1"/>
  <c r="F54" i="1" l="1"/>
  <c r="J15" i="6"/>
  <c r="E30" i="1"/>
  <c r="B31" i="1" s="1"/>
  <c r="E15" i="1"/>
  <c r="B16" i="1" s="1"/>
  <c r="B28" i="6"/>
  <c r="B29" i="6" s="1"/>
  <c r="H34" i="10"/>
  <c r="H37" i="10" s="1"/>
  <c r="H13" i="6"/>
  <c r="G52" i="10"/>
  <c r="G34" i="10"/>
  <c r="Q43" i="1"/>
  <c r="P43" i="1"/>
  <c r="N42" i="1"/>
  <c r="N22" i="1"/>
  <c r="N55" i="1"/>
  <c r="N52" i="1"/>
  <c r="N54" i="1"/>
  <c r="L34" i="10" l="1"/>
  <c r="E12" i="1"/>
  <c r="G61" i="10"/>
  <c r="E27" i="1" s="1"/>
  <c r="G60" i="10"/>
  <c r="G32" i="10" s="1"/>
  <c r="B30" i="6"/>
  <c r="B31" i="6"/>
  <c r="F53" i="1"/>
  <c r="J13" i="6"/>
  <c r="D15" i="1"/>
  <c r="D25" i="1"/>
  <c r="N15" i="1"/>
  <c r="D19" i="1"/>
  <c r="D23" i="1"/>
  <c r="D18" i="1"/>
  <c r="D16" i="1"/>
  <c r="D24" i="1"/>
  <c r="D21" i="1"/>
  <c r="D20" i="1"/>
  <c r="D17" i="1"/>
  <c r="D26" i="1"/>
  <c r="D22" i="1"/>
  <c r="D33" i="1"/>
  <c r="D40" i="1"/>
  <c r="D36" i="1"/>
  <c r="D39" i="1"/>
  <c r="D38" i="1"/>
  <c r="D30" i="1"/>
  <c r="D35" i="1"/>
  <c r="N30" i="1"/>
  <c r="D34" i="1"/>
  <c r="D41" i="1"/>
  <c r="D32" i="1"/>
  <c r="D31" i="1"/>
  <c r="D37" i="1"/>
  <c r="D42" i="1"/>
  <c r="K14" i="6" l="1"/>
  <c r="K13" i="6"/>
  <c r="G33" i="10"/>
  <c r="L33" i="10" s="1"/>
  <c r="F77" i="1"/>
  <c r="F78" i="1" s="1"/>
  <c r="F79" i="1" s="1"/>
  <c r="B53" i="1"/>
  <c r="E44" i="1"/>
  <c r="E77" i="1" s="1"/>
  <c r="E78" i="1" s="1"/>
  <c r="E79" i="1" s="1"/>
  <c r="L32" i="10"/>
  <c r="L37" i="10" s="1"/>
  <c r="G37" i="10"/>
  <c r="K16" i="6"/>
  <c r="K15" i="6"/>
  <c r="N53" i="1"/>
  <c r="D53" i="1"/>
  <c r="D55" i="1"/>
  <c r="D56" i="1"/>
  <c r="D54" i="1"/>
  <c r="D52" i="1"/>
  <c r="F12" i="1"/>
  <c r="O39" i="1"/>
  <c r="O30" i="1"/>
  <c r="O36" i="1"/>
  <c r="O40" i="1"/>
  <c r="O33" i="1"/>
  <c r="O38" i="1"/>
  <c r="O41" i="1"/>
  <c r="O35" i="1"/>
  <c r="O31" i="1"/>
  <c r="O34" i="1"/>
  <c r="O32" i="1"/>
  <c r="O42" i="1"/>
  <c r="O37" i="1"/>
  <c r="D43" i="1"/>
  <c r="O15" i="1"/>
  <c r="O19" i="1"/>
  <c r="O18" i="1"/>
  <c r="O21" i="1"/>
  <c r="O23" i="1"/>
  <c r="O25" i="1"/>
  <c r="O24" i="1"/>
  <c r="O16" i="1"/>
  <c r="O20" i="1"/>
  <c r="O17" i="1"/>
  <c r="O26" i="1"/>
  <c r="O22" i="1"/>
  <c r="O56" i="1" l="1"/>
  <c r="O55" i="1"/>
  <c r="O53" i="1"/>
  <c r="O52" i="1"/>
  <c r="O54" i="1"/>
</calcChain>
</file>

<file path=xl/sharedStrings.xml><?xml version="1.0" encoding="utf-8"?>
<sst xmlns="http://schemas.openxmlformats.org/spreadsheetml/2006/main" count="440" uniqueCount="308">
  <si>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</si>
  <si>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</si>
  <si>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</si>
  <si>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</si>
  <si>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</si>
  <si>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</si>
  <si>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</si>
  <si>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</si>
  <si>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</si>
  <si>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</si>
  <si>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</si>
  <si>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</si>
  <si>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</si>
  <si>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</si>
  <si>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</si>
  <si>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</si>
  <si>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</si>
  <si>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</si>
  <si>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</si>
  <si>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</si>
  <si>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</si>
  <si>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</si>
  <si>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</si>
  <si>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</si>
  <si>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</si>
  <si>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</si>
  <si>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</si>
  <si>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</si>
  <si>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</si>
  <si>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</si>
  <si>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</si>
  <si>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</si>
  <si>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</si>
  <si>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</si>
  <si>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</si>
  <si>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</si>
  <si>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</si>
  <si>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</si>
  <si>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</si>
  <si>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</si>
  <si>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</si>
  <si>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</si>
  <si>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</si>
  <si>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</si>
  <si>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</si>
  <si>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</si>
  <si>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</si>
  <si>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</si>
  <si>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</si>
  <si>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</si>
  <si>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</si>
  <si>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</si>
  <si>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</si>
  <si>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</si>
  <si>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</si>
  <si>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</si>
  <si>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</si>
  <si>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</si>
  <si>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</si>
  <si>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</si>
  <si>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</si>
  <si>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</si>
  <si>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</si>
  <si>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</si>
  <si>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</si>
  <si>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</si>
  <si>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</si>
  <si>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</si>
  <si>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</si>
  <si>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</si>
  <si>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</si>
  <si>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</si>
  <si>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</si>
  <si>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</si>
  <si>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</si>
  <si>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</si>
  <si>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</si>
  <si>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</si>
  <si>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</si>
  <si>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</si>
  <si>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</si>
  <si>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</si>
  <si>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</si>
  <si>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</si>
  <si>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</si>
  <si>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</si>
  <si>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</si>
  <si>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</si>
  <si>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</si>
  <si>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</si>
  <si>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</si>
  <si>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</si>
  <si>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</si>
  <si>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</si>
  <si>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</si>
  <si>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</si>
  <si>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</si>
  <si>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</si>
  <si>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</si>
  <si>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</si>
  <si>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</si>
  <si>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</si>
  <si>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Changelog</t>
  </si>
  <si>
    <t>Changes</t>
  </si>
  <si>
    <t>Version</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</si>
  <si>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</si>
  <si>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</si>
  <si>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Sources and assumptions</t>
  </si>
  <si>
    <t>Cooling</t>
  </si>
  <si>
    <t>Hot water</t>
  </si>
  <si>
    <t>Space heating</t>
  </si>
  <si>
    <t>Dishwasher</t>
  </si>
  <si>
    <t>Final electricity demand</t>
  </si>
  <si>
    <t>Technology</t>
  </si>
  <si>
    <t>Share of total</t>
  </si>
  <si>
    <t>Relative final demand</t>
  </si>
  <si>
    <t>Final electricity demand for cooking (TJ)</t>
  </si>
  <si>
    <t>Final demand (TJ)</t>
  </si>
  <si>
    <t>Source:</t>
  </si>
  <si>
    <t>Hyperlink:</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</si>
  <si>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</si>
  <si>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</si>
  <si>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Correctie elektriciteitsverbruik koken, tabel 1, page 4 (ECN, 2014)</t>
  </si>
  <si>
    <t>Technology efficiency</t>
  </si>
  <si>
    <t>TJ</t>
  </si>
  <si>
    <t>* The useful demand shares for lighting are based on expert data</t>
  </si>
  <si>
    <t>** These are the relative final demands</t>
  </si>
  <si>
    <t>This is a summary of 6_residences_source_analysis.md; see that document for more details</t>
  </si>
  <si>
    <t>IEA energy balance NL 2015</t>
  </si>
  <si>
    <t>https://refman.energytransitionmodel.com/publications/2068</t>
  </si>
  <si>
    <t xml:space="preserve">Energietrends 2016, page 9 (ECN, Energie-Nederland en Netbeheer Nederland)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</si>
  <si>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</si>
  <si>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</si>
  <si>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</si>
  <si>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</si>
  <si>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</si>
  <si>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</si>
  <si>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</si>
  <si>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</si>
  <si>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</si>
  <si>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</si>
  <si>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</si>
  <si>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</si>
  <si>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</si>
  <si>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</si>
  <si>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</si>
  <si>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</si>
  <si>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</si>
  <si>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</si>
  <si>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</si>
  <si>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</si>
  <si>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</si>
  <si>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</si>
  <si>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</si>
  <si>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Other</t>
  </si>
  <si>
    <t>Tapwater vs space heating</t>
  </si>
  <si>
    <t>hybrid heat pump (hot water)</t>
  </si>
  <si>
    <t>Share of final demand electricity</t>
  </si>
  <si>
    <t>Final demand electricity(TJ)</t>
  </si>
  <si>
    <t>Final demand gas (TJ)</t>
  </si>
  <si>
    <t>output.useable_heat.network_gas</t>
  </si>
  <si>
    <t>Final demand share space heating</t>
  </si>
  <si>
    <t>Final demand share water heating</t>
  </si>
  <si>
    <t>gas</t>
  </si>
  <si>
    <t>electricity</t>
  </si>
  <si>
    <t>m3</t>
  </si>
  <si>
    <t>gas/household</t>
  </si>
  <si>
    <t>demand for cooking/household</t>
  </si>
  <si>
    <t>average efficiency electrical devices</t>
  </si>
  <si>
    <t>%</t>
  </si>
  <si>
    <t>number of households in the Netherlands</t>
  </si>
  <si>
    <t>#</t>
  </si>
  <si>
    <t>UD with electricity</t>
  </si>
  <si>
    <t>UD with gas</t>
  </si>
  <si>
    <t>m3 gas for cooking /household</t>
  </si>
  <si>
    <t>TJ/m3</t>
  </si>
  <si>
    <t>energy content of gas</t>
  </si>
  <si>
    <t>share of gas</t>
  </si>
  <si>
    <t>FD of gas</t>
  </si>
  <si>
    <t>total UD for cooking</t>
  </si>
  <si>
    <t>FD gas</t>
  </si>
  <si>
    <t>UD shares</t>
  </si>
  <si>
    <t>UD [TJ]</t>
  </si>
  <si>
    <t>Value</t>
  </si>
  <si>
    <t>Unit</t>
  </si>
  <si>
    <t>Description</t>
  </si>
  <si>
    <t>Source</t>
  </si>
  <si>
    <t>https://forum.nuon.nl/energie-besparen-42/inductie-koken-versus-gas-koken-1906</t>
  </si>
  <si>
    <t>Area analysis</t>
  </si>
  <si>
    <t>ETM</t>
  </si>
  <si>
    <t>Alternative calculation starting with gas use per household</t>
  </si>
  <si>
    <t>HHP for space heating</t>
  </si>
  <si>
    <t>HHP for water heating</t>
  </si>
  <si>
    <t>FD share</t>
  </si>
  <si>
    <t>Final demand share</t>
  </si>
  <si>
    <t>dk</t>
  </si>
  <si>
    <t>Mart Lubben</t>
  </si>
  <si>
    <t>Jul 19, 2018</t>
  </si>
  <si>
    <t>From: https://ens.dk/sites/ens.dk/files/Analyser/denmarks_energy_and_climate_outlook_2017.pdf</t>
  </si>
  <si>
    <t>heat pumps</t>
  </si>
  <si>
    <t>http://www.odyssee-mure.eu/publications/national-reports/energy-efficiency-denmark.pdf</t>
  </si>
  <si>
    <t>KWh/year</t>
  </si>
  <si>
    <t>Washing machine</t>
  </si>
  <si>
    <t>Dryer</t>
  </si>
  <si>
    <t>Refrigeratror</t>
  </si>
  <si>
    <t>Freezer</t>
  </si>
  <si>
    <t>TV</t>
  </si>
  <si>
    <t>vaccuum cleaner</t>
  </si>
  <si>
    <t>IT/media</t>
  </si>
  <si>
    <t>In the Netherlands the vaccuum cleaner is half the electricity demand of the TV</t>
  </si>
  <si>
    <t>In the Netherlands the IT/media cleaner has the same the electricity demand as the TV</t>
  </si>
  <si>
    <t>In the Netherlands the other category has the same electricity demand as the TV</t>
  </si>
  <si>
    <t>Gas</t>
  </si>
  <si>
    <t>Gas split</t>
  </si>
  <si>
    <t>Denmark</t>
  </si>
  <si>
    <t>The Netherlands</t>
  </si>
  <si>
    <t>Area analysis NL</t>
  </si>
  <si>
    <t>Area analysis DK</t>
  </si>
  <si>
    <t>number of residences in the Netherlands</t>
  </si>
  <si>
    <t>Final electricity demand appliances</t>
  </si>
  <si>
    <t>Fnal electricity demand space heating, hot water, cooling and cooking</t>
  </si>
  <si>
    <t>Electrical appliances</t>
  </si>
  <si>
    <t>Dutch energy split (PJ)</t>
  </si>
  <si>
    <t>biomass solar</t>
  </si>
  <si>
    <t>District heating</t>
  </si>
  <si>
    <t>oil</t>
  </si>
  <si>
    <t>total</t>
  </si>
  <si>
    <t>Dutch mix</t>
  </si>
  <si>
    <t>From source</t>
  </si>
  <si>
    <t>Total</t>
  </si>
  <si>
    <t>share of electricity</t>
  </si>
  <si>
    <t>FD electicty</t>
  </si>
  <si>
    <t>Total network gas</t>
  </si>
  <si>
    <t>hot water</t>
  </si>
  <si>
    <t>electricity*</t>
  </si>
  <si>
    <t>Network ga for space heating and hot water</t>
  </si>
  <si>
    <t>GWh</t>
  </si>
  <si>
    <t>Electric boilers</t>
  </si>
  <si>
    <t>Household heat pumps</t>
  </si>
  <si>
    <t xml:space="preserve">Source: Energinet, Analysis Assumptions 2017 </t>
  </si>
  <si>
    <t>Number of light hours in Amsterdam</t>
  </si>
  <si>
    <t>Number of light hours in Copenhagen</t>
  </si>
  <si>
    <t>Number of dark hours in Amsterdam</t>
  </si>
  <si>
    <t>Number of dark hours in Copenhagen</t>
  </si>
  <si>
    <t>source</t>
  </si>
  <si>
    <t>https://en.wikipedia.org/wiki/List_of_cities_by_sunshine_duration</t>
  </si>
  <si>
    <t>Light factor, more electricity per residence</t>
  </si>
  <si>
    <t>hours</t>
  </si>
  <si>
    <t>factor</t>
  </si>
  <si>
    <t>m2</t>
  </si>
  <si>
    <t>KWh/m2</t>
  </si>
  <si>
    <t>Cooled residential floor areas</t>
  </si>
  <si>
    <t>KJ</t>
  </si>
  <si>
    <t>2017_IEA_Energy_Policies_of_IEA_Countries_Denmark_2017_Review</t>
  </si>
  <si>
    <t>Cold demand residences in 2009</t>
  </si>
  <si>
    <t>TJ total</t>
  </si>
  <si>
    <t>Differences DK/NL</t>
  </si>
  <si>
    <t xml:space="preserve">Source: </t>
  </si>
  <si>
    <t>JRC: https://setis.ec.europa.eu/sites/default/files/reports/Heat-and-cooling-demand-and-market-perspective.pdf</t>
  </si>
  <si>
    <t>shares of total</t>
  </si>
  <si>
    <t>number of  residences in Denmark</t>
  </si>
  <si>
    <t>tapwater vs space heatig vs cooking</t>
  </si>
  <si>
    <t>Based on space heating</t>
  </si>
  <si>
    <t>I used the total final demand split of space heating and hot water for gas, biomass, oil and district heating. From the source: JRC, 2012 'Heat and cooling demand and market perspective'</t>
  </si>
  <si>
    <t xml:space="preserve">I built the electricity demand bottom-up, see the electricity sheet and the sub sheets. </t>
  </si>
  <si>
    <t>Gas: First the gas for cooking was abstracted from the final gas demand for residences, then it was split over space heating and hot water.</t>
  </si>
  <si>
    <t>Biomas, oil, and district heating: The the final demand for these carriers is split according to JRC 2012 split.</t>
  </si>
  <si>
    <t>This split was as a check compared to the NL and it was nearly equal, see applications split.</t>
  </si>
  <si>
    <t xml:space="preserve">I split the final demand for cooking by using the logic from the space heating section. Everyone who has a gas heater uses gas cooking, every house which does not heat with gas, does also not cook with gas. </t>
  </si>
  <si>
    <t xml:space="preserve">The demand from the heat pumps is derived from Energinet, Analysis Assumptions 2017. </t>
  </si>
  <si>
    <t>Mtoe</t>
  </si>
  <si>
    <t>=</t>
  </si>
  <si>
    <t>% of electricity by application</t>
  </si>
  <si>
    <t>https://ec.europa.eu/energy/en/eu-buildings-database</t>
  </si>
  <si>
    <t>Electricity demand for light NL</t>
  </si>
  <si>
    <t>6_residences_source_analysis NL</t>
  </si>
  <si>
    <t>Stock of electrical appliances in households</t>
  </si>
  <si>
    <t>[1000 units]</t>
  </si>
  <si>
    <t>'15</t>
  </si>
  <si>
    <t>'16</t>
  </si>
  <si>
    <t>1980-2016</t>
  </si>
  <si>
    <t>1990-2016</t>
  </si>
  <si>
    <t>2000-2016</t>
  </si>
  <si>
    <t>2015-2016</t>
  </si>
  <si>
    <t>TV sets</t>
  </si>
  <si>
    <t>Refrigerators</t>
  </si>
  <si>
    <t>Freezers</t>
  </si>
  <si>
    <t>Microwave ovens</t>
  </si>
  <si>
    <t>N/A</t>
  </si>
  <si>
    <t>Washing machines</t>
  </si>
  <si>
    <t>[kWh/year]</t>
  </si>
  <si>
    <t>units in 2015</t>
  </si>
  <si>
    <t>Total households in DK</t>
  </si>
  <si>
    <t>MJ/year/unit (or household)</t>
  </si>
  <si>
    <t xml:space="preserve"> https://ec.europa.eu/energy/en/eu-buildings-database</t>
  </si>
  <si>
    <t xml:space="preserve">Source: Odyssee via European Commission;:  https://ec.europa.eu/energy/en/eu-buildings-database </t>
  </si>
  <si>
    <t xml:space="preserve">https://ec.europa.eu/energy/en/eu-buildings-database </t>
  </si>
  <si>
    <t>From: Energy statistics 2016, background Excel. Sheet households</t>
  </si>
  <si>
    <t>First version</t>
  </si>
  <si>
    <t>The lighting demand is derived from JRC European COmmissions and the technology split is determined in the NL/2012 dataset are re-used here as they were well-researched within the Energy Productivity project</t>
  </si>
  <si>
    <t>2012_JRC_Heat and cooling demand and market perspective</t>
  </si>
  <si>
    <t>Danish Energy Agency; denmarks_energy_and_climate_outlook_2017</t>
  </si>
  <si>
    <t>Denmark total final energy split by application</t>
  </si>
  <si>
    <t>Carriers split accros applications</t>
  </si>
  <si>
    <t>*)Electricity is calculated bottom up, see electricity sheet. Electric heating for space heating panels and electric heaters for hot water. And we have corrected fot the ambient heat of heat pumps.</t>
  </si>
  <si>
    <t xml:space="preserve">From Odyssee via EC. See screenshots and: https://ec.europa.eu/energy/en/eu-buildings-database </t>
  </si>
  <si>
    <t>TJ electricity for cooking</t>
  </si>
  <si>
    <t>TJ per Mtoe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</si>
</sst>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
    <numFmt numFmtId="165" formatCode="0.0%"/>
    <numFmt numFmtId="166" formatCode="[$-409]mmmm\ d\,\ yyyy;@"/>
    <numFmt numFmtId="167" formatCode="0.000"/>
    <numFmt numFmtId="168" formatCode="0.0000"/>
    <numFmt numFmtId="169" formatCode="#,##0.00000000"/>
    <numFmt numFmtId="170" formatCode="0.00000"/>
    <numFmt numFmtId="171" formatCode="#,##0.00000000000000000"/>
    <numFmt numFmtId="172" formatCode="#,##0.0000000000000000000"/>
    <numFmt numFmtId="173" formatCode="0.0000000000000000"/>
    <numFmt numFmtId="174" formatCode="0.00000000000000000000000000000"/>
    <numFmt numFmtId="175" formatCode="0.000%"/>
    <numFmt numFmtId="180" formatCode="#\ ##0"/>
    <numFmt numFmtId="181" formatCode="#\ ###"/>
  </numFmts>
  <fonts count="27">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u/>
      <sz val="12"/>
      <name val="Calibri"/>
      <family val="2"/>
      <scheme val="minor"/>
    </font>
    <font>
      <sz val="12"/>
      <name val="Calibri"/>
      <family val="2"/>
      <scheme val="minor"/>
    </font>
    <font>
      <i/>
      <sz val="12"/>
      <color theme="1"/>
      <name val="Calibri"/>
      <family val="2"/>
      <scheme val="minor"/>
    </font>
    <font>
      <b/>
      <u/>
      <sz val="12"/>
      <color theme="1"/>
      <name val="Calibri"/>
      <family val="2"/>
      <scheme val="minor"/>
    </font>
    <font>
      <sz val="11"/>
      <name val="Calibri"/>
      <family val="2"/>
      <scheme val="minor"/>
    </font>
    <font>
      <sz val="10"/>
      <name val="Arial"/>
      <family val="2"/>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family val="2"/>
      <scheme val="minor"/>
    </font>
    <font>
      <b/>
      <sz val="12"/>
      <color theme="0" tint="-0.34998626667073579"/>
      <name val="Calibri"/>
      <family val="2"/>
      <scheme val="minor"/>
    </font>
    <font>
      <sz val="12"/>
      <color theme="0" tint="-0.34998626667073579"/>
      <name val="Calibri"/>
      <family val="2"/>
      <scheme val="minor"/>
    </font>
    <font>
      <sz val="13"/>
      <color rgb="FF333333"/>
      <name val="Helvetica Neue"/>
      <family val="2"/>
    </font>
    <font>
      <sz val="12"/>
      <color rgb="FF222222"/>
      <name val="Arial"/>
      <family val="2"/>
    </font>
    <font>
      <b/>
      <sz val="14"/>
      <name val="Arial"/>
      <family val="2"/>
    </font>
    <font>
      <b/>
      <sz val="11"/>
      <name val="Arial"/>
      <family val="2"/>
    </font>
    <font>
      <sz val="11"/>
      <name val="Arial"/>
      <family val="2"/>
    </font>
    <font>
      <sz val="11"/>
      <color theme="1"/>
      <name val="Arial"/>
      <family val="2"/>
    </font>
  </fonts>
  <fills count="19">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indexed="42"/>
        <bgColor indexed="64"/>
      </patternFill>
    </fill>
    <fill>
      <patternFill patternType="solid">
        <fgColor rgb="FFCCFFFF"/>
        <bgColor indexed="64"/>
      </patternFill>
    </fill>
    <fill>
      <patternFill patternType="solid">
        <fgColor indexed="41"/>
        <bgColor indexed="64"/>
      </patternFill>
    </fill>
  </fills>
  <borders count="3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indexed="64"/>
      </left>
      <right style="medium">
        <color indexed="64"/>
      </right>
      <top style="medium">
        <color indexed="64"/>
      </top>
      <bottom/>
      <diagonal/>
    </border>
    <border>
      <left/>
      <right/>
      <top/>
      <bottom style="thin">
        <color indexed="64"/>
      </bottom>
      <diagonal/>
    </border>
  </borders>
  <cellStyleXfs count="125">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xf numFmtId="0" fontId="11" fillId="0" borderId="0"/>
  </cellStyleXfs>
  <cellXfs count="344">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0"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10" fontId="16" fillId="4" borderId="0" xfId="13" applyNumberFormat="1"/>
    <xf numFmtId="10" fontId="16" fillId="4" borderId="5" xfId="13" applyNumberFormat="1" applyBorder="1"/>
    <xf numFmtId="10" fontId="16" fillId="4" borderId="6" xfId="13" applyNumberFormat="1" applyBorder="1"/>
    <xf numFmtId="10" fontId="16" fillId="4" borderId="3" xfId="13" applyNumberFormat="1" applyBorder="1"/>
    <xf numFmtId="10" fontId="16" fillId="4" borderId="20"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3" fontId="0" fillId="0" borderId="0" xfId="0" applyNumberFormat="1" applyFont="1" applyFill="1" applyBorder="1" applyAlignment="1">
      <alignment vertical="top" wrapText="1"/>
    </xf>
    <xf numFmtId="4" fontId="3" fillId="2" borderId="10" xfId="0" applyNumberFormat="1" applyFont="1" applyFill="1" applyBorder="1" applyAlignment="1">
      <alignment horizontal="left"/>
    </xf>
    <xf numFmtId="0" fontId="18" fillId="2" borderId="0" xfId="0" applyFont="1" applyFill="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0" fontId="0" fillId="0" borderId="25" xfId="0" applyFill="1" applyBorder="1"/>
    <xf numFmtId="4" fontId="0" fillId="0" borderId="25" xfId="0" applyNumberFormat="1" applyFont="1" applyFill="1" applyBorder="1" applyAlignment="1">
      <alignment vertical="top" wrapText="1"/>
    </xf>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0" fontId="7" fillId="0" borderId="1" xfId="0" applyFont="1" applyFill="1" applyBorder="1"/>
    <xf numFmtId="0" fontId="7" fillId="0" borderId="16" xfId="0" applyFont="1" applyFill="1" applyBorder="1"/>
    <xf numFmtId="0" fontId="7" fillId="0" borderId="4" xfId="0" applyFont="1" applyFill="1" applyBorder="1"/>
    <xf numFmtId="168" fontId="0" fillId="2" borderId="0" xfId="0" applyNumberFormat="1" applyFill="1"/>
    <xf numFmtId="167" fontId="0" fillId="2" borderId="0" xfId="0" applyNumberFormat="1" applyFill="1"/>
    <xf numFmtId="2" fontId="0" fillId="2" borderId="0" xfId="0" applyNumberFormat="1" applyFill="1"/>
    <xf numFmtId="10" fontId="0" fillId="2" borderId="0" xfId="0" applyNumberFormat="1" applyFill="1"/>
    <xf numFmtId="9" fontId="0" fillId="2" borderId="0" xfId="0" applyNumberFormat="1" applyFill="1"/>
    <xf numFmtId="2" fontId="4" fillId="2" borderId="0" xfId="0" applyNumberFormat="1" applyFont="1" applyFill="1"/>
    <xf numFmtId="4"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0" xfId="0" applyFill="1" applyBorder="1"/>
    <xf numFmtId="0" fontId="0" fillId="0" borderId="11" xfId="0" applyFill="1" applyBorder="1"/>
    <xf numFmtId="0" fontId="0" fillId="0" borderId="10" xfId="0" applyFill="1" applyBorder="1"/>
    <xf numFmtId="3" fontId="15" fillId="0" borderId="25" xfId="0" applyNumberFormat="1" applyFont="1" applyFill="1" applyBorder="1"/>
    <xf numFmtId="0" fontId="0" fillId="0" borderId="21" xfId="0" applyFill="1" applyBorder="1"/>
    <xf numFmtId="0" fontId="0" fillId="0" borderId="22"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0" fontId="19" fillId="2" borderId="12" xfId="0" applyFont="1" applyFill="1" applyBorder="1"/>
    <xf numFmtId="0" fontId="19" fillId="2" borderId="5" xfId="0" applyFont="1" applyFill="1" applyBorder="1"/>
    <xf numFmtId="0" fontId="19" fillId="2" borderId="13" xfId="0" applyFont="1" applyFill="1" applyBorder="1"/>
    <xf numFmtId="0" fontId="20" fillId="0" borderId="29" xfId="0" applyFont="1" applyFill="1" applyBorder="1"/>
    <xf numFmtId="0" fontId="20" fillId="0" borderId="0" xfId="0" applyFont="1" applyFill="1" applyBorder="1"/>
    <xf numFmtId="0" fontId="20" fillId="0" borderId="11" xfId="0" applyFont="1" applyFill="1" applyBorder="1"/>
    <xf numFmtId="169" fontId="20" fillId="0" borderId="25" xfId="0" applyNumberFormat="1" applyFont="1" applyFill="1" applyBorder="1" applyAlignment="1">
      <alignment horizontal="right"/>
    </xf>
    <xf numFmtId="0" fontId="20" fillId="0" borderId="10" xfId="0" applyFont="1" applyFill="1" applyBorder="1"/>
    <xf numFmtId="3" fontId="20" fillId="0" borderId="25" xfId="0" applyNumberFormat="1" applyFont="1" applyFill="1" applyBorder="1"/>
    <xf numFmtId="11" fontId="20" fillId="0" borderId="11" xfId="0" applyNumberFormat="1" applyFont="1" applyFill="1" applyBorder="1"/>
    <xf numFmtId="9" fontId="20" fillId="0" borderId="11" xfId="1" applyFont="1" applyFill="1" applyBorder="1"/>
    <xf numFmtId="0" fontId="20" fillId="0" borderId="21" xfId="0" applyFont="1" applyFill="1" applyBorder="1"/>
    <xf numFmtId="0" fontId="20" fillId="0" borderId="22" xfId="0" applyFont="1" applyFill="1" applyBorder="1"/>
    <xf numFmtId="0" fontId="20" fillId="0" borderId="24" xfId="0" applyFont="1" applyFill="1" applyBorder="1"/>
    <xf numFmtId="168" fontId="0" fillId="2" borderId="25" xfId="0" applyNumberFormat="1" applyFill="1" applyBorder="1"/>
    <xf numFmtId="0" fontId="21" fillId="0" borderId="0" xfId="0" applyFont="1"/>
    <xf numFmtId="10" fontId="21" fillId="0" borderId="0" xfId="0" applyNumberFormat="1" applyFont="1"/>
    <xf numFmtId="170" fontId="0" fillId="2" borderId="0" xfId="0" applyNumberFormat="1" applyFill="1"/>
    <xf numFmtId="167" fontId="0" fillId="2" borderId="25" xfId="0" applyNumberFormat="1" applyFill="1" applyBorder="1"/>
    <xf numFmtId="173" fontId="0" fillId="2" borderId="0" xfId="0" applyNumberFormat="1" applyFill="1"/>
    <xf numFmtId="171" fontId="3" fillId="2" borderId="10" xfId="0" applyNumberFormat="1" applyFont="1" applyFill="1" applyBorder="1" applyAlignment="1">
      <alignment horizontal="left"/>
    </xf>
    <xf numFmtId="172" fontId="3" fillId="2" borderId="10" xfId="0" applyNumberFormat="1" applyFont="1" applyFill="1" applyBorder="1" applyAlignment="1">
      <alignment horizontal="left"/>
    </xf>
    <xf numFmtId="174" fontId="0" fillId="2" borderId="0" xfId="0" applyNumberFormat="1" applyFill="1"/>
    <xf numFmtId="167" fontId="0" fillId="2" borderId="0" xfId="0" applyNumberFormat="1" applyFill="1" applyBorder="1"/>
    <xf numFmtId="167" fontId="3" fillId="2" borderId="11" xfId="0" applyNumberFormat="1" applyFont="1" applyFill="1" applyBorder="1"/>
    <xf numFmtId="2" fontId="18" fillId="2" borderId="0" xfId="0" applyNumberFormat="1" applyFont="1" applyFill="1" applyBorder="1"/>
    <xf numFmtId="167" fontId="0" fillId="2" borderId="11" xfId="0" applyNumberFormat="1" applyFill="1" applyBorder="1"/>
    <xf numFmtId="2" fontId="4" fillId="2" borderId="0" xfId="0" applyNumberFormat="1" applyFont="1" applyFill="1" applyBorder="1"/>
    <xf numFmtId="0" fontId="4" fillId="2" borderId="5" xfId="0" applyFont="1" applyFill="1" applyBorder="1" applyAlignment="1">
      <alignment vertical="center" wrapText="1"/>
    </xf>
    <xf numFmtId="0" fontId="0" fillId="2" borderId="12" xfId="0" applyFill="1" applyBorder="1"/>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0" fillId="2" borderId="13" xfId="0" applyFill="1" applyBorder="1" applyAlignment="1">
      <alignment wrapText="1"/>
    </xf>
    <xf numFmtId="10" fontId="0" fillId="2" borderId="0" xfId="1" applyNumberFormat="1" applyFont="1" applyFill="1"/>
    <xf numFmtId="175" fontId="0" fillId="2" borderId="0" xfId="1" applyNumberFormat="1" applyFont="1" applyFill="1"/>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0" fillId="2" borderId="0" xfId="44" applyFont="1" applyFill="1" applyBorder="1" applyAlignment="1">
      <alignment horizontal="left"/>
    </xf>
    <xf numFmtId="0" fontId="0" fillId="9" borderId="0" xfId="44" applyFont="1" applyFill="1" applyBorder="1"/>
    <xf numFmtId="9" fontId="0" fillId="0" borderId="0" xfId="1" applyFont="1"/>
    <xf numFmtId="165" fontId="0" fillId="0" borderId="0" xfId="1" applyNumberFormat="1" applyFont="1"/>
    <xf numFmtId="164" fontId="0" fillId="0" borderId="0" xfId="0" applyNumberFormat="1"/>
    <xf numFmtId="3" fontId="15" fillId="0" borderId="25" xfId="0" applyNumberFormat="1" applyFont="1" applyBorder="1"/>
    <xf numFmtId="0" fontId="0" fillId="0" borderId="0" xfId="0" applyFont="1"/>
    <xf numFmtId="9" fontId="0" fillId="0" borderId="0" xfId="0" applyNumberFormat="1"/>
    <xf numFmtId="0" fontId="0" fillId="0" borderId="35" xfId="0" applyFill="1" applyBorder="1"/>
    <xf numFmtId="0" fontId="0" fillId="0" borderId="0" xfId="0" applyAlignment="1">
      <alignment horizontal="right"/>
    </xf>
    <xf numFmtId="0" fontId="0" fillId="0" borderId="36" xfId="0" applyBorder="1" applyAlignment="1">
      <alignment horizontal="right"/>
    </xf>
    <xf numFmtId="0" fontId="0" fillId="0" borderId="36" xfId="0" applyBorder="1"/>
    <xf numFmtId="0" fontId="0" fillId="0" borderId="0" xfId="0" applyAlignment="1">
      <alignment wrapText="1"/>
    </xf>
    <xf numFmtId="0" fontId="4" fillId="14" borderId="0" xfId="0" applyFont="1" applyFill="1"/>
    <xf numFmtId="0" fontId="0" fillId="14" borderId="0" xfId="0" applyFill="1"/>
    <xf numFmtId="0" fontId="0" fillId="0" borderId="0" xfId="0" applyFill="1"/>
    <xf numFmtId="1" fontId="0" fillId="0" borderId="0" xfId="1" applyNumberFormat="1" applyFont="1"/>
    <xf numFmtId="3" fontId="0" fillId="0" borderId="0" xfId="0" applyNumberFormat="1"/>
    <xf numFmtId="1" fontId="0" fillId="0" borderId="0" xfId="0" applyNumberFormat="1"/>
    <xf numFmtId="1" fontId="0" fillId="0" borderId="36" xfId="0" applyNumberFormat="1" applyBorder="1" applyAlignment="1">
      <alignment horizontal="right"/>
    </xf>
    <xf numFmtId="3" fontId="22" fillId="0" borderId="0" xfId="0" applyNumberFormat="1" applyFont="1"/>
    <xf numFmtId="4" fontId="0" fillId="0" borderId="25" xfId="0" applyNumberFormat="1" applyFill="1" applyBorder="1"/>
    <xf numFmtId="4" fontId="0" fillId="0" borderId="5" xfId="0" applyNumberFormat="1" applyFont="1" applyFill="1" applyBorder="1"/>
    <xf numFmtId="4" fontId="16" fillId="0" borderId="16" xfId="13" applyNumberFormat="1" applyFill="1" applyBorder="1"/>
    <xf numFmtId="4" fontId="16" fillId="0" borderId="4" xfId="13" applyNumberFormat="1" applyFill="1" applyBorder="1"/>
    <xf numFmtId="4" fontId="0" fillId="0" borderId="18" xfId="0" applyNumberFormat="1" applyFont="1" applyFill="1" applyBorder="1"/>
    <xf numFmtId="4" fontId="6" fillId="0" borderId="0" xfId="0" applyNumberFormat="1" applyFont="1" applyFill="1" applyBorder="1"/>
    <xf numFmtId="4" fontId="6" fillId="0" borderId="5" xfId="0" applyNumberFormat="1" applyFont="1" applyFill="1" applyBorder="1"/>
    <xf numFmtId="4" fontId="16" fillId="15" borderId="2" xfId="13" applyNumberFormat="1" applyFill="1" applyBorder="1"/>
    <xf numFmtId="4" fontId="16" fillId="15" borderId="0" xfId="13" applyNumberFormat="1" applyFill="1" applyBorder="1"/>
    <xf numFmtId="4" fontId="4" fillId="15" borderId="2" xfId="0" applyNumberFormat="1" applyFont="1" applyFill="1" applyBorder="1"/>
    <xf numFmtId="4" fontId="4" fillId="15" borderId="5" xfId="0" applyNumberFormat="1" applyFont="1" applyFill="1" applyBorder="1"/>
    <xf numFmtId="4" fontId="0" fillId="15" borderId="5" xfId="0" applyNumberFormat="1" applyFont="1" applyFill="1" applyBorder="1"/>
    <xf numFmtId="4" fontId="16" fillId="15" borderId="1" xfId="13" applyNumberFormat="1" applyFill="1" applyBorder="1"/>
    <xf numFmtId="4" fontId="16" fillId="15" borderId="16" xfId="13" applyNumberFormat="1" applyFill="1" applyBorder="1"/>
    <xf numFmtId="4" fontId="16" fillId="15" borderId="4" xfId="13" applyNumberFormat="1" applyFill="1" applyBorder="1"/>
    <xf numFmtId="4" fontId="0" fillId="15" borderId="18" xfId="0" applyNumberFormat="1" applyFont="1" applyFill="1" applyBorder="1"/>
    <xf numFmtId="4" fontId="0" fillId="15" borderId="17" xfId="0" applyNumberFormat="1" applyFont="1" applyFill="1" applyBorder="1"/>
    <xf numFmtId="4" fontId="16" fillId="15" borderId="5" xfId="13" applyNumberFormat="1" applyFill="1" applyBorder="1"/>
    <xf numFmtId="4" fontId="0" fillId="15" borderId="0" xfId="0" applyNumberFormat="1" applyFont="1" applyFill="1" applyBorder="1"/>
    <xf numFmtId="4" fontId="16" fillId="15" borderId="0" xfId="13" applyNumberFormat="1" applyFill="1"/>
    <xf numFmtId="4" fontId="0" fillId="15" borderId="2" xfId="0" applyNumberFormat="1" applyFont="1" applyFill="1" applyBorder="1"/>
    <xf numFmtId="4" fontId="6" fillId="15" borderId="0" xfId="0" applyNumberFormat="1" applyFont="1" applyFill="1" applyBorder="1"/>
    <xf numFmtId="4" fontId="6" fillId="15" borderId="5" xfId="0" applyNumberFormat="1" applyFont="1" applyFill="1" applyBorder="1"/>
    <xf numFmtId="3" fontId="16" fillId="6" borderId="25" xfId="13" applyNumberFormat="1" applyFill="1" applyBorder="1"/>
    <xf numFmtId="4" fontId="16" fillId="6" borderId="25" xfId="13" applyNumberFormat="1" applyFill="1" applyBorder="1"/>
    <xf numFmtId="4" fontId="16" fillId="6" borderId="32" xfId="13" applyNumberFormat="1" applyFill="1" applyBorder="1"/>
    <xf numFmtId="4" fontId="0" fillId="6" borderId="5" xfId="0" applyNumberFormat="1" applyFont="1" applyFill="1" applyBorder="1"/>
    <xf numFmtId="4" fontId="16" fillId="6" borderId="0" xfId="13" applyNumberFormat="1" applyFill="1" applyBorder="1"/>
    <xf numFmtId="4" fontId="16" fillId="15" borderId="14" xfId="13" applyNumberFormat="1" applyFill="1" applyBorder="1"/>
    <xf numFmtId="4" fontId="16" fillId="15" borderId="11" xfId="13" applyNumberFormat="1" applyFill="1" applyBorder="1"/>
    <xf numFmtId="4" fontId="4" fillId="15" borderId="14" xfId="0" applyNumberFormat="1" applyFont="1" applyFill="1" applyBorder="1"/>
    <xf numFmtId="4" fontId="4" fillId="15" borderId="13" xfId="0" applyNumberFormat="1" applyFont="1" applyFill="1" applyBorder="1"/>
    <xf numFmtId="4" fontId="0" fillId="15" borderId="13" xfId="0" applyNumberFormat="1" applyFont="1" applyFill="1" applyBorder="1"/>
    <xf numFmtId="4" fontId="16" fillId="15" borderId="13" xfId="13" applyNumberFormat="1" applyFill="1" applyBorder="1"/>
    <xf numFmtId="4" fontId="0" fillId="15" borderId="11" xfId="0" applyNumberFormat="1" applyFont="1" applyFill="1" applyBorder="1"/>
    <xf numFmtId="4" fontId="0" fillId="15" borderId="14" xfId="0" applyNumberFormat="1" applyFont="1" applyFill="1" applyBorder="1"/>
    <xf numFmtId="4" fontId="16" fillId="6" borderId="2" xfId="13" applyNumberFormat="1" applyFill="1" applyBorder="1"/>
    <xf numFmtId="4" fontId="4" fillId="6" borderId="2" xfId="0" applyNumberFormat="1" applyFont="1" applyFill="1" applyBorder="1"/>
    <xf numFmtId="4" fontId="4" fillId="6" borderId="5" xfId="0" applyNumberFormat="1" applyFont="1" applyFill="1" applyBorder="1"/>
    <xf numFmtId="4" fontId="16" fillId="6" borderId="5" xfId="13" applyNumberFormat="1" applyFill="1" applyBorder="1"/>
    <xf numFmtId="4" fontId="0" fillId="6" borderId="0" xfId="0"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10" fontId="0" fillId="0" borderId="0" xfId="1" applyNumberFormat="1" applyFont="1"/>
    <xf numFmtId="0" fontId="23" fillId="0" borderId="0" xfId="123" applyFont="1"/>
    <xf numFmtId="0" fontId="11" fillId="0" borderId="0" xfId="123" applyFont="1"/>
    <xf numFmtId="0" fontId="11" fillId="0" borderId="0" xfId="123" applyFont="1" applyFill="1"/>
    <xf numFmtId="0" fontId="24" fillId="0" borderId="0" xfId="123" applyFont="1" applyFill="1"/>
    <xf numFmtId="0" fontId="25" fillId="0" borderId="0" xfId="123" applyFont="1" applyAlignment="1">
      <alignment horizontal="right"/>
    </xf>
    <xf numFmtId="0" fontId="26" fillId="0" borderId="0" xfId="0" applyFont="1" applyFill="1" applyBorder="1"/>
    <xf numFmtId="0" fontId="25" fillId="0" borderId="0" xfId="123" applyFont="1"/>
    <xf numFmtId="0" fontId="25" fillId="17" borderId="36" xfId="123" applyFont="1" applyFill="1" applyBorder="1"/>
    <xf numFmtId="0" fontId="25" fillId="18" borderId="36" xfId="123" quotePrefix="1" applyFont="1" applyFill="1" applyBorder="1" applyAlignment="1">
      <alignment horizontal="right"/>
    </xf>
    <xf numFmtId="1" fontId="25" fillId="16" borderId="36" xfId="123" quotePrefix="1" applyNumberFormat="1" applyFont="1" applyFill="1" applyBorder="1" applyAlignment="1">
      <alignment horizontal="right"/>
    </xf>
    <xf numFmtId="180" fontId="25" fillId="0" borderId="0" xfId="123" applyNumberFormat="1" applyFont="1"/>
    <xf numFmtId="181" fontId="25" fillId="0" borderId="0" xfId="123" applyNumberFormat="1" applyFont="1"/>
    <xf numFmtId="1" fontId="25" fillId="0" borderId="0" xfId="123" applyNumberFormat="1" applyFont="1"/>
    <xf numFmtId="180" fontId="25" fillId="16" borderId="0" xfId="123" applyNumberFormat="1" applyFont="1" applyFill="1" applyAlignment="1">
      <alignment horizontal="right"/>
    </xf>
    <xf numFmtId="180" fontId="25" fillId="16" borderId="0" xfId="123" applyNumberFormat="1" applyFont="1" applyFill="1"/>
    <xf numFmtId="164" fontId="25" fillId="16" borderId="0" xfId="123" applyNumberFormat="1" applyFont="1" applyFill="1" applyAlignment="1">
      <alignment horizontal="right"/>
    </xf>
    <xf numFmtId="3" fontId="15" fillId="0" borderId="0" xfId="0" applyNumberFormat="1" applyFont="1" applyBorder="1"/>
    <xf numFmtId="0" fontId="0" fillId="0" borderId="0" xfId="45" applyNumberFormat="1" applyFont="1"/>
  </cellXfs>
  <cellStyles count="125">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xr:uid="{00000000-0005-0000-0000-000072000000}"/>
    <cellStyle name="Normal" xfId="0" builtinId="0"/>
    <cellStyle name="Normal 10 2" xfId="123" xr:uid="{54696A25-369B-0C4E-B8C7-B07AD8E8B923}"/>
    <cellStyle name="Normal 2" xfId="3" xr:uid="{00000000-0005-0000-0000-000074000000}"/>
    <cellStyle name="Normal 2 2" xfId="44" xr:uid="{00000000-0005-0000-0000-000075000000}"/>
    <cellStyle name="Normal 23" xfId="124" xr:uid="{C7B513AF-5F4B-FC41-90B8-2B6D7A35D7BC}"/>
    <cellStyle name="Percent" xfId="1" builtinId="5"/>
    <cellStyle name="Percent 2" xfId="4" xr:uid="{00000000-0005-0000-0000-000077000000}"/>
    <cellStyle name="Percent 3" xfId="5" xr:uid="{00000000-0005-0000-0000-000078000000}"/>
    <cellStyle name="Percent 4" xfId="45" xr:uid="{00000000-0005-0000-0000-000079000000}"/>
    <cellStyle name="Warning Text 3" xfId="6" xr:uid="{00000000-0005-0000-0000-00007A00000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12700</xdr:colOff>
      <xdr:row>20</xdr:row>
      <xdr:rowOff>152400</xdr:rowOff>
    </xdr:from>
    <xdr:to>
      <xdr:col>27</xdr:col>
      <xdr:colOff>279400</xdr:colOff>
      <xdr:row>46</xdr:row>
      <xdr:rowOff>12700</xdr:rowOff>
    </xdr:to>
    <xdr:pic>
      <xdr:nvPicPr>
        <xdr:cNvPr id="6" name="Picture 5">
          <a:extLst>
            <a:ext uri="{FF2B5EF4-FFF2-40B4-BE49-F238E27FC236}">
              <a16:creationId xmlns:a16="http://schemas.microsoft.com/office/drawing/2014/main" id="{6F22E736-21FA-8A4E-8A4C-82F4F5F172FA}"/>
            </a:ext>
          </a:extLst>
        </xdr:cNvPr>
        <xdr:cNvPicPr>
          <a:picLocks noChangeAspect="1"/>
        </xdr:cNvPicPr>
      </xdr:nvPicPr>
      <xdr:blipFill>
        <a:blip xmlns:r="http://schemas.openxmlformats.org/officeDocument/2006/relationships" r:embed="rId1"/>
        <a:stretch>
          <a:fillRect/>
        </a:stretch>
      </xdr:blipFill>
      <xdr:spPr>
        <a:xfrm>
          <a:off x="15976600" y="8890000"/>
          <a:ext cx="8521700" cy="5143500"/>
        </a:xfrm>
        <a:prstGeom prst="rect">
          <a:avLst/>
        </a:prstGeom>
      </xdr:spPr>
    </xdr:pic>
    <xdr:clientData/>
  </xdr:twoCellAnchor>
  <xdr:twoCellAnchor editAs="oneCell">
    <xdr:from>
      <xdr:col>17</xdr:col>
      <xdr:colOff>0</xdr:colOff>
      <xdr:row>51</xdr:row>
      <xdr:rowOff>0</xdr:rowOff>
    </xdr:from>
    <xdr:to>
      <xdr:col>26</xdr:col>
      <xdr:colOff>553506</xdr:colOff>
      <xdr:row>88</xdr:row>
      <xdr:rowOff>50800</xdr:rowOff>
    </xdr:to>
    <xdr:pic>
      <xdr:nvPicPr>
        <xdr:cNvPr id="7" name="Picture 6">
          <a:extLst>
            <a:ext uri="{FF2B5EF4-FFF2-40B4-BE49-F238E27FC236}">
              <a16:creationId xmlns:a16="http://schemas.microsoft.com/office/drawing/2014/main" id="{EB37437E-E52B-4345-8CFA-9A3273DE0A6D}"/>
            </a:ext>
          </a:extLst>
        </xdr:cNvPr>
        <xdr:cNvPicPr>
          <a:picLocks noChangeAspect="1"/>
        </xdr:cNvPicPr>
      </xdr:nvPicPr>
      <xdr:blipFill>
        <a:blip xmlns:r="http://schemas.openxmlformats.org/officeDocument/2006/relationships" r:embed="rId2"/>
        <a:stretch>
          <a:fillRect/>
        </a:stretch>
      </xdr:blipFill>
      <xdr:spPr>
        <a:xfrm>
          <a:off x="15963900" y="15646400"/>
          <a:ext cx="7983006" cy="7772400"/>
        </a:xfrm>
        <a:prstGeom prst="rect">
          <a:avLst/>
        </a:prstGeom>
      </xdr:spPr>
    </xdr:pic>
    <xdr:clientData/>
  </xdr:twoCellAnchor>
  <xdr:twoCellAnchor>
    <xdr:from>
      <xdr:col>0</xdr:col>
      <xdr:colOff>406400</xdr:colOff>
      <xdr:row>0</xdr:row>
      <xdr:rowOff>12700</xdr:rowOff>
    </xdr:from>
    <xdr:to>
      <xdr:col>14</xdr:col>
      <xdr:colOff>635000</xdr:colOff>
      <xdr:row>6</xdr:row>
      <xdr:rowOff>38100</xdr:rowOff>
    </xdr:to>
    <xdr:sp macro="" textlink="">
      <xdr:nvSpPr>
        <xdr:cNvPr id="2" name="TextBox 1">
          <a:extLst>
            <a:ext uri="{FF2B5EF4-FFF2-40B4-BE49-F238E27FC236}">
              <a16:creationId xmlns:a16="http://schemas.microsoft.com/office/drawing/2014/main" id="{FF7079B3-EC3A-2E4F-B3C2-633994E462C5}"/>
            </a:ext>
          </a:extLst>
        </xdr:cNvPr>
        <xdr:cNvSpPr txBox="1"/>
      </xdr:nvSpPr>
      <xdr:spPr>
        <a:xfrm>
          <a:off x="406400" y="12700"/>
          <a:ext cx="149352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Info</a:t>
          </a:r>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228600</xdr:colOff>
      <xdr:row>0</xdr:row>
      <xdr:rowOff>0</xdr:rowOff>
    </xdr:from>
    <xdr:to>
      <xdr:col>39</xdr:col>
      <xdr:colOff>748817</xdr:colOff>
      <xdr:row>18</xdr:row>
      <xdr:rowOff>101600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26708100" y="0"/>
          <a:ext cx="7949717" cy="3784600"/>
        </a:xfrm>
        <a:prstGeom prst="rect">
          <a:avLst/>
        </a:prstGeom>
      </xdr:spPr>
    </xdr:pic>
    <xdr:clientData/>
  </xdr:twoCellAnchor>
  <xdr:twoCellAnchor editAs="oneCell">
    <xdr:from>
      <xdr:col>7</xdr:col>
      <xdr:colOff>38100</xdr:colOff>
      <xdr:row>58</xdr:row>
      <xdr:rowOff>101600</xdr:rowOff>
    </xdr:from>
    <xdr:to>
      <xdr:col>17</xdr:col>
      <xdr:colOff>625434</xdr:colOff>
      <xdr:row>96</xdr:row>
      <xdr:rowOff>152400</xdr:rowOff>
    </xdr:to>
    <xdr:pic>
      <xdr:nvPicPr>
        <xdr:cNvPr id="4" name="Picture 3">
          <a:extLst>
            <a:ext uri="{FF2B5EF4-FFF2-40B4-BE49-F238E27FC236}">
              <a16:creationId xmlns:a16="http://schemas.microsoft.com/office/drawing/2014/main" id="{9DC82139-CFC8-7F4D-8C94-15932D460BC0}"/>
            </a:ext>
          </a:extLst>
        </xdr:cNvPr>
        <xdr:cNvPicPr>
          <a:picLocks noChangeAspect="1"/>
        </xdr:cNvPicPr>
      </xdr:nvPicPr>
      <xdr:blipFill>
        <a:blip xmlns:r="http://schemas.openxmlformats.org/officeDocument/2006/relationships" r:embed="rId2"/>
        <a:stretch>
          <a:fillRect/>
        </a:stretch>
      </xdr:blipFill>
      <xdr:spPr>
        <a:xfrm>
          <a:off x="7531100" y="11684000"/>
          <a:ext cx="8842334"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203200</xdr:colOff>
      <xdr:row>3</xdr:row>
      <xdr:rowOff>50800</xdr:rowOff>
    </xdr:from>
    <xdr:to>
      <xdr:col>22</xdr:col>
      <xdr:colOff>368300</xdr:colOff>
      <xdr:row>14</xdr:row>
      <xdr:rowOff>139700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7932400" y="660400"/>
          <a:ext cx="8420100" cy="2819400"/>
        </a:xfrm>
        <a:prstGeom prst="rect">
          <a:avLst/>
        </a:prstGeom>
      </xdr:spPr>
    </xdr:pic>
    <xdr:clientData/>
  </xdr:twoCellAnchor>
  <xdr:twoCellAnchor editAs="oneCell">
    <xdr:from>
      <xdr:col>12</xdr:col>
      <xdr:colOff>0</xdr:colOff>
      <xdr:row>23</xdr:row>
      <xdr:rowOff>0</xdr:rowOff>
    </xdr:from>
    <xdr:to>
      <xdr:col>23</xdr:col>
      <xdr:colOff>393700</xdr:colOff>
      <xdr:row>39</xdr:row>
      <xdr:rowOff>127000</xdr:rowOff>
    </xdr:to>
    <xdr:pic>
      <xdr:nvPicPr>
        <xdr:cNvPr id="5" name="Picture 4">
          <a:extLst>
            <a:ext uri="{FF2B5EF4-FFF2-40B4-BE49-F238E27FC236}">
              <a16:creationId xmlns:a16="http://schemas.microsoft.com/office/drawing/2014/main" id="{29B3FE2A-E7B5-914C-9D43-AB04C4945C31}"/>
            </a:ext>
          </a:extLst>
        </xdr:cNvPr>
        <xdr:cNvPicPr>
          <a:picLocks noChangeAspect="1"/>
        </xdr:cNvPicPr>
      </xdr:nvPicPr>
      <xdr:blipFill>
        <a:blip xmlns:r="http://schemas.openxmlformats.org/officeDocument/2006/relationships" r:embed="rId2"/>
        <a:stretch>
          <a:fillRect/>
        </a:stretch>
      </xdr:blipFill>
      <xdr:spPr>
        <a:xfrm>
          <a:off x="17729200" y="6197600"/>
          <a:ext cx="9474200" cy="3416300"/>
        </a:xfrm>
        <a:prstGeom prst="rect">
          <a:avLst/>
        </a:prstGeom>
      </xdr:spPr>
    </xdr:pic>
    <xdr:clientData/>
  </xdr:twoCellAnchor>
  <xdr:twoCellAnchor editAs="oneCell">
    <xdr:from>
      <xdr:col>12</xdr:col>
      <xdr:colOff>114300</xdr:colOff>
      <xdr:row>40</xdr:row>
      <xdr:rowOff>165100</xdr:rowOff>
    </xdr:from>
    <xdr:to>
      <xdr:col>23</xdr:col>
      <xdr:colOff>342900</xdr:colOff>
      <xdr:row>57</xdr:row>
      <xdr:rowOff>190500</xdr:rowOff>
    </xdr:to>
    <xdr:pic>
      <xdr:nvPicPr>
        <xdr:cNvPr id="7" name="Picture 6">
          <a:extLst>
            <a:ext uri="{FF2B5EF4-FFF2-40B4-BE49-F238E27FC236}">
              <a16:creationId xmlns:a16="http://schemas.microsoft.com/office/drawing/2014/main" id="{21C88C18-EC52-A24F-A4F3-8376726DB9A2}"/>
            </a:ext>
          </a:extLst>
        </xdr:cNvPr>
        <xdr:cNvPicPr>
          <a:picLocks noChangeAspect="1"/>
        </xdr:cNvPicPr>
      </xdr:nvPicPr>
      <xdr:blipFill>
        <a:blip xmlns:r="http://schemas.openxmlformats.org/officeDocument/2006/relationships" r:embed="rId3"/>
        <a:stretch>
          <a:fillRect/>
        </a:stretch>
      </xdr:blipFill>
      <xdr:spPr>
        <a:xfrm>
          <a:off x="17843500" y="8890000"/>
          <a:ext cx="9309100" cy="3479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321733</xdr:colOff>
      <xdr:row>5</xdr:row>
      <xdr:rowOff>135466</xdr:rowOff>
    </xdr:from>
    <xdr:to>
      <xdr:col>16</xdr:col>
      <xdr:colOff>385945</xdr:colOff>
      <xdr:row>14</xdr:row>
      <xdr:rowOff>403906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11954933" y="1168399"/>
          <a:ext cx="13360400" cy="2447707"/>
        </a:xfrm>
        <a:prstGeom prst="rect">
          <a:avLst/>
        </a:prstGeom>
      </xdr:spPr>
    </xdr:pic>
    <xdr:clientData/>
  </xdr:twoCellAnchor>
  <xdr:twoCellAnchor editAs="oneCell">
    <xdr:from>
      <xdr:col>14</xdr:col>
      <xdr:colOff>0</xdr:colOff>
      <xdr:row>21</xdr:row>
      <xdr:rowOff>0</xdr:rowOff>
    </xdr:from>
    <xdr:to>
      <xdr:col>14</xdr:col>
      <xdr:colOff>4538133</xdr:colOff>
      <xdr:row>25</xdr:row>
      <xdr:rowOff>171824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stretch>
          <a:fillRect/>
        </a:stretch>
      </xdr:blipFill>
      <xdr:spPr>
        <a:xfrm>
          <a:off x="11633200" y="4334933"/>
          <a:ext cx="4559300" cy="100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25400</xdr:colOff>
      <xdr:row>24</xdr:row>
      <xdr:rowOff>139700</xdr:rowOff>
    </xdr:from>
    <xdr:to>
      <xdr:col>22</xdr:col>
      <xdr:colOff>368300</xdr:colOff>
      <xdr:row>36</xdr:row>
      <xdr:rowOff>114300</xdr:rowOff>
    </xdr:to>
    <xdr:pic>
      <xdr:nvPicPr>
        <xdr:cNvPr id="3" name="Picture 2">
          <a:extLst>
            <a:ext uri="{FF2B5EF4-FFF2-40B4-BE49-F238E27FC236}">
              <a16:creationId xmlns:a16="http://schemas.microsoft.com/office/drawing/2014/main" id="{820FDD8B-5C54-6943-80A1-97BD1346672C}"/>
            </a:ext>
          </a:extLst>
        </xdr:cNvPr>
        <xdr:cNvPicPr>
          <a:picLocks noChangeAspect="1"/>
        </xdr:cNvPicPr>
      </xdr:nvPicPr>
      <xdr:blipFill>
        <a:blip xmlns:r="http://schemas.openxmlformats.org/officeDocument/2006/relationships" r:embed="rId1"/>
        <a:stretch>
          <a:fillRect/>
        </a:stretch>
      </xdr:blipFill>
      <xdr:spPr>
        <a:xfrm>
          <a:off x="11442700" y="5054600"/>
          <a:ext cx="9423400" cy="2413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139700</xdr:colOff>
      <xdr:row>0</xdr:row>
      <xdr:rowOff>0</xdr:rowOff>
    </xdr:from>
    <xdr:to>
      <xdr:col>17</xdr:col>
      <xdr:colOff>723900</xdr:colOff>
      <xdr:row>30</xdr:row>
      <xdr:rowOff>0</xdr:rowOff>
    </xdr:to>
    <xdr:pic>
      <xdr:nvPicPr>
        <xdr:cNvPr id="3" name="Picture 2">
          <a:extLst>
            <a:ext uri="{FF2B5EF4-FFF2-40B4-BE49-F238E27FC236}">
              <a16:creationId xmlns:a16="http://schemas.microsoft.com/office/drawing/2014/main" id="{CD8A580D-8AAC-6C4E-84A1-6A5A4E68DFE4}"/>
            </a:ext>
          </a:extLst>
        </xdr:cNvPr>
        <xdr:cNvPicPr>
          <a:picLocks noChangeAspect="1"/>
        </xdr:cNvPicPr>
      </xdr:nvPicPr>
      <xdr:blipFill>
        <a:blip xmlns:r="http://schemas.openxmlformats.org/officeDocument/2006/relationships" r:embed="rId1"/>
        <a:stretch>
          <a:fillRect/>
        </a:stretch>
      </xdr:blipFill>
      <xdr:spPr>
        <a:xfrm>
          <a:off x="5359400" y="0"/>
          <a:ext cx="8839200" cy="609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165100</xdr:colOff>
      <xdr:row>1</xdr:row>
      <xdr:rowOff>12700</xdr:rowOff>
    </xdr:from>
    <xdr:to>
      <xdr:col>18</xdr:col>
      <xdr:colOff>431800</xdr:colOff>
      <xdr:row>26</xdr:row>
      <xdr:rowOff>76200</xdr:rowOff>
    </xdr:to>
    <xdr:pic>
      <xdr:nvPicPr>
        <xdr:cNvPr id="3" name="Picture 2">
          <a:extLst>
            <a:ext uri="{FF2B5EF4-FFF2-40B4-BE49-F238E27FC236}">
              <a16:creationId xmlns:a16="http://schemas.microsoft.com/office/drawing/2014/main" id="{7E11764C-F4C5-3F4E-8877-C2D9B2DEC046}"/>
            </a:ext>
          </a:extLst>
        </xdr:cNvPr>
        <xdr:cNvPicPr>
          <a:picLocks noChangeAspect="1"/>
        </xdr:cNvPicPr>
      </xdr:nvPicPr>
      <xdr:blipFill>
        <a:blip xmlns:r="http://schemas.openxmlformats.org/officeDocument/2006/relationships" r:embed="rId1"/>
        <a:stretch>
          <a:fillRect/>
        </a:stretch>
      </xdr:blipFill>
      <xdr:spPr>
        <a:xfrm>
          <a:off x="6769100" y="215900"/>
          <a:ext cx="8521700" cy="514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1660101.54</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c.europa.eu/energy/en/eu-buildings-database" TargetMode="External"/><Relationship Id="rId1" Type="http://schemas.openxmlformats.org/officeDocument/2006/relationships/hyperlink" Target="https://ec.europa.eu/energy/en/eu-buildings-databas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tatline.cbs.nl/Statweb/publication/?DM=SLNL&amp;PA=82380NED&amp;D1=2,5-6&amp;D2=a&amp;D3=1&amp;D4=21&amp;HDR=T&amp;STB=G2,G1,G3&amp;VW=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topLeftCell="A4" workbookViewId="0">
      <selection activeCell="C6" sqref="C6"/>
    </sheetView>
  </sheetViews>
  <sheetFormatPr baseColWidth="10" defaultRowHeight="16"/>
  <cols>
    <col min="1" max="1" width="2.83203125" style="88" customWidth="1"/>
    <col min="2" max="2" width="14" style="88" customWidth="1"/>
    <col min="3" max="3" width="44" style="88" customWidth="1"/>
    <col min="4" max="4" width="9.33203125" style="88" customWidth="1"/>
    <col min="5" max="5" width="10.83203125" style="88"/>
    <col min="6" max="6" width="34.6640625" style="88" customWidth="1"/>
    <col min="7" max="7" width="4.5" style="88" customWidth="1"/>
    <col min="8" max="8" width="20.83203125" style="88" customWidth="1"/>
    <col min="9" max="16384" width="10.83203125" style="88"/>
  </cols>
  <sheetData>
    <row r="2" spans="2:8" ht="21">
      <c r="B2" s="87" t="s">
        <v>76</v>
      </c>
    </row>
    <row r="4" spans="2:8">
      <c r="B4" s="89" t="s">
        <v>77</v>
      </c>
      <c r="C4" s="113" t="s">
        <v>101</v>
      </c>
      <c r="D4" s="90"/>
      <c r="F4" s="91"/>
      <c r="G4" s="92"/>
      <c r="H4" s="91"/>
    </row>
    <row r="5" spans="2:8">
      <c r="B5" s="93" t="s">
        <v>78</v>
      </c>
      <c r="C5" s="139">
        <v>1</v>
      </c>
      <c r="D5" s="95"/>
      <c r="F5" s="92"/>
      <c r="G5" s="92"/>
      <c r="H5" s="92"/>
    </row>
    <row r="6" spans="2:8">
      <c r="B6" s="93" t="s">
        <v>79</v>
      </c>
      <c r="C6" s="251" t="s">
        <v>195</v>
      </c>
      <c r="D6" s="95"/>
      <c r="F6" s="92"/>
      <c r="G6" s="92"/>
      <c r="H6" s="92"/>
    </row>
    <row r="7" spans="2:8">
      <c r="B7" s="93" t="s">
        <v>80</v>
      </c>
      <c r="C7" s="94">
        <v>2015</v>
      </c>
      <c r="D7" s="95"/>
      <c r="F7" s="92"/>
      <c r="G7" s="92"/>
      <c r="H7" s="92"/>
    </row>
    <row r="8" spans="2:8">
      <c r="B8" s="93" t="s">
        <v>81</v>
      </c>
      <c r="C8" s="114" t="s">
        <v>197</v>
      </c>
      <c r="D8" s="95"/>
      <c r="F8" s="92"/>
      <c r="G8" s="92"/>
      <c r="H8" s="92"/>
    </row>
    <row r="9" spans="2:8">
      <c r="B9" s="93" t="s">
        <v>82</v>
      </c>
      <c r="C9" s="115" t="s">
        <v>196</v>
      </c>
      <c r="D9" s="95"/>
      <c r="F9" s="92"/>
      <c r="G9" s="92"/>
      <c r="H9" s="92"/>
    </row>
    <row r="10" spans="2:8">
      <c r="B10" s="96" t="s">
        <v>83</v>
      </c>
      <c r="C10" s="97" t="s">
        <v>84</v>
      </c>
      <c r="D10" s="98"/>
      <c r="F10" s="92"/>
      <c r="G10" s="92"/>
      <c r="H10" s="92"/>
    </row>
    <row r="12" spans="2:8">
      <c r="B12" s="89" t="s">
        <v>85</v>
      </c>
      <c r="C12" s="99"/>
      <c r="D12" s="90"/>
    </row>
    <row r="13" spans="2:8">
      <c r="B13" s="100"/>
      <c r="C13" s="92"/>
      <c r="D13" s="95"/>
    </row>
    <row r="14" spans="2:8">
      <c r="B14" s="100" t="s">
        <v>86</v>
      </c>
      <c r="C14" s="101" t="s">
        <v>87</v>
      </c>
      <c r="D14" s="95"/>
    </row>
    <row r="15" spans="2:8" ht="17" thickBot="1">
      <c r="B15" s="100"/>
      <c r="C15" s="91" t="s">
        <v>88</v>
      </c>
      <c r="D15" s="95"/>
    </row>
    <row r="16" spans="2:8" ht="17" thickBot="1">
      <c r="B16" s="100"/>
      <c r="C16" s="102" t="s">
        <v>89</v>
      </c>
      <c r="D16" s="95"/>
    </row>
    <row r="17" spans="2:4">
      <c r="B17" s="100"/>
      <c r="C17" s="92" t="s">
        <v>90</v>
      </c>
      <c r="D17" s="95"/>
    </row>
    <row r="18" spans="2:4">
      <c r="B18" s="100"/>
      <c r="C18" s="92"/>
      <c r="D18" s="95"/>
    </row>
    <row r="19" spans="2:4">
      <c r="B19" s="100" t="s">
        <v>91</v>
      </c>
      <c r="C19" s="103" t="s">
        <v>92</v>
      </c>
      <c r="D19" s="95"/>
    </row>
    <row r="20" spans="2:4">
      <c r="B20" s="100"/>
      <c r="C20" s="104" t="s">
        <v>93</v>
      </c>
      <c r="D20" s="95"/>
    </row>
    <row r="21" spans="2:4">
      <c r="B21" s="100"/>
      <c r="C21" s="105" t="s">
        <v>94</v>
      </c>
      <c r="D21" s="95"/>
    </row>
    <row r="22" spans="2:4">
      <c r="B22" s="100"/>
      <c r="C22" s="252" t="s">
        <v>95</v>
      </c>
      <c r="D22" s="95"/>
    </row>
    <row r="23" spans="2:4">
      <c r="B23" s="106"/>
      <c r="C23" s="107" t="s">
        <v>96</v>
      </c>
      <c r="D23" s="95"/>
    </row>
    <row r="24" spans="2:4">
      <c r="B24" s="106"/>
      <c r="C24" s="108" t="s">
        <v>97</v>
      </c>
      <c r="D24" s="95"/>
    </row>
    <row r="25" spans="2:4">
      <c r="B25" s="106"/>
      <c r="C25" s="109" t="s">
        <v>98</v>
      </c>
      <c r="D25" s="95"/>
    </row>
    <row r="26" spans="2:4">
      <c r="B26" s="106"/>
      <c r="C26" s="110" t="s">
        <v>99</v>
      </c>
      <c r="D26" s="95"/>
    </row>
    <row r="27" spans="2:4">
      <c r="B27" s="111"/>
      <c r="C27" s="112"/>
      <c r="D27" s="98"/>
    </row>
    <row r="29" spans="2:4">
      <c r="B29" s="89" t="s">
        <v>100</v>
      </c>
      <c r="C29" s="99"/>
      <c r="D29" s="90"/>
    </row>
    <row r="30" spans="2:4">
      <c r="B30" s="313" t="s">
        <v>105</v>
      </c>
      <c r="C30" s="314"/>
      <c r="D30" s="315"/>
    </row>
    <row r="31" spans="2:4">
      <c r="B31" s="313"/>
      <c r="C31" s="314"/>
      <c r="D31" s="315"/>
    </row>
    <row r="32" spans="2:4">
      <c r="B32" s="313"/>
      <c r="C32" s="314"/>
      <c r="D32" s="315"/>
    </row>
    <row r="33" spans="2:4">
      <c r="B33" s="313"/>
      <c r="C33" s="314"/>
      <c r="D33" s="315"/>
    </row>
    <row r="34" spans="2:4">
      <c r="B34" s="313"/>
      <c r="C34" s="314"/>
      <c r="D34" s="315"/>
    </row>
    <row r="35" spans="2:4">
      <c r="B35" s="313"/>
      <c r="C35" s="314"/>
      <c r="D35" s="315"/>
    </row>
    <row r="36" spans="2:4">
      <c r="B36" s="313"/>
      <c r="C36" s="314"/>
      <c r="D36" s="315"/>
    </row>
    <row r="37" spans="2:4">
      <c r="B37" s="313"/>
      <c r="C37" s="314"/>
      <c r="D37" s="315"/>
    </row>
    <row r="38" spans="2:4">
      <c r="B38" s="313"/>
      <c r="C38" s="314"/>
      <c r="D38" s="315"/>
    </row>
    <row r="39" spans="2:4">
      <c r="B39" s="316"/>
      <c r="C39" s="317"/>
      <c r="D39" s="318"/>
    </row>
  </sheetData>
  <mergeCells count="1">
    <mergeCell ref="B30:D39"/>
  </mergeCell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D15"/>
  <sheetViews>
    <sheetView workbookViewId="0">
      <selection activeCell="C15" sqref="C15"/>
    </sheetView>
  </sheetViews>
  <sheetFormatPr baseColWidth="10" defaultRowHeight="16"/>
  <cols>
    <col min="1" max="1" width="3.5" customWidth="1"/>
    <col min="2" max="2" width="28.1640625" customWidth="1"/>
  </cols>
  <sheetData>
    <row r="2" spans="2:4">
      <c r="B2" t="s">
        <v>118</v>
      </c>
      <c r="C2" t="s">
        <v>253</v>
      </c>
    </row>
    <row r="5" spans="2:4">
      <c r="B5" t="s">
        <v>254</v>
      </c>
    </row>
    <row r="6" spans="2:4">
      <c r="B6">
        <f>C15</f>
        <v>187.2</v>
      </c>
      <c r="C6" t="s">
        <v>124</v>
      </c>
    </row>
    <row r="11" spans="2:4">
      <c r="B11" t="s">
        <v>251</v>
      </c>
      <c r="C11">
        <v>4000000</v>
      </c>
      <c r="D11" t="s">
        <v>249</v>
      </c>
    </row>
    <row r="12" spans="2:4">
      <c r="C12">
        <v>13</v>
      </c>
      <c r="D12" t="s">
        <v>250</v>
      </c>
    </row>
    <row r="13" spans="2:4">
      <c r="C13">
        <f>C12*C11</f>
        <v>52000000</v>
      </c>
      <c r="D13" t="s">
        <v>250</v>
      </c>
    </row>
    <row r="14" spans="2:4">
      <c r="C14">
        <f>C13*3600</f>
        <v>187200000000</v>
      </c>
      <c r="D14" t="s">
        <v>252</v>
      </c>
    </row>
    <row r="15" spans="2:4">
      <c r="C15">
        <f>C14/1000000000</f>
        <v>187.2</v>
      </c>
      <c r="D15" t="s">
        <v>124</v>
      </c>
    </row>
  </sheetData>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37615-CC90-C64D-B138-06601ECF23F3}">
  <dimension ref="I28"/>
  <sheetViews>
    <sheetView workbookViewId="0">
      <selection activeCell="J63" sqref="J63"/>
    </sheetView>
  </sheetViews>
  <sheetFormatPr baseColWidth="10" defaultRowHeight="16"/>
  <sheetData>
    <row r="28" spans="9:9">
      <c r="I28" t="s">
        <v>198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113"/>
  <sheetViews>
    <sheetView workbookViewId="0">
      <selection activeCell="C7" sqref="C7"/>
    </sheetView>
  </sheetViews>
  <sheetFormatPr baseColWidth="10" defaultRowHeight="16"/>
  <cols>
    <col min="1" max="1" width="10.83203125" style="88"/>
    <col min="2" max="2" width="18.6640625" style="88" customWidth="1"/>
    <col min="3" max="3" width="59.5" style="116" customWidth="1"/>
    <col min="4" max="16384" width="10.83203125" style="88"/>
  </cols>
  <sheetData>
    <row r="2" spans="2:4" ht="21">
      <c r="B2" s="87" t="s">
        <v>102</v>
      </c>
    </row>
    <row r="4" spans="2:4">
      <c r="B4" s="117" t="s">
        <v>81</v>
      </c>
      <c r="C4" s="118" t="s">
        <v>103</v>
      </c>
      <c r="D4" s="119" t="s">
        <v>104</v>
      </c>
    </row>
    <row r="5" spans="2:4">
      <c r="B5" s="120"/>
      <c r="C5" s="121"/>
      <c r="D5" s="122"/>
    </row>
    <row r="6" spans="2:4">
      <c r="B6" s="123">
        <v>43305</v>
      </c>
      <c r="C6" s="138" t="s">
        <v>298</v>
      </c>
      <c r="D6" s="125">
        <v>1</v>
      </c>
    </row>
    <row r="7" spans="2:4">
      <c r="B7" s="126"/>
      <c r="C7" s="138"/>
      <c r="D7" s="125"/>
    </row>
    <row r="8" spans="2:4">
      <c r="B8" s="126"/>
      <c r="C8" s="124"/>
      <c r="D8" s="125"/>
    </row>
    <row r="9" spans="2:4">
      <c r="B9" s="126"/>
      <c r="C9" s="124"/>
      <c r="D9" s="125"/>
    </row>
    <row r="10" spans="2:4">
      <c r="B10" s="127"/>
      <c r="C10" s="128"/>
      <c r="D10" s="125"/>
    </row>
    <row r="11" spans="2:4">
      <c r="B11" s="127"/>
      <c r="C11" s="128"/>
      <c r="D11" s="125"/>
    </row>
    <row r="12" spans="2:4">
      <c r="B12" s="127"/>
      <c r="C12" s="128"/>
      <c r="D12" s="125"/>
    </row>
    <row r="13" spans="2:4">
      <c r="B13" s="127"/>
      <c r="C13" s="128"/>
      <c r="D13" s="125"/>
    </row>
    <row r="14" spans="2:4">
      <c r="B14" s="127"/>
      <c r="C14" s="128"/>
      <c r="D14" s="125"/>
    </row>
    <row r="15" spans="2:4">
      <c r="B15" s="127"/>
      <c r="C15" s="128"/>
      <c r="D15" s="125"/>
    </row>
    <row r="16" spans="2:4">
      <c r="B16" s="127"/>
      <c r="C16" s="128"/>
      <c r="D16" s="125"/>
    </row>
    <row r="17" spans="2:4">
      <c r="B17" s="127"/>
      <c r="C17" s="128"/>
      <c r="D17" s="125"/>
    </row>
    <row r="18" spans="2:4">
      <c r="B18" s="127"/>
      <c r="C18" s="128"/>
      <c r="D18" s="125"/>
    </row>
    <row r="19" spans="2:4">
      <c r="B19" s="127"/>
      <c r="C19" s="128"/>
      <c r="D19" s="125"/>
    </row>
    <row r="20" spans="2:4">
      <c r="B20" s="127"/>
      <c r="C20" s="128"/>
      <c r="D20" s="125"/>
    </row>
    <row r="21" spans="2:4">
      <c r="B21" s="127"/>
      <c r="C21" s="128"/>
      <c r="D21" s="125"/>
    </row>
    <row r="22" spans="2:4">
      <c r="B22" s="127"/>
      <c r="C22" s="128"/>
      <c r="D22" s="125"/>
    </row>
    <row r="23" spans="2:4">
      <c r="B23" s="127"/>
      <c r="C23" s="128"/>
      <c r="D23" s="125"/>
    </row>
    <row r="24" spans="2:4">
      <c r="B24" s="127"/>
      <c r="C24" s="128"/>
      <c r="D24" s="125"/>
    </row>
    <row r="25" spans="2:4">
      <c r="B25" s="127"/>
      <c r="C25" s="128"/>
      <c r="D25" s="125"/>
    </row>
    <row r="26" spans="2:4">
      <c r="B26" s="127"/>
      <c r="C26" s="128"/>
      <c r="D26" s="125"/>
    </row>
    <row r="27" spans="2:4">
      <c r="B27" s="127"/>
      <c r="C27" s="128"/>
      <c r="D27" s="125"/>
    </row>
    <row r="28" spans="2:4">
      <c r="B28" s="127"/>
      <c r="C28" s="128"/>
      <c r="D28" s="125"/>
    </row>
    <row r="29" spans="2:4">
      <c r="B29" s="127"/>
      <c r="C29" s="128"/>
      <c r="D29" s="125"/>
    </row>
    <row r="30" spans="2:4">
      <c r="B30" s="127"/>
      <c r="C30" s="128"/>
      <c r="D30" s="125"/>
    </row>
    <row r="31" spans="2:4">
      <c r="B31" s="127"/>
      <c r="C31" s="128"/>
      <c r="D31" s="125"/>
    </row>
    <row r="32" spans="2:4">
      <c r="B32" s="129"/>
      <c r="C32" s="128"/>
      <c r="D32" s="125"/>
    </row>
    <row r="33" spans="2:4">
      <c r="B33" s="127"/>
      <c r="C33" s="128"/>
      <c r="D33" s="125"/>
    </row>
    <row r="34" spans="2:4">
      <c r="B34" s="127"/>
      <c r="C34" s="128"/>
      <c r="D34" s="125"/>
    </row>
    <row r="35" spans="2:4">
      <c r="B35" s="127"/>
      <c r="C35" s="128"/>
      <c r="D35" s="125"/>
    </row>
    <row r="36" spans="2:4">
      <c r="B36" s="127"/>
      <c r="C36" s="128"/>
      <c r="D36" s="125"/>
    </row>
    <row r="37" spans="2:4">
      <c r="B37" s="127"/>
      <c r="C37" s="128"/>
      <c r="D37" s="125"/>
    </row>
    <row r="38" spans="2:4">
      <c r="B38" s="127"/>
      <c r="C38" s="128"/>
      <c r="D38" s="125"/>
    </row>
    <row r="39" spans="2:4">
      <c r="B39" s="127"/>
      <c r="C39" s="128"/>
      <c r="D39" s="125"/>
    </row>
    <row r="40" spans="2:4">
      <c r="B40" s="130"/>
      <c r="C40" s="128"/>
      <c r="D40" s="125"/>
    </row>
    <row r="41" spans="2:4">
      <c r="B41" s="127"/>
      <c r="C41" s="128"/>
      <c r="D41" s="125"/>
    </row>
    <row r="42" spans="2:4">
      <c r="B42" s="130"/>
      <c r="C42" s="128"/>
      <c r="D42" s="125"/>
    </row>
    <row r="43" spans="2:4">
      <c r="B43" s="130"/>
      <c r="C43" s="131"/>
      <c r="D43" s="132"/>
    </row>
    <row r="44" spans="2:4">
      <c r="B44" s="130"/>
      <c r="C44" s="128"/>
      <c r="D44" s="125"/>
    </row>
    <row r="45" spans="2:4">
      <c r="B45" s="127"/>
      <c r="C45" s="128"/>
      <c r="D45" s="125"/>
    </row>
    <row r="46" spans="2:4">
      <c r="B46" s="127"/>
      <c r="C46" s="128"/>
      <c r="D46" s="125"/>
    </row>
    <row r="47" spans="2:4">
      <c r="B47" s="127"/>
      <c r="C47" s="128"/>
      <c r="D47" s="125"/>
    </row>
    <row r="48" spans="2:4">
      <c r="B48" s="133"/>
      <c r="C48" s="134"/>
      <c r="D48" s="135"/>
    </row>
    <row r="49" spans="2:4">
      <c r="B49" s="136"/>
      <c r="D49" s="137"/>
    </row>
    <row r="50" spans="2:4">
      <c r="B50" s="136"/>
      <c r="D50" s="137"/>
    </row>
    <row r="51" spans="2:4">
      <c r="B51" s="136"/>
      <c r="D51" s="137"/>
    </row>
    <row r="52" spans="2:4">
      <c r="B52" s="136"/>
      <c r="D52" s="137"/>
    </row>
    <row r="53" spans="2:4">
      <c r="B53" s="136"/>
      <c r="D53" s="137"/>
    </row>
    <row r="54" spans="2:4">
      <c r="B54" s="136"/>
      <c r="D54" s="137"/>
    </row>
    <row r="55" spans="2:4">
      <c r="B55" s="136"/>
      <c r="D55" s="137"/>
    </row>
    <row r="56" spans="2:4">
      <c r="B56" s="136"/>
      <c r="D56" s="136"/>
    </row>
    <row r="57" spans="2:4">
      <c r="B57" s="136"/>
      <c r="D57" s="136"/>
    </row>
    <row r="58" spans="2:4">
      <c r="B58" s="136"/>
      <c r="D58" s="136"/>
    </row>
    <row r="59" spans="2:4">
      <c r="B59" s="136"/>
      <c r="D59" s="136"/>
    </row>
    <row r="60" spans="2:4">
      <c r="B60" s="136"/>
      <c r="D60" s="136"/>
    </row>
    <row r="61" spans="2:4">
      <c r="B61" s="136"/>
      <c r="D61" s="136"/>
    </row>
    <row r="62" spans="2:4">
      <c r="B62" s="136"/>
      <c r="D62" s="136"/>
    </row>
    <row r="63" spans="2:4">
      <c r="B63" s="136"/>
      <c r="D63" s="136"/>
    </row>
    <row r="64" spans="2:4">
      <c r="B64" s="136"/>
      <c r="D64" s="136"/>
    </row>
    <row r="65" spans="2:4">
      <c r="B65" s="136"/>
      <c r="D65" s="136"/>
    </row>
    <row r="66" spans="2:4">
      <c r="B66" s="136"/>
      <c r="D66" s="136"/>
    </row>
    <row r="67" spans="2:4">
      <c r="B67" s="136"/>
      <c r="D67" s="136"/>
    </row>
    <row r="68" spans="2:4">
      <c r="B68" s="136"/>
      <c r="D68" s="136"/>
    </row>
    <row r="69" spans="2:4">
      <c r="B69" s="136"/>
      <c r="D69" s="136"/>
    </row>
    <row r="70" spans="2:4">
      <c r="B70" s="136"/>
      <c r="D70" s="136"/>
    </row>
    <row r="71" spans="2:4">
      <c r="B71" s="136"/>
      <c r="D71" s="136"/>
    </row>
    <row r="72" spans="2:4">
      <c r="B72" s="136"/>
      <c r="D72" s="136"/>
    </row>
    <row r="73" spans="2:4">
      <c r="B73" s="136"/>
      <c r="D73" s="136"/>
    </row>
    <row r="74" spans="2:4">
      <c r="B74" s="136"/>
      <c r="D74" s="136"/>
    </row>
    <row r="75" spans="2:4">
      <c r="B75" s="136"/>
      <c r="D75" s="136"/>
    </row>
    <row r="76" spans="2:4">
      <c r="B76" s="136"/>
      <c r="D76" s="136"/>
    </row>
    <row r="77" spans="2:4">
      <c r="B77" s="136"/>
      <c r="D77" s="136"/>
    </row>
    <row r="78" spans="2:4">
      <c r="B78" s="136"/>
      <c r="D78" s="136"/>
    </row>
    <row r="79" spans="2:4">
      <c r="B79" s="136"/>
      <c r="D79" s="136"/>
    </row>
    <row r="80" spans="2:4">
      <c r="B80" s="136"/>
      <c r="D80" s="136"/>
    </row>
    <row r="81" spans="2:4">
      <c r="B81" s="136"/>
      <c r="D81" s="136"/>
    </row>
    <row r="82" spans="2:4">
      <c r="B82" s="136"/>
      <c r="D82" s="136"/>
    </row>
    <row r="83" spans="2:4">
      <c r="B83" s="136"/>
      <c r="D83" s="136"/>
    </row>
    <row r="84" spans="2:4">
      <c r="B84" s="136"/>
      <c r="D84" s="136"/>
    </row>
    <row r="85" spans="2:4">
      <c r="B85" s="136"/>
      <c r="D85" s="136"/>
    </row>
    <row r="86" spans="2:4">
      <c r="B86" s="136"/>
      <c r="D86" s="136"/>
    </row>
    <row r="87" spans="2:4">
      <c r="D87" s="136"/>
    </row>
    <row r="88" spans="2:4">
      <c r="D88" s="136"/>
    </row>
    <row r="89" spans="2:4">
      <c r="D89" s="136"/>
    </row>
    <row r="90" spans="2:4">
      <c r="D90" s="136"/>
    </row>
    <row r="91" spans="2:4">
      <c r="D91" s="136"/>
    </row>
    <row r="92" spans="2:4">
      <c r="D92" s="136"/>
    </row>
    <row r="93" spans="2:4">
      <c r="D93" s="136"/>
    </row>
    <row r="94" spans="2:4">
      <c r="D94" s="136"/>
    </row>
    <row r="95" spans="2:4">
      <c r="D95" s="136"/>
    </row>
    <row r="96" spans="2:4">
      <c r="D96" s="136"/>
    </row>
    <row r="97" spans="4:4">
      <c r="D97" s="136"/>
    </row>
    <row r="98" spans="4:4">
      <c r="D98" s="136"/>
    </row>
    <row r="99" spans="4:4">
      <c r="D99" s="136"/>
    </row>
    <row r="100" spans="4:4">
      <c r="D100" s="136"/>
    </row>
    <row r="101" spans="4:4">
      <c r="D101" s="136"/>
    </row>
    <row r="102" spans="4:4">
      <c r="D102" s="136"/>
    </row>
    <row r="103" spans="4:4">
      <c r="D103" s="136"/>
    </row>
    <row r="104" spans="4:4">
      <c r="D104" s="136"/>
    </row>
    <row r="105" spans="4:4">
      <c r="D105" s="136"/>
    </row>
    <row r="106" spans="4:4">
      <c r="D106" s="136"/>
    </row>
    <row r="107" spans="4:4">
      <c r="D107" s="136"/>
    </row>
    <row r="108" spans="4:4">
      <c r="D108" s="136"/>
    </row>
    <row r="109" spans="4:4">
      <c r="D109" s="136"/>
    </row>
    <row r="110" spans="4:4">
      <c r="D110" s="136"/>
    </row>
    <row r="111" spans="4:4">
      <c r="D111" s="136"/>
    </row>
    <row r="112" spans="4:4">
      <c r="D112" s="136"/>
    </row>
    <row r="113" spans="4:4">
      <c r="D113" s="13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23"/>
  <sheetViews>
    <sheetView workbookViewId="0">
      <selection activeCell="H43" sqref="H43"/>
    </sheetView>
  </sheetViews>
  <sheetFormatPr baseColWidth="10" defaultRowHeight="16"/>
  <cols>
    <col min="1" max="1" width="2.6640625" style="3" customWidth="1"/>
    <col min="2" max="2" width="3.1640625" style="140" customWidth="1"/>
    <col min="3" max="3" width="11" style="3" customWidth="1"/>
    <col min="4" max="16384" width="10.83203125" style="3"/>
  </cols>
  <sheetData>
    <row r="2" spans="2:4">
      <c r="B2" s="140" t="s">
        <v>127</v>
      </c>
    </row>
    <row r="4" spans="2:4">
      <c r="B4" s="66" t="s">
        <v>107</v>
      </c>
    </row>
    <row r="6" spans="2:4">
      <c r="B6" s="140">
        <v>2</v>
      </c>
      <c r="C6" s="3" t="s">
        <v>263</v>
      </c>
    </row>
    <row r="7" spans="2:4">
      <c r="C7" s="3" t="s">
        <v>106</v>
      </c>
      <c r="D7" s="3" t="s">
        <v>267</v>
      </c>
    </row>
    <row r="8" spans="2:4">
      <c r="B8" s="3"/>
      <c r="C8" s="3" t="s">
        <v>106</v>
      </c>
      <c r="D8" s="3" t="s">
        <v>265</v>
      </c>
    </row>
    <row r="9" spans="2:4">
      <c r="C9" s="3" t="s">
        <v>106</v>
      </c>
      <c r="D9" s="3" t="s">
        <v>266</v>
      </c>
    </row>
    <row r="10" spans="2:4">
      <c r="B10" s="140">
        <v>3</v>
      </c>
      <c r="C10" s="3" t="s">
        <v>264</v>
      </c>
    </row>
    <row r="11" spans="2:4">
      <c r="B11" s="140">
        <v>4</v>
      </c>
      <c r="C11" s="3" t="s">
        <v>268</v>
      </c>
    </row>
    <row r="12" spans="2:4">
      <c r="B12" s="140">
        <v>5</v>
      </c>
      <c r="C12" s="3" t="s">
        <v>299</v>
      </c>
    </row>
    <row r="13" spans="2:4">
      <c r="B13" s="140">
        <v>6</v>
      </c>
      <c r="C13" s="3" t="s">
        <v>269</v>
      </c>
    </row>
    <row r="15" spans="2:4">
      <c r="B15" s="66"/>
    </row>
    <row r="23" spans="2:2">
      <c r="B23" s="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2:Q81"/>
  <sheetViews>
    <sheetView zoomScale="90" zoomScaleNormal="120" workbookViewId="0">
      <pane xSplit="2" ySplit="9" topLeftCell="C42" activePane="bottomRight" state="frozen"/>
      <selection pane="topRight" activeCell="C1" sqref="C1"/>
      <selection pane="bottomLeft" activeCell="A10" sqref="A10"/>
      <selection pane="bottomRight" activeCell="D66" sqref="D66:D73"/>
    </sheetView>
  </sheetViews>
  <sheetFormatPr baseColWidth="10" defaultRowHeight="16"/>
  <cols>
    <col min="1" max="1" width="10.83203125" style="3"/>
    <col min="2" max="2" width="40.83203125" style="3" customWidth="1"/>
    <col min="3" max="3" width="41.5" style="3" bestFit="1" customWidth="1"/>
    <col min="4" max="4" width="37.332031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c r="B2" s="1" t="s">
        <v>0</v>
      </c>
      <c r="C2" s="2"/>
      <c r="D2" s="2"/>
      <c r="E2" s="2"/>
      <c r="F2" s="2"/>
      <c r="G2" s="2"/>
      <c r="H2" s="2"/>
      <c r="I2" s="2"/>
      <c r="J2" s="2"/>
      <c r="K2" s="2"/>
      <c r="L2" s="2"/>
    </row>
    <row r="3" spans="2:15">
      <c r="E3" s="2"/>
      <c r="F3" s="2"/>
      <c r="G3" s="2"/>
      <c r="H3" s="2"/>
      <c r="I3" s="2"/>
      <c r="J3" s="2"/>
      <c r="K3" s="2"/>
      <c r="L3" s="2"/>
    </row>
    <row r="4" spans="2:15">
      <c r="B4" s="4" t="s">
        <v>1</v>
      </c>
      <c r="C4" s="5"/>
      <c r="D4" s="5"/>
      <c r="E4" s="5"/>
      <c r="F4" s="5"/>
      <c r="G4" s="6"/>
      <c r="H4" s="2"/>
      <c r="I4" s="2"/>
      <c r="J4" s="2"/>
      <c r="K4" s="2"/>
      <c r="L4" s="2"/>
    </row>
    <row r="5" spans="2:15" ht="30" customHeight="1">
      <c r="B5" s="319" t="s">
        <v>121</v>
      </c>
      <c r="C5" s="320"/>
      <c r="D5" s="320"/>
      <c r="E5" s="320"/>
      <c r="F5" s="320"/>
      <c r="G5" s="321"/>
      <c r="H5" s="2"/>
      <c r="I5" s="2"/>
      <c r="J5" s="2"/>
      <c r="K5" s="2"/>
      <c r="L5" s="2"/>
    </row>
    <row r="6" spans="2:15" ht="17" thickBot="1">
      <c r="B6" s="2"/>
      <c r="C6" s="2"/>
      <c r="D6" s="2"/>
      <c r="E6" s="2"/>
      <c r="F6" s="2"/>
      <c r="G6" s="2"/>
      <c r="H6" s="2"/>
      <c r="I6" s="2"/>
      <c r="J6" s="2"/>
      <c r="K6" s="2"/>
      <c r="L6" s="2"/>
    </row>
    <row r="7" spans="2:15">
      <c r="B7" s="7" t="s">
        <v>0</v>
      </c>
      <c r="C7" s="8"/>
      <c r="D7" s="8"/>
      <c r="E7" s="8"/>
      <c r="F7" s="8"/>
      <c r="G7" s="8"/>
      <c r="H7" s="8"/>
      <c r="I7" s="8"/>
      <c r="J7" s="8"/>
      <c r="K7" s="9"/>
      <c r="L7" s="2"/>
      <c r="M7" s="77"/>
      <c r="N7" s="8"/>
      <c r="O7" s="9"/>
    </row>
    <row r="8" spans="2:15">
      <c r="B8" s="10"/>
      <c r="C8" s="2"/>
      <c r="D8" s="2"/>
      <c r="E8" s="2"/>
      <c r="F8" s="2"/>
      <c r="G8" s="2"/>
      <c r="H8" s="2"/>
      <c r="I8" s="2"/>
      <c r="J8" s="2"/>
      <c r="K8" s="11"/>
      <c r="L8" s="2"/>
      <c r="M8" s="10"/>
      <c r="N8" s="2"/>
      <c r="O8" s="11"/>
    </row>
    <row r="9" spans="2:15" ht="48">
      <c r="B9" s="12" t="s">
        <v>2</v>
      </c>
      <c r="C9" s="13" t="s">
        <v>3</v>
      </c>
      <c r="D9" s="14" t="s">
        <v>4</v>
      </c>
      <c r="E9" s="15" t="s">
        <v>5</v>
      </c>
      <c r="F9" s="15" t="s">
        <v>6</v>
      </c>
      <c r="G9" s="15" t="s">
        <v>7</v>
      </c>
      <c r="H9" s="15" t="s">
        <v>8</v>
      </c>
      <c r="I9" s="15" t="s">
        <v>9</v>
      </c>
      <c r="J9" s="15" t="s">
        <v>10</v>
      </c>
      <c r="K9" s="16" t="s">
        <v>11</v>
      </c>
      <c r="L9" s="25"/>
      <c r="M9" s="78" t="s">
        <v>73</v>
      </c>
      <c r="N9" s="79" t="s">
        <v>74</v>
      </c>
      <c r="O9" s="80" t="s">
        <v>75</v>
      </c>
    </row>
    <row r="10" spans="2:15" ht="17" thickBot="1">
      <c r="B10" s="17" t="s">
        <v>12</v>
      </c>
      <c r="C10" s="18"/>
      <c r="D10" s="18"/>
      <c r="E10" s="19"/>
      <c r="F10" s="19"/>
      <c r="G10" s="19"/>
      <c r="H10" s="19"/>
      <c r="I10" s="19"/>
      <c r="J10" s="19"/>
      <c r="K10" s="20"/>
      <c r="L10" s="67"/>
      <c r="M10" s="10"/>
      <c r="N10" s="2"/>
      <c r="O10" s="11"/>
    </row>
    <row r="11" spans="2:15" s="23" customFormat="1" ht="17" thickBot="1">
      <c r="B11" s="21"/>
      <c r="C11" s="22" t="s">
        <v>13</v>
      </c>
      <c r="D11" s="22"/>
      <c r="E11" s="272">
        <v>24614.400000000001</v>
      </c>
      <c r="F11" s="165">
        <v>36637.18</v>
      </c>
      <c r="G11" s="165">
        <v>494</v>
      </c>
      <c r="H11" s="166">
        <v>0</v>
      </c>
      <c r="I11" s="165">
        <f>880+8392+736</f>
        <v>10008</v>
      </c>
      <c r="J11" s="165">
        <v>40311.01</v>
      </c>
      <c r="K11" s="165">
        <v>67397</v>
      </c>
      <c r="L11" s="55"/>
      <c r="M11" s="21"/>
      <c r="N11" s="81"/>
      <c r="O11" s="82"/>
    </row>
    <row r="12" spans="2:15">
      <c r="B12" s="24"/>
      <c r="C12" s="25"/>
      <c r="D12" s="25"/>
      <c r="E12" s="55">
        <f>SUM(E15:E26)+SUM(E30:E42)+SUM(E52:E56)</f>
        <v>24614.400000000001</v>
      </c>
      <c r="F12" s="55">
        <f>SUM(F15:F73)-F57</f>
        <v>38496.734743313107</v>
      </c>
      <c r="G12" s="55">
        <f>SUM(G15:G26)</f>
        <v>411.43142857142857</v>
      </c>
      <c r="H12" s="55">
        <f t="shared" ref="H12:J12" si="0">SUM(H15:H26)</f>
        <v>0</v>
      </c>
      <c r="I12" s="55">
        <f>SUM(I15:I40)</f>
        <v>10007.999999999998</v>
      </c>
      <c r="J12" s="55">
        <f t="shared" si="0"/>
        <v>33573.312614285715</v>
      </c>
      <c r="K12" s="55">
        <f>SUM(K15:K26)</f>
        <v>56057.116484243932</v>
      </c>
      <c r="L12" s="55"/>
      <c r="M12" s="10"/>
      <c r="N12" s="2"/>
      <c r="O12" s="11"/>
    </row>
    <row r="13" spans="2:15">
      <c r="B13" s="12"/>
      <c r="C13" s="26"/>
      <c r="D13" s="26"/>
      <c r="E13" s="34"/>
      <c r="F13" s="34"/>
      <c r="G13" s="34"/>
      <c r="H13" s="34"/>
      <c r="I13" s="34"/>
      <c r="J13" s="34"/>
      <c r="K13" s="35"/>
      <c r="L13" s="68"/>
      <c r="M13" s="10"/>
      <c r="N13" s="2"/>
      <c r="O13" s="11"/>
    </row>
    <row r="14" spans="2:15">
      <c r="B14" s="17" t="s">
        <v>34</v>
      </c>
      <c r="C14" s="27"/>
      <c r="D14" s="26"/>
      <c r="E14" s="34"/>
      <c r="F14" s="34"/>
      <c r="G14" s="34"/>
      <c r="H14" s="34"/>
      <c r="I14" s="34"/>
      <c r="J14" s="34"/>
      <c r="K14" s="35"/>
      <c r="L14" s="68"/>
      <c r="M14" s="10"/>
      <c r="N14" s="2"/>
      <c r="O14" s="11"/>
    </row>
    <row r="15" spans="2:15">
      <c r="B15" s="24" t="s">
        <v>117</v>
      </c>
      <c r="C15" s="181" t="s">
        <v>35</v>
      </c>
      <c r="D15" s="64">
        <f>SUM(E15:K15)/SUM($E$15:$K$26)</f>
        <v>0.14457339615386613</v>
      </c>
      <c r="E15" s="279">
        <f>((E11-E52)*'Application split'!F11)-SUM(E16:E26)</f>
        <v>17500.278857142857</v>
      </c>
      <c r="F15" s="308"/>
      <c r="G15" s="279"/>
      <c r="H15" s="279"/>
      <c r="I15" s="279"/>
      <c r="J15" s="279"/>
      <c r="K15" s="300"/>
      <c r="L15" s="69"/>
      <c r="M15" s="10">
        <v>1.0669999999999999</v>
      </c>
      <c r="N15" s="150">
        <f t="shared" ref="N15:N25" si="1">M15*SUM(E15:K15)</f>
        <v>18672.797540571428</v>
      </c>
      <c r="O15" s="85">
        <f>N15/SUM($N$15:$N$26)</f>
        <v>0.15587582710133183</v>
      </c>
    </row>
    <row r="16" spans="2:15">
      <c r="B16" s="226">
        <f>SUM(E15:K26)</f>
        <v>121047.71225348898</v>
      </c>
      <c r="C16" s="182" t="s">
        <v>36</v>
      </c>
      <c r="D16" s="65">
        <f t="shared" ref="D16:D26" si="2">SUM(E16:K16)/SUM($E$15:$K$26)</f>
        <v>3.3989194914302878E-3</v>
      </c>
      <c r="E16" s="280"/>
      <c r="F16" s="299"/>
      <c r="G16" s="280">
        <f>'Application split'!F11*G11</f>
        <v>411.43142857142857</v>
      </c>
      <c r="H16" s="280"/>
      <c r="I16" s="280"/>
      <c r="J16" s="280"/>
      <c r="K16" s="301"/>
      <c r="L16" s="69"/>
      <c r="M16" s="10">
        <v>1</v>
      </c>
      <c r="N16" s="150">
        <f t="shared" si="1"/>
        <v>411.43142857142857</v>
      </c>
      <c r="O16" s="85">
        <f t="shared" ref="O16:O25" si="3">N16/SUM($N$15:$N$26)</f>
        <v>3.4345262987353835E-3</v>
      </c>
    </row>
    <row r="17" spans="2:17" ht="17" thickBot="1">
      <c r="B17" s="17"/>
      <c r="C17" s="182" t="s">
        <v>37</v>
      </c>
      <c r="D17" s="65">
        <f t="shared" si="2"/>
        <v>0</v>
      </c>
      <c r="E17" s="280"/>
      <c r="F17" s="299">
        <f>'Heat pumps'!J21</f>
        <v>0</v>
      </c>
      <c r="G17" s="280"/>
      <c r="H17" s="280"/>
      <c r="I17" s="280"/>
      <c r="J17" s="280"/>
      <c r="K17" s="301"/>
      <c r="L17" s="69"/>
      <c r="M17" s="10">
        <v>4.8000000000000078</v>
      </c>
      <c r="N17" s="150">
        <f t="shared" si="1"/>
        <v>0</v>
      </c>
      <c r="O17" s="85">
        <f t="shared" si="3"/>
        <v>0</v>
      </c>
    </row>
    <row r="18" spans="2:17" ht="17" thickBot="1">
      <c r="B18" s="17"/>
      <c r="C18" s="182" t="s">
        <v>38</v>
      </c>
      <c r="D18" s="65">
        <f t="shared" si="2"/>
        <v>0</v>
      </c>
      <c r="E18" s="297">
        <v>0</v>
      </c>
      <c r="F18" s="299"/>
      <c r="G18" s="280"/>
      <c r="H18" s="280"/>
      <c r="I18" s="280"/>
      <c r="J18" s="280"/>
      <c r="K18" s="301"/>
      <c r="L18" s="69"/>
      <c r="M18" s="10">
        <v>0.88</v>
      </c>
      <c r="N18" s="150">
        <f t="shared" si="1"/>
        <v>0</v>
      </c>
      <c r="O18" s="85">
        <f t="shared" si="3"/>
        <v>0</v>
      </c>
    </row>
    <row r="19" spans="2:17">
      <c r="B19" s="17"/>
      <c r="C19" s="182" t="s">
        <v>39</v>
      </c>
      <c r="D19" s="65">
        <f t="shared" si="2"/>
        <v>0.46309934686624521</v>
      </c>
      <c r="E19" s="280"/>
      <c r="F19" s="299"/>
      <c r="G19" s="280"/>
      <c r="H19" s="280"/>
      <c r="I19" s="280"/>
      <c r="J19" s="280"/>
      <c r="K19" s="301">
        <f>'Application split'!G11*K11</f>
        <v>56057.116484243932</v>
      </c>
      <c r="L19" s="69"/>
      <c r="M19" s="10">
        <v>1</v>
      </c>
      <c r="N19" s="150">
        <f t="shared" si="1"/>
        <v>56057.116484243932</v>
      </c>
      <c r="O19" s="85">
        <f t="shared" si="3"/>
        <v>0.46795073838892087</v>
      </c>
    </row>
    <row r="20" spans="2:17">
      <c r="B20" s="17"/>
      <c r="C20" s="182" t="s">
        <v>40</v>
      </c>
      <c r="D20" s="65">
        <f t="shared" si="2"/>
        <v>1.2901697242817704E-2</v>
      </c>
      <c r="E20" s="280"/>
      <c r="F20" s="299">
        <f>'Heat pumps'!J19</f>
        <v>1561.7209354302295</v>
      </c>
      <c r="G20" s="280"/>
      <c r="H20" s="280"/>
      <c r="I20" s="280"/>
      <c r="J20" s="280"/>
      <c r="K20" s="301"/>
      <c r="L20" s="69"/>
      <c r="M20" s="10">
        <v>4.5000000000000044</v>
      </c>
      <c r="N20" s="150">
        <f t="shared" si="1"/>
        <v>7027.7442094360395</v>
      </c>
      <c r="O20" s="85">
        <f t="shared" si="3"/>
        <v>5.8665844736027421E-2</v>
      </c>
    </row>
    <row r="21" spans="2:17">
      <c r="B21" s="17"/>
      <c r="C21" s="182" t="s">
        <v>41</v>
      </c>
      <c r="D21" s="65">
        <f t="shared" si="2"/>
        <v>0.27735602754704708</v>
      </c>
      <c r="E21" s="280"/>
      <c r="F21" s="299"/>
      <c r="G21" s="280"/>
      <c r="H21" s="280"/>
      <c r="I21" s="280"/>
      <c r="J21" s="280">
        <f>J11*'Application split'!F11</f>
        <v>33573.312614285715</v>
      </c>
      <c r="K21" s="301"/>
      <c r="L21" s="69"/>
      <c r="M21" s="10">
        <v>0.82</v>
      </c>
      <c r="N21" s="150">
        <f t="shared" si="1"/>
        <v>27530.116343714286</v>
      </c>
      <c r="O21" s="85">
        <f t="shared" si="3"/>
        <v>0.22981450133267151</v>
      </c>
    </row>
    <row r="22" spans="2:17" ht="17" thickBot="1">
      <c r="B22" s="17"/>
      <c r="C22" s="182" t="s">
        <v>42</v>
      </c>
      <c r="D22" s="65">
        <f t="shared" si="2"/>
        <v>5.0279153299982969E-3</v>
      </c>
      <c r="E22" s="280"/>
      <c r="F22" s="299">
        <f>Electricity!G31*'Application split'!G11</f>
        <v>608.6176481005399</v>
      </c>
      <c r="G22" s="280"/>
      <c r="H22" s="280"/>
      <c r="I22" s="280"/>
      <c r="J22" s="280"/>
      <c r="K22" s="301"/>
      <c r="L22" s="69"/>
      <c r="M22" s="10">
        <v>1</v>
      </c>
      <c r="N22" s="150">
        <f t="shared" si="1"/>
        <v>608.6176481005399</v>
      </c>
      <c r="O22" s="85">
        <f>N22/SUM($N$15:$N$26)</f>
        <v>5.0805873667302557E-3</v>
      </c>
    </row>
    <row r="23" spans="2:17" ht="17" thickBot="1">
      <c r="B23" s="17"/>
      <c r="C23" s="182" t="s">
        <v>43</v>
      </c>
      <c r="D23" s="65">
        <f t="shared" si="2"/>
        <v>2.4783615849902445E-2</v>
      </c>
      <c r="E23" s="297">
        <v>3000</v>
      </c>
      <c r="F23" s="299"/>
      <c r="G23" s="280"/>
      <c r="H23" s="280"/>
      <c r="I23" s="280"/>
      <c r="J23" s="280"/>
      <c r="K23" s="301"/>
      <c r="L23" s="69"/>
      <c r="M23" s="10">
        <v>0.8</v>
      </c>
      <c r="N23" s="150">
        <f t="shared" si="1"/>
        <v>2400</v>
      </c>
      <c r="O23" s="85">
        <f t="shared" si="3"/>
        <v>2.0034597613472978E-2</v>
      </c>
    </row>
    <row r="24" spans="2:17">
      <c r="B24" s="17"/>
      <c r="C24" s="182" t="s">
        <v>44</v>
      </c>
      <c r="D24" s="65">
        <f t="shared" si="2"/>
        <v>6.8859081518692952E-2</v>
      </c>
      <c r="E24" s="280"/>
      <c r="F24" s="299"/>
      <c r="G24" s="280"/>
      <c r="H24" s="280"/>
      <c r="I24" s="280">
        <f>'Application split'!K33</f>
        <v>8335.2342857142849</v>
      </c>
      <c r="J24" s="280"/>
      <c r="K24" s="301"/>
      <c r="L24" s="69"/>
      <c r="M24" s="10">
        <v>0.85</v>
      </c>
      <c r="N24" s="150">
        <f t="shared" si="1"/>
        <v>7084.9491428571419</v>
      </c>
      <c r="O24" s="85">
        <f t="shared" si="3"/>
        <v>5.9143377162109628E-2</v>
      </c>
    </row>
    <row r="25" spans="2:17">
      <c r="B25" s="17"/>
      <c r="C25" s="182" t="s">
        <v>45</v>
      </c>
      <c r="D25" s="65">
        <f>SUM(E25:K25)/SUM($E$15:$K$26)</f>
        <v>0</v>
      </c>
      <c r="E25" s="280"/>
      <c r="F25" s="299"/>
      <c r="G25" s="280"/>
      <c r="H25" s="280">
        <f>H11</f>
        <v>0</v>
      </c>
      <c r="I25" s="280"/>
      <c r="J25" s="280"/>
      <c r="K25" s="301"/>
      <c r="L25" s="69"/>
      <c r="M25" s="10">
        <v>0.8</v>
      </c>
      <c r="N25" s="150">
        <f t="shared" si="1"/>
        <v>0</v>
      </c>
      <c r="O25" s="85">
        <f t="shared" si="3"/>
        <v>0</v>
      </c>
    </row>
    <row r="26" spans="2:17">
      <c r="B26" s="17"/>
      <c r="C26" s="183" t="s">
        <v>146</v>
      </c>
      <c r="D26" s="65">
        <f t="shared" si="2"/>
        <v>0</v>
      </c>
      <c r="E26" s="280">
        <f>'Heat pumps'!K18</f>
        <v>0</v>
      </c>
      <c r="F26" s="299">
        <f>'Heat pumps'!J18</f>
        <v>0</v>
      </c>
      <c r="G26" s="280"/>
      <c r="H26" s="280"/>
      <c r="I26" s="280"/>
      <c r="J26" s="280"/>
      <c r="K26" s="301"/>
      <c r="L26" s="69"/>
      <c r="M26" s="177">
        <f>1/'Heat pumps'!F4</f>
        <v>2.8070962566756963</v>
      </c>
      <c r="N26" s="150">
        <f>Q26*SUM(E26)+F26*P26</f>
        <v>0</v>
      </c>
      <c r="O26" s="85">
        <f>N26/SUM($N$15:$N$26)</f>
        <v>0</v>
      </c>
      <c r="P26" s="3">
        <f>('Heat pumps'!E5+'Heat pumps'!E4)/'Heat pumps'!E5</f>
        <v>4.4999999999999938</v>
      </c>
      <c r="Q26" s="184">
        <v>1.0669999999999999</v>
      </c>
    </row>
    <row r="27" spans="2:17">
      <c r="B27" s="17"/>
      <c r="C27" s="30" t="s">
        <v>229</v>
      </c>
      <c r="D27" s="59"/>
      <c r="E27" s="281">
        <f>'Application split'!G61</f>
        <v>20500.278857142857</v>
      </c>
      <c r="F27" s="309"/>
      <c r="G27" s="281"/>
      <c r="H27" s="281"/>
      <c r="I27" s="281"/>
      <c r="J27" s="281"/>
      <c r="K27" s="302"/>
      <c r="L27" s="68"/>
      <c r="M27" s="177"/>
      <c r="N27" s="150"/>
      <c r="O27" s="230"/>
      <c r="P27" s="3">
        <f>F26*P26</f>
        <v>0</v>
      </c>
      <c r="Q27" s="3">
        <f>Q26*SUM(E26)</f>
        <v>0</v>
      </c>
    </row>
    <row r="28" spans="2:17">
      <c r="B28" s="32"/>
      <c r="C28" s="33"/>
      <c r="D28" s="60"/>
      <c r="E28" s="282"/>
      <c r="F28" s="310"/>
      <c r="G28" s="282"/>
      <c r="H28" s="282"/>
      <c r="I28" s="282"/>
      <c r="J28" s="282"/>
      <c r="K28" s="303"/>
      <c r="L28" s="68"/>
      <c r="M28" s="177"/>
      <c r="N28" s="150"/>
      <c r="O28" s="230"/>
    </row>
    <row r="29" spans="2:17">
      <c r="B29" s="17" t="s">
        <v>46</v>
      </c>
      <c r="C29" s="33"/>
      <c r="D29" s="60"/>
      <c r="E29" s="283"/>
      <c r="F29" s="298"/>
      <c r="G29" s="283"/>
      <c r="H29" s="283"/>
      <c r="I29" s="283"/>
      <c r="J29" s="283"/>
      <c r="K29" s="304"/>
      <c r="L29" s="56"/>
      <c r="M29" s="177"/>
      <c r="N29" s="150"/>
      <c r="O29" s="85"/>
    </row>
    <row r="30" spans="2:17">
      <c r="B30" s="24" t="s">
        <v>117</v>
      </c>
      <c r="C30" s="28" t="s">
        <v>47</v>
      </c>
      <c r="D30" s="61">
        <f>SUM(E30:K30)/SUM($E$30:$K$42)</f>
        <v>0.10431661341693339</v>
      </c>
      <c r="E30" s="284">
        <f>((E11-E52)*'Application split'!F10)-SUM(E31:E42)</f>
        <v>2534.1211428571423</v>
      </c>
      <c r="F30" s="299"/>
      <c r="G30" s="280"/>
      <c r="H30" s="280"/>
      <c r="I30" s="280"/>
      <c r="J30" s="280"/>
      <c r="K30" s="301"/>
      <c r="L30" s="69"/>
      <c r="M30" s="177">
        <v>0.9</v>
      </c>
      <c r="N30" s="150">
        <f t="shared" ref="N30:N36" si="4">M30*SUM(E30:K30)</f>
        <v>2280.709028571428</v>
      </c>
      <c r="O30" s="85">
        <f>N30/SUM($N$30:$N$42)</f>
        <v>0.10058339815906933</v>
      </c>
    </row>
    <row r="31" spans="2:17">
      <c r="B31" s="227">
        <f>SUM(E30:K42)</f>
        <v>24292.594054302248</v>
      </c>
      <c r="C31" s="28" t="s">
        <v>48</v>
      </c>
      <c r="D31" s="61">
        <f t="shared" ref="D31:D42" si="5">SUM(E31:K31)/SUM($E$30:$K$42)</f>
        <v>3.3989194914302873E-3</v>
      </c>
      <c r="E31" s="285"/>
      <c r="F31" s="299"/>
      <c r="G31" s="280">
        <f>'Application split'!F10*G11</f>
        <v>82.568571428571417</v>
      </c>
      <c r="H31" s="280"/>
      <c r="I31" s="280"/>
      <c r="J31" s="280"/>
      <c r="K31" s="301"/>
      <c r="L31" s="69"/>
      <c r="M31" s="177">
        <v>1</v>
      </c>
      <c r="N31" s="150">
        <f t="shared" si="4"/>
        <v>82.568571428571417</v>
      </c>
      <c r="O31" s="85">
        <f t="shared" ref="O31:O42" si="6">N31/SUM($N$30:$N$42)</f>
        <v>3.6414235184694258E-3</v>
      </c>
    </row>
    <row r="32" spans="2:17" ht="17" thickBot="1">
      <c r="B32" s="17"/>
      <c r="C32" s="28" t="s">
        <v>49</v>
      </c>
      <c r="D32" s="61">
        <f t="shared" si="5"/>
        <v>0</v>
      </c>
      <c r="E32" s="285"/>
      <c r="F32" s="299">
        <f>'Heat pumps'!L21</f>
        <v>0</v>
      </c>
      <c r="G32" s="280"/>
      <c r="H32" s="280"/>
      <c r="I32" s="280"/>
      <c r="J32" s="280"/>
      <c r="K32" s="301"/>
      <c r="L32" s="69"/>
      <c r="M32" s="177">
        <v>3.0000000000000031</v>
      </c>
      <c r="N32" s="150">
        <f t="shared" si="4"/>
        <v>0</v>
      </c>
      <c r="O32" s="85">
        <f t="shared" si="6"/>
        <v>0</v>
      </c>
    </row>
    <row r="33" spans="2:17" ht="17" thickBot="1">
      <c r="B33" s="17"/>
      <c r="C33" s="28" t="s">
        <v>50</v>
      </c>
      <c r="D33" s="61">
        <f t="shared" si="5"/>
        <v>0</v>
      </c>
      <c r="E33" s="296">
        <v>0</v>
      </c>
      <c r="F33" s="299"/>
      <c r="G33" s="280"/>
      <c r="H33" s="280"/>
      <c r="I33" s="280"/>
      <c r="J33" s="280"/>
      <c r="K33" s="301"/>
      <c r="L33" s="69"/>
      <c r="M33" s="177">
        <v>0.88</v>
      </c>
      <c r="N33" s="150">
        <f t="shared" si="4"/>
        <v>0</v>
      </c>
      <c r="O33" s="85">
        <f t="shared" si="6"/>
        <v>0</v>
      </c>
    </row>
    <row r="34" spans="2:17">
      <c r="B34" s="17"/>
      <c r="C34" s="28" t="s">
        <v>51</v>
      </c>
      <c r="D34" s="61">
        <f t="shared" si="5"/>
        <v>0.46309934686624515</v>
      </c>
      <c r="E34" s="285"/>
      <c r="F34" s="299"/>
      <c r="G34" s="280"/>
      <c r="H34" s="280"/>
      <c r="I34" s="280"/>
      <c r="J34" s="280"/>
      <c r="K34" s="301">
        <f>'Application split'!G10*K11</f>
        <v>11249.884440234202</v>
      </c>
      <c r="L34" s="69"/>
      <c r="M34" s="177">
        <v>1</v>
      </c>
      <c r="N34" s="150">
        <f t="shared" si="4"/>
        <v>11249.884440234202</v>
      </c>
      <c r="O34" s="85">
        <f t="shared" si="6"/>
        <v>0.49614027555473295</v>
      </c>
    </row>
    <row r="35" spans="2:17">
      <c r="B35" s="17"/>
      <c r="C35" s="28" t="s">
        <v>52</v>
      </c>
      <c r="D35" s="61">
        <f t="shared" si="5"/>
        <v>1.2901697242817702E-2</v>
      </c>
      <c r="E35" s="285"/>
      <c r="F35" s="299">
        <f>'Heat pumps'!L19</f>
        <v>313.41569373128101</v>
      </c>
      <c r="G35" s="280"/>
      <c r="H35" s="280"/>
      <c r="I35" s="280"/>
      <c r="J35" s="280"/>
      <c r="K35" s="301"/>
      <c r="L35" s="69"/>
      <c r="M35" s="177">
        <v>3.0000000000000031</v>
      </c>
      <c r="N35" s="150">
        <f t="shared" si="4"/>
        <v>940.247081193844</v>
      </c>
      <c r="O35" s="85">
        <f t="shared" si="6"/>
        <v>4.1466598917645023E-2</v>
      </c>
    </row>
    <row r="36" spans="2:17">
      <c r="B36" s="17"/>
      <c r="C36" s="28" t="s">
        <v>53</v>
      </c>
      <c r="D36" s="61">
        <f t="shared" si="5"/>
        <v>0.27735602754704702</v>
      </c>
      <c r="E36" s="285"/>
      <c r="F36" s="299"/>
      <c r="G36" s="280"/>
      <c r="H36" s="280"/>
      <c r="I36" s="280"/>
      <c r="J36" s="280">
        <f>J11*'Application split'!F10</f>
        <v>6737.6973857142848</v>
      </c>
      <c r="K36" s="301"/>
      <c r="L36" s="69"/>
      <c r="M36" s="177">
        <v>0.82</v>
      </c>
      <c r="N36" s="150">
        <f t="shared" si="4"/>
        <v>5524.9118562857129</v>
      </c>
      <c r="O36" s="85">
        <f t="shared" si="6"/>
        <v>0.2436586175934212</v>
      </c>
    </row>
    <row r="37" spans="2:17" ht="17" thickBot="1">
      <c r="B37" s="17"/>
      <c r="C37" s="28" t="s">
        <v>54</v>
      </c>
      <c r="D37" s="61">
        <f t="shared" si="5"/>
        <v>5.0279153299982969E-3</v>
      </c>
      <c r="E37" s="285"/>
      <c r="F37" s="299">
        <f>Electricity!G31*'Application split'!G10</f>
        <v>122.14110605105175</v>
      </c>
      <c r="G37" s="280"/>
      <c r="H37" s="280"/>
      <c r="I37" s="280"/>
      <c r="J37" s="280"/>
      <c r="K37" s="301"/>
      <c r="L37" s="69"/>
      <c r="M37" s="177">
        <v>0.95</v>
      </c>
      <c r="N37" s="150">
        <f>M37*SUM(E37:K37)</f>
        <v>116.03405074849915</v>
      </c>
      <c r="O37" s="85">
        <f t="shared" si="6"/>
        <v>5.1173117571058141E-3</v>
      </c>
    </row>
    <row r="38" spans="2:17" ht="17" thickBot="1">
      <c r="B38" s="17"/>
      <c r="C38" s="28" t="s">
        <v>55</v>
      </c>
      <c r="D38" s="61">
        <f t="shared" si="5"/>
        <v>6.5040398586835149E-2</v>
      </c>
      <c r="E38" s="295">
        <v>1580</v>
      </c>
      <c r="F38" s="299"/>
      <c r="G38" s="280"/>
      <c r="H38" s="280"/>
      <c r="I38" s="280"/>
      <c r="J38" s="280"/>
      <c r="K38" s="301"/>
      <c r="L38" s="69"/>
      <c r="M38" s="177">
        <v>0.67</v>
      </c>
      <c r="N38" s="150">
        <f>M38*SUM(E38:K38)</f>
        <v>1058.6000000000001</v>
      </c>
      <c r="O38" s="85">
        <f t="shared" si="6"/>
        <v>4.6686176955192477E-2</v>
      </c>
      <c r="P38" s="180"/>
    </row>
    <row r="39" spans="2:17">
      <c r="B39" s="17"/>
      <c r="C39" s="28" t="s">
        <v>56</v>
      </c>
      <c r="D39" s="61">
        <f t="shared" si="5"/>
        <v>6.8859081518692938E-2</v>
      </c>
      <c r="E39" s="285"/>
      <c r="F39" s="299"/>
      <c r="G39" s="280"/>
      <c r="H39" s="280"/>
      <c r="I39" s="280">
        <f>'Application split'!K32</f>
        <v>1672.765714285714</v>
      </c>
      <c r="J39" s="280"/>
      <c r="K39" s="301"/>
      <c r="L39" s="69"/>
      <c r="M39" s="177">
        <v>0.85</v>
      </c>
      <c r="N39" s="150">
        <f>M39*SUM(E39:K39)</f>
        <v>1421.850857142857</v>
      </c>
      <c r="O39" s="85">
        <f t="shared" si="6"/>
        <v>6.2706197544363781E-2</v>
      </c>
    </row>
    <row r="40" spans="2:17">
      <c r="B40" s="17"/>
      <c r="C40" s="28" t="s">
        <v>57</v>
      </c>
      <c r="D40" s="61">
        <f t="shared" si="5"/>
        <v>0</v>
      </c>
      <c r="E40" s="285"/>
      <c r="F40" s="299"/>
      <c r="G40" s="280"/>
      <c r="H40" s="280">
        <v>0</v>
      </c>
      <c r="I40" s="280"/>
      <c r="J40" s="280"/>
      <c r="K40" s="301"/>
      <c r="L40" s="69"/>
      <c r="M40" s="177">
        <v>0.8</v>
      </c>
      <c r="N40" s="150">
        <f>M40*SUM(E40:K40)</f>
        <v>0</v>
      </c>
      <c r="O40" s="85">
        <f t="shared" si="6"/>
        <v>0</v>
      </c>
    </row>
    <row r="41" spans="2:17">
      <c r="B41" s="17"/>
      <c r="C41" s="28" t="s">
        <v>58</v>
      </c>
      <c r="D41" s="61">
        <f t="shared" si="5"/>
        <v>0</v>
      </c>
      <c r="E41" s="285"/>
      <c r="F41" s="299">
        <v>0</v>
      </c>
      <c r="G41" s="280"/>
      <c r="H41" s="280"/>
      <c r="I41" s="280"/>
      <c r="J41" s="280"/>
      <c r="K41" s="301"/>
      <c r="L41" s="69"/>
      <c r="M41" s="177">
        <v>0.2</v>
      </c>
      <c r="N41" s="150">
        <f>Q42*SUM(E41)+F41*P42</f>
        <v>0</v>
      </c>
      <c r="O41" s="85">
        <f t="shared" si="6"/>
        <v>0</v>
      </c>
    </row>
    <row r="42" spans="2:17">
      <c r="B42" s="17"/>
      <c r="C42" s="183" t="s">
        <v>156</v>
      </c>
      <c r="D42" s="61">
        <f t="shared" si="5"/>
        <v>0</v>
      </c>
      <c r="E42" s="286">
        <f>'Heat pumps'!M18</f>
        <v>0</v>
      </c>
      <c r="F42" s="311">
        <f>'Heat pumps'!L18</f>
        <v>0</v>
      </c>
      <c r="G42" s="289"/>
      <c r="H42" s="289"/>
      <c r="I42" s="289"/>
      <c r="J42" s="289"/>
      <c r="K42" s="305"/>
      <c r="L42" s="69"/>
      <c r="M42" s="177">
        <f>1/'Heat pumps'!H4</f>
        <v>1.687500000000002</v>
      </c>
      <c r="N42" s="150">
        <f>Q42*SUM(E42)+F42*P42</f>
        <v>0</v>
      </c>
      <c r="O42" s="85">
        <f t="shared" si="6"/>
        <v>0</v>
      </c>
      <c r="P42" s="3">
        <f>('Heat pumps'!G5+'Heat pumps'!G4)/'Heat pumps'!G5</f>
        <v>3.0000000000000044</v>
      </c>
      <c r="Q42" s="3">
        <v>0.9</v>
      </c>
    </row>
    <row r="43" spans="2:17">
      <c r="B43" s="17"/>
      <c r="D43" s="59">
        <f>SUM(D41:D42)</f>
        <v>0</v>
      </c>
      <c r="E43" s="281"/>
      <c r="F43" s="312"/>
      <c r="G43" s="290"/>
      <c r="H43" s="290"/>
      <c r="I43" s="290"/>
      <c r="J43" s="290"/>
      <c r="K43" s="306"/>
      <c r="L43" s="56"/>
      <c r="M43" s="10"/>
      <c r="N43" s="150"/>
      <c r="O43" s="85"/>
      <c r="P43" s="3">
        <f>F42*P42</f>
        <v>0</v>
      </c>
      <c r="Q43" s="3">
        <f>Q42*SUM(E42)</f>
        <v>0</v>
      </c>
    </row>
    <row r="44" spans="2:17">
      <c r="B44" s="32"/>
      <c r="C44" s="30" t="s">
        <v>229</v>
      </c>
      <c r="D44" s="60"/>
      <c r="E44" s="283">
        <f>'Application split'!G60</f>
        <v>4114.1211428571423</v>
      </c>
      <c r="F44" s="298"/>
      <c r="G44" s="283"/>
      <c r="H44" s="283"/>
      <c r="I44" s="283"/>
      <c r="J44" s="283"/>
      <c r="K44" s="304"/>
      <c r="L44" s="56"/>
      <c r="M44" s="10"/>
      <c r="N44" s="2"/>
      <c r="O44" s="86"/>
    </row>
    <row r="45" spans="2:17">
      <c r="B45" s="17" t="s">
        <v>59</v>
      </c>
      <c r="C45" s="33"/>
      <c r="D45" s="60"/>
      <c r="E45" s="287"/>
      <c r="F45" s="298"/>
      <c r="G45" s="283"/>
      <c r="H45" s="283"/>
      <c r="I45" s="283"/>
      <c r="J45" s="283"/>
      <c r="K45" s="304"/>
      <c r="L45" s="56"/>
      <c r="M45" s="10"/>
      <c r="N45" s="2"/>
      <c r="O45" s="86"/>
    </row>
    <row r="46" spans="2:17">
      <c r="B46" s="24" t="s">
        <v>117</v>
      </c>
      <c r="C46" s="28" t="s">
        <v>60</v>
      </c>
      <c r="D46" s="61">
        <f>F46/SUM($E$46:$K$48)</f>
        <v>0</v>
      </c>
      <c r="E46" s="285"/>
      <c r="F46" s="299">
        <v>0</v>
      </c>
      <c r="G46" s="280"/>
      <c r="H46" s="280"/>
      <c r="I46" s="280"/>
      <c r="J46" s="280"/>
      <c r="K46" s="301"/>
      <c r="L46" s="69"/>
      <c r="M46" s="10">
        <v>4.6000000000000023</v>
      </c>
      <c r="N46" s="150">
        <f>M46*SUM(E46:K46)</f>
        <v>0</v>
      </c>
      <c r="O46" s="85">
        <f>N46/SUM($N$46:$N$48)</f>
        <v>0</v>
      </c>
    </row>
    <row r="47" spans="2:17">
      <c r="B47" s="146">
        <f>SUM(E46:K48)</f>
        <v>187.2</v>
      </c>
      <c r="C47" s="28" t="s">
        <v>61</v>
      </c>
      <c r="D47" s="61">
        <f>F47/SUM($E$46:$K$48)</f>
        <v>0</v>
      </c>
      <c r="E47" s="285"/>
      <c r="F47" s="299">
        <v>0</v>
      </c>
      <c r="G47" s="280"/>
      <c r="H47" s="280"/>
      <c r="I47" s="280"/>
      <c r="J47" s="280"/>
      <c r="K47" s="301"/>
      <c r="L47" s="69"/>
      <c r="M47" s="10">
        <v>4.5000000000000044</v>
      </c>
      <c r="N47" s="150">
        <f>M47*SUM(E47:K47)</f>
        <v>0</v>
      </c>
      <c r="O47" s="85">
        <f>N47/SUM($N$46:$N$48)</f>
        <v>0</v>
      </c>
    </row>
    <row r="48" spans="2:17">
      <c r="B48" s="17"/>
      <c r="C48" s="29" t="s">
        <v>62</v>
      </c>
      <c r="D48" s="63">
        <f>F48/SUM($E$46:$K$48)</f>
        <v>1</v>
      </c>
      <c r="E48" s="285"/>
      <c r="F48" s="299">
        <f>Cooling!B6</f>
        <v>187.2</v>
      </c>
      <c r="G48" s="289"/>
      <c r="H48" s="289"/>
      <c r="I48" s="289"/>
      <c r="J48" s="289"/>
      <c r="K48" s="305"/>
      <c r="L48" s="69"/>
      <c r="M48" s="10">
        <v>4</v>
      </c>
      <c r="N48" s="150">
        <f>M48*SUM(E48:K48)</f>
        <v>748.8</v>
      </c>
      <c r="O48" s="85">
        <f>N48/SUM($N$46:$N$48)</f>
        <v>1</v>
      </c>
    </row>
    <row r="49" spans="2:16">
      <c r="B49" s="17"/>
      <c r="C49" s="30"/>
      <c r="D49" s="59"/>
      <c r="E49" s="288"/>
      <c r="F49" s="299"/>
      <c r="G49" s="290"/>
      <c r="H49" s="290"/>
      <c r="I49" s="290"/>
      <c r="J49" s="290"/>
      <c r="K49" s="306"/>
      <c r="L49" s="56"/>
      <c r="M49" s="10"/>
      <c r="N49" s="150"/>
      <c r="O49" s="86"/>
    </row>
    <row r="50" spans="2:16">
      <c r="B50" s="32"/>
      <c r="C50" s="33"/>
      <c r="D50" s="60"/>
      <c r="E50" s="283"/>
      <c r="F50" s="299"/>
      <c r="G50" s="283"/>
      <c r="H50" s="283"/>
      <c r="I50" s="283"/>
      <c r="J50" s="283"/>
      <c r="K50" s="304"/>
      <c r="L50" s="56"/>
      <c r="M50" s="10"/>
      <c r="N50" s="150"/>
      <c r="O50" s="86"/>
    </row>
    <row r="51" spans="2:16">
      <c r="B51" s="17" t="s">
        <v>63</v>
      </c>
      <c r="C51" s="33"/>
      <c r="D51" s="60"/>
      <c r="E51" s="287"/>
      <c r="F51" s="299"/>
      <c r="G51" s="283"/>
      <c r="H51" s="283"/>
      <c r="I51" s="283"/>
      <c r="J51" s="283"/>
      <c r="K51" s="304"/>
      <c r="L51" s="56"/>
      <c r="M51" s="10"/>
      <c r="N51" s="150"/>
      <c r="O51" s="86"/>
    </row>
    <row r="52" spans="2:16">
      <c r="B52" s="24" t="s">
        <v>117</v>
      </c>
      <c r="C52" s="28" t="s">
        <v>64</v>
      </c>
      <c r="D52" s="64">
        <f>E52/SUM($E$52:$K$56)</f>
        <v>0</v>
      </c>
      <c r="E52" s="285">
        <f>Cooking!I16</f>
        <v>0</v>
      </c>
      <c r="F52" s="299"/>
      <c r="G52" s="280"/>
      <c r="H52" s="280"/>
      <c r="I52" s="280"/>
      <c r="J52" s="280"/>
      <c r="K52" s="301"/>
      <c r="L52" s="69"/>
      <c r="M52" s="10">
        <v>0.4</v>
      </c>
      <c r="N52" s="150">
        <f>M52*SUM(E52:K52)</f>
        <v>0</v>
      </c>
      <c r="O52" s="85">
        <f>N52/SUM($N$52:$N$56)</f>
        <v>0</v>
      </c>
    </row>
    <row r="53" spans="2:16">
      <c r="B53" s="146">
        <f>SUM(E52:K56)</f>
        <v>3768.1199999999994</v>
      </c>
      <c r="C53" s="28" t="s">
        <v>65</v>
      </c>
      <c r="D53" s="65">
        <f>F53/SUM($E$52:$K$56)</f>
        <v>9.7328244274809156E-2</v>
      </c>
      <c r="E53" s="285"/>
      <c r="F53" s="299">
        <f>Cooking!H13</f>
        <v>366.74450381679384</v>
      </c>
      <c r="G53" s="280"/>
      <c r="H53" s="280"/>
      <c r="I53" s="280"/>
      <c r="J53" s="280"/>
      <c r="K53" s="301"/>
      <c r="L53" s="69"/>
      <c r="M53" s="10">
        <v>0.55000000000000004</v>
      </c>
      <c r="N53" s="150">
        <f>M53*SUM(E53:K53)</f>
        <v>201.70947709923664</v>
      </c>
      <c r="O53" s="85">
        <f>N53/SUM($N$52:$N$56)</f>
        <v>8.3333333333333356E-2</v>
      </c>
    </row>
    <row r="54" spans="2:16">
      <c r="B54" s="17"/>
      <c r="C54" s="28" t="s">
        <v>66</v>
      </c>
      <c r="D54" s="65">
        <f>F54/SUM($E$52:$K$56)</f>
        <v>0.71374045801526709</v>
      </c>
      <c r="E54" s="285"/>
      <c r="F54" s="299">
        <f>Cooking!H14</f>
        <v>2689.459694656488</v>
      </c>
      <c r="G54" s="280"/>
      <c r="H54" s="280"/>
      <c r="I54" s="280"/>
      <c r="J54" s="280"/>
      <c r="K54" s="301"/>
      <c r="L54" s="69"/>
      <c r="M54" s="10">
        <v>0.6</v>
      </c>
      <c r="N54" s="150">
        <f>M54*SUM(E54:K54)</f>
        <v>1613.6758167938926</v>
      </c>
      <c r="O54" s="85">
        <f>N54/SUM($N$52:$N$56)</f>
        <v>0.66666666666666663</v>
      </c>
    </row>
    <row r="55" spans="2:16">
      <c r="B55" s="17"/>
      <c r="C55" s="28" t="s">
        <v>67</v>
      </c>
      <c r="D55" s="65">
        <f>F55/SUM($E$52:$K$56)</f>
        <v>0.18893129770992367</v>
      </c>
      <c r="E55" s="285"/>
      <c r="F55" s="299">
        <f>Cooking!H15</f>
        <v>711.91580152671747</v>
      </c>
      <c r="G55" s="280"/>
      <c r="H55" s="280"/>
      <c r="I55" s="280"/>
      <c r="J55" s="280"/>
      <c r="K55" s="301"/>
      <c r="L55" s="69"/>
      <c r="M55" s="10">
        <v>0.85</v>
      </c>
      <c r="N55" s="150">
        <f>M55*SUM(E55:K55)</f>
        <v>605.12843129770988</v>
      </c>
      <c r="O55" s="85">
        <f>N55/SUM($N$52:$N$56)</f>
        <v>0.25000000000000006</v>
      </c>
    </row>
    <row r="56" spans="2:16">
      <c r="B56" s="17"/>
      <c r="C56" s="29" t="s">
        <v>68</v>
      </c>
      <c r="D56" s="63">
        <f>H56/SUM($E$52:$K$56)</f>
        <v>0</v>
      </c>
      <c r="E56" s="285"/>
      <c r="F56" s="299"/>
      <c r="G56" s="289"/>
      <c r="H56" s="289"/>
      <c r="I56" s="289"/>
      <c r="J56" s="291">
        <v>0</v>
      </c>
      <c r="K56" s="305"/>
      <c r="L56" s="69"/>
      <c r="M56" s="10">
        <v>0.3</v>
      </c>
      <c r="N56" s="150">
        <f>M56*SUM(E56:K56)</f>
        <v>0</v>
      </c>
      <c r="O56" s="85">
        <f>N56/SUM($N$52:$N$56)</f>
        <v>0</v>
      </c>
    </row>
    <row r="57" spans="2:16">
      <c r="B57" s="17"/>
      <c r="C57" s="30" t="s">
        <v>229</v>
      </c>
      <c r="D57" s="59"/>
      <c r="E57" s="288">
        <f>Cooking!B6</f>
        <v>0</v>
      </c>
      <c r="F57" s="299">
        <f>Cooking!B7</f>
        <v>3768.12</v>
      </c>
      <c r="G57" s="292"/>
      <c r="H57" s="292"/>
      <c r="I57" s="292"/>
      <c r="J57" s="292"/>
      <c r="K57" s="307"/>
      <c r="L57" s="56"/>
      <c r="M57" s="10"/>
      <c r="N57" s="150"/>
      <c r="O57" s="86"/>
    </row>
    <row r="58" spans="2:16">
      <c r="B58" s="32"/>
      <c r="C58" s="33"/>
      <c r="D58" s="60"/>
      <c r="E58" s="273"/>
      <c r="F58" s="299"/>
      <c r="G58" s="283"/>
      <c r="H58" s="283"/>
      <c r="I58" s="283"/>
      <c r="J58" s="283"/>
      <c r="K58" s="304"/>
      <c r="L58" s="56"/>
      <c r="M58" s="10"/>
      <c r="N58" s="150"/>
      <c r="O58" s="86"/>
    </row>
    <row r="59" spans="2:16">
      <c r="B59" s="17" t="s">
        <v>69</v>
      </c>
      <c r="C59" s="33"/>
      <c r="D59" s="60"/>
      <c r="E59" s="276"/>
      <c r="F59" s="299"/>
      <c r="G59" s="283"/>
      <c r="H59" s="283"/>
      <c r="I59" s="283"/>
      <c r="J59" s="283"/>
      <c r="K59" s="283"/>
      <c r="L59" s="70"/>
      <c r="M59" s="10"/>
      <c r="N59" s="150"/>
      <c r="O59" s="86"/>
    </row>
    <row r="60" spans="2:16">
      <c r="B60" s="24" t="s">
        <v>117</v>
      </c>
      <c r="C60" s="28" t="s">
        <v>70</v>
      </c>
      <c r="D60" s="61">
        <f>F60/SUM($E$60:$K$62)</f>
        <v>0.83333333333333337</v>
      </c>
      <c r="E60" s="274"/>
      <c r="F60" s="299">
        <f>$B$61*N60/SUM($N$60:$N$62)</f>
        <v>9769.2000000000007</v>
      </c>
      <c r="G60" s="280"/>
      <c r="H60" s="280"/>
      <c r="I60" s="280"/>
      <c r="J60" s="280"/>
      <c r="K60" s="280"/>
      <c r="L60" s="71"/>
      <c r="M60" s="10">
        <v>0.05</v>
      </c>
      <c r="N60" s="231">
        <f>O60/M60</f>
        <v>9.8999999999999986</v>
      </c>
      <c r="O60" s="85">
        <v>0.495</v>
      </c>
      <c r="P60" s="23" t="s">
        <v>125</v>
      </c>
    </row>
    <row r="61" spans="2:16">
      <c r="B61" s="146">
        <f>Lighting!G24</f>
        <v>11723.04</v>
      </c>
      <c r="C61" s="28" t="s">
        <v>71</v>
      </c>
      <c r="D61" s="61">
        <f>F61/SUM($E$60:$K$62)</f>
        <v>0.16329966329966331</v>
      </c>
      <c r="E61" s="274"/>
      <c r="F61" s="299">
        <f>$B$61*N61/SUM($N$60:$N$62)</f>
        <v>1914.3684848484852</v>
      </c>
      <c r="G61" s="280"/>
      <c r="H61" s="280"/>
      <c r="I61" s="280"/>
      <c r="J61" s="280"/>
      <c r="K61" s="280"/>
      <c r="L61" s="71"/>
      <c r="M61" s="10">
        <v>0.25</v>
      </c>
      <c r="N61" s="231">
        <f>O61/M61</f>
        <v>1.94</v>
      </c>
      <c r="O61" s="85">
        <v>0.48499999999999999</v>
      </c>
      <c r="P61" s="147" t="s">
        <v>126</v>
      </c>
    </row>
    <row r="62" spans="2:16">
      <c r="B62" s="17"/>
      <c r="C62" s="29" t="s">
        <v>72</v>
      </c>
      <c r="D62" s="63">
        <f>F62/SUM($E$60:$K$62)</f>
        <v>3.3670033670033677E-3</v>
      </c>
      <c r="E62" s="275"/>
      <c r="F62" s="299">
        <f>$B$61*N62/SUM($N$60:$N$62)</f>
        <v>39.471515151515163</v>
      </c>
      <c r="G62" s="289"/>
      <c r="H62" s="289"/>
      <c r="I62" s="289"/>
      <c r="J62" s="289"/>
      <c r="K62" s="289"/>
      <c r="L62" s="71"/>
      <c r="M62" s="10">
        <v>0.5</v>
      </c>
      <c r="N62" s="231">
        <f>O62/M62</f>
        <v>0.04</v>
      </c>
      <c r="O62" s="85">
        <v>0.02</v>
      </c>
    </row>
    <row r="63" spans="2:16">
      <c r="B63" s="17"/>
      <c r="C63" s="31"/>
      <c r="D63" s="59"/>
      <c r="E63" s="277"/>
      <c r="F63" s="299"/>
      <c r="G63" s="293"/>
      <c r="H63" s="293"/>
      <c r="I63" s="293"/>
      <c r="J63" s="293"/>
      <c r="K63" s="293"/>
      <c r="L63" s="72"/>
      <c r="M63" s="10"/>
      <c r="N63" s="2"/>
      <c r="O63" s="11"/>
    </row>
    <row r="64" spans="2:16">
      <c r="B64" s="32"/>
      <c r="C64" s="27"/>
      <c r="D64" s="60"/>
      <c r="E64" s="278"/>
      <c r="F64" s="299"/>
      <c r="G64" s="294"/>
      <c r="H64" s="294"/>
      <c r="I64" s="294"/>
      <c r="J64" s="294"/>
      <c r="K64" s="294"/>
      <c r="L64" s="72"/>
      <c r="M64" s="10"/>
      <c r="N64" s="2"/>
      <c r="O64" s="11"/>
    </row>
    <row r="65" spans="2:15">
      <c r="B65" s="17" t="s">
        <v>14</v>
      </c>
      <c r="C65" s="27"/>
      <c r="D65" s="60"/>
      <c r="E65" s="278"/>
      <c r="F65" s="299"/>
      <c r="G65" s="294"/>
      <c r="H65" s="294"/>
      <c r="I65" s="294"/>
      <c r="J65" s="294"/>
      <c r="K65" s="294"/>
      <c r="L65" s="72"/>
      <c r="M65" s="10"/>
      <c r="N65" s="2"/>
      <c r="O65" s="11"/>
    </row>
    <row r="66" spans="2:15">
      <c r="B66" s="24" t="s">
        <v>117</v>
      </c>
      <c r="C66" s="37" t="s">
        <v>15</v>
      </c>
      <c r="D66" s="61">
        <f>F66/SUM($E$66:$K$73)</f>
        <v>8.0744809725312186E-2</v>
      </c>
      <c r="E66" s="274"/>
      <c r="F66" s="299">
        <f>Electricity!G8</f>
        <v>1632.0527999999999</v>
      </c>
      <c r="G66" s="291"/>
      <c r="H66" s="291"/>
      <c r="I66" s="291"/>
      <c r="J66" s="291"/>
      <c r="K66" s="279"/>
      <c r="L66" s="71"/>
      <c r="M66" s="10"/>
      <c r="N66" s="83"/>
      <c r="O66" s="11"/>
    </row>
    <row r="67" spans="2:15">
      <c r="B67" s="146">
        <f>SUM(E66:K73)</f>
        <v>20212.479360000001</v>
      </c>
      <c r="C67" s="37" t="s">
        <v>16</v>
      </c>
      <c r="D67" s="61">
        <f t="shared" ref="D67:D73" si="7">F67/SUM($E$66:$K$73)</f>
        <v>0.19062174864231995</v>
      </c>
      <c r="E67" s="274"/>
      <c r="F67" s="299">
        <f>Electricity!G11+Electricity!G12</f>
        <v>3852.9381600000002</v>
      </c>
      <c r="G67" s="291"/>
      <c r="H67" s="291"/>
      <c r="I67" s="291"/>
      <c r="J67" s="291"/>
      <c r="K67" s="280"/>
      <c r="L67" s="71"/>
      <c r="M67" s="10"/>
      <c r="N67" s="83"/>
      <c r="O67" s="11"/>
    </row>
    <row r="68" spans="2:15">
      <c r="B68" s="21"/>
      <c r="C68" s="37" t="s">
        <v>17</v>
      </c>
      <c r="D68" s="61">
        <f t="shared" si="7"/>
        <v>7.8290840614617205E-2</v>
      </c>
      <c r="E68" s="274"/>
      <c r="F68" s="299">
        <f>Electricity!G9</f>
        <v>1582.452</v>
      </c>
      <c r="G68" s="291"/>
      <c r="H68" s="291"/>
      <c r="I68" s="291"/>
      <c r="J68" s="291"/>
      <c r="K68" s="280"/>
      <c r="L68" s="71"/>
      <c r="M68" s="10"/>
      <c r="N68" s="83"/>
      <c r="O68" s="11"/>
    </row>
    <row r="69" spans="2:15">
      <c r="B69" s="21"/>
      <c r="C69" s="37" t="s">
        <v>18</v>
      </c>
      <c r="D69" s="61">
        <f t="shared" si="7"/>
        <v>9.6957249286215227E-2</v>
      </c>
      <c r="E69" s="274"/>
      <c r="F69" s="299">
        <f>Electricity!G10</f>
        <v>1959.7464</v>
      </c>
      <c r="G69" s="291"/>
      <c r="H69" s="291"/>
      <c r="I69" s="291"/>
      <c r="J69" s="291"/>
      <c r="K69" s="280"/>
      <c r="L69" s="71"/>
      <c r="M69" s="10"/>
      <c r="N69" s="83"/>
      <c r="O69" s="11"/>
    </row>
    <row r="70" spans="2:15">
      <c r="B70" s="21"/>
      <c r="C70" s="37" t="s">
        <v>19</v>
      </c>
      <c r="D70" s="61">
        <f t="shared" si="7"/>
        <v>0.21976720029659932</v>
      </c>
      <c r="E70" s="274"/>
      <c r="F70" s="299">
        <f>Electricity!G13</f>
        <v>4442.04</v>
      </c>
      <c r="G70" s="291"/>
      <c r="H70" s="291"/>
      <c r="I70" s="291"/>
      <c r="J70" s="291"/>
      <c r="K70" s="280"/>
      <c r="L70" s="71"/>
      <c r="M70" s="10"/>
      <c r="N70" s="83"/>
      <c r="O70" s="11"/>
    </row>
    <row r="71" spans="2:15">
      <c r="B71" s="21"/>
      <c r="C71" s="37" t="s">
        <v>20</v>
      </c>
      <c r="D71" s="61">
        <f t="shared" si="7"/>
        <v>0.13344726057397444</v>
      </c>
      <c r="E71" s="274"/>
      <c r="F71" s="299">
        <f>Electricity!G15</f>
        <v>2697.3</v>
      </c>
      <c r="G71" s="291"/>
      <c r="H71" s="291"/>
      <c r="I71" s="291"/>
      <c r="J71" s="291"/>
      <c r="K71" s="280"/>
      <c r="L71" s="71"/>
      <c r="M71" s="10"/>
      <c r="N71" s="83"/>
      <c r="O71" s="11"/>
    </row>
    <row r="72" spans="2:15">
      <c r="B72" s="21"/>
      <c r="C72" s="37" t="s">
        <v>21</v>
      </c>
      <c r="D72" s="61">
        <f t="shared" si="7"/>
        <v>6.6723630286987218E-2</v>
      </c>
      <c r="E72" s="274"/>
      <c r="F72" s="299">
        <f>Electricity!G14</f>
        <v>1348.65</v>
      </c>
      <c r="G72" s="291"/>
      <c r="H72" s="291"/>
      <c r="I72" s="291"/>
      <c r="J72" s="291"/>
      <c r="K72" s="280"/>
      <c r="L72" s="71"/>
      <c r="M72" s="10"/>
      <c r="N72" s="83"/>
      <c r="O72" s="11"/>
    </row>
    <row r="73" spans="2:15">
      <c r="B73" s="21"/>
      <c r="C73" s="38" t="s">
        <v>22</v>
      </c>
      <c r="D73" s="62">
        <f t="shared" si="7"/>
        <v>0.13344726057397444</v>
      </c>
      <c r="E73" s="275"/>
      <c r="F73" s="299">
        <f>Electricity!G16</f>
        <v>2697.3</v>
      </c>
      <c r="G73" s="289"/>
      <c r="H73" s="289"/>
      <c r="I73" s="289"/>
      <c r="J73" s="289"/>
      <c r="K73" s="289"/>
      <c r="L73" s="71"/>
      <c r="M73" s="10"/>
      <c r="N73" s="83"/>
      <c r="O73" s="11"/>
    </row>
    <row r="74" spans="2:15">
      <c r="B74" s="17"/>
      <c r="C74" s="31"/>
      <c r="D74" s="31"/>
      <c r="E74" s="31"/>
      <c r="F74" s="31"/>
      <c r="G74" s="31"/>
      <c r="H74" s="31"/>
      <c r="I74" s="31"/>
      <c r="J74" s="31"/>
      <c r="K74" s="31"/>
      <c r="L74" s="17"/>
      <c r="M74" s="10"/>
      <c r="N74" s="2"/>
      <c r="O74" s="11"/>
    </row>
    <row r="75" spans="2:15">
      <c r="B75" s="32"/>
      <c r="C75" s="26"/>
      <c r="D75" s="26"/>
      <c r="E75" s="39"/>
      <c r="F75" s="36"/>
      <c r="G75" s="36"/>
      <c r="H75" s="36"/>
      <c r="I75" s="36"/>
      <c r="J75" s="36"/>
      <c r="K75" s="36"/>
      <c r="L75" s="73"/>
      <c r="M75" s="10"/>
      <c r="N75" s="2"/>
      <c r="O75" s="11"/>
    </row>
    <row r="76" spans="2:15">
      <c r="B76" s="40" t="s">
        <v>23</v>
      </c>
      <c r="C76" s="41"/>
      <c r="D76" s="41"/>
      <c r="E76" s="42" t="s">
        <v>24</v>
      </c>
      <c r="F76" s="34" t="s">
        <v>25</v>
      </c>
      <c r="G76" s="34" t="s">
        <v>26</v>
      </c>
      <c r="H76" s="34" t="s">
        <v>27</v>
      </c>
      <c r="I76" s="34" t="s">
        <v>28</v>
      </c>
      <c r="J76" s="34" t="s">
        <v>29</v>
      </c>
      <c r="K76" s="34" t="s">
        <v>30</v>
      </c>
      <c r="L76" s="74"/>
      <c r="M76" s="10"/>
      <c r="N76" s="2"/>
      <c r="O76" s="11"/>
    </row>
    <row r="77" spans="2:15">
      <c r="B77" s="43"/>
      <c r="C77" s="44" t="s">
        <v>31</v>
      </c>
      <c r="D77" s="45"/>
      <c r="E77" s="46">
        <f>SUM(E15:E74)-E44-E57-E27</f>
        <v>24614.399999999998</v>
      </c>
      <c r="F77" s="47">
        <f>SUM(F15:F74)-F57</f>
        <v>38496.734743313107</v>
      </c>
      <c r="G77" s="47">
        <f>SUM(G15:G74)</f>
        <v>494</v>
      </c>
      <c r="H77" s="47">
        <f t="shared" ref="G77:K77" si="8">SUM(H15:H74)</f>
        <v>0</v>
      </c>
      <c r="I77" s="47">
        <f t="shared" si="8"/>
        <v>10007.999999999998</v>
      </c>
      <c r="J77" s="47">
        <f t="shared" si="8"/>
        <v>40311.01</v>
      </c>
      <c r="K77" s="47">
        <f t="shared" si="8"/>
        <v>67307.000924478139</v>
      </c>
      <c r="L77" s="74"/>
      <c r="M77" s="10"/>
      <c r="N77" s="2"/>
      <c r="O77" s="11"/>
    </row>
    <row r="78" spans="2:15">
      <c r="B78" s="43"/>
      <c r="C78" s="48" t="s">
        <v>32</v>
      </c>
      <c r="D78" s="49"/>
      <c r="E78" s="46">
        <f t="shared" ref="E78:K78" si="9">E11-E77</f>
        <v>0</v>
      </c>
      <c r="F78" s="47">
        <f>F11-F77</f>
        <v>-1859.5547433131069</v>
      </c>
      <c r="G78" s="47">
        <f t="shared" si="9"/>
        <v>0</v>
      </c>
      <c r="H78" s="47">
        <f t="shared" si="9"/>
        <v>0</v>
      </c>
      <c r="I78" s="47">
        <f t="shared" si="9"/>
        <v>0</v>
      </c>
      <c r="J78" s="47">
        <f t="shared" si="9"/>
        <v>0</v>
      </c>
      <c r="K78" s="47">
        <f t="shared" si="9"/>
        <v>89.999075521860505</v>
      </c>
      <c r="L78" s="74"/>
      <c r="M78" s="10"/>
      <c r="N78" s="2"/>
      <c r="O78" s="11"/>
    </row>
    <row r="79" spans="2:15">
      <c r="B79" s="43"/>
      <c r="C79" s="50" t="s">
        <v>33</v>
      </c>
      <c r="D79" s="51"/>
      <c r="E79" s="57">
        <f t="shared" ref="E79:K79" si="10">E78/E11</f>
        <v>0</v>
      </c>
      <c r="F79" s="58">
        <f t="shared" si="10"/>
        <v>-5.0755946372321968E-2</v>
      </c>
      <c r="G79" s="58">
        <f t="shared" si="10"/>
        <v>0</v>
      </c>
      <c r="H79" s="58" t="e">
        <f t="shared" si="10"/>
        <v>#DIV/0!</v>
      </c>
      <c r="I79" s="58">
        <f t="shared" si="10"/>
        <v>0</v>
      </c>
      <c r="J79" s="58">
        <f t="shared" si="10"/>
        <v>0</v>
      </c>
      <c r="K79" s="58">
        <f t="shared" si="10"/>
        <v>1.3353572936756904E-3</v>
      </c>
      <c r="L79" s="75"/>
      <c r="M79" s="10"/>
      <c r="N79" s="2"/>
      <c r="O79" s="11"/>
    </row>
    <row r="80" spans="2:15">
      <c r="B80" s="43"/>
      <c r="C80" s="48"/>
      <c r="D80" s="48"/>
      <c r="E80" s="52"/>
      <c r="F80" s="52"/>
      <c r="G80" s="52"/>
      <c r="H80" s="52"/>
      <c r="I80" s="52"/>
      <c r="J80" s="52"/>
      <c r="K80" s="52"/>
      <c r="L80" s="76"/>
      <c r="M80" s="10"/>
      <c r="N80" s="2"/>
      <c r="O80" s="11"/>
    </row>
    <row r="81" spans="2:15" ht="17" thickBot="1">
      <c r="B81" s="53"/>
      <c r="C81" s="54"/>
      <c r="D81" s="54"/>
      <c r="E81" s="54"/>
      <c r="F81" s="54"/>
      <c r="G81" s="54"/>
      <c r="H81" s="54"/>
      <c r="I81" s="54"/>
      <c r="J81" s="54"/>
      <c r="K81" s="54"/>
      <c r="L81" s="10"/>
      <c r="M81" s="53"/>
      <c r="N81" s="54"/>
      <c r="O81" s="84"/>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6 D61:D62 D46:D48"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8:R90"/>
  <sheetViews>
    <sheetView topLeftCell="B25" workbookViewId="0">
      <selection activeCell="J55" sqref="J55"/>
    </sheetView>
  </sheetViews>
  <sheetFormatPr baseColWidth="10" defaultRowHeight="16"/>
  <cols>
    <col min="5" max="5" width="12.6640625" customWidth="1"/>
    <col min="6" max="6" width="22.5" customWidth="1"/>
    <col min="7" max="7" width="22.6640625" bestFit="1" customWidth="1"/>
    <col min="12" max="12" width="26.83203125" customWidth="1"/>
  </cols>
  <sheetData>
    <row r="8" spans="4:13">
      <c r="D8" s="143" t="s">
        <v>302</v>
      </c>
      <c r="H8" t="s">
        <v>257</v>
      </c>
      <c r="K8" s="143" t="s">
        <v>222</v>
      </c>
      <c r="M8" s="148"/>
    </row>
    <row r="9" spans="4:13">
      <c r="F9" s="143" t="s">
        <v>155</v>
      </c>
      <c r="G9" s="143" t="s">
        <v>261</v>
      </c>
      <c r="J9" t="s">
        <v>233</v>
      </c>
      <c r="K9" s="255">
        <v>51.626502795271499</v>
      </c>
      <c r="L9" s="253">
        <f>K9/SUM($K$9:$K$13)</f>
        <v>0.13122107400210986</v>
      </c>
    </row>
    <row r="10" spans="4:13">
      <c r="D10" t="s">
        <v>109</v>
      </c>
      <c r="E10">
        <v>23.4</v>
      </c>
      <c r="F10" s="325">
        <f>E10/SUM(E10:E11)</f>
        <v>0.16714285714285712</v>
      </c>
      <c r="G10" s="142">
        <f>E10/SUM(E$10:E$12)</f>
        <v>0.16691966170948561</v>
      </c>
      <c r="H10" t="s">
        <v>258</v>
      </c>
      <c r="J10" t="s">
        <v>110</v>
      </c>
      <c r="K10" s="255">
        <v>261.97703878522901</v>
      </c>
      <c r="L10" s="253">
        <f>K10/SUM($K$9:$K$13)</f>
        <v>0.66587714704624046</v>
      </c>
    </row>
    <row r="11" spans="4:13">
      <c r="D11" t="s">
        <v>110</v>
      </c>
      <c r="E11">
        <v>116.6</v>
      </c>
      <c r="F11" s="325">
        <f>E11/SUM(E10:E11)</f>
        <v>0.83285714285714285</v>
      </c>
      <c r="G11" s="142">
        <f>E11/SUM(E$10:E$12)</f>
        <v>0.83174498099683858</v>
      </c>
      <c r="H11" t="s">
        <v>258</v>
      </c>
      <c r="J11" t="s">
        <v>63</v>
      </c>
      <c r="K11" s="255">
        <v>20.2279494195</v>
      </c>
      <c r="L11" s="253">
        <f>K11/SUM($K$9:$K$13)</f>
        <v>5.1414159471794722E-2</v>
      </c>
    </row>
    <row r="12" spans="4:13">
      <c r="D12" t="s">
        <v>108</v>
      </c>
      <c r="E12">
        <f>Cooling!C15/1000</f>
        <v>0.18719999999999998</v>
      </c>
      <c r="G12" s="142">
        <f>E12/SUM(E$10:E$12)</f>
        <v>1.3353572936758847E-3</v>
      </c>
      <c r="J12" t="s">
        <v>69</v>
      </c>
      <c r="K12" s="255">
        <v>9.8000000000000007</v>
      </c>
      <c r="L12" s="253">
        <f>K12/SUM($K$9:$K$13)</f>
        <v>2.4909038102392232E-2</v>
      </c>
    </row>
    <row r="13" spans="4:13">
      <c r="J13" t="s">
        <v>221</v>
      </c>
      <c r="K13" s="255">
        <v>49.8</v>
      </c>
      <c r="L13" s="253">
        <f>K13/SUM($K$9:$K$13)</f>
        <v>0.12657858137746256</v>
      </c>
    </row>
    <row r="15" spans="4:13">
      <c r="J15" s="143" t="s">
        <v>215</v>
      </c>
    </row>
    <row r="16" spans="4:13">
      <c r="L16" t="s">
        <v>155</v>
      </c>
      <c r="M16" t="s">
        <v>256</v>
      </c>
    </row>
    <row r="17" spans="5:14">
      <c r="J17" t="s">
        <v>109</v>
      </c>
      <c r="K17">
        <v>55.6</v>
      </c>
      <c r="L17" s="142">
        <f>K17/SUM(K$17:K$18)</f>
        <v>0.16807738814993953</v>
      </c>
      <c r="M17" s="254">
        <f>(G10-L17)/L17</f>
        <v>-6.8880558723409561E-3</v>
      </c>
    </row>
    <row r="18" spans="5:14">
      <c r="J18" t="s">
        <v>110</v>
      </c>
      <c r="K18">
        <v>275.2</v>
      </c>
      <c r="L18" s="142">
        <f>K18/SUM(K$17:K$18)</f>
        <v>0.83192261185006044</v>
      </c>
      <c r="M18" s="254">
        <f>(G11-L18)/L18</f>
        <v>-2.135184819977956E-4</v>
      </c>
    </row>
    <row r="20" spans="5:14" s="265" customFormat="1">
      <c r="E20" s="264" t="s">
        <v>303</v>
      </c>
    </row>
    <row r="21" spans="5:14">
      <c r="G21" s="143"/>
    </row>
    <row r="22" spans="5:14">
      <c r="G22" s="143" t="s">
        <v>212</v>
      </c>
      <c r="H22" s="143" t="s">
        <v>234</v>
      </c>
      <c r="I22" s="143" t="s">
        <v>223</v>
      </c>
      <c r="J22" s="143" t="s">
        <v>224</v>
      </c>
      <c r="K22" s="143" t="s">
        <v>225</v>
      </c>
      <c r="L22" s="143" t="s">
        <v>226</v>
      </c>
    </row>
    <row r="23" spans="5:14">
      <c r="F23" t="s">
        <v>233</v>
      </c>
      <c r="G23" s="253">
        <v>0.16</v>
      </c>
      <c r="H23" s="253">
        <f>0.07+0.01</f>
        <v>0.08</v>
      </c>
      <c r="I23" s="253">
        <v>0.22</v>
      </c>
      <c r="J23" s="253">
        <v>0.48</v>
      </c>
      <c r="K23" s="253">
        <v>0.06</v>
      </c>
      <c r="L23" s="258">
        <f>SUM(G23:K23)</f>
        <v>1</v>
      </c>
      <c r="M23" t="s">
        <v>228</v>
      </c>
    </row>
    <row r="24" spans="5:14">
      <c r="F24" t="s">
        <v>110</v>
      </c>
      <c r="G24" s="253">
        <v>0.16</v>
      </c>
      <c r="H24" s="253">
        <f>0.07+0.01</f>
        <v>0.08</v>
      </c>
      <c r="I24" s="253">
        <v>0.22</v>
      </c>
      <c r="J24" s="253">
        <v>0.48</v>
      </c>
      <c r="K24" s="253">
        <v>0.06</v>
      </c>
      <c r="L24" s="258">
        <f>SUM(G24:K24)</f>
        <v>1</v>
      </c>
      <c r="M24" t="s">
        <v>228</v>
      </c>
    </row>
    <row r="25" spans="5:14">
      <c r="F25" t="s">
        <v>63</v>
      </c>
      <c r="G25" s="253">
        <v>0.75</v>
      </c>
      <c r="H25" s="253">
        <v>0.25</v>
      </c>
      <c r="L25" s="258">
        <f>SUM(G25:K25)</f>
        <v>1</v>
      </c>
      <c r="M25" t="s">
        <v>227</v>
      </c>
    </row>
    <row r="26" spans="5:14">
      <c r="F26" t="s">
        <v>69</v>
      </c>
      <c r="H26" s="253">
        <v>1</v>
      </c>
      <c r="L26" s="258">
        <f>SUM(G26:K26)</f>
        <v>1</v>
      </c>
    </row>
    <row r="27" spans="5:14">
      <c r="F27" t="s">
        <v>221</v>
      </c>
      <c r="H27" s="253">
        <v>1</v>
      </c>
      <c r="L27" s="258">
        <f>SUM(G27:K27)</f>
        <v>1</v>
      </c>
    </row>
    <row r="28" spans="5:14">
      <c r="F28" t="s">
        <v>304</v>
      </c>
    </row>
    <row r="30" spans="5:14" s="266" customFormat="1"/>
    <row r="31" spans="5:14">
      <c r="G31" s="143" t="s">
        <v>212</v>
      </c>
      <c r="H31" s="143" t="s">
        <v>234</v>
      </c>
      <c r="I31" s="143" t="s">
        <v>223</v>
      </c>
      <c r="J31" s="143" t="s">
        <v>224</v>
      </c>
      <c r="K31" s="143" t="s">
        <v>225</v>
      </c>
      <c r="L31" s="143" t="s">
        <v>226</v>
      </c>
    </row>
    <row r="32" spans="5:14">
      <c r="F32" t="s">
        <v>233</v>
      </c>
      <c r="G32" s="267">
        <f>G60</f>
        <v>4114.1211428571423</v>
      </c>
      <c r="H32" s="267"/>
      <c r="I32" s="267"/>
      <c r="J32" s="269">
        <f>'Final demand per energy carrier'!K34</f>
        <v>11249.884440234202</v>
      </c>
      <c r="K32" s="267">
        <f>'Final demand per energy carrier'!I11*F10</f>
        <v>1672.765714285714</v>
      </c>
      <c r="L32" s="269">
        <f>SUM(G32:K32)</f>
        <v>17036.771297377058</v>
      </c>
      <c r="M32" t="s">
        <v>124</v>
      </c>
      <c r="N32" t="s">
        <v>228</v>
      </c>
    </row>
    <row r="33" spans="5:18">
      <c r="F33" t="s">
        <v>110</v>
      </c>
      <c r="G33" s="267">
        <f>G61</f>
        <v>20500.278857142857</v>
      </c>
      <c r="H33" s="267"/>
      <c r="I33" s="267"/>
      <c r="J33" s="267">
        <f>'Final demand per energy carrier'!K19</f>
        <v>56057.116484243932</v>
      </c>
      <c r="K33" s="267">
        <f>'Final demand per energy carrier'!I11*F11</f>
        <v>8335.2342857142849</v>
      </c>
      <c r="L33" s="269">
        <f>SUM(G33:K33)</f>
        <v>84892.629627101065</v>
      </c>
      <c r="M33" t="s">
        <v>124</v>
      </c>
      <c r="N33" t="s">
        <v>228</v>
      </c>
      <c r="O33">
        <f>0.48*137</f>
        <v>65.759999999999991</v>
      </c>
    </row>
    <row r="34" spans="5:18">
      <c r="F34" t="s">
        <v>63</v>
      </c>
      <c r="G34" s="267">
        <f>G51</f>
        <v>0</v>
      </c>
      <c r="H34" s="267">
        <f>Cooking!G13</f>
        <v>3768.12</v>
      </c>
      <c r="I34" s="269"/>
      <c r="J34" s="269"/>
      <c r="K34" s="269"/>
      <c r="L34" s="269">
        <f>SUM(G34:K34)</f>
        <v>3768.12</v>
      </c>
      <c r="M34" t="s">
        <v>124</v>
      </c>
      <c r="N34" t="s">
        <v>227</v>
      </c>
    </row>
    <row r="35" spans="5:18">
      <c r="F35" t="s">
        <v>69</v>
      </c>
      <c r="G35" s="269">
        <v>0</v>
      </c>
      <c r="H35" s="267">
        <f>Lighting!D14</f>
        <v>3714.0893545365725</v>
      </c>
      <c r="I35" s="269"/>
      <c r="J35" s="269"/>
      <c r="K35" s="269"/>
      <c r="L35" s="269">
        <f>SUM(G35:K35)</f>
        <v>3714.0893545365725</v>
      </c>
      <c r="M35" t="s">
        <v>124</v>
      </c>
    </row>
    <row r="36" spans="5:18">
      <c r="F36" t="s">
        <v>221</v>
      </c>
      <c r="G36" s="269">
        <v>0</v>
      </c>
      <c r="H36" s="267"/>
      <c r="I36" s="269"/>
      <c r="J36" s="269"/>
      <c r="K36" s="269"/>
      <c r="L36" s="269">
        <f>SUM(G36:K36)</f>
        <v>0</v>
      </c>
      <c r="M36" t="s">
        <v>124</v>
      </c>
    </row>
    <row r="37" spans="5:18">
      <c r="F37" t="s">
        <v>229</v>
      </c>
      <c r="G37" s="269">
        <f t="shared" ref="G37:K37" si="0">SUM(G32:G36)</f>
        <v>24614.400000000001</v>
      </c>
      <c r="H37" s="269">
        <f t="shared" si="0"/>
        <v>7482.2093545365724</v>
      </c>
      <c r="I37" s="269">
        <f t="shared" si="0"/>
        <v>0</v>
      </c>
      <c r="J37" s="269">
        <f t="shared" si="0"/>
        <v>67307.000924478139</v>
      </c>
      <c r="K37" s="269">
        <f t="shared" si="0"/>
        <v>10007.999999999998</v>
      </c>
      <c r="L37" s="269">
        <f>SUM(L32:L36)</f>
        <v>109411.61027901468</v>
      </c>
      <c r="M37" t="s">
        <v>124</v>
      </c>
    </row>
    <row r="38" spans="5:18">
      <c r="G38" s="260"/>
    </row>
    <row r="39" spans="5:18">
      <c r="G39" s="260"/>
    </row>
    <row r="47" spans="5:18">
      <c r="R47" t="s">
        <v>301</v>
      </c>
    </row>
    <row r="48" spans="5:18" s="265" customFormat="1">
      <c r="E48" s="264" t="s">
        <v>213</v>
      </c>
    </row>
    <row r="50" spans="5:9">
      <c r="F50" t="s">
        <v>232</v>
      </c>
      <c r="G50">
        <f>'Final demand per energy carrier'!E11</f>
        <v>24614.400000000001</v>
      </c>
      <c r="H50" t="s">
        <v>124</v>
      </c>
    </row>
    <row r="51" spans="5:9">
      <c r="F51" s="261" t="s">
        <v>63</v>
      </c>
      <c r="G51" s="270">
        <f>Cooking!B6</f>
        <v>0</v>
      </c>
      <c r="H51" s="262" t="s">
        <v>124</v>
      </c>
      <c r="I51" s="262" t="s">
        <v>106</v>
      </c>
    </row>
    <row r="52" spans="5:9" ht="32">
      <c r="F52" s="263" t="s">
        <v>235</v>
      </c>
      <c r="G52" s="269">
        <f>G50-G51</f>
        <v>24614.400000000001</v>
      </c>
      <c r="H52" t="s">
        <v>124</v>
      </c>
    </row>
    <row r="53" spans="5:9">
      <c r="G53" s="269"/>
    </row>
    <row r="54" spans="5:9">
      <c r="E54" s="143"/>
      <c r="G54" s="269"/>
    </row>
    <row r="55" spans="5:9">
      <c r="E55" s="143" t="s">
        <v>155</v>
      </c>
      <c r="G55" s="269"/>
    </row>
    <row r="56" spans="5:9">
      <c r="E56" t="s">
        <v>109</v>
      </c>
      <c r="F56">
        <v>23.4</v>
      </c>
      <c r="G56" s="269">
        <f>F56/SUM(G$10:G$11)</f>
        <v>23.431289142857139</v>
      </c>
    </row>
    <row r="57" spans="5:9">
      <c r="E57" t="s">
        <v>110</v>
      </c>
      <c r="F57">
        <v>116.6</v>
      </c>
      <c r="G57" s="269">
        <f>F57/SUM(G$10:G$11)</f>
        <v>116.75591085714285</v>
      </c>
    </row>
    <row r="58" spans="5:9">
      <c r="E58" t="s">
        <v>108</v>
      </c>
      <c r="F58">
        <v>0</v>
      </c>
      <c r="G58" s="267">
        <v>0</v>
      </c>
    </row>
    <row r="59" spans="5:9">
      <c r="G59" s="269"/>
    </row>
    <row r="60" spans="5:9">
      <c r="F60" s="260" t="s">
        <v>109</v>
      </c>
      <c r="G60" s="269">
        <f>F10*G52</f>
        <v>4114.1211428571423</v>
      </c>
      <c r="H60" t="s">
        <v>124</v>
      </c>
    </row>
    <row r="61" spans="5:9">
      <c r="F61" s="260" t="s">
        <v>110</v>
      </c>
      <c r="G61" s="269">
        <f>F11*G52</f>
        <v>20500.278857142857</v>
      </c>
      <c r="H61" t="s">
        <v>124</v>
      </c>
    </row>
    <row r="90" spans="18:18">
      <c r="R90" t="s">
        <v>300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Q59"/>
  <sheetViews>
    <sheetView workbookViewId="0">
      <selection activeCell="B27" sqref="B27"/>
    </sheetView>
  </sheetViews>
  <sheetFormatPr baseColWidth="10" defaultRowHeight="16"/>
  <cols>
    <col min="1" max="1" width="42.5" customWidth="1"/>
    <col min="2" max="2" width="59.33203125" customWidth="1"/>
    <col min="3" max="3" width="18.1640625" bestFit="1" customWidth="1"/>
    <col min="4" max="4" width="18.1640625" customWidth="1"/>
    <col min="5" max="5" width="24.33203125" customWidth="1"/>
    <col min="6" max="6" width="30.6640625" customWidth="1"/>
    <col min="7" max="7" width="11.1640625" bestFit="1" customWidth="1"/>
  </cols>
  <sheetData>
    <row r="2" spans="2:8">
      <c r="B2" s="143" t="s">
        <v>112</v>
      </c>
      <c r="C2" s="143">
        <f>'Final demand per energy carrier'!F11</f>
        <v>36637.18</v>
      </c>
      <c r="D2" s="143"/>
      <c r="E2" s="144" t="s">
        <v>128</v>
      </c>
    </row>
    <row r="3" spans="2:8">
      <c r="B3" s="257" t="s">
        <v>219</v>
      </c>
    </row>
    <row r="4" spans="2:8" ht="17" thickBot="1">
      <c r="B4" s="257" t="s">
        <v>220</v>
      </c>
    </row>
    <row r="5" spans="2:8" ht="17" thickBot="1">
      <c r="B5" s="257" t="s">
        <v>292</v>
      </c>
      <c r="C5" s="256">
        <v>2775000</v>
      </c>
      <c r="D5" s="342"/>
      <c r="E5" s="194" t="s">
        <v>171</v>
      </c>
      <c r="F5" s="194" t="s">
        <v>260</v>
      </c>
      <c r="G5" s="195" t="s">
        <v>217</v>
      </c>
    </row>
    <row r="7" spans="2:8">
      <c r="C7" t="s">
        <v>259</v>
      </c>
      <c r="D7" t="s">
        <v>291</v>
      </c>
      <c r="E7" t="s">
        <v>201</v>
      </c>
      <c r="F7" t="s">
        <v>293</v>
      </c>
      <c r="G7" t="s">
        <v>255</v>
      </c>
    </row>
    <row r="8" spans="2:8">
      <c r="B8" t="s">
        <v>111</v>
      </c>
      <c r="C8" s="141">
        <f>E8/SUM($E$8:$E$23)</f>
        <v>0.11175856670725344</v>
      </c>
      <c r="D8" s="343">
        <f>B42*1000</f>
        <v>1764000</v>
      </c>
      <c r="E8" s="269">
        <f>B52</f>
        <v>257</v>
      </c>
      <c r="F8">
        <f>E8*3.6</f>
        <v>925.2</v>
      </c>
      <c r="G8">
        <f>D8*F8/1000000</f>
        <v>1632.0527999999999</v>
      </c>
      <c r="H8" t="s">
        <v>297</v>
      </c>
    </row>
    <row r="9" spans="2:8">
      <c r="B9" t="s">
        <v>202</v>
      </c>
      <c r="C9" s="141">
        <f>E9/SUM($E$8:$E$23)</f>
        <v>9.8277961384588622E-2</v>
      </c>
      <c r="D9" s="343">
        <f>B44*1000</f>
        <v>1945000</v>
      </c>
      <c r="E9" s="269">
        <f>B53</f>
        <v>226</v>
      </c>
      <c r="F9">
        <f t="shared" ref="F9:F17" si="0">E9*3.6</f>
        <v>813.6</v>
      </c>
      <c r="G9">
        <f t="shared" ref="G9:G13" si="1">D9*F9/1000000</f>
        <v>1582.452</v>
      </c>
      <c r="H9" t="s">
        <v>297</v>
      </c>
    </row>
    <row r="10" spans="2:8">
      <c r="B10" t="s">
        <v>203</v>
      </c>
      <c r="C10" s="141">
        <f>E10/SUM($E$8:$E$23)</f>
        <v>0.1995999304226822</v>
      </c>
      <c r="D10" s="343">
        <f>B45*1000</f>
        <v>1186000</v>
      </c>
      <c r="E10" s="269">
        <f>B54</f>
        <v>459</v>
      </c>
      <c r="F10">
        <f t="shared" si="0"/>
        <v>1652.4</v>
      </c>
      <c r="G10">
        <f t="shared" si="1"/>
        <v>1959.7464</v>
      </c>
      <c r="H10" t="s">
        <v>297</v>
      </c>
    </row>
    <row r="11" spans="2:8">
      <c r="B11" t="s">
        <v>204</v>
      </c>
      <c r="C11" s="141">
        <f>E11/SUM($E$8:$E$23)</f>
        <v>7.8100539224212909E-2</v>
      </c>
      <c r="D11" s="343">
        <f>B40*1000</f>
        <v>3646000</v>
      </c>
      <c r="E11" s="269">
        <f>B50</f>
        <v>179.6</v>
      </c>
      <c r="F11">
        <f>E11*3.6</f>
        <v>646.55999999999995</v>
      </c>
      <c r="G11">
        <f t="shared" si="1"/>
        <v>2357.3577599999999</v>
      </c>
      <c r="H11" t="s">
        <v>297</v>
      </c>
    </row>
    <row r="12" spans="2:8">
      <c r="B12" t="s">
        <v>205</v>
      </c>
      <c r="C12" s="141">
        <f>E12/SUM($E$8:$E$23)</f>
        <v>0.10132196903809358</v>
      </c>
      <c r="D12" s="343">
        <f>B41*1000</f>
        <v>1783000</v>
      </c>
      <c r="E12" s="269">
        <f>B51</f>
        <v>233</v>
      </c>
      <c r="F12">
        <f>E12*3.6</f>
        <v>838.80000000000007</v>
      </c>
      <c r="G12">
        <f t="shared" si="1"/>
        <v>1495.5804000000003</v>
      </c>
      <c r="H12" t="s">
        <v>297</v>
      </c>
    </row>
    <row r="13" spans="2:8">
      <c r="B13" t="s">
        <v>206</v>
      </c>
      <c r="C13" s="141">
        <f>E13/SUM($E$8:$E$23)</f>
        <v>0.11741172377804836</v>
      </c>
      <c r="D13" s="343">
        <f>B39*1000</f>
        <v>4570000</v>
      </c>
      <c r="E13" s="269">
        <f>B49</f>
        <v>270</v>
      </c>
      <c r="F13">
        <f>E13*3.6</f>
        <v>972</v>
      </c>
      <c r="G13">
        <f t="shared" si="1"/>
        <v>4442.04</v>
      </c>
      <c r="H13" t="s">
        <v>297</v>
      </c>
    </row>
    <row r="14" spans="2:8">
      <c r="B14" t="s">
        <v>207</v>
      </c>
      <c r="C14" s="141">
        <f>E14/SUM($E$8:$E$23)</f>
        <v>5.8705861889024179E-2</v>
      </c>
      <c r="D14" s="343"/>
      <c r="E14">
        <f>E13*0.5</f>
        <v>135</v>
      </c>
      <c r="F14">
        <f>E14*3.6</f>
        <v>486</v>
      </c>
      <c r="G14">
        <f>F14*$C$5/1000000</f>
        <v>1348.65</v>
      </c>
      <c r="H14" t="s">
        <v>209</v>
      </c>
    </row>
    <row r="15" spans="2:8">
      <c r="B15" t="s">
        <v>208</v>
      </c>
      <c r="C15" s="141">
        <f>E15/SUM($E$8:$E$23)</f>
        <v>0.11741172377804836</v>
      </c>
      <c r="D15" s="343"/>
      <c r="E15">
        <f>E13</f>
        <v>270</v>
      </c>
      <c r="F15">
        <f>E15*3.6</f>
        <v>972</v>
      </c>
      <c r="G15">
        <f>F15*$C$5/1000000</f>
        <v>2697.3</v>
      </c>
      <c r="H15" t="s">
        <v>210</v>
      </c>
    </row>
    <row r="16" spans="2:8">
      <c r="B16" t="s">
        <v>154</v>
      </c>
      <c r="C16" s="141">
        <f>E16/SUM($E$8:$E$23)</f>
        <v>0.11741172377804836</v>
      </c>
      <c r="D16" s="343"/>
      <c r="E16">
        <f>E13</f>
        <v>270</v>
      </c>
      <c r="F16">
        <f>E16*3.6</f>
        <v>972</v>
      </c>
      <c r="G16">
        <f>F16*$C$5/1000000</f>
        <v>2697.3</v>
      </c>
      <c r="H16" t="s">
        <v>211</v>
      </c>
    </row>
    <row r="17" spans="3:31">
      <c r="C17" s="141"/>
      <c r="D17" s="141"/>
      <c r="G17">
        <f>SUM(G8:G16)</f>
        <v>20212.479360000001</v>
      </c>
    </row>
    <row r="19" spans="3:31">
      <c r="C19" s="141"/>
      <c r="D19" s="141"/>
    </row>
    <row r="20" spans="3:31">
      <c r="C20" s="141"/>
      <c r="D20" s="141"/>
    </row>
    <row r="21" spans="3:31">
      <c r="C21" s="141"/>
      <c r="D21" s="141"/>
    </row>
    <row r="22" spans="3:31">
      <c r="C22" s="141"/>
      <c r="D22" s="141"/>
      <c r="AE22" t="s">
        <v>130</v>
      </c>
    </row>
    <row r="23" spans="3:31">
      <c r="C23" s="141"/>
      <c r="D23" s="141"/>
      <c r="AE23" t="s">
        <v>129</v>
      </c>
    </row>
    <row r="24" spans="3:31">
      <c r="H24" s="145"/>
    </row>
    <row r="25" spans="3:31">
      <c r="H25" s="145"/>
    </row>
    <row r="26" spans="3:31">
      <c r="H26" s="145"/>
    </row>
    <row r="27" spans="3:31">
      <c r="H27" s="145"/>
    </row>
    <row r="28" spans="3:31">
      <c r="C28" t="s">
        <v>214</v>
      </c>
      <c r="F28" t="s">
        <v>236</v>
      </c>
      <c r="G28" t="s">
        <v>124</v>
      </c>
      <c r="I28" t="s">
        <v>239</v>
      </c>
    </row>
    <row r="29" spans="3:31" s="143" customFormat="1">
      <c r="C29"/>
      <c r="D29"/>
      <c r="E29"/>
      <c r="F29"/>
      <c r="G29"/>
      <c r="H29"/>
      <c r="I29"/>
      <c r="J29"/>
      <c r="K29"/>
    </row>
    <row r="30" spans="3:31">
      <c r="C30" t="s">
        <v>238</v>
      </c>
      <c r="F30">
        <v>521.56776519760012</v>
      </c>
      <c r="G30">
        <f>F30*3.6</f>
        <v>1877.6439547113605</v>
      </c>
      <c r="I30" t="s">
        <v>239</v>
      </c>
    </row>
    <row r="31" spans="3:31">
      <c r="C31" t="s">
        <v>237</v>
      </c>
      <c r="F31">
        <v>203.25996750000002</v>
      </c>
      <c r="G31">
        <f>F31*3.6</f>
        <v>731.73588300000006</v>
      </c>
      <c r="I31" t="s">
        <v>239</v>
      </c>
    </row>
    <row r="32" spans="3:31">
      <c r="G32">
        <f>SUM(G30:G31)</f>
        <v>2609.3798377113608</v>
      </c>
    </row>
    <row r="34" spans="1:43">
      <c r="A34" t="s">
        <v>297</v>
      </c>
    </row>
    <row r="35" spans="1:43">
      <c r="I35" t="s">
        <v>200</v>
      </c>
    </row>
    <row r="36" spans="1:43" s="331" customFormat="1" ht="18">
      <c r="A36" s="326" t="s">
        <v>276</v>
      </c>
      <c r="B36" s="327"/>
      <c r="C36" s="327"/>
      <c r="D36" s="327"/>
      <c r="E36" s="327"/>
      <c r="F36" s="327"/>
      <c r="G36" s="328"/>
      <c r="H36" s="327"/>
      <c r="I36" s="327"/>
      <c r="J36" s="327"/>
      <c r="K36" s="327"/>
      <c r="L36" s="327"/>
      <c r="M36" s="327"/>
      <c r="N36" s="327"/>
      <c r="O36" s="327"/>
      <c r="P36" s="327"/>
      <c r="Q36" s="327"/>
      <c r="R36" s="327"/>
      <c r="S36" s="327"/>
      <c r="T36" s="327"/>
      <c r="U36" s="327"/>
      <c r="V36" s="327"/>
      <c r="W36" s="327"/>
      <c r="X36" s="327"/>
      <c r="Y36" s="329"/>
      <c r="Z36" s="327"/>
      <c r="AA36" s="327"/>
      <c r="AB36" s="327"/>
      <c r="AC36" s="327"/>
      <c r="AD36" s="327"/>
      <c r="AE36" s="327"/>
      <c r="AF36" s="330"/>
      <c r="AG36" s="330"/>
      <c r="AH36" s="330"/>
      <c r="AI36" s="327"/>
      <c r="AJ36" s="327"/>
      <c r="AK36" s="327"/>
      <c r="AL36" s="327"/>
      <c r="AM36" s="327"/>
      <c r="AN36" s="327"/>
      <c r="AO36" s="327"/>
      <c r="AP36" s="327"/>
      <c r="AQ36" s="327"/>
    </row>
    <row r="37" spans="1:43" s="331" customFormat="1" ht="14">
      <c r="A37" s="332"/>
      <c r="B37" s="327"/>
      <c r="C37" s="327"/>
      <c r="D37" s="327"/>
      <c r="E37" s="327"/>
      <c r="F37" s="327"/>
      <c r="G37" s="327"/>
      <c r="H37" s="327"/>
      <c r="I37" s="327"/>
      <c r="J37" s="327"/>
      <c r="K37" s="327"/>
      <c r="L37" s="327"/>
      <c r="M37" s="327"/>
      <c r="N37" s="327"/>
      <c r="O37" s="327"/>
      <c r="P37" s="327"/>
      <c r="Q37" s="327"/>
      <c r="R37" s="327"/>
      <c r="S37" s="327"/>
      <c r="T37" s="327"/>
      <c r="U37" s="327"/>
      <c r="V37" s="327"/>
      <c r="W37" s="327"/>
      <c r="X37" s="327"/>
      <c r="Y37" s="327"/>
      <c r="Z37" s="327"/>
      <c r="AA37" s="327"/>
      <c r="AB37" s="327"/>
      <c r="AC37" s="327"/>
      <c r="AD37" s="327"/>
      <c r="AE37" s="327"/>
      <c r="AF37" s="330"/>
      <c r="AG37" s="330"/>
      <c r="AH37" s="330"/>
      <c r="AI37" s="327"/>
      <c r="AJ37" s="327"/>
      <c r="AK37" s="327"/>
    </row>
    <row r="38" spans="1:43" s="331" customFormat="1" ht="14">
      <c r="A38" s="333" t="s">
        <v>277</v>
      </c>
      <c r="B38" s="334" t="s">
        <v>278</v>
      </c>
      <c r="C38" s="334" t="s">
        <v>279</v>
      </c>
      <c r="D38" s="334"/>
      <c r="E38" s="335" t="s">
        <v>280</v>
      </c>
      <c r="F38" s="335" t="s">
        <v>281</v>
      </c>
      <c r="G38" s="335" t="s">
        <v>282</v>
      </c>
      <c r="H38" s="335" t="s">
        <v>283</v>
      </c>
      <c r="I38" s="334"/>
      <c r="J38" s="334"/>
      <c r="K38" s="334"/>
      <c r="L38" s="334"/>
      <c r="M38" s="334"/>
      <c r="N38" s="334"/>
      <c r="O38" s="334"/>
      <c r="P38" s="334"/>
      <c r="Q38" s="334"/>
      <c r="R38" s="334"/>
      <c r="S38" s="334"/>
      <c r="T38" s="334"/>
      <c r="U38" s="334"/>
      <c r="V38" s="334"/>
      <c r="W38" s="334"/>
      <c r="X38" s="334"/>
      <c r="Y38" s="334"/>
      <c r="Z38" s="334"/>
      <c r="AA38" s="334"/>
      <c r="AB38" s="334"/>
      <c r="AC38" s="334"/>
      <c r="AD38" s="334"/>
      <c r="AE38" s="334"/>
      <c r="AF38" s="334"/>
      <c r="AG38" s="334"/>
      <c r="AH38" s="334"/>
      <c r="AI38" s="334"/>
      <c r="AJ38" s="334"/>
      <c r="AK38" s="334"/>
    </row>
    <row r="39" spans="1:43" s="331" customFormat="1" ht="14">
      <c r="A39" s="336" t="s">
        <v>284</v>
      </c>
      <c r="B39" s="338">
        <v>4570</v>
      </c>
      <c r="C39" s="338">
        <v>4414</v>
      </c>
      <c r="D39" s="338"/>
      <c r="E39" s="339">
        <v>128</v>
      </c>
      <c r="F39" s="340">
        <v>100.55</v>
      </c>
      <c r="G39" s="341">
        <v>33.56</v>
      </c>
      <c r="H39" s="341">
        <v>-3.41</v>
      </c>
      <c r="I39" s="337"/>
      <c r="J39" s="337"/>
      <c r="K39" s="337"/>
      <c r="L39" s="337"/>
      <c r="M39" s="337"/>
      <c r="N39" s="337"/>
      <c r="O39" s="337"/>
      <c r="P39" s="337"/>
      <c r="Q39" s="337"/>
      <c r="R39" s="337"/>
      <c r="S39" s="337"/>
      <c r="T39" s="337"/>
      <c r="U39" s="337"/>
      <c r="V39" s="337"/>
      <c r="W39" s="337"/>
      <c r="X39" s="337"/>
      <c r="Y39" s="337"/>
      <c r="Z39" s="337"/>
      <c r="AA39" s="337"/>
      <c r="AB39" s="337"/>
      <c r="AC39" s="337"/>
      <c r="AD39" s="337"/>
      <c r="AE39" s="337"/>
      <c r="AF39" s="337"/>
      <c r="AG39" s="337"/>
      <c r="AH39" s="337"/>
      <c r="AI39" s="338"/>
      <c r="AJ39" s="338"/>
      <c r="AK39" s="338"/>
    </row>
    <row r="40" spans="1:43" s="331" customFormat="1" ht="14">
      <c r="A40" s="336" t="s">
        <v>285</v>
      </c>
      <c r="B40" s="338">
        <v>3646</v>
      </c>
      <c r="C40" s="338">
        <v>3580</v>
      </c>
      <c r="D40" s="338"/>
      <c r="E40" s="339">
        <v>58.62</v>
      </c>
      <c r="F40" s="340">
        <v>22.1</v>
      </c>
      <c r="G40" s="341">
        <v>2.4300000000000002</v>
      </c>
      <c r="H40" s="341">
        <v>-1.81</v>
      </c>
      <c r="I40" s="337"/>
      <c r="J40" s="337"/>
      <c r="K40" s="337"/>
      <c r="L40" s="337"/>
      <c r="M40" s="337"/>
      <c r="N40" s="337"/>
      <c r="O40" s="337"/>
      <c r="P40" s="337"/>
      <c r="Q40" s="337"/>
      <c r="R40" s="337"/>
      <c r="S40" s="337"/>
      <c r="T40" s="337"/>
      <c r="U40" s="337"/>
      <c r="V40" s="337"/>
      <c r="W40" s="337"/>
      <c r="X40" s="337"/>
      <c r="Y40" s="337"/>
      <c r="Z40" s="337"/>
      <c r="AA40" s="337"/>
      <c r="AB40" s="337"/>
      <c r="AC40" s="337"/>
      <c r="AD40" s="337"/>
      <c r="AE40" s="337"/>
      <c r="AF40" s="337"/>
      <c r="AG40" s="337"/>
      <c r="AH40" s="337"/>
      <c r="AI40" s="338"/>
      <c r="AJ40" s="338"/>
      <c r="AK40" s="338"/>
    </row>
    <row r="41" spans="1:43" s="331" customFormat="1" ht="14">
      <c r="A41" s="336" t="s">
        <v>286</v>
      </c>
      <c r="B41" s="338">
        <v>1783</v>
      </c>
      <c r="C41" s="338">
        <v>1765</v>
      </c>
      <c r="D41" s="338"/>
      <c r="E41" s="339">
        <v>31.91</v>
      </c>
      <c r="F41" s="340">
        <v>-7.15</v>
      </c>
      <c r="G41" s="341">
        <v>-16.670000000000002</v>
      </c>
      <c r="H41" s="341">
        <v>-1.01</v>
      </c>
      <c r="I41" s="337"/>
      <c r="J41" s="337"/>
      <c r="K41" s="337"/>
      <c r="L41" s="337"/>
      <c r="M41" s="337"/>
      <c r="N41" s="337"/>
      <c r="O41" s="337"/>
      <c r="P41" s="337"/>
      <c r="Q41" s="337"/>
      <c r="R41" s="337"/>
      <c r="S41" s="337"/>
      <c r="T41" s="337"/>
      <c r="U41" s="337"/>
      <c r="V41" s="337"/>
      <c r="W41" s="337"/>
      <c r="X41" s="337"/>
      <c r="Y41" s="337"/>
      <c r="Z41" s="337"/>
      <c r="AA41" s="337"/>
      <c r="AB41" s="337"/>
      <c r="AC41" s="337"/>
      <c r="AD41" s="337"/>
      <c r="AE41" s="337"/>
      <c r="AF41" s="337"/>
      <c r="AG41" s="337"/>
      <c r="AH41" s="337"/>
      <c r="AI41" s="338"/>
      <c r="AJ41" s="338"/>
      <c r="AK41" s="338"/>
    </row>
    <row r="42" spans="1:43" s="331" customFormat="1" ht="14">
      <c r="A42" s="336" t="s">
        <v>15</v>
      </c>
      <c r="B42" s="338">
        <v>1764</v>
      </c>
      <c r="C42" s="338">
        <v>1804</v>
      </c>
      <c r="D42" s="338"/>
      <c r="E42" s="339">
        <v>415.43</v>
      </c>
      <c r="F42" s="340">
        <v>261.52</v>
      </c>
      <c r="G42" s="341">
        <v>89.3</v>
      </c>
      <c r="H42" s="341">
        <v>2.27</v>
      </c>
      <c r="I42" s="337"/>
      <c r="J42" s="337"/>
      <c r="K42" s="337"/>
      <c r="L42" s="337"/>
      <c r="M42" s="337"/>
      <c r="N42" s="337"/>
      <c r="O42" s="337"/>
      <c r="P42" s="337"/>
      <c r="Q42" s="337"/>
      <c r="R42" s="337"/>
      <c r="S42" s="337"/>
      <c r="T42" s="337"/>
      <c r="U42" s="337"/>
      <c r="V42" s="337"/>
      <c r="W42" s="337"/>
      <c r="X42" s="337"/>
      <c r="Y42" s="337"/>
      <c r="Z42" s="337"/>
      <c r="AA42" s="337"/>
      <c r="AB42" s="337"/>
      <c r="AC42" s="337"/>
      <c r="AD42" s="337"/>
      <c r="AE42" s="337"/>
      <c r="AF42" s="337"/>
      <c r="AG42" s="337"/>
      <c r="AH42" s="337"/>
      <c r="AI42" s="338"/>
      <c r="AJ42" s="338"/>
      <c r="AK42" s="338"/>
    </row>
    <row r="43" spans="1:43" s="331" customFormat="1" ht="14">
      <c r="A43" s="336" t="s">
        <v>287</v>
      </c>
      <c r="B43" s="338">
        <v>1772</v>
      </c>
      <c r="C43" s="338">
        <v>1775</v>
      </c>
      <c r="D43" s="338"/>
      <c r="E43" s="339" t="s">
        <v>288</v>
      </c>
      <c r="F43" s="340">
        <v>391.69</v>
      </c>
      <c r="G43" s="341">
        <v>16.010000000000002</v>
      </c>
      <c r="H43" s="341">
        <v>0.17</v>
      </c>
      <c r="I43" s="337"/>
      <c r="J43" s="337"/>
      <c r="K43" s="337"/>
      <c r="L43" s="337"/>
      <c r="M43" s="337"/>
      <c r="N43" s="337"/>
      <c r="O43" s="337"/>
      <c r="P43" s="337"/>
      <c r="Q43" s="337"/>
      <c r="R43" s="337"/>
      <c r="S43" s="337"/>
      <c r="T43" s="337"/>
      <c r="U43" s="337"/>
      <c r="V43" s="337"/>
      <c r="W43" s="337"/>
      <c r="X43" s="337"/>
      <c r="Y43" s="337"/>
      <c r="Z43" s="337"/>
      <c r="AA43" s="337"/>
      <c r="AB43" s="337"/>
      <c r="AC43" s="337"/>
      <c r="AD43" s="337"/>
      <c r="AE43" s="337"/>
      <c r="AF43" s="337"/>
      <c r="AG43" s="337"/>
      <c r="AH43" s="337"/>
      <c r="AI43" s="338"/>
      <c r="AJ43" s="338"/>
      <c r="AK43" s="338"/>
    </row>
    <row r="44" spans="1:43" s="331" customFormat="1" ht="14">
      <c r="A44" s="336" t="s">
        <v>289</v>
      </c>
      <c r="B44" s="338">
        <v>1945</v>
      </c>
      <c r="C44" s="338">
        <v>1947</v>
      </c>
      <c r="D44" s="338"/>
      <c r="E44" s="339">
        <v>78.459999999999994</v>
      </c>
      <c r="F44" s="340">
        <v>49.31</v>
      </c>
      <c r="G44" s="341">
        <v>30.5</v>
      </c>
      <c r="H44" s="341">
        <v>0.1</v>
      </c>
      <c r="I44" s="337"/>
      <c r="J44" s="337"/>
      <c r="K44" s="337"/>
      <c r="L44" s="337"/>
      <c r="M44" s="337"/>
      <c r="N44" s="337"/>
      <c r="O44" s="337"/>
      <c r="P44" s="337"/>
      <c r="Q44" s="337"/>
      <c r="R44" s="337"/>
      <c r="S44" s="337"/>
      <c r="T44" s="337"/>
      <c r="U44" s="337"/>
      <c r="V44" s="337"/>
      <c r="W44" s="337"/>
      <c r="X44" s="337"/>
      <c r="Y44" s="337"/>
      <c r="Z44" s="337"/>
      <c r="AA44" s="337"/>
      <c r="AB44" s="337"/>
      <c r="AC44" s="337"/>
      <c r="AD44" s="337"/>
      <c r="AE44" s="337"/>
      <c r="AF44" s="337"/>
      <c r="AG44" s="337"/>
      <c r="AH44" s="337"/>
      <c r="AI44" s="338"/>
      <c r="AJ44" s="338"/>
      <c r="AK44" s="338"/>
    </row>
    <row r="45" spans="1:43" s="331" customFormat="1" ht="14">
      <c r="A45" s="336" t="s">
        <v>18</v>
      </c>
      <c r="B45" s="338">
        <v>1186</v>
      </c>
      <c r="C45" s="338">
        <v>1180</v>
      </c>
      <c r="D45" s="338"/>
      <c r="E45" s="339">
        <v>555.55999999999995</v>
      </c>
      <c r="F45" s="340">
        <v>172.52</v>
      </c>
      <c r="G45" s="341">
        <v>35.01</v>
      </c>
      <c r="H45" s="341">
        <v>-0.51</v>
      </c>
      <c r="I45" s="337"/>
      <c r="J45" s="337"/>
      <c r="K45" s="337"/>
      <c r="L45" s="337"/>
      <c r="M45" s="337"/>
      <c r="N45" s="337"/>
      <c r="O45" s="337"/>
      <c r="P45" s="337"/>
      <c r="Q45" s="337"/>
      <c r="R45" s="337"/>
      <c r="S45" s="337"/>
      <c r="T45" s="337"/>
      <c r="U45" s="337"/>
      <c r="V45" s="337"/>
      <c r="W45" s="337"/>
      <c r="X45" s="337"/>
      <c r="Y45" s="337"/>
      <c r="Z45" s="337"/>
      <c r="AA45" s="337"/>
      <c r="AB45" s="337"/>
      <c r="AC45" s="337"/>
      <c r="AD45" s="337"/>
      <c r="AE45" s="337"/>
      <c r="AF45" s="337"/>
      <c r="AG45" s="337"/>
      <c r="AH45" s="337"/>
      <c r="AI45" s="338"/>
      <c r="AJ45" s="338"/>
      <c r="AK45" s="338"/>
    </row>
    <row r="46" spans="1:43" s="331" customFormat="1" ht="14">
      <c r="A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30"/>
      <c r="AG46" s="330"/>
      <c r="AH46" s="330"/>
      <c r="AI46" s="327"/>
      <c r="AJ46" s="327"/>
      <c r="AK46" s="327"/>
      <c r="AL46" s="327"/>
      <c r="AM46" s="327"/>
      <c r="AN46" s="327"/>
      <c r="AO46" s="327"/>
      <c r="AP46" s="327"/>
      <c r="AQ46" s="327"/>
    </row>
    <row r="48" spans="1:43">
      <c r="A48" s="333" t="s">
        <v>290</v>
      </c>
      <c r="B48" s="334" t="s">
        <v>278</v>
      </c>
      <c r="C48" s="334"/>
      <c r="D48" s="334"/>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row>
    <row r="49" spans="1:37">
      <c r="A49" s="336" t="s">
        <v>284</v>
      </c>
      <c r="B49" s="338">
        <v>270</v>
      </c>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c r="AA49" s="338"/>
      <c r="AB49" s="338"/>
      <c r="AC49" s="338"/>
      <c r="AD49" s="338"/>
      <c r="AE49" s="338"/>
      <c r="AF49" s="338"/>
      <c r="AG49" s="338"/>
      <c r="AH49" s="338"/>
      <c r="AI49" s="338"/>
      <c r="AJ49" s="338"/>
      <c r="AK49" s="338"/>
    </row>
    <row r="50" spans="1:37">
      <c r="A50" s="336" t="s">
        <v>285</v>
      </c>
      <c r="B50" s="338">
        <v>179.6</v>
      </c>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c r="AA50" s="338"/>
      <c r="AB50" s="338"/>
      <c r="AC50" s="338"/>
      <c r="AD50" s="338"/>
      <c r="AE50" s="338"/>
      <c r="AF50" s="338"/>
      <c r="AG50" s="338"/>
      <c r="AH50" s="338"/>
      <c r="AI50" s="338"/>
      <c r="AJ50" s="338"/>
      <c r="AK50" s="338"/>
    </row>
    <row r="51" spans="1:37">
      <c r="A51" s="336" t="s">
        <v>286</v>
      </c>
      <c r="B51" s="338">
        <v>233</v>
      </c>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c r="AA51" s="338"/>
      <c r="AB51" s="338"/>
      <c r="AC51" s="338"/>
      <c r="AD51" s="338"/>
      <c r="AE51" s="338"/>
      <c r="AF51" s="338"/>
      <c r="AG51" s="338"/>
      <c r="AH51" s="338"/>
      <c r="AI51" s="338"/>
      <c r="AJ51" s="338"/>
      <c r="AK51" s="338"/>
    </row>
    <row r="52" spans="1:37">
      <c r="A52" s="336" t="s">
        <v>15</v>
      </c>
      <c r="B52" s="338">
        <v>257</v>
      </c>
      <c r="C52" s="338"/>
      <c r="D52" s="338"/>
      <c r="E52" s="338"/>
      <c r="F52" s="338"/>
      <c r="G52" s="33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338"/>
      <c r="AF52" s="338"/>
      <c r="AG52" s="338"/>
      <c r="AH52" s="338"/>
      <c r="AI52" s="338"/>
      <c r="AJ52" s="338"/>
      <c r="AK52" s="338"/>
    </row>
    <row r="53" spans="1:37">
      <c r="A53" s="336" t="s">
        <v>289</v>
      </c>
      <c r="B53" s="338">
        <v>226</v>
      </c>
      <c r="C53" s="338"/>
      <c r="D53" s="338"/>
      <c r="E53" s="338"/>
      <c r="F53" s="338"/>
      <c r="G53" s="338"/>
      <c r="H53" s="338"/>
      <c r="I53" s="338"/>
      <c r="J53" s="338"/>
      <c r="K53" s="338"/>
      <c r="L53" s="338"/>
      <c r="M53" s="338"/>
      <c r="N53" s="338"/>
      <c r="O53" s="338"/>
      <c r="P53" s="338"/>
      <c r="Q53" s="338"/>
      <c r="R53" s="338"/>
      <c r="S53" s="338"/>
      <c r="T53" s="338"/>
      <c r="U53" s="338"/>
      <c r="V53" s="338"/>
      <c r="W53" s="338"/>
      <c r="X53" s="338"/>
      <c r="Y53" s="338"/>
      <c r="Z53" s="338"/>
      <c r="AA53" s="338"/>
      <c r="AB53" s="338"/>
      <c r="AC53" s="338"/>
      <c r="AD53" s="338"/>
      <c r="AE53" s="338"/>
      <c r="AF53" s="338"/>
      <c r="AG53" s="338"/>
      <c r="AH53" s="338"/>
      <c r="AI53" s="338"/>
      <c r="AJ53" s="338"/>
      <c r="AK53" s="338"/>
    </row>
    <row r="54" spans="1:37">
      <c r="A54" s="336" t="s">
        <v>18</v>
      </c>
      <c r="B54" s="338">
        <v>459</v>
      </c>
      <c r="C54" s="338"/>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8"/>
      <c r="AF54" s="338"/>
      <c r="AG54" s="338"/>
      <c r="AH54" s="338"/>
      <c r="AI54" s="338"/>
      <c r="AJ54" s="338"/>
      <c r="AK54" s="338"/>
    </row>
    <row r="59" spans="1:37">
      <c r="C59" t="s">
        <v>199</v>
      </c>
      <c r="E59" s="253">
        <v>0.14000000000000001</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66"/>
  <sheetViews>
    <sheetView topLeftCell="A5" workbookViewId="0">
      <selection activeCell="D37" sqref="D37"/>
    </sheetView>
  </sheetViews>
  <sheetFormatPr baseColWidth="10" defaultRowHeight="16"/>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1" ht="17" thickBot="1"/>
    <row r="3" spans="2:11" ht="17" thickBot="1">
      <c r="B3" s="170" t="s">
        <v>183</v>
      </c>
      <c r="C3" s="171" t="s">
        <v>184</v>
      </c>
      <c r="D3" s="171" t="s">
        <v>185</v>
      </c>
      <c r="E3" s="191" t="s">
        <v>186</v>
      </c>
    </row>
    <row r="4" spans="2:11" ht="17" thickBot="1">
      <c r="B4" s="259">
        <v>0</v>
      </c>
      <c r="C4" s="194" t="s">
        <v>169</v>
      </c>
      <c r="D4" s="194" t="s">
        <v>177</v>
      </c>
      <c r="E4" s="195" t="s">
        <v>262</v>
      </c>
    </row>
    <row r="5" spans="2:11" ht="17" thickBot="1">
      <c r="B5" s="165">
        <v>100</v>
      </c>
      <c r="C5" s="194" t="s">
        <v>169</v>
      </c>
      <c r="D5" s="194" t="s">
        <v>230</v>
      </c>
      <c r="E5" s="195" t="s">
        <v>262</v>
      </c>
    </row>
    <row r="6" spans="2:11">
      <c r="B6" s="196">
        <v>0</v>
      </c>
      <c r="C6" s="194" t="s">
        <v>124</v>
      </c>
      <c r="D6" s="194" t="s">
        <v>180</v>
      </c>
      <c r="E6" s="195" t="s">
        <v>305</v>
      </c>
    </row>
    <row r="7" spans="2:11" ht="17" thickBot="1">
      <c r="B7" s="198">
        <f>E10</f>
        <v>3768.12</v>
      </c>
      <c r="C7" s="199" t="s">
        <v>124</v>
      </c>
      <c r="D7" s="199" t="s">
        <v>231</v>
      </c>
      <c r="E7" s="195" t="s">
        <v>305</v>
      </c>
    </row>
    <row r="9" spans="2:11">
      <c r="B9">
        <v>1</v>
      </c>
      <c r="C9" t="s">
        <v>270</v>
      </c>
      <c r="D9" t="s">
        <v>271</v>
      </c>
      <c r="E9">
        <v>41868</v>
      </c>
      <c r="F9" t="s">
        <v>307</v>
      </c>
    </row>
    <row r="10" spans="2:11">
      <c r="B10">
        <v>0.09</v>
      </c>
      <c r="C10" t="s">
        <v>270</v>
      </c>
      <c r="D10" t="s">
        <v>271</v>
      </c>
      <c r="E10">
        <f>B10*E9</f>
        <v>3768.12</v>
      </c>
      <c r="F10" t="s">
        <v>306</v>
      </c>
      <c r="G10" s="3" t="s">
        <v>295</v>
      </c>
    </row>
    <row r="11" spans="2:11" ht="17" thickBot="1"/>
    <row r="12" spans="2:11" ht="49" thickBot="1">
      <c r="B12" s="170" t="s">
        <v>113</v>
      </c>
      <c r="C12" s="167" t="s">
        <v>114</v>
      </c>
      <c r="D12" s="152" t="s">
        <v>123</v>
      </c>
      <c r="E12" s="152" t="s">
        <v>115</v>
      </c>
      <c r="F12" s="152" t="s">
        <v>157</v>
      </c>
      <c r="G12" s="152" t="s">
        <v>116</v>
      </c>
      <c r="H12" s="171" t="s">
        <v>158</v>
      </c>
      <c r="I12" s="152" t="s">
        <v>159</v>
      </c>
      <c r="J12" s="171" t="s">
        <v>182</v>
      </c>
      <c r="K12" s="191" t="s">
        <v>181</v>
      </c>
    </row>
    <row r="13" spans="2:11" ht="17" thickBot="1">
      <c r="B13" s="193" t="s">
        <v>65</v>
      </c>
      <c r="C13" s="165">
        <v>0.02</v>
      </c>
      <c r="D13" s="200">
        <f>'Final demand per energy carrier'!M53</f>
        <v>0.55000000000000004</v>
      </c>
      <c r="E13" s="194">
        <f>C13/D13</f>
        <v>3.6363636363636362E-2</v>
      </c>
      <c r="F13" s="194">
        <f>E13/SUM($E$13:$E$15)</f>
        <v>9.7328244274809142E-2</v>
      </c>
      <c r="G13" s="201">
        <f>B7</f>
        <v>3768.12</v>
      </c>
      <c r="H13" s="202">
        <f>F13*$G$13</f>
        <v>366.74450381679384</v>
      </c>
      <c r="I13" s="194"/>
      <c r="J13" s="194">
        <f>H13*D13</f>
        <v>201.70947709923664</v>
      </c>
      <c r="K13" s="203">
        <f>J13/(SUM(J$13:J$16))</f>
        <v>8.3333333333333356E-2</v>
      </c>
    </row>
    <row r="14" spans="2:11" ht="17" thickBot="1">
      <c r="B14" s="168" t="s">
        <v>66</v>
      </c>
      <c r="C14" s="165">
        <v>0.16</v>
      </c>
      <c r="D14" s="200">
        <f>'Final demand per energy carrier'!M54</f>
        <v>0.6</v>
      </c>
      <c r="E14" s="194">
        <f>C14/D14</f>
        <v>0.26666666666666666</v>
      </c>
      <c r="F14" s="194">
        <f>E14/SUM($E$13:$E$15)</f>
        <v>0.71374045801526709</v>
      </c>
      <c r="G14" s="194"/>
      <c r="H14" s="202">
        <f>F14*$G$13</f>
        <v>2689.459694656488</v>
      </c>
      <c r="I14" s="194"/>
      <c r="J14" s="194">
        <f>H14*D14</f>
        <v>1613.6758167938926</v>
      </c>
      <c r="K14" s="203">
        <f>J14/(SUM(J$13:J$16))</f>
        <v>0.66666666666666663</v>
      </c>
    </row>
    <row r="15" spans="2:11" ht="17" thickBot="1">
      <c r="B15" s="168" t="s">
        <v>67</v>
      </c>
      <c r="C15" s="165">
        <v>0.06</v>
      </c>
      <c r="D15" s="200">
        <f>'Final demand per energy carrier'!M55</f>
        <v>0.85</v>
      </c>
      <c r="E15" s="194">
        <f>C15/D15</f>
        <v>7.0588235294117646E-2</v>
      </c>
      <c r="F15" s="194">
        <f>E15/SUM($E$13:$E$15)</f>
        <v>0.18893129770992365</v>
      </c>
      <c r="G15" s="194"/>
      <c r="H15" s="202">
        <f>F15*$G$13</f>
        <v>711.91580152671747</v>
      </c>
      <c r="I15" s="194"/>
      <c r="J15" s="194">
        <f>H15*D15</f>
        <v>605.12843129770988</v>
      </c>
      <c r="K15" s="203">
        <f>J15/(SUM(J$13:J$16))</f>
        <v>0.25000000000000006</v>
      </c>
    </row>
    <row r="16" spans="2:11" ht="17" thickBot="1">
      <c r="B16" s="192" t="s">
        <v>64</v>
      </c>
      <c r="C16" s="199">
        <v>76</v>
      </c>
      <c r="D16" s="204">
        <f>'Final demand per energy carrier'!M52</f>
        <v>0.4</v>
      </c>
      <c r="E16" s="204">
        <f>C16/D16</f>
        <v>190</v>
      </c>
      <c r="F16" s="199"/>
      <c r="G16" s="199"/>
      <c r="H16" s="199"/>
      <c r="I16" s="204">
        <f>B6</f>
        <v>0</v>
      </c>
      <c r="J16" s="199">
        <f>I16*D16</f>
        <v>0</v>
      </c>
      <c r="K16" s="205">
        <f>J16/(SUM(J$13:J$16))</f>
        <v>0</v>
      </c>
    </row>
    <row r="18" spans="2:14" ht="17" thickBot="1"/>
    <row r="19" spans="2:14">
      <c r="B19" s="248" t="s">
        <v>190</v>
      </c>
      <c r="C19" s="249"/>
      <c r="D19" s="249"/>
      <c r="E19" s="250"/>
      <c r="M19" s="3" t="s">
        <v>118</v>
      </c>
      <c r="N19" s="3" t="s">
        <v>122</v>
      </c>
    </row>
    <row r="20" spans="2:14">
      <c r="B20" s="206" t="s">
        <v>183</v>
      </c>
      <c r="C20" s="207" t="s">
        <v>184</v>
      </c>
      <c r="D20" s="207" t="s">
        <v>185</v>
      </c>
      <c r="E20" s="208" t="s">
        <v>186</v>
      </c>
      <c r="M20" s="3" t="s">
        <v>119</v>
      </c>
      <c r="N20" s="3" t="s">
        <v>120</v>
      </c>
    </row>
    <row r="21" spans="2:14" ht="17" thickBot="1">
      <c r="B21" s="209">
        <v>65</v>
      </c>
      <c r="C21" s="210" t="s">
        <v>165</v>
      </c>
      <c r="D21" s="210" t="s">
        <v>174</v>
      </c>
      <c r="E21" s="211" t="s">
        <v>187</v>
      </c>
    </row>
    <row r="22" spans="2:14" ht="17" thickBot="1">
      <c r="B22" s="212">
        <f>31.65/10^6</f>
        <v>3.1649999999999997E-5</v>
      </c>
      <c r="C22" s="210" t="s">
        <v>175</v>
      </c>
      <c r="D22" s="210" t="s">
        <v>176</v>
      </c>
      <c r="E22" s="211" t="s">
        <v>189</v>
      </c>
    </row>
    <row r="23" spans="2:14">
      <c r="B23" s="213">
        <f>B21*B22</f>
        <v>2.0572499999999996E-3</v>
      </c>
      <c r="C23" s="210" t="s">
        <v>124</v>
      </c>
      <c r="D23" s="210" t="s">
        <v>166</v>
      </c>
      <c r="E23" s="211"/>
    </row>
    <row r="24" spans="2:14" ht="17" thickBot="1">
      <c r="B24" s="213">
        <f>B23*D16</f>
        <v>8.2289999999999989E-4</v>
      </c>
      <c r="C24" s="210" t="s">
        <v>124</v>
      </c>
      <c r="D24" s="210" t="s">
        <v>167</v>
      </c>
      <c r="E24" s="211"/>
    </row>
    <row r="25" spans="2:14" ht="17" thickBot="1">
      <c r="B25" s="214">
        <v>7449298</v>
      </c>
      <c r="C25" s="210" t="s">
        <v>171</v>
      </c>
      <c r="D25" s="210" t="s">
        <v>170</v>
      </c>
      <c r="E25" s="211" t="s">
        <v>188</v>
      </c>
    </row>
    <row r="26" spans="2:14">
      <c r="B26" s="213">
        <f>B24*B25</f>
        <v>6130.0273241999994</v>
      </c>
      <c r="C26" s="210" t="s">
        <v>124</v>
      </c>
      <c r="D26" s="210" t="s">
        <v>179</v>
      </c>
      <c r="E26" s="211"/>
    </row>
    <row r="27" spans="2:14">
      <c r="B27" s="213">
        <f>SUMPRODUCT(C13:C15,D13:D15)/SUM(C13:C15)</f>
        <v>0.65833333333333333</v>
      </c>
      <c r="C27" s="210" t="s">
        <v>169</v>
      </c>
      <c r="D27" s="210" t="s">
        <v>168</v>
      </c>
      <c r="E27" s="211"/>
    </row>
    <row r="28" spans="2:14">
      <c r="B28" s="213">
        <f>G13*B27</f>
        <v>2480.6790000000001</v>
      </c>
      <c r="C28" s="210" t="s">
        <v>124</v>
      </c>
      <c r="D28" s="210" t="s">
        <v>172</v>
      </c>
      <c r="E28" s="215"/>
    </row>
    <row r="29" spans="2:14">
      <c r="B29" s="213">
        <f>B26-B28</f>
        <v>3649.3483241999993</v>
      </c>
      <c r="C29" s="210" t="s">
        <v>124</v>
      </c>
      <c r="D29" s="210" t="s">
        <v>173</v>
      </c>
      <c r="E29" s="216"/>
      <c r="L29" s="178"/>
    </row>
    <row r="30" spans="2:14">
      <c r="B30" s="213">
        <f>B29/D16</f>
        <v>9123.3708104999969</v>
      </c>
      <c r="C30" s="210"/>
      <c r="D30" s="210" t="s">
        <v>178</v>
      </c>
      <c r="E30" s="215"/>
      <c r="L30" s="178"/>
    </row>
    <row r="31" spans="2:14" ht="17" thickBot="1">
      <c r="B31" s="217">
        <f>B29/B26</f>
        <v>0.59532333727015785</v>
      </c>
      <c r="C31" s="218" t="s">
        <v>169</v>
      </c>
      <c r="D31" s="218" t="s">
        <v>177</v>
      </c>
      <c r="E31" s="219"/>
      <c r="L31" s="178"/>
    </row>
    <row r="32" spans="2:14">
      <c r="L32" s="178"/>
    </row>
    <row r="36" spans="4:13">
      <c r="M36" s="3" t="s">
        <v>294</v>
      </c>
    </row>
    <row r="39" spans="4:13">
      <c r="D39" s="187"/>
      <c r="E39" s="179"/>
      <c r="G39" s="186"/>
      <c r="M39" s="160" t="s">
        <v>296</v>
      </c>
    </row>
    <row r="40" spans="4:13">
      <c r="D40" s="187"/>
      <c r="E40" s="179"/>
      <c r="F40" s="186"/>
      <c r="G40" s="186"/>
    </row>
    <row r="41" spans="4:13">
      <c r="F41" s="186"/>
      <c r="G41" s="186"/>
    </row>
    <row r="58" spans="3:13">
      <c r="D58" s="188"/>
      <c r="E58" s="179"/>
      <c r="G58" s="186"/>
    </row>
    <row r="59" spans="3:13">
      <c r="D59" s="188"/>
      <c r="E59" s="179"/>
      <c r="F59" s="186"/>
      <c r="G59" s="186"/>
      <c r="M59" s="160" t="s">
        <v>296</v>
      </c>
    </row>
    <row r="60" spans="3:13">
      <c r="F60" s="186"/>
      <c r="G60" s="186"/>
    </row>
    <row r="62" spans="3:13">
      <c r="C62" s="186"/>
      <c r="D62" s="188"/>
      <c r="E62" s="179"/>
      <c r="G62" s="189"/>
    </row>
    <row r="63" spans="3:13">
      <c r="C63" s="190"/>
      <c r="D63" s="188"/>
      <c r="E63" s="179"/>
      <c r="F63" s="189"/>
      <c r="G63" s="186"/>
    </row>
    <row r="64" spans="3:13">
      <c r="F64" s="186"/>
      <c r="G64" s="186"/>
    </row>
    <row r="65" spans="4:7">
      <c r="D65" s="188"/>
      <c r="E65" s="179"/>
      <c r="G65" s="186"/>
    </row>
    <row r="66" spans="4:7">
      <c r="D66" s="188"/>
      <c r="E66" s="179"/>
      <c r="F66" s="186"/>
      <c r="G66" s="186"/>
    </row>
  </sheetData>
  <dataValidations count="1">
    <dataValidation type="decimal" operator="greaterThanOrEqual" allowBlank="1" showInputMessage="1" showErrorMessage="1" errorTitle="Number Range" error="You may only enter positive numbers here. " sqref="B22" xr:uid="{00000000-0002-0000-0600-000000000000}">
      <formula1>0</formula1>
    </dataValidation>
  </dataValidations>
  <hyperlinks>
    <hyperlink ref="M39" r:id="rId1" xr:uid="{DF627D2B-FF50-C84C-8196-D796E7791644}"/>
    <hyperlink ref="M59" r:id="rId2" xr:uid="{99B00809-ABC9-324C-9853-2312337F5B80}"/>
  </hyperlinks>
  <pageMargins left="0.75" right="0.75" top="1" bottom="1" header="0.5" footer="0.5"/>
  <pageSetup paperSize="9" orientation="portrait" horizontalDpi="4294967292" verticalDpi="429496729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N41"/>
  <sheetViews>
    <sheetView tabSelected="1" zoomScale="113" workbookViewId="0">
      <selection activeCell="D32" sqref="D32"/>
    </sheetView>
  </sheetViews>
  <sheetFormatPr baseColWidth="10" defaultRowHeight="16"/>
  <cols>
    <col min="1" max="1" width="3.1640625" style="3" customWidth="1"/>
    <col min="2" max="2" width="13.33203125" style="3" customWidth="1"/>
    <col min="3" max="3" width="23.33203125" style="3" bestFit="1" customWidth="1"/>
    <col min="4" max="4" width="19.5" style="3" customWidth="1"/>
    <col min="5" max="5" width="18.6640625" style="3" customWidth="1"/>
    <col min="6" max="6" width="12.5" style="3" customWidth="1"/>
    <col min="7" max="7" width="19.5" style="3" customWidth="1"/>
    <col min="8" max="8" width="22" style="3" bestFit="1" customWidth="1"/>
    <col min="9" max="9" width="17.1640625" style="3"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4" ht="17" thickBot="1"/>
    <row r="2" spans="3:14" ht="16" customHeight="1">
      <c r="C2" s="322" t="s">
        <v>145</v>
      </c>
      <c r="D2" s="323"/>
      <c r="E2" s="323"/>
      <c r="F2" s="323"/>
      <c r="G2" s="323"/>
      <c r="H2" s="324"/>
    </row>
    <row r="3" spans="3:14" ht="49" thickBot="1">
      <c r="C3" s="235"/>
      <c r="D3" s="241"/>
      <c r="E3" s="243" t="s">
        <v>110</v>
      </c>
      <c r="F3" s="244" t="s">
        <v>138</v>
      </c>
      <c r="G3" s="243" t="s">
        <v>147</v>
      </c>
      <c r="H3" s="245" t="s">
        <v>138</v>
      </c>
    </row>
    <row r="4" spans="3:14" ht="17" thickBot="1">
      <c r="C4" s="10" t="s">
        <v>143</v>
      </c>
      <c r="D4" s="149" t="s">
        <v>139</v>
      </c>
      <c r="E4" s="220">
        <v>0.63199000312402398</v>
      </c>
      <c r="F4" s="150">
        <f>SUM(E5,E6/E7)</f>
        <v>0.35624001051686416</v>
      </c>
      <c r="G4" s="162">
        <v>0.44444444444444497</v>
      </c>
      <c r="H4" s="151">
        <f>SUM(G5,G6/G7)</f>
        <v>0.59259259259259189</v>
      </c>
      <c r="I4" s="150"/>
      <c r="J4" s="150"/>
    </row>
    <row r="5" spans="3:14" ht="17" thickBot="1">
      <c r="C5" s="10"/>
      <c r="D5" s="149" t="s">
        <v>140</v>
      </c>
      <c r="E5" s="220">
        <v>0.18056857232115001</v>
      </c>
      <c r="F5" s="2"/>
      <c r="G5" s="162">
        <v>0.22222222222222199</v>
      </c>
      <c r="H5" s="11"/>
      <c r="N5" s="160" t="s">
        <v>131</v>
      </c>
    </row>
    <row r="6" spans="3:14" ht="17" thickBot="1">
      <c r="C6" s="10"/>
      <c r="D6" s="149" t="s">
        <v>141</v>
      </c>
      <c r="E6" s="220">
        <v>0.18744142455482701</v>
      </c>
      <c r="F6" s="2"/>
      <c r="G6" s="162">
        <v>0.33333333333333298</v>
      </c>
      <c r="H6" s="11"/>
    </row>
    <row r="7" spans="3:14" ht="33" thickBot="1">
      <c r="C7" s="10"/>
      <c r="D7" s="242" t="s">
        <v>160</v>
      </c>
      <c r="E7" s="224">
        <v>1.0669999999999999</v>
      </c>
      <c r="F7" s="2"/>
      <c r="G7" s="162">
        <v>0.9</v>
      </c>
      <c r="H7" s="11"/>
    </row>
    <row r="8" spans="3:14" ht="17" thickBot="1">
      <c r="C8" s="10"/>
      <c r="D8" s="149"/>
      <c r="E8" s="150"/>
      <c r="F8" s="2"/>
      <c r="G8" s="150"/>
      <c r="H8" s="11"/>
    </row>
    <row r="9" spans="3:14" ht="17" thickBot="1">
      <c r="C9" s="10" t="s">
        <v>144</v>
      </c>
      <c r="D9" s="149" t="s">
        <v>142</v>
      </c>
      <c r="E9" s="162">
        <v>0.77777777777777801</v>
      </c>
      <c r="F9" s="150">
        <f>E10</f>
        <v>0.22222222222222199</v>
      </c>
      <c r="G9" s="162">
        <v>0.66666666666666696</v>
      </c>
      <c r="H9" s="151">
        <f>G10</f>
        <v>0.33333333333333298</v>
      </c>
      <c r="I9" s="150"/>
      <c r="J9" s="150"/>
    </row>
    <row r="10" spans="3:14" ht="17" thickBot="1">
      <c r="C10" s="10"/>
      <c r="D10" s="149" t="s">
        <v>140</v>
      </c>
      <c r="E10" s="162">
        <v>0.22222222222222199</v>
      </c>
      <c r="F10" s="2"/>
      <c r="G10" s="162">
        <v>0.33333333333333298</v>
      </c>
      <c r="H10" s="11"/>
      <c r="I10" s="2"/>
      <c r="J10" s="2"/>
    </row>
    <row r="11" spans="3:14" ht="17" thickBot="1">
      <c r="C11" s="10"/>
      <c r="D11" s="149"/>
      <c r="E11" s="150"/>
      <c r="F11" s="2"/>
      <c r="G11" s="150"/>
      <c r="H11" s="11"/>
      <c r="I11" s="2"/>
      <c r="J11" s="2"/>
    </row>
    <row r="12" spans="3:14" ht="17" thickBot="1">
      <c r="C12" s="10" t="s">
        <v>137</v>
      </c>
      <c r="D12" s="2" t="s">
        <v>139</v>
      </c>
      <c r="E12" s="224">
        <v>0.79166666666666696</v>
      </c>
      <c r="F12" s="150">
        <f>E13</f>
        <v>0.20833333333333301</v>
      </c>
      <c r="G12" s="162">
        <v>0.66666700000000001</v>
      </c>
      <c r="H12" s="151">
        <f>G13</f>
        <v>0.33333000000000002</v>
      </c>
      <c r="I12" s="150"/>
      <c r="J12" s="150"/>
    </row>
    <row r="13" spans="3:14" ht="17" thickBot="1">
      <c r="C13" s="53"/>
      <c r="D13" s="54" t="s">
        <v>140</v>
      </c>
      <c r="E13" s="224">
        <v>0.20833333333333301</v>
      </c>
      <c r="F13" s="54"/>
      <c r="G13" s="162">
        <v>0.33333000000000002</v>
      </c>
      <c r="H13" s="84"/>
      <c r="I13" s="2"/>
      <c r="J13" s="2"/>
    </row>
    <row r="14" spans="3:14" ht="17" thickBot="1"/>
    <row r="15" spans="3:14" ht="48">
      <c r="C15" s="155"/>
      <c r="D15" s="158" t="s">
        <v>135</v>
      </c>
      <c r="E15" s="158" t="s">
        <v>161</v>
      </c>
      <c r="F15" s="158" t="s">
        <v>162</v>
      </c>
      <c r="G15" s="158" t="s">
        <v>138</v>
      </c>
      <c r="H15" s="158" t="s">
        <v>152</v>
      </c>
      <c r="I15" s="172" t="s">
        <v>153</v>
      </c>
      <c r="J15" s="158" t="s">
        <v>148</v>
      </c>
      <c r="K15" s="158" t="s">
        <v>149</v>
      </c>
      <c r="L15" s="158" t="s">
        <v>150</v>
      </c>
      <c r="M15" s="156" t="s">
        <v>151</v>
      </c>
    </row>
    <row r="16" spans="3:14" ht="17" thickBot="1">
      <c r="C16" s="159"/>
      <c r="D16" s="157" t="s">
        <v>136</v>
      </c>
      <c r="E16" s="163"/>
      <c r="F16" s="163"/>
      <c r="G16" s="157" t="s">
        <v>124</v>
      </c>
      <c r="H16" s="163" t="s">
        <v>124</v>
      </c>
      <c r="I16" s="173" t="s">
        <v>124</v>
      </c>
      <c r="J16" s="163"/>
      <c r="K16" s="163"/>
      <c r="L16" s="163"/>
      <c r="M16" s="164"/>
    </row>
    <row r="17" spans="3:13" ht="17" thickBot="1">
      <c r="C17" s="10" t="s">
        <v>132</v>
      </c>
      <c r="D17" s="161">
        <v>50000</v>
      </c>
      <c r="E17" s="2"/>
      <c r="F17" s="2"/>
      <c r="G17" s="161">
        <f>Electricity!G30</f>
        <v>1877.6439547113605</v>
      </c>
      <c r="H17" s="150">
        <f>G17*'Application split'!G11</f>
        <v>1561.7209354302295</v>
      </c>
      <c r="I17" s="240">
        <f>G17*'Application split'!G10</f>
        <v>313.41569373128101</v>
      </c>
      <c r="J17" s="2"/>
      <c r="K17" s="2"/>
      <c r="L17" s="2"/>
      <c r="M17" s="11"/>
    </row>
    <row r="18" spans="3:13" ht="17" thickBot="1">
      <c r="C18" s="10" t="s">
        <v>133</v>
      </c>
      <c r="D18" s="161">
        <v>0</v>
      </c>
      <c r="E18" s="150">
        <f>D18*F4/(D18*F4+D19*F9)</f>
        <v>0</v>
      </c>
      <c r="F18" s="150">
        <f>D18*H4/(D18*H4+D19*H9)</f>
        <v>0</v>
      </c>
      <c r="G18" s="153"/>
      <c r="H18" s="153">
        <f>H17*$E18</f>
        <v>0</v>
      </c>
      <c r="I18" s="175">
        <f>I17*$F18</f>
        <v>0</v>
      </c>
      <c r="J18" s="233">
        <f>D26*H18</f>
        <v>0</v>
      </c>
      <c r="K18" s="233">
        <f>H18*E26</f>
        <v>0</v>
      </c>
      <c r="L18" s="233">
        <f>I18*D28</f>
        <v>0</v>
      </c>
      <c r="M18" s="239">
        <f>I18*E28</f>
        <v>0</v>
      </c>
    </row>
    <row r="19" spans="3:13">
      <c r="C19" s="10" t="s">
        <v>134</v>
      </c>
      <c r="D19" s="2">
        <f>D17-D18</f>
        <v>50000</v>
      </c>
      <c r="E19" s="150">
        <f>D19*F9/(D18*F4+D19*F9)</f>
        <v>1</v>
      </c>
      <c r="F19" s="150">
        <f>D19*H9/(D18*H4+D19*H9)</f>
        <v>1</v>
      </c>
      <c r="G19" s="153"/>
      <c r="H19" s="153">
        <f>E19*$H17</f>
        <v>1561.7209354302295</v>
      </c>
      <c r="I19" s="175">
        <f>F19*$I17</f>
        <v>313.41569373128101</v>
      </c>
      <c r="J19" s="233">
        <f>H19</f>
        <v>1561.7209354302295</v>
      </c>
      <c r="K19" s="233"/>
      <c r="L19" s="233">
        <f>I19</f>
        <v>313.41569373128101</v>
      </c>
      <c r="M19" s="151"/>
    </row>
    <row r="20" spans="3:13" ht="17" thickBot="1">
      <c r="C20" s="10"/>
      <c r="D20" s="2"/>
      <c r="E20" s="2"/>
      <c r="F20" s="2"/>
      <c r="G20" s="2"/>
      <c r="H20" s="150"/>
      <c r="I20" s="174"/>
      <c r="J20" s="2"/>
      <c r="K20" s="2"/>
      <c r="L20" s="2"/>
      <c r="M20" s="11"/>
    </row>
    <row r="21" spans="3:13" ht="17" thickBot="1">
      <c r="C21" s="53" t="s">
        <v>137</v>
      </c>
      <c r="D21" s="161">
        <v>0</v>
      </c>
      <c r="E21" s="54"/>
      <c r="F21" s="54"/>
      <c r="G21" s="161">
        <v>0</v>
      </c>
      <c r="H21" s="169">
        <f>G21*'Application split'!G11</f>
        <v>0</v>
      </c>
      <c r="I21" s="176">
        <f>G21*'Application split'!G10</f>
        <v>0</v>
      </c>
      <c r="J21" s="154">
        <f>H21/F12*E13</f>
        <v>0</v>
      </c>
      <c r="K21" s="154"/>
      <c r="L21" s="154">
        <f>I21/H12*G13</f>
        <v>0</v>
      </c>
      <c r="M21" s="84"/>
    </row>
    <row r="22" spans="3:13" ht="17" thickBot="1">
      <c r="J22" s="185"/>
      <c r="K22" s="185"/>
      <c r="L22" s="185"/>
      <c r="M22" s="185"/>
    </row>
    <row r="23" spans="3:13">
      <c r="C23" s="322" t="s">
        <v>194</v>
      </c>
      <c r="D23" s="323"/>
      <c r="E23" s="324"/>
    </row>
    <row r="24" spans="3:13">
      <c r="C24" s="235"/>
      <c r="D24" s="234" t="s">
        <v>164</v>
      </c>
      <c r="E24" s="236" t="s">
        <v>163</v>
      </c>
    </row>
    <row r="25" spans="3:13">
      <c r="C25" s="43" t="s">
        <v>191</v>
      </c>
      <c r="D25" s="2"/>
      <c r="E25" s="11"/>
    </row>
    <row r="26" spans="3:13">
      <c r="C26" s="10" t="s">
        <v>193</v>
      </c>
      <c r="D26" s="229">
        <f>E5/SUM(E5:E6)</f>
        <v>0.49066213921901525</v>
      </c>
      <c r="E26" s="232">
        <f>E6/SUM(E5:E6)</f>
        <v>0.50933786078098475</v>
      </c>
    </row>
    <row r="27" spans="3:13" ht="17">
      <c r="C27" s="43" t="s">
        <v>192</v>
      </c>
      <c r="D27" s="229"/>
      <c r="E27" s="232"/>
      <c r="I27" s="221"/>
      <c r="J27" s="222"/>
      <c r="K27" s="222"/>
    </row>
    <row r="28" spans="3:13" ht="17" thickBot="1">
      <c r="C28" s="53" t="s">
        <v>193</v>
      </c>
      <c r="D28" s="237">
        <f>G5/SUM(G5:G6)</f>
        <v>0.4</v>
      </c>
      <c r="E28" s="238">
        <f>G6/SUM(G5:G6)</f>
        <v>0.60000000000000009</v>
      </c>
      <c r="H28" s="247"/>
    </row>
    <row r="29" spans="3:13">
      <c r="H29" s="247"/>
    </row>
    <row r="30" spans="3:13">
      <c r="H30" s="247"/>
    </row>
    <row r="31" spans="3:13">
      <c r="H31" s="247"/>
    </row>
    <row r="32" spans="3:13">
      <c r="H32" s="247"/>
    </row>
    <row r="33" spans="4:8">
      <c r="D33" s="223"/>
      <c r="E33" s="223"/>
      <c r="H33" s="247"/>
    </row>
    <row r="34" spans="4:8">
      <c r="D34" s="223"/>
      <c r="E34" s="223"/>
      <c r="H34" s="247"/>
    </row>
    <row r="35" spans="4:8">
      <c r="H35" s="247"/>
    </row>
    <row r="36" spans="4:8">
      <c r="H36" s="247"/>
    </row>
    <row r="37" spans="4:8">
      <c r="H37" s="247"/>
    </row>
    <row r="38" spans="4:8">
      <c r="H38" s="247"/>
    </row>
    <row r="39" spans="4:8">
      <c r="H39" s="247"/>
    </row>
    <row r="40" spans="4:8">
      <c r="H40" s="247"/>
    </row>
    <row r="41" spans="4:8">
      <c r="D41" s="225"/>
      <c r="E41" s="246"/>
      <c r="F41" s="225"/>
      <c r="G41" s="228"/>
      <c r="H41" s="247"/>
    </row>
  </sheetData>
  <mergeCells count="2">
    <mergeCell ref="C23:E23"/>
    <mergeCell ref="C2:H2"/>
  </mergeCells>
  <hyperlinks>
    <hyperlink ref="N5" r:id="rId1" xr:uid="{00000000-0004-0000-0700-000000000000}"/>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311B-07A3-3E4E-8261-89FFC7782736}">
  <dimension ref="D2:L24"/>
  <sheetViews>
    <sheetView workbookViewId="0">
      <selection activeCell="D22" sqref="D22:H24"/>
    </sheetView>
  </sheetViews>
  <sheetFormatPr baseColWidth="10" defaultRowHeight="16"/>
  <cols>
    <col min="4" max="4" width="13.6640625" customWidth="1"/>
    <col min="6" max="6" width="38.6640625" customWidth="1"/>
  </cols>
  <sheetData>
    <row r="2" spans="4:7">
      <c r="G2" t="s">
        <v>244</v>
      </c>
    </row>
    <row r="3" spans="4:7" ht="17" thickBot="1">
      <c r="D3">
        <v>9800.39</v>
      </c>
      <c r="E3" t="s">
        <v>124</v>
      </c>
      <c r="F3" t="s">
        <v>274</v>
      </c>
      <c r="G3" s="195" t="s">
        <v>275</v>
      </c>
    </row>
    <row r="4" spans="4:7" ht="17" thickBot="1">
      <c r="D4" s="197">
        <v>7449298</v>
      </c>
      <c r="E4" s="194" t="s">
        <v>171</v>
      </c>
      <c r="F4" s="194" t="s">
        <v>218</v>
      </c>
      <c r="G4" s="195" t="s">
        <v>216</v>
      </c>
    </row>
    <row r="5" spans="4:7" ht="17" thickBot="1">
      <c r="D5" s="256">
        <v>2775000</v>
      </c>
      <c r="E5" s="194" t="s">
        <v>171</v>
      </c>
      <c r="F5" s="194" t="s">
        <v>260</v>
      </c>
      <c r="G5" s="195" t="s">
        <v>217</v>
      </c>
    </row>
    <row r="7" spans="4:7">
      <c r="D7" s="271">
        <v>1662</v>
      </c>
      <c r="E7" t="s">
        <v>247</v>
      </c>
      <c r="F7" t="s">
        <v>240</v>
      </c>
      <c r="G7" t="s">
        <v>245</v>
      </c>
    </row>
    <row r="8" spans="4:7">
      <c r="D8" s="271">
        <v>1539</v>
      </c>
      <c r="E8" t="s">
        <v>247</v>
      </c>
      <c r="F8" t="s">
        <v>241</v>
      </c>
      <c r="G8" t="s">
        <v>245</v>
      </c>
    </row>
    <row r="9" spans="4:7">
      <c r="D9" s="268">
        <f>8760-D7</f>
        <v>7098</v>
      </c>
      <c r="E9" t="s">
        <v>247</v>
      </c>
      <c r="F9" t="s">
        <v>242</v>
      </c>
    </row>
    <row r="10" spans="4:7">
      <c r="D10" s="268">
        <f>8760-D8</f>
        <v>7221</v>
      </c>
      <c r="E10" t="s">
        <v>247</v>
      </c>
      <c r="F10" t="s">
        <v>243</v>
      </c>
    </row>
    <row r="12" spans="4:7">
      <c r="D12">
        <f>D10/D9</f>
        <v>1.0173288250211328</v>
      </c>
      <c r="E12" t="s">
        <v>248</v>
      </c>
      <c r="F12" t="s">
        <v>246</v>
      </c>
    </row>
    <row r="14" spans="4:7">
      <c r="D14">
        <f>D3/D4*D5*D12</f>
        <v>3714.0893545365725</v>
      </c>
      <c r="E14" t="s">
        <v>124</v>
      </c>
      <c r="F14" t="s">
        <v>112</v>
      </c>
    </row>
    <row r="22" spans="4:12">
      <c r="D22">
        <v>1</v>
      </c>
      <c r="E22" t="s">
        <v>270</v>
      </c>
      <c r="F22" t="s">
        <v>271</v>
      </c>
      <c r="G22">
        <v>41868</v>
      </c>
      <c r="H22" t="s">
        <v>124</v>
      </c>
      <c r="I22" t="s">
        <v>272</v>
      </c>
    </row>
    <row r="24" spans="4:12">
      <c r="D24">
        <v>0.28000000000000003</v>
      </c>
      <c r="E24" t="s">
        <v>270</v>
      </c>
      <c r="F24" t="s">
        <v>271</v>
      </c>
      <c r="G24">
        <f>D24*G22</f>
        <v>11723.04</v>
      </c>
      <c r="H24" t="s">
        <v>124</v>
      </c>
      <c r="L24" t="s">
        <v>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Changelog</vt:lpstr>
      <vt:lpstr>Sources and assumptions</vt:lpstr>
      <vt:lpstr>Final demand per energy carrier</vt:lpstr>
      <vt:lpstr>Application split</vt:lpstr>
      <vt:lpstr>Electricity</vt:lpstr>
      <vt:lpstr>Cooking</vt:lpstr>
      <vt:lpstr>Heat pumps</vt:lpstr>
      <vt:lpstr>Lighting</vt:lpstr>
      <vt:lpstr>Cooling</vt:lpstr>
      <vt:lpstr>Validation</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Chael Kruip</cp:lastModifiedBy>
  <dcterms:created xsi:type="dcterms:W3CDTF">2015-12-01T15:18:13Z</dcterms:created>
  <dcterms:modified xsi:type="dcterms:W3CDTF">2018-07-24T13:20:00Z</dcterms:modified>
</cp:coreProperties>
</file>