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bookViews>
    <workbookView xWindow="54400" yWindow="-10340" windowWidth="25600" windowHeight="2682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85" i="20" l="1"/>
  <c r="E21" i="12"/>
  <c r="J16" i="13"/>
  <c r="D107" i="20"/>
  <c r="J7" i="13"/>
  <c r="E86" i="20"/>
  <c r="E84" i="20"/>
  <c r="E83" i="20"/>
  <c r="D30" i="20"/>
  <c r="D92" i="20"/>
  <c r="K36" i="20"/>
  <c r="D59" i="20"/>
  <c r="D60" i="20"/>
  <c r="D69" i="20"/>
  <c r="D70" i="20"/>
  <c r="K37" i="20"/>
  <c r="K40" i="20"/>
  <c r="D93" i="20"/>
  <c r="D94" i="20"/>
  <c r="D71" i="20"/>
  <c r="K28" i="20"/>
  <c r="D63" i="20"/>
  <c r="D64" i="20"/>
  <c r="D65" i="20"/>
  <c r="K35" i="20"/>
  <c r="K30" i="20"/>
  <c r="K33" i="20"/>
  <c r="K41" i="20"/>
  <c r="D103" i="20"/>
  <c r="D36" i="20"/>
  <c r="D102" i="20"/>
  <c r="D104" i="20"/>
  <c r="D105" i="20"/>
  <c r="D37" i="20"/>
  <c r="K34" i="20"/>
  <c r="K42" i="20"/>
  <c r="E30" i="12"/>
  <c r="E31" i="12"/>
  <c r="J26" i="13"/>
  <c r="H26" i="13"/>
  <c r="E29" i="12"/>
  <c r="J15" i="13"/>
  <c r="H15" i="13"/>
  <c r="E20" i="12"/>
  <c r="J8" i="13"/>
  <c r="H8" i="13"/>
  <c r="E13" i="12"/>
  <c r="J9" i="13"/>
  <c r="H9" i="13"/>
  <c r="E14" i="12"/>
  <c r="J10" i="13"/>
  <c r="H10" i="13"/>
  <c r="E15" i="12"/>
  <c r="J11" i="13"/>
  <c r="H11" i="13"/>
  <c r="E16" i="12"/>
  <c r="J12" i="13"/>
  <c r="H12" i="13"/>
  <c r="E17" i="12"/>
  <c r="H7" i="13"/>
  <c r="E12" i="12"/>
  <c r="E13" i="20"/>
  <c r="E10" i="20"/>
  <c r="H19" i="13"/>
  <c r="E21" i="13"/>
  <c r="H18" i="13"/>
  <c r="E20" i="13"/>
  <c r="H17" i="13"/>
  <c r="E19" i="13"/>
  <c r="H16" i="13"/>
  <c r="E18" i="13"/>
  <c r="E17" i="13"/>
  <c r="H21" i="13"/>
  <c r="H22" i="13"/>
  <c r="E23" i="12"/>
  <c r="H23" i="13"/>
  <c r="E24" i="12"/>
  <c r="H24" i="13"/>
  <c r="H20" i="13"/>
  <c r="E22" i="12"/>
</calcChain>
</file>

<file path=xl/sharedStrings.xml><?xml version="1.0" encoding="utf-8"?>
<sst xmlns="http://schemas.openxmlformats.org/spreadsheetml/2006/main" count="316" uniqueCount="201">
  <si>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</si>
  <si>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</si>
  <si>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</si>
  <si>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</si>
  <si>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</si>
  <si>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</si>
  <si>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</si>
  <si>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</si>
  <si>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</si>
  <si>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</si>
  <si>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</si>
  <si>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</si>
  <si>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</si>
  <si>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</si>
  <si>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</si>
  <si>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</si>
  <si>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</si>
  <si>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</si>
  <si>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</si>
  <si>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</si>
  <si>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</si>
  <si>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</si>
  <si>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</si>
  <si>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</si>
  <si>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</si>
  <si>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</si>
  <si>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</si>
  <si>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</si>
  <si>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</si>
  <si>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</si>
  <si>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</si>
  <si>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</si>
  <si>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</si>
  <si>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</si>
  <si>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</si>
  <si>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</si>
  <si>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</si>
  <si>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</si>
  <si>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</si>
  <si>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</si>
  <si>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</si>
  <si>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</si>
  <si>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</si>
  <si>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</si>
  <si>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ETM Library URL</t>
  </si>
  <si>
    <t>Values</t>
  </si>
  <si>
    <t>euro/yr</t>
  </si>
  <si>
    <t>Page</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</si>
  <si>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</si>
  <si>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</si>
  <si>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</si>
  <si>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</si>
  <si>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</si>
  <si>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</si>
  <si>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</si>
  <si>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</si>
  <si>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</si>
  <si>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</si>
  <si>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</si>
  <si>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</si>
  <si>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</si>
  <si>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</si>
  <si>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</si>
  <si>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</si>
  <si>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</si>
  <si>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</si>
  <si>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</si>
  <si>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</si>
  <si>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</si>
  <si>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</si>
  <si>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</si>
  <si>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</si>
  <si>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</si>
  <si>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included in initial_investment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</si>
  <si>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</si>
  <si>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</si>
  <si>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input.electricity</t>
  </si>
  <si>
    <t>input.useable_heat</t>
  </si>
  <si>
    <t>output.co</t>
  </si>
  <si>
    <t>output.loss</t>
  </si>
  <si>
    <t>MWe</t>
  </si>
  <si>
    <t>Energy requirements</t>
  </si>
  <si>
    <t>Investment, O&amp;M, Lifetime</t>
  </si>
  <si>
    <t>energy density CO</t>
  </si>
  <si>
    <t>MJ/kg</t>
  </si>
  <si>
    <t>hr/yr</t>
  </si>
  <si>
    <t>yr</t>
  </si>
  <si>
    <t>Constants</t>
  </si>
  <si>
    <t>Molar masses</t>
  </si>
  <si>
    <t>H2</t>
  </si>
  <si>
    <t>g/mol</t>
  </si>
  <si>
    <t>CO</t>
  </si>
  <si>
    <t>CO2</t>
  </si>
  <si>
    <t>C11H24</t>
  </si>
  <si>
    <t>O2</t>
  </si>
  <si>
    <t>CH3OH</t>
  </si>
  <si>
    <t>C2H5OH</t>
  </si>
  <si>
    <t>kg/l</t>
  </si>
  <si>
    <t>Mwe</t>
  </si>
  <si>
    <t>M€</t>
  </si>
  <si>
    <t>€</t>
  </si>
  <si>
    <t xml:space="preserve">Yield, lifetime </t>
  </si>
  <si>
    <t>CO2 capture</t>
  </si>
  <si>
    <t>PEM-CO2&gt;CO</t>
  </si>
  <si>
    <t>Efficiency</t>
  </si>
  <si>
    <t>Costs (except catalyst cost)</t>
  </si>
  <si>
    <t>Subject</t>
  </si>
  <si>
    <t>CO2 abatement in the iron and steel industry.</t>
  </si>
  <si>
    <t xml:space="preserve">IEA </t>
  </si>
  <si>
    <t>Economic process design for separation of CO2 from the off-gases in ironmaking and steelmaking plants. Energy 88, 756-764</t>
  </si>
  <si>
    <t>Kim et al.</t>
  </si>
  <si>
    <t>CO2 capture in industries and distributed energy systems: Possibilities and limitations</t>
  </si>
  <si>
    <t>Kuramochi</t>
  </si>
  <si>
    <t>Opportunities &amp; challenges in electrochemical CO2 utilization using a PEM electrolyzer</t>
  </si>
  <si>
    <t xml:space="preserve">Opus 12 </t>
  </si>
  <si>
    <t>Scaling Electrolysis to 100 MW</t>
  </si>
  <si>
    <t xml:space="preserve">ITM Power </t>
  </si>
  <si>
    <t>Investment</t>
  </si>
  <si>
    <t>O&amp;M</t>
  </si>
  <si>
    <t>Operation &amp; Maintenance</t>
  </si>
  <si>
    <t>Total investment</t>
  </si>
  <si>
    <t>Investment PEM</t>
  </si>
  <si>
    <t>Investment CO2</t>
  </si>
  <si>
    <t>Opus 12</t>
  </si>
  <si>
    <t>Yield</t>
  </si>
  <si>
    <t>Electricity req</t>
  </si>
  <si>
    <t>kWh/t CO2</t>
  </si>
  <si>
    <t>Lifetime</t>
  </si>
  <si>
    <t>hrs</t>
  </si>
  <si>
    <t>Lifetime stack</t>
  </si>
  <si>
    <t>yrs</t>
  </si>
  <si>
    <t>Lifetime rest</t>
  </si>
  <si>
    <t>€/kW</t>
  </si>
  <si>
    <t>CO prod</t>
  </si>
  <si>
    <t>Mt/y</t>
  </si>
  <si>
    <t>GWh</t>
  </si>
  <si>
    <t>FLH</t>
  </si>
  <si>
    <t>Peak factor</t>
  </si>
  <si>
    <t>Size</t>
  </si>
  <si>
    <t>Interest</t>
  </si>
  <si>
    <t>Concentrated CO2 assumptions</t>
  </si>
  <si>
    <t>Concentrated CO2</t>
  </si>
  <si>
    <t>Mt CO2/yr</t>
  </si>
  <si>
    <t>Capture potential</t>
  </si>
  <si>
    <t>Kim et al., IEA</t>
  </si>
  <si>
    <t>Capture costs</t>
  </si>
  <si>
    <t>€/t CO2</t>
  </si>
  <si>
    <t>IEA</t>
  </si>
  <si>
    <t>capture+compression 20 bar</t>
  </si>
  <si>
    <t>Steam req</t>
  </si>
  <si>
    <t>GJ/t CO2</t>
  </si>
  <si>
    <t>sorbent regen.</t>
  </si>
  <si>
    <t>€/t CO2/y</t>
  </si>
  <si>
    <t>% CAPEX</t>
  </si>
  <si>
    <t>y</t>
  </si>
  <si>
    <t>to</t>
  </si>
  <si>
    <t>PARAMETERS FOR PROCESS STEPS</t>
  </si>
  <si>
    <t>INPUT/OUTPUT SHARES</t>
  </si>
  <si>
    <t>Overall cost</t>
  </si>
  <si>
    <t>Fraction for stack</t>
  </si>
  <si>
    <t>euro/kW</t>
  </si>
  <si>
    <t>FCH</t>
  </si>
  <si>
    <t>Aalborg University</t>
  </si>
  <si>
    <t>Investment costs</t>
  </si>
  <si>
    <t>Fuel cells and hydrogen joint undertaking</t>
  </si>
  <si>
    <t>EU</t>
  </si>
  <si>
    <t>http://refman.et-model.com/publications/2020</t>
  </si>
  <si>
    <t>http://www.fch.europa.eu/sites/default/files/study%20electrolyser_0-Logos_0.pdf</t>
  </si>
  <si>
    <t>DK</t>
  </si>
  <si>
    <t>http://refman.et-model.com/publications/2025</t>
  </si>
  <si>
    <t>http://vbn.aau.dk/files/80222058/Technology_data_for_SOEC_alkali_and_PEM_electrolysers.pdf</t>
  </si>
  <si>
    <t>bunkers_p2l_point_source_co2</t>
  </si>
  <si>
    <t>€/year</t>
  </si>
  <si>
    <t>PEM CO2</t>
  </si>
  <si>
    <t>Opus 12 uses PEM technology with a different catalyst layer at the cathode to convert CO2</t>
  </si>
  <si>
    <t>Reactions</t>
  </si>
  <si>
    <t>Anode</t>
  </si>
  <si>
    <t>2H2O -&gt; O2 + 4H+ + 4e-</t>
  </si>
  <si>
    <t>Cathode</t>
  </si>
  <si>
    <t>2CO2  + 4H+ +4e- -&gt; 2CO + 2H2O</t>
  </si>
  <si>
    <t>Net</t>
  </si>
  <si>
    <t>2CO2 -&gt; 2CO + O2</t>
  </si>
  <si>
    <t>reverse combustion'</t>
  </si>
  <si>
    <t>Can synthesize more complicated compounds this way</t>
  </si>
  <si>
    <t xml:space="preserve">Energy efficiency is </t>
  </si>
  <si>
    <t>55% currently, up to 75%</t>
  </si>
  <si>
    <t>kWh/L CO</t>
  </si>
  <si>
    <t>t CO2</t>
  </si>
  <si>
    <t>mol CO2</t>
  </si>
  <si>
    <t>Energy requirement is</t>
  </si>
  <si>
    <t>kL</t>
  </si>
  <si>
    <t>https://closingthecarboncycle.files.wordpress.com/2016/10/20160929-opus-12-closing-the-carbon-cycle.pdf</t>
  </si>
  <si>
    <t>kWh/ 510 kL</t>
  </si>
  <si>
    <t>kWh/t CO</t>
  </si>
  <si>
    <t>CO2 Electrolysis (PEM)</t>
  </si>
  <si>
    <t>Power CO2</t>
  </si>
  <si>
    <t>Power PEM</t>
  </si>
  <si>
    <t>Total power</t>
  </si>
  <si>
    <t>POWER</t>
  </si>
  <si>
    <t>COSTS</t>
  </si>
  <si>
    <t>Overall lifetime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</si>
</sst>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
    <numFmt numFmtId="168" formatCode="[$-413]mmm\-yy;@"/>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6"/>
      <color rgb="FFFFFFFF"/>
      <name val="Calibri"/>
      <family val="2"/>
    </font>
    <font>
      <b/>
      <sz val="16"/>
      <color theme="0"/>
      <name val="Calibri"/>
      <family val="2"/>
      <scheme val="minor"/>
    </font>
    <font>
      <b/>
      <sz val="16"/>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
      <patternFill patternType="solid">
        <fgColor indexed="65"/>
        <bgColor rgb="FF000000"/>
      </patternFill>
    </fill>
    <fill>
      <patternFill patternType="solid">
        <fgColor rgb="FF000000"/>
        <bgColor rgb="FF000000"/>
      </patternFill>
    </fill>
    <fill>
      <patternFill patternType="solid">
        <fgColor theme="1"/>
        <bgColor indexed="64"/>
      </patternFill>
    </fill>
    <fill>
      <patternFill patternType="solid">
        <fgColor theme="2" tint="-0.499984740745262"/>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496">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02">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6" xfId="0" applyFont="1" applyFill="1" applyBorder="1"/>
    <xf numFmtId="0" fontId="27" fillId="2" borderId="0" xfId="0" applyFont="1" applyFill="1" applyBorder="1"/>
    <xf numFmtId="0" fontId="28" fillId="2" borderId="9"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8" fillId="2" borderId="16" xfId="0" applyFont="1" applyFill="1" applyBorder="1"/>
    <xf numFmtId="0" fontId="27" fillId="2" borderId="19" xfId="0" applyFont="1" applyFill="1" applyBorder="1"/>
    <xf numFmtId="0" fontId="12" fillId="0" borderId="0" xfId="0" applyFont="1" applyFill="1"/>
    <xf numFmtId="0" fontId="11" fillId="0" borderId="0" xfId="0" applyFont="1" applyFill="1" applyBorder="1"/>
    <xf numFmtId="0" fontId="11" fillId="2" borderId="18" xfId="0" applyFont="1" applyFill="1" applyBorder="1"/>
    <xf numFmtId="0" fontId="11" fillId="2" borderId="0" xfId="0" applyFont="1" applyFill="1"/>
    <xf numFmtId="0" fontId="11" fillId="2" borderId="6" xfId="0" applyFont="1" applyFill="1" applyBorder="1"/>
    <xf numFmtId="0" fontId="11" fillId="2" borderId="5" xfId="0" applyFont="1" applyFill="1" applyBorder="1"/>
    <xf numFmtId="164"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64"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2" fontId="11" fillId="2" borderId="18" xfId="0" applyNumberFormat="1" applyFont="1" applyFill="1" applyBorder="1" applyAlignment="1" applyProtection="1">
      <alignment horizontal="right" vertical="center"/>
    </xf>
    <xf numFmtId="0" fontId="11" fillId="0" borderId="0" xfId="0" applyFont="1" applyFill="1"/>
    <xf numFmtId="167" fontId="11" fillId="2" borderId="18" xfId="0" applyNumberFormat="1" applyFont="1" applyFill="1" applyBorder="1"/>
    <xf numFmtId="1" fontId="27" fillId="2" borderId="0" xfId="0" applyNumberFormat="1" applyFont="1" applyFill="1"/>
    <xf numFmtId="166" fontId="18" fillId="2" borderId="6" xfId="0" applyNumberFormat="1" applyFont="1" applyFill="1" applyBorder="1"/>
    <xf numFmtId="166" fontId="11"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18" fillId="2" borderId="5" xfId="0" applyNumberFormat="1" applyFont="1" applyFill="1" applyBorder="1"/>
    <xf numFmtId="0" fontId="10" fillId="0" borderId="0" xfId="0" applyFont="1" applyFill="1" applyBorder="1"/>
    <xf numFmtId="0" fontId="30" fillId="0" borderId="0" xfId="0" applyFont="1"/>
    <xf numFmtId="166" fontId="9" fillId="0" borderId="0" xfId="0" applyNumberFormat="1" applyFont="1" applyFill="1" applyBorder="1"/>
    <xf numFmtId="0" fontId="9"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166" fontId="8" fillId="2" borderId="18" xfId="0" applyNumberFormat="1" applyFont="1" applyFill="1" applyBorder="1"/>
    <xf numFmtId="166" fontId="7" fillId="0" borderId="0" xfId="0" applyNumberFormat="1" applyFont="1" applyFill="1" applyBorder="1"/>
    <xf numFmtId="0" fontId="33" fillId="12" borderId="0" xfId="0" applyFont="1" applyFill="1"/>
    <xf numFmtId="165" fontId="27" fillId="2" borderId="0" xfId="0" applyNumberFormat="1" applyFont="1" applyFill="1"/>
    <xf numFmtId="0" fontId="33" fillId="12" borderId="6" xfId="0" applyFont="1" applyFill="1" applyBorder="1"/>
    <xf numFmtId="0" fontId="6" fillId="0" borderId="0" xfId="0" applyFont="1" applyFill="1" applyBorder="1"/>
    <xf numFmtId="2" fontId="17"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30" fillId="12" borderId="18" xfId="0" applyFont="1" applyFill="1" applyBorder="1"/>
    <xf numFmtId="166" fontId="5" fillId="2" borderId="18" xfId="0" applyNumberFormat="1" applyFont="1" applyFill="1" applyBorder="1"/>
    <xf numFmtId="0" fontId="4" fillId="0" borderId="0" xfId="0" applyFont="1" applyFill="1"/>
    <xf numFmtId="0" fontId="4" fillId="2" borderId="18" xfId="0" applyFont="1" applyFill="1" applyBorder="1"/>
    <xf numFmtId="0" fontId="22" fillId="13" borderId="0" xfId="0" applyFont="1" applyFill="1" applyBorder="1"/>
    <xf numFmtId="0" fontId="3" fillId="2" borderId="0" xfId="0" applyFont="1" applyFill="1" applyAlignment="1">
      <alignment vertical="center"/>
    </xf>
    <xf numFmtId="0" fontId="3" fillId="2" borderId="6" xfId="0" applyFont="1" applyFill="1" applyBorder="1" applyAlignment="1">
      <alignment vertical="center"/>
    </xf>
    <xf numFmtId="0" fontId="3" fillId="0" borderId="0" xfId="0" applyFont="1" applyFill="1" applyBorder="1" applyAlignment="1">
      <alignment vertical="center"/>
    </xf>
    <xf numFmtId="0" fontId="23" fillId="0" borderId="0" xfId="0" applyFont="1" applyFill="1" applyBorder="1" applyAlignment="1">
      <alignment vertical="center"/>
    </xf>
    <xf numFmtId="166" fontId="3" fillId="2" borderId="18" xfId="0" applyNumberFormat="1" applyFont="1" applyFill="1" applyBorder="1"/>
    <xf numFmtId="0" fontId="3" fillId="2" borderId="18"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164" fontId="3" fillId="2" borderId="18" xfId="0" applyNumberFormat="1" applyFont="1" applyFill="1" applyBorder="1"/>
    <xf numFmtId="0" fontId="34" fillId="2" borderId="0" xfId="0" applyFont="1" applyFill="1" applyAlignment="1">
      <alignment vertical="center"/>
    </xf>
    <xf numFmtId="0" fontId="22" fillId="2" borderId="6" xfId="0" applyFont="1" applyFill="1" applyBorder="1" applyAlignment="1">
      <alignment vertical="center"/>
    </xf>
    <xf numFmtId="2" fontId="3" fillId="2" borderId="18" xfId="0" applyNumberFormat="1" applyFont="1" applyFill="1" applyBorder="1" applyAlignment="1">
      <alignment vertical="center"/>
    </xf>
    <xf numFmtId="0" fontId="22" fillId="0" borderId="0" xfId="0" applyFont="1" applyFill="1" applyBorder="1" applyAlignment="1">
      <alignment vertical="center"/>
    </xf>
    <xf numFmtId="0" fontId="34" fillId="2" borderId="5" xfId="0" applyFont="1" applyFill="1" applyBorder="1" applyAlignment="1">
      <alignment vertical="center"/>
    </xf>
    <xf numFmtId="0" fontId="11" fillId="5" borderId="0" xfId="0" applyFont="1" applyFill="1" applyBorder="1"/>
    <xf numFmtId="0" fontId="3" fillId="2" borderId="0" xfId="0" applyFont="1" applyFill="1"/>
    <xf numFmtId="0" fontId="28" fillId="2" borderId="6" xfId="0" applyFont="1" applyFill="1" applyBorder="1"/>
    <xf numFmtId="0" fontId="28" fillId="2" borderId="0" xfId="0" applyFont="1" applyFill="1" applyBorder="1"/>
    <xf numFmtId="2" fontId="22" fillId="13" borderId="0" xfId="0" applyNumberFormat="1" applyFont="1" applyFill="1" applyBorder="1"/>
    <xf numFmtId="0" fontId="0" fillId="13" borderId="0" xfId="0" applyFill="1" applyBorder="1"/>
    <xf numFmtId="0" fontId="3" fillId="13" borderId="0" xfId="0" applyFont="1" applyFill="1" applyBorder="1"/>
    <xf numFmtId="0" fontId="27" fillId="2" borderId="7" xfId="0" applyFont="1" applyFill="1" applyBorder="1"/>
    <xf numFmtId="1" fontId="11" fillId="2" borderId="18" xfId="0" applyNumberFormat="1" applyFont="1" applyFill="1" applyBorder="1" applyAlignment="1" applyProtection="1">
      <alignment horizontal="right" vertical="center"/>
    </xf>
    <xf numFmtId="0" fontId="17" fillId="2" borderId="21" xfId="0" applyFont="1" applyFill="1" applyBorder="1"/>
    <xf numFmtId="0" fontId="17" fillId="2" borderId="18" xfId="0" applyFont="1" applyFill="1" applyBorder="1"/>
    <xf numFmtId="2" fontId="17" fillId="2" borderId="18" xfId="0" applyNumberFormat="1" applyFont="1" applyFill="1" applyBorder="1"/>
    <xf numFmtId="2" fontId="4" fillId="2" borderId="18" xfId="0" applyNumberFormat="1" applyFont="1" applyFill="1" applyBorder="1"/>
    <xf numFmtId="2" fontId="22" fillId="2" borderId="18" xfId="0" applyNumberFormat="1" applyFont="1" applyFill="1" applyBorder="1" applyAlignment="1" applyProtection="1">
      <alignment horizontal="right" vertical="center"/>
    </xf>
    <xf numFmtId="0" fontId="2" fillId="2" borderId="0" xfId="0" applyFont="1" applyFill="1"/>
    <xf numFmtId="0" fontId="27" fillId="2" borderId="8" xfId="0" applyFont="1" applyFill="1" applyBorder="1"/>
    <xf numFmtId="0" fontId="27" fillId="2" borderId="2" xfId="0" applyFont="1" applyFill="1" applyBorder="1"/>
    <xf numFmtId="0" fontId="27" fillId="2" borderId="13" xfId="0" applyFont="1" applyFill="1" applyBorder="1"/>
    <xf numFmtId="0" fontId="27" fillId="2" borderId="1" xfId="0" applyFont="1" applyFill="1" applyBorder="1"/>
    <xf numFmtId="0" fontId="27" fillId="2" borderId="14" xfId="0" applyFont="1" applyFill="1" applyBorder="1"/>
    <xf numFmtId="0" fontId="28" fillId="2" borderId="8" xfId="0" applyFont="1" applyFill="1" applyBorder="1"/>
    <xf numFmtId="0" fontId="28" fillId="2" borderId="17" xfId="0" applyFont="1" applyFill="1" applyBorder="1"/>
    <xf numFmtId="0" fontId="28" fillId="2" borderId="2" xfId="0" applyFont="1" applyFill="1" applyBorder="1"/>
    <xf numFmtId="0" fontId="30" fillId="14" borderId="0" xfId="0" applyFont="1" applyFill="1" applyBorder="1"/>
    <xf numFmtId="20" fontId="30" fillId="14" borderId="0" xfId="0" applyNumberFormat="1" applyFont="1" applyFill="1" applyBorder="1"/>
    <xf numFmtId="0" fontId="35" fillId="15" borderId="0" xfId="0" applyFont="1" applyFill="1" applyAlignment="1">
      <alignment horizontal="center"/>
    </xf>
    <xf numFmtId="0" fontId="36" fillId="16" borderId="0" xfId="0" applyFont="1" applyFill="1" applyBorder="1" applyAlignment="1">
      <alignment horizontal="center"/>
    </xf>
    <xf numFmtId="0" fontId="36" fillId="17" borderId="0" xfId="0" applyFont="1" applyFill="1" applyBorder="1" applyAlignment="1">
      <alignment horizontal="center"/>
    </xf>
    <xf numFmtId="0" fontId="27" fillId="5" borderId="0" xfId="0" applyFont="1" applyFill="1" applyBorder="1"/>
    <xf numFmtId="0" fontId="30" fillId="12" borderId="0" xfId="0" applyFont="1" applyFill="1"/>
    <xf numFmtId="17" fontId="30" fillId="12" borderId="0" xfId="0" applyNumberFormat="1" applyFont="1" applyFill="1" applyAlignment="1">
      <alignment horizontal="right"/>
    </xf>
    <xf numFmtId="49" fontId="30" fillId="12" borderId="0" xfId="0" applyNumberFormat="1" applyFont="1" applyFill="1"/>
    <xf numFmtId="17" fontId="2" fillId="2" borderId="0" xfId="0" applyNumberFormat="1" applyFont="1" applyFill="1" applyBorder="1" applyAlignment="1">
      <alignment horizontal="right"/>
    </xf>
    <xf numFmtId="49" fontId="2" fillId="2" borderId="0" xfId="0" applyNumberFormat="1" applyFont="1" applyFill="1"/>
    <xf numFmtId="168" fontId="2" fillId="2" borderId="0" xfId="0" applyNumberFormat="1" applyFont="1" applyFill="1"/>
    <xf numFmtId="0" fontId="37" fillId="2" borderId="0" xfId="0" applyFont="1" applyFill="1" applyBorder="1"/>
    <xf numFmtId="2" fontId="27" fillId="2" borderId="0" xfId="0" applyNumberFormat="1" applyFont="1" applyFill="1"/>
    <xf numFmtId="2" fontId="27" fillId="2" borderId="0" xfId="0" applyNumberFormat="1" applyFont="1" applyFill="1" applyBorder="1"/>
    <xf numFmtId="2" fontId="28" fillId="2" borderId="0" xfId="0" applyNumberFormat="1" applyFont="1" applyFill="1"/>
    <xf numFmtId="2" fontId="11" fillId="2" borderId="18" xfId="0" applyNumberFormat="1"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21</xdr:col>
      <xdr:colOff>342900</xdr:colOff>
      <xdr:row>4</xdr:row>
      <xdr:rowOff>203200</xdr:rowOff>
    </xdr:from>
    <xdr:to>
      <xdr:col>28</xdr:col>
      <xdr:colOff>304800</xdr:colOff>
      <xdr:row>31</xdr:row>
      <xdr:rowOff>177800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7894300" y="1054100"/>
          <a:ext cx="5740400" cy="5892800"/>
        </a:xfrm>
        <a:prstGeom prst="rect">
          <a:avLst/>
        </a:prstGeom>
      </xdr:spPr>
    </xdr:pic>
    <xdr:clientData/>
  </xdr:twoCellAnchor>
  <xdr:twoCellAnchor editAs="oneCell">
    <xdr:from>
      <xdr:col>14</xdr:col>
      <xdr:colOff>139700</xdr:colOff>
      <xdr:row>9</xdr:row>
      <xdr:rowOff>50800</xdr:rowOff>
    </xdr:from>
    <xdr:to>
      <xdr:col>21</xdr:col>
      <xdr:colOff>381000</xdr:colOff>
      <xdr:row>32</xdr:row>
      <xdr:rowOff>127000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1811000" y="1981200"/>
          <a:ext cx="6121400" cy="5118100"/>
        </a:xfrm>
        <a:prstGeom prst="rect">
          <a:avLst/>
        </a:prstGeom>
      </xdr:spPr>
    </xdr:pic>
    <xdr:clientData/>
  </xdr:twoCellAnchor>
  <xdr:twoCellAnchor editAs="oneCell">
    <xdr:from>
      <xdr:col>9</xdr:col>
      <xdr:colOff>73507</xdr:colOff>
      <xdr:row>45</xdr:row>
      <xdr:rowOff>247725</xdr:rowOff>
    </xdr:from>
    <xdr:to>
      <xdr:col>16</xdr:col>
      <xdr:colOff>256694</xdr:colOff>
      <xdr:row>59</xdr:row>
      <xdr:rowOff>18976</xdr:rowOff>
    </xdr:to>
    <xdr:pic>
      <xdr:nvPicPr>
        <xdr:cNvPr id="20" name="Picture 19"/>
        <xdr:cNvPicPr>
          <a:picLocks noChangeAspect="1"/>
        </xdr:cNvPicPr>
      </xdr:nvPicPr>
      <xdr:blipFill>
        <a:blip xmlns:r="http://schemas.openxmlformats.org/officeDocument/2006/relationships" r:embed="rId3"/>
        <a:stretch>
          <a:fillRect/>
        </a:stretch>
      </xdr:blipFill>
      <xdr:spPr>
        <a:xfrm>
          <a:off x="7249007" y="10115625"/>
          <a:ext cx="6431587" cy="2704951"/>
        </a:xfrm>
        <a:prstGeom prst="rect">
          <a:avLst/>
        </a:prstGeom>
      </xdr:spPr>
    </xdr:pic>
    <xdr:clientData/>
  </xdr:twoCellAnchor>
  <xdr:twoCellAnchor editAs="oneCell">
    <xdr:from>
      <xdr:col>9</xdr:col>
      <xdr:colOff>273374</xdr:colOff>
      <xdr:row>59</xdr:row>
      <xdr:rowOff>88900</xdr:rowOff>
    </xdr:from>
    <xdr:to>
      <xdr:col>12</xdr:col>
      <xdr:colOff>348926</xdr:colOff>
      <xdr:row>76</xdr:row>
      <xdr:rowOff>88900</xdr:rowOff>
    </xdr:to>
    <xdr:pic>
      <xdr:nvPicPr>
        <xdr:cNvPr id="21" name="Picture 20"/>
        <xdr:cNvPicPr>
          <a:picLocks noChangeAspect="1"/>
        </xdr:cNvPicPr>
      </xdr:nvPicPr>
      <xdr:blipFill>
        <a:blip xmlns:r="http://schemas.openxmlformats.org/officeDocument/2006/relationships" r:embed="rId4"/>
        <a:stretch>
          <a:fillRect/>
        </a:stretch>
      </xdr:blipFill>
      <xdr:spPr>
        <a:xfrm>
          <a:off x="7448874" y="12890500"/>
          <a:ext cx="2552052" cy="3530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5" style="30" customWidth="1"/>
    <col min="2" max="2" width="11.5" style="21" customWidth="1"/>
    <col min="3" max="3" width="38.5" style="21" customWidth="1"/>
    <col min="4" max="16384" width="10.83203125" style="21"/>
  </cols>
  <sheetData>
    <row r="1" spans="1:3" s="28" customFormat="1" x14ac:dyDescent="0.2">
      <c r="A1" s="26"/>
      <c r="B1" s="27"/>
      <c r="C1" s="27"/>
    </row>
    <row r="2" spans="1:3" ht="21" x14ac:dyDescent="0.25">
      <c r="A2" s="1"/>
      <c r="B2" s="29" t="s">
        <v>9</v>
      </c>
      <c r="C2" s="29"/>
    </row>
    <row r="3" spans="1:3" x14ac:dyDescent="0.2">
      <c r="A3" s="1"/>
      <c r="B3" s="8"/>
      <c r="C3" s="8"/>
    </row>
    <row r="4" spans="1:3" x14ac:dyDescent="0.2">
      <c r="A4" s="1"/>
      <c r="B4" s="2" t="s">
        <v>10</v>
      </c>
      <c r="C4" s="3" t="s">
        <v>171</v>
      </c>
    </row>
    <row r="5" spans="1:3" x14ac:dyDescent="0.2">
      <c r="A5" s="1"/>
      <c r="B5" s="4" t="s">
        <v>40</v>
      </c>
      <c r="C5" s="5" t="s">
        <v>75</v>
      </c>
    </row>
    <row r="6" spans="1:3" x14ac:dyDescent="0.2">
      <c r="A6" s="1"/>
      <c r="B6" s="6" t="s">
        <v>12</v>
      </c>
      <c r="C6" s="7" t="s">
        <v>13</v>
      </c>
    </row>
    <row r="7" spans="1:3" x14ac:dyDescent="0.2">
      <c r="A7" s="1"/>
      <c r="B7" s="8"/>
      <c r="C7" s="8"/>
    </row>
    <row r="8" spans="1:3" x14ac:dyDescent="0.2">
      <c r="A8" s="1"/>
      <c r="B8" s="8"/>
      <c r="C8" s="8"/>
    </row>
    <row r="9" spans="1:3" x14ac:dyDescent="0.2">
      <c r="A9" s="1"/>
      <c r="B9" s="70" t="s">
        <v>25</v>
      </c>
      <c r="C9" s="71"/>
    </row>
    <row r="10" spans="1:3" x14ac:dyDescent="0.2">
      <c r="A10" s="1"/>
      <c r="B10" s="72"/>
      <c r="C10" s="73"/>
    </row>
    <row r="11" spans="1:3" x14ac:dyDescent="0.2">
      <c r="A11" s="1"/>
      <c r="B11" s="72" t="s">
        <v>26</v>
      </c>
      <c r="C11" s="74" t="s">
        <v>27</v>
      </c>
    </row>
    <row r="12" spans="1:3" ht="17" thickBot="1" x14ac:dyDescent="0.25">
      <c r="A12" s="1"/>
      <c r="B12" s="72"/>
      <c r="C12" s="12" t="s">
        <v>28</v>
      </c>
    </row>
    <row r="13" spans="1:3" ht="17" thickBot="1" x14ac:dyDescent="0.25">
      <c r="A13" s="1"/>
      <c r="B13" s="72"/>
      <c r="C13" s="75" t="s">
        <v>29</v>
      </c>
    </row>
    <row r="14" spans="1:3" x14ac:dyDescent="0.2">
      <c r="A14" s="1"/>
      <c r="B14" s="72"/>
      <c r="C14" s="73" t="s">
        <v>30</v>
      </c>
    </row>
    <row r="15" spans="1:3" x14ac:dyDescent="0.2">
      <c r="A15" s="1"/>
      <c r="B15" s="72"/>
      <c r="C15" s="73"/>
    </row>
    <row r="16" spans="1:3" x14ac:dyDescent="0.2">
      <c r="A16" s="1"/>
      <c r="B16" s="72" t="s">
        <v>31</v>
      </c>
      <c r="C16" s="76" t="s">
        <v>32</v>
      </c>
    </row>
    <row r="17" spans="1:3" x14ac:dyDescent="0.2">
      <c r="A17" s="1"/>
      <c r="B17" s="72"/>
      <c r="C17" s="77" t="s">
        <v>33</v>
      </c>
    </row>
    <row r="18" spans="1:3" x14ac:dyDescent="0.2">
      <c r="A18" s="1"/>
      <c r="B18" s="72"/>
      <c r="C18" s="78" t="s">
        <v>34</v>
      </c>
    </row>
    <row r="19" spans="1:3" x14ac:dyDescent="0.2">
      <c r="A19" s="1"/>
      <c r="B19" s="72"/>
      <c r="C19" s="79" t="s">
        <v>35</v>
      </c>
    </row>
    <row r="20" spans="1:3" x14ac:dyDescent="0.2">
      <c r="A20" s="1"/>
      <c r="B20" s="80"/>
      <c r="C20" s="81" t="s">
        <v>36</v>
      </c>
    </row>
    <row r="21" spans="1:3" x14ac:dyDescent="0.2">
      <c r="A21" s="1"/>
      <c r="B21" s="80"/>
      <c r="C21" s="82" t="s">
        <v>37</v>
      </c>
    </row>
    <row r="22" spans="1:3" x14ac:dyDescent="0.2">
      <c r="A22" s="1"/>
      <c r="B22" s="80"/>
      <c r="C22" s="83" t="s">
        <v>38</v>
      </c>
    </row>
    <row r="23" spans="1:3" x14ac:dyDescent="0.2">
      <c r="B23" s="80"/>
      <c r="C23" s="8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3"/>
  <sheetViews>
    <sheetView workbookViewId="0">
      <selection activeCell="G45" sqref="G45"/>
    </sheetView>
  </sheetViews>
  <sheetFormatPr baseColWidth="10" defaultRowHeight="16" x14ac:dyDescent="0.2"/>
  <cols>
    <col min="1" max="2" width="3.5" style="34" customWidth="1"/>
    <col min="3" max="3" width="51.5" style="34" customWidth="1"/>
    <col min="4" max="4" width="9.5" style="34" customWidth="1"/>
    <col min="5" max="5" width="15.5" style="34" customWidth="1"/>
    <col min="6" max="6" width="4.5" style="34" customWidth="1"/>
    <col min="7" max="7" width="49.5" style="34" customWidth="1"/>
    <col min="8" max="8" width="20.83203125" style="34" customWidth="1"/>
    <col min="9" max="9" width="42.5" style="34" customWidth="1"/>
    <col min="10" max="10" width="5.5" style="34" customWidth="1"/>
    <col min="11" max="16384" width="10.83203125" style="34"/>
  </cols>
  <sheetData>
    <row r="1" spans="1:11" x14ac:dyDescent="0.2">
      <c r="D1" s="35"/>
    </row>
    <row r="2" spans="1:11" x14ac:dyDescent="0.2">
      <c r="B2" s="193" t="s">
        <v>74</v>
      </c>
      <c r="C2" s="194"/>
      <c r="D2" s="194"/>
      <c r="E2" s="195"/>
      <c r="F2" s="35"/>
      <c r="G2" s="35"/>
    </row>
    <row r="3" spans="1:11" x14ac:dyDescent="0.2">
      <c r="B3" s="196"/>
      <c r="C3" s="197"/>
      <c r="D3" s="197"/>
      <c r="E3" s="198"/>
      <c r="F3" s="35"/>
      <c r="G3" s="35"/>
    </row>
    <row r="4" spans="1:11" x14ac:dyDescent="0.2">
      <c r="B4" s="196"/>
      <c r="C4" s="197"/>
      <c r="D4" s="197"/>
      <c r="E4" s="198"/>
      <c r="F4" s="35"/>
      <c r="G4" s="35"/>
    </row>
    <row r="5" spans="1:11" x14ac:dyDescent="0.2">
      <c r="B5" s="199"/>
      <c r="C5" s="200"/>
      <c r="D5" s="200"/>
      <c r="E5" s="201"/>
      <c r="F5" s="35"/>
      <c r="G5" s="35"/>
    </row>
    <row r="6" spans="1:11" x14ac:dyDescent="0.2">
      <c r="C6" s="35"/>
      <c r="D6" s="35"/>
      <c r="E6" s="35"/>
      <c r="F6" s="35"/>
      <c r="G6" s="35"/>
    </row>
    <row r="7" spans="1:11" ht="17" thickBot="1" x14ac:dyDescent="0.25">
      <c r="D7" s="35"/>
    </row>
    <row r="8" spans="1:11" x14ac:dyDescent="0.2">
      <c r="B8" s="36"/>
      <c r="C8" s="19"/>
      <c r="D8" s="19"/>
      <c r="E8" s="19"/>
      <c r="F8" s="19"/>
      <c r="G8" s="19"/>
      <c r="H8" s="19"/>
      <c r="I8" s="19"/>
      <c r="J8" s="37"/>
    </row>
    <row r="9" spans="1:11" s="25" customFormat="1" x14ac:dyDescent="0.2">
      <c r="B9" s="23"/>
      <c r="C9" s="15" t="s">
        <v>18</v>
      </c>
      <c r="D9" s="16" t="s">
        <v>7</v>
      </c>
      <c r="E9" s="14" t="s">
        <v>3</v>
      </c>
      <c r="F9" s="15"/>
      <c r="G9" s="15" t="s">
        <v>6</v>
      </c>
      <c r="H9" s="15"/>
      <c r="I9" s="15" t="s">
        <v>0</v>
      </c>
      <c r="J9" s="87"/>
    </row>
    <row r="10" spans="1:11" s="25" customFormat="1" x14ac:dyDescent="0.2">
      <c r="B10" s="24"/>
      <c r="C10" s="12"/>
      <c r="D10" s="32"/>
      <c r="E10" s="12"/>
      <c r="F10" s="12"/>
      <c r="G10" s="12"/>
      <c r="H10" s="12"/>
      <c r="I10" s="12"/>
      <c r="J10" s="13"/>
    </row>
    <row r="11" spans="1:11" s="25" customFormat="1" ht="17" thickBot="1" x14ac:dyDescent="0.25">
      <c r="B11" s="24"/>
      <c r="C11" s="12" t="s">
        <v>42</v>
      </c>
      <c r="D11" s="32"/>
      <c r="E11" s="12"/>
      <c r="F11" s="12"/>
      <c r="G11" s="12"/>
      <c r="H11" s="12"/>
      <c r="I11" s="12"/>
      <c r="J11" s="13"/>
    </row>
    <row r="12" spans="1:11" s="148" customFormat="1" ht="16" customHeight="1" thickBot="1" x14ac:dyDescent="0.25">
      <c r="B12" s="149"/>
      <c r="C12" s="141" t="s">
        <v>72</v>
      </c>
      <c r="D12" s="142" t="s">
        <v>80</v>
      </c>
      <c r="E12" s="150">
        <f>'Research data'!H7</f>
        <v>295.34734133790732</v>
      </c>
      <c r="F12" s="141"/>
      <c r="G12" s="151"/>
      <c r="I12" s="144"/>
      <c r="J12" s="152"/>
    </row>
    <row r="13" spans="1:11" ht="17" thickBot="1" x14ac:dyDescent="0.25">
      <c r="A13" s="25"/>
      <c r="B13" s="24"/>
      <c r="C13" s="93" t="s">
        <v>76</v>
      </c>
      <c r="D13" s="20" t="s">
        <v>2</v>
      </c>
      <c r="E13" s="150">
        <f>'Research data'!H8</f>
        <v>0.86830069481906247</v>
      </c>
      <c r="F13" s="38"/>
      <c r="G13" s="93"/>
      <c r="H13" s="31"/>
      <c r="I13" s="137"/>
      <c r="J13" s="13"/>
      <c r="K13" s="25"/>
    </row>
    <row r="14" spans="1:11" ht="17" thickBot="1" x14ac:dyDescent="0.25">
      <c r="A14" s="95"/>
      <c r="B14" s="96"/>
      <c r="C14" s="130" t="s">
        <v>77</v>
      </c>
      <c r="D14" s="22" t="s">
        <v>2</v>
      </c>
      <c r="E14" s="150">
        <f>'Research data'!H9</f>
        <v>0.13169930518093759</v>
      </c>
      <c r="F14" s="93"/>
      <c r="G14" s="130"/>
      <c r="H14" s="93"/>
      <c r="I14" s="137"/>
      <c r="J14" s="97"/>
      <c r="K14" s="35"/>
    </row>
    <row r="15" spans="1:11" ht="17" thickBot="1" x14ac:dyDescent="0.25">
      <c r="A15" s="95"/>
      <c r="B15" s="96"/>
      <c r="C15" s="116" t="s">
        <v>78</v>
      </c>
      <c r="D15" s="22" t="s">
        <v>2</v>
      </c>
      <c r="E15" s="150">
        <f>'Research data'!H10</f>
        <v>0.59743916609034486</v>
      </c>
      <c r="F15" s="93"/>
      <c r="G15" s="93"/>
      <c r="H15" s="93"/>
      <c r="I15" s="137"/>
      <c r="J15" s="97"/>
      <c r="K15" s="35"/>
    </row>
    <row r="16" spans="1:11" ht="17" thickBot="1" x14ac:dyDescent="0.25">
      <c r="B16" s="96"/>
      <c r="C16" s="93" t="s">
        <v>79</v>
      </c>
      <c r="D16" s="22" t="s">
        <v>2</v>
      </c>
      <c r="E16" s="150">
        <f>'Research data'!H11</f>
        <v>0.40256083390965514</v>
      </c>
      <c r="F16" s="93"/>
      <c r="G16" s="93"/>
      <c r="H16" s="93"/>
      <c r="I16" s="137"/>
      <c r="J16" s="97"/>
    </row>
    <row r="17" spans="1:11" s="139" customFormat="1" ht="16" customHeight="1" thickBot="1" x14ac:dyDescent="0.25">
      <c r="B17" s="140"/>
      <c r="C17" s="141" t="s">
        <v>61</v>
      </c>
      <c r="D17" s="142" t="s">
        <v>2</v>
      </c>
      <c r="E17" s="150">
        <f>'Research data'!H12</f>
        <v>8000</v>
      </c>
      <c r="F17" s="141"/>
      <c r="G17" s="141"/>
      <c r="I17" s="144"/>
      <c r="J17" s="145"/>
      <c r="K17" s="146"/>
    </row>
    <row r="18" spans="1:11" x14ac:dyDescent="0.2">
      <c r="B18" s="39"/>
      <c r="C18" s="35"/>
      <c r="D18" s="35"/>
      <c r="E18" s="35"/>
      <c r="F18" s="35"/>
      <c r="G18" s="35"/>
      <c r="H18" s="35"/>
      <c r="I18" s="35"/>
      <c r="J18" s="88"/>
    </row>
    <row r="19" spans="1:11" ht="17" thickBot="1" x14ac:dyDescent="0.25">
      <c r="B19" s="39"/>
      <c r="C19" s="12" t="s">
        <v>41</v>
      </c>
      <c r="D19" s="35"/>
      <c r="E19" s="35"/>
      <c r="F19" s="35"/>
      <c r="G19" s="35"/>
      <c r="H19" s="35"/>
      <c r="I19" s="35"/>
      <c r="J19" s="88"/>
    </row>
    <row r="20" spans="1:11" ht="17" thickBot="1" x14ac:dyDescent="0.25">
      <c r="B20" s="39"/>
      <c r="C20" s="38" t="s">
        <v>21</v>
      </c>
      <c r="D20" s="22" t="s">
        <v>19</v>
      </c>
      <c r="E20" s="147">
        <f>'Research data'!H15</f>
        <v>4477015437.3927946</v>
      </c>
      <c r="F20" s="38"/>
      <c r="G20" s="38" t="s">
        <v>5</v>
      </c>
      <c r="H20" s="38"/>
      <c r="I20" s="134"/>
      <c r="J20" s="88"/>
    </row>
    <row r="21" spans="1:11" ht="15" customHeight="1" thickBot="1" x14ac:dyDescent="0.25">
      <c r="B21" s="39"/>
      <c r="C21" s="38" t="s">
        <v>22</v>
      </c>
      <c r="D21" s="22" t="s">
        <v>46</v>
      </c>
      <c r="E21" s="147">
        <f>'Research data'!H16</f>
        <v>15031046.312178385</v>
      </c>
      <c r="F21" s="38"/>
      <c r="G21" s="119" t="s">
        <v>69</v>
      </c>
      <c r="H21" s="38"/>
      <c r="I21" s="134"/>
      <c r="J21" s="88"/>
    </row>
    <row r="22" spans="1:11" ht="17" thickBot="1" x14ac:dyDescent="0.25">
      <c r="B22" s="111"/>
      <c r="C22" s="118" t="s">
        <v>65</v>
      </c>
      <c r="D22" s="113" t="s">
        <v>59</v>
      </c>
      <c r="E22" s="40">
        <f>'Research data'!H20</f>
        <v>0</v>
      </c>
      <c r="F22" s="114"/>
      <c r="G22" s="112" t="s">
        <v>60</v>
      </c>
      <c r="H22" s="114"/>
      <c r="I22" s="134"/>
      <c r="J22" s="115"/>
    </row>
    <row r="23" spans="1:11" ht="17" thickBot="1" x14ac:dyDescent="0.25">
      <c r="B23" s="111"/>
      <c r="C23" s="118" t="s">
        <v>64</v>
      </c>
      <c r="D23" s="113"/>
      <c r="E23" s="40">
        <f>'Research data'!H22</f>
        <v>0</v>
      </c>
      <c r="F23" s="114"/>
      <c r="G23" s="118" t="s">
        <v>67</v>
      </c>
      <c r="H23" s="114"/>
      <c r="I23" s="125"/>
      <c r="J23" s="115"/>
    </row>
    <row r="24" spans="1:11" ht="17" thickBot="1" x14ac:dyDescent="0.25">
      <c r="B24" s="111"/>
      <c r="C24" s="126" t="s">
        <v>71</v>
      </c>
      <c r="D24" s="113"/>
      <c r="E24" s="40">
        <f>'Research data'!H23</f>
        <v>0</v>
      </c>
      <c r="F24" s="114"/>
      <c r="G24" s="118" t="s">
        <v>68</v>
      </c>
      <c r="H24" s="114"/>
      <c r="I24" s="135"/>
      <c r="J24" s="115"/>
    </row>
    <row r="25" spans="1:11" ht="17" thickBot="1" x14ac:dyDescent="0.25">
      <c r="A25" s="95"/>
      <c r="B25" s="96"/>
      <c r="C25" s="93" t="s">
        <v>48</v>
      </c>
      <c r="D25" s="22" t="s">
        <v>49</v>
      </c>
      <c r="E25" s="192">
        <v>0.04</v>
      </c>
      <c r="F25" s="93"/>
      <c r="G25" s="93" t="s">
        <v>50</v>
      </c>
      <c r="H25" s="93"/>
      <c r="I25" s="137"/>
      <c r="J25" s="97"/>
    </row>
    <row r="26" spans="1:11" ht="17" thickBot="1" x14ac:dyDescent="0.25">
      <c r="A26" s="95"/>
      <c r="B26" s="96"/>
      <c r="C26" s="93" t="s">
        <v>51</v>
      </c>
      <c r="D26" s="22" t="s">
        <v>52</v>
      </c>
      <c r="E26" s="98">
        <v>0</v>
      </c>
      <c r="F26" s="93"/>
      <c r="G26" s="93"/>
      <c r="H26" s="93"/>
      <c r="I26" s="94"/>
      <c r="J26" s="97"/>
    </row>
    <row r="27" spans="1:11" x14ac:dyDescent="0.2">
      <c r="A27" s="95"/>
      <c r="B27" s="96"/>
      <c r="C27" s="93"/>
      <c r="D27" s="22"/>
      <c r="E27" s="101"/>
      <c r="F27" s="93"/>
      <c r="G27" s="93"/>
      <c r="H27" s="93"/>
      <c r="I27" s="99"/>
      <c r="J27" s="97"/>
    </row>
    <row r="28" spans="1:11" ht="17" thickBot="1" x14ac:dyDescent="0.25">
      <c r="A28" s="95"/>
      <c r="B28" s="96"/>
      <c r="C28" s="12" t="s">
        <v>4</v>
      </c>
      <c r="D28" s="89"/>
      <c r="E28" s="101"/>
      <c r="F28" s="99"/>
      <c r="H28" s="99"/>
      <c r="I28" s="99"/>
      <c r="J28" s="97"/>
    </row>
    <row r="29" spans="1:11" ht="17" thickBot="1" x14ac:dyDescent="0.25">
      <c r="A29" s="95"/>
      <c r="B29" s="96"/>
      <c r="C29" s="93" t="s">
        <v>23</v>
      </c>
      <c r="D29" s="22" t="s">
        <v>1</v>
      </c>
      <c r="E29" s="98">
        <f>'Research data'!H26</f>
        <v>20</v>
      </c>
      <c r="F29" s="93"/>
      <c r="G29" s="93" t="s">
        <v>57</v>
      </c>
      <c r="H29" s="93"/>
      <c r="I29" s="134"/>
      <c r="J29" s="97"/>
    </row>
    <row r="30" spans="1:11" ht="17" thickBot="1" x14ac:dyDescent="0.25">
      <c r="A30" s="95"/>
      <c r="B30" s="96"/>
      <c r="C30" s="93" t="s">
        <v>55</v>
      </c>
      <c r="D30" s="22" t="s">
        <v>1</v>
      </c>
      <c r="E30" s="98">
        <f>'Research data'!H27</f>
        <v>0</v>
      </c>
      <c r="F30" s="93"/>
      <c r="G30" s="93" t="s">
        <v>56</v>
      </c>
      <c r="H30" s="93"/>
      <c r="I30" s="94"/>
      <c r="J30" s="97"/>
    </row>
    <row r="31" spans="1:11" ht="17" thickBot="1" x14ac:dyDescent="0.25">
      <c r="A31" s="95"/>
      <c r="B31" s="96"/>
      <c r="C31" s="93" t="s">
        <v>53</v>
      </c>
      <c r="D31" s="22" t="s">
        <v>54</v>
      </c>
      <c r="E31" s="98">
        <f>'Research data'!H28</f>
        <v>0</v>
      </c>
      <c r="F31" s="93"/>
      <c r="G31" s="93" t="s">
        <v>58</v>
      </c>
      <c r="H31" s="93"/>
      <c r="I31" s="137"/>
      <c r="J31" s="97"/>
    </row>
    <row r="32" spans="1:11" ht="17" thickBot="1" x14ac:dyDescent="0.25">
      <c r="A32" s="95"/>
      <c r="B32" s="96"/>
      <c r="C32" s="93" t="s">
        <v>20</v>
      </c>
      <c r="D32" s="22" t="s">
        <v>2</v>
      </c>
      <c r="E32" s="98">
        <v>0</v>
      </c>
      <c r="F32" s="93"/>
      <c r="G32" s="93"/>
      <c r="H32" s="93"/>
      <c r="I32" s="137"/>
      <c r="J32" s="97"/>
    </row>
    <row r="33" spans="1:10" ht="17" thickBot="1" x14ac:dyDescent="0.25">
      <c r="A33" s="95"/>
      <c r="B33" s="102"/>
      <c r="C33" s="103"/>
      <c r="D33" s="103"/>
      <c r="E33" s="103"/>
      <c r="F33" s="103"/>
      <c r="G33" s="103"/>
      <c r="H33" s="103"/>
      <c r="I33" s="103"/>
      <c r="J33" s="104"/>
    </row>
    <row r="34" spans="1:10" x14ac:dyDescent="0.2">
      <c r="A34" s="95"/>
      <c r="B34" s="95"/>
      <c r="C34" s="95"/>
      <c r="D34" s="95"/>
      <c r="E34" s="95"/>
      <c r="F34" s="95"/>
      <c r="G34" s="95"/>
      <c r="H34" s="95"/>
      <c r="I34" s="95"/>
      <c r="J34" s="95"/>
    </row>
    <row r="35" spans="1:10" x14ac:dyDescent="0.2">
      <c r="A35" s="95"/>
      <c r="B35" s="95"/>
      <c r="C35" s="95"/>
      <c r="D35" s="95"/>
      <c r="E35" s="95"/>
      <c r="F35" s="95"/>
      <c r="G35" s="95"/>
      <c r="H35" s="95"/>
      <c r="I35" s="95"/>
      <c r="J35" s="95"/>
    </row>
    <row r="36" spans="1:10" x14ac:dyDescent="0.2">
      <c r="A36" s="95"/>
      <c r="B36" s="95"/>
      <c r="C36" s="95"/>
      <c r="D36" s="95"/>
      <c r="E36" s="95"/>
      <c r="F36" s="95"/>
      <c r="G36" s="95"/>
      <c r="H36" s="95"/>
      <c r="I36" s="95"/>
      <c r="J36" s="95"/>
    </row>
    <row r="37" spans="1:10" x14ac:dyDescent="0.2">
      <c r="A37" s="95"/>
      <c r="B37" s="95"/>
      <c r="E37" s="95"/>
      <c r="F37" s="95"/>
      <c r="G37" s="95"/>
      <c r="H37" s="95"/>
      <c r="I37" s="95"/>
      <c r="J37" s="95"/>
    </row>
    <row r="38" spans="1:10" x14ac:dyDescent="0.2">
      <c r="A38" s="95"/>
      <c r="B38" s="95"/>
      <c r="C38" s="95"/>
      <c r="D38" s="95"/>
      <c r="E38" s="95"/>
      <c r="F38" s="95"/>
      <c r="G38" s="95"/>
      <c r="H38" s="95"/>
      <c r="I38" s="95"/>
      <c r="J38" s="95"/>
    </row>
    <row r="39" spans="1:10" x14ac:dyDescent="0.2">
      <c r="A39" s="95"/>
      <c r="B39" s="95"/>
      <c r="C39" s="95"/>
      <c r="D39" s="95"/>
      <c r="E39" s="95"/>
      <c r="F39" s="95"/>
      <c r="G39" s="95"/>
      <c r="H39" s="95"/>
      <c r="I39" s="95"/>
      <c r="J39" s="95"/>
    </row>
    <row r="40" spans="1:10" x14ac:dyDescent="0.2">
      <c r="A40" s="95"/>
      <c r="B40" s="95"/>
      <c r="C40" s="95"/>
      <c r="D40" s="95"/>
      <c r="E40" s="95"/>
      <c r="F40" s="95"/>
      <c r="G40" s="95"/>
      <c r="H40" s="95"/>
      <c r="I40" s="95"/>
      <c r="J40" s="95"/>
    </row>
    <row r="41" spans="1:10" x14ac:dyDescent="0.2">
      <c r="A41" s="95"/>
      <c r="B41" s="95"/>
      <c r="C41" s="95"/>
      <c r="D41" s="95"/>
      <c r="E41" s="95"/>
      <c r="F41" s="95"/>
      <c r="G41" s="95"/>
      <c r="H41" s="95"/>
      <c r="I41" s="95"/>
      <c r="J41" s="95"/>
    </row>
    <row r="42" spans="1:10" x14ac:dyDescent="0.2">
      <c r="A42" s="95"/>
    </row>
    <row r="43" spans="1:10" x14ac:dyDescent="0.2">
      <c r="A43" s="9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29"/>
  <sheetViews>
    <sheetView topLeftCell="A5" workbookViewId="0">
      <selection activeCell="J17" sqref="J17"/>
    </sheetView>
  </sheetViews>
  <sheetFormatPr baseColWidth="10" defaultRowHeight="16" x14ac:dyDescent="0.2"/>
  <cols>
    <col min="1" max="1" width="3.5" style="41" customWidth="1"/>
    <col min="2" max="2" width="3" style="41" customWidth="1"/>
    <col min="3" max="3" width="61" style="41" customWidth="1"/>
    <col min="4" max="4" width="16.5" style="41" hidden="1" customWidth="1"/>
    <col min="5" max="5" width="13.83203125" style="41" hidden="1" customWidth="1"/>
    <col min="6" max="6" width="10" style="41" customWidth="1"/>
    <col min="7" max="7" width="3" style="41" customWidth="1"/>
    <col min="8" max="8" width="14.83203125" style="41" customWidth="1"/>
    <col min="9" max="9" width="2.5" style="41" customWidth="1"/>
    <col min="10" max="10" width="13.5" style="41" customWidth="1"/>
    <col min="11" max="11" width="2.5" style="41" customWidth="1"/>
    <col min="12" max="12" width="15.83203125" style="41" customWidth="1"/>
    <col min="13" max="13" width="2.6640625" style="41" customWidth="1"/>
    <col min="14" max="14" width="15.83203125" style="41" customWidth="1"/>
    <col min="15" max="15" width="2.5" style="41" customWidth="1"/>
    <col min="16" max="16" width="23.5" style="41" customWidth="1"/>
    <col min="17" max="17" width="11" style="41" customWidth="1"/>
    <col min="18" max="18" width="2.5" style="41" customWidth="1"/>
    <col min="19" max="19" width="22.5" style="41" customWidth="1"/>
    <col min="20" max="16384" width="10.83203125" style="41"/>
  </cols>
  <sheetData>
    <row r="2" spans="1:19" ht="17" thickBot="1" x14ac:dyDescent="0.25"/>
    <row r="3" spans="1:19" x14ac:dyDescent="0.2">
      <c r="B3" s="42"/>
      <c r="C3" s="43"/>
      <c r="D3" s="43"/>
      <c r="E3" s="43"/>
      <c r="F3" s="43"/>
      <c r="G3" s="43"/>
      <c r="H3" s="43"/>
      <c r="I3" s="43"/>
      <c r="J3" s="43"/>
      <c r="K3" s="43"/>
      <c r="L3" s="43"/>
      <c r="M3" s="43"/>
      <c r="N3" s="43"/>
      <c r="O3" s="43"/>
      <c r="P3" s="43"/>
      <c r="Q3" s="43"/>
      <c r="R3" s="43"/>
      <c r="S3" s="43"/>
    </row>
    <row r="4" spans="1:19" s="25" customFormat="1" x14ac:dyDescent="0.2">
      <c r="B4" s="24"/>
      <c r="C4" s="85" t="s">
        <v>18</v>
      </c>
      <c r="D4" s="9"/>
      <c r="E4" s="9"/>
      <c r="F4" s="85" t="s">
        <v>7</v>
      </c>
      <c r="G4" s="85"/>
      <c r="H4" s="85" t="s">
        <v>45</v>
      </c>
      <c r="I4" s="85"/>
      <c r="J4" s="85"/>
      <c r="K4" s="85"/>
      <c r="L4" s="85"/>
      <c r="M4" s="85"/>
      <c r="N4" s="85"/>
      <c r="O4" s="85"/>
      <c r="P4" s="85" t="s">
        <v>43</v>
      </c>
    </row>
    <row r="5" spans="1:19" ht="18" customHeight="1" x14ac:dyDescent="0.2">
      <c r="B5" s="44"/>
      <c r="C5" s="48"/>
      <c r="D5" s="48"/>
      <c r="E5" s="48"/>
      <c r="F5" s="45"/>
      <c r="G5" s="45"/>
      <c r="H5" s="46"/>
      <c r="I5" s="46"/>
      <c r="J5" s="46"/>
      <c r="K5" s="46"/>
      <c r="L5" s="46"/>
      <c r="M5" s="46"/>
      <c r="N5" s="46"/>
      <c r="O5" s="46"/>
      <c r="P5" s="51"/>
    </row>
    <row r="6" spans="1:19" ht="18" customHeight="1" thickBot="1" x14ac:dyDescent="0.25">
      <c r="B6" s="44"/>
      <c r="C6" s="12" t="s">
        <v>42</v>
      </c>
      <c r="D6" s="32"/>
      <c r="E6" s="12"/>
      <c r="F6" s="32"/>
      <c r="G6" s="33"/>
      <c r="H6" s="10"/>
      <c r="I6" s="10"/>
      <c r="J6" s="10"/>
      <c r="K6" s="10"/>
      <c r="L6" s="10"/>
      <c r="M6" s="49"/>
    </row>
    <row r="7" spans="1:19" ht="17" thickBot="1" x14ac:dyDescent="0.25">
      <c r="B7" s="44"/>
      <c r="C7" s="141" t="s">
        <v>72</v>
      </c>
      <c r="D7" s="142" t="s">
        <v>80</v>
      </c>
      <c r="E7" s="150"/>
      <c r="F7" s="142" t="s">
        <v>80</v>
      </c>
      <c r="G7" s="86"/>
      <c r="H7" s="131">
        <f>J7</f>
        <v>295.34734133790732</v>
      </c>
      <c r="I7" s="46"/>
      <c r="J7" s="164">
        <f>Notes!D94</f>
        <v>295.34734133790732</v>
      </c>
      <c r="K7" s="46"/>
      <c r="L7" s="46"/>
      <c r="M7" s="92"/>
    </row>
    <row r="8" spans="1:19" s="34" customFormat="1" ht="17" thickBot="1" x14ac:dyDescent="0.25">
      <c r="A8" s="25"/>
      <c r="B8" s="24"/>
      <c r="C8" s="93" t="s">
        <v>76</v>
      </c>
      <c r="D8" s="20" t="s">
        <v>2</v>
      </c>
      <c r="E8" s="40"/>
      <c r="F8" s="20" t="s">
        <v>2</v>
      </c>
      <c r="G8" s="93"/>
      <c r="H8" s="165">
        <f>J8</f>
        <v>0.86830069481906247</v>
      </c>
      <c r="J8" s="164">
        <f>Notes!E83</f>
        <v>0.86830069481906247</v>
      </c>
      <c r="K8" s="25"/>
    </row>
    <row r="9" spans="1:19" s="34" customFormat="1" ht="17" thickBot="1" x14ac:dyDescent="0.25">
      <c r="A9" s="95"/>
      <c r="B9" s="96"/>
      <c r="C9" s="130" t="s">
        <v>77</v>
      </c>
      <c r="D9" s="22" t="s">
        <v>2</v>
      </c>
      <c r="E9" s="40"/>
      <c r="F9" s="22" t="s">
        <v>2</v>
      </c>
      <c r="G9" s="130"/>
      <c r="H9" s="165">
        <f t="shared" ref="H9:H12" si="0">J9</f>
        <v>0.13169930518093759</v>
      </c>
      <c r="J9" s="164">
        <f>Notes!E84</f>
        <v>0.13169930518093759</v>
      </c>
      <c r="K9" s="35"/>
    </row>
    <row r="10" spans="1:19" s="34" customFormat="1" ht="17" thickBot="1" x14ac:dyDescent="0.25">
      <c r="A10" s="95"/>
      <c r="B10" s="96"/>
      <c r="C10" s="116" t="s">
        <v>78</v>
      </c>
      <c r="D10" s="22" t="s">
        <v>2</v>
      </c>
      <c r="E10" s="40"/>
      <c r="F10" s="22" t="s">
        <v>2</v>
      </c>
      <c r="G10" s="93"/>
      <c r="H10" s="165">
        <f t="shared" si="0"/>
        <v>0.59743916609034486</v>
      </c>
      <c r="J10" s="164">
        <f>Notes!E85</f>
        <v>0.59743916609034486</v>
      </c>
      <c r="K10" s="35"/>
    </row>
    <row r="11" spans="1:19" s="34" customFormat="1" ht="17" thickBot="1" x14ac:dyDescent="0.25">
      <c r="B11" s="96"/>
      <c r="C11" s="93" t="s">
        <v>79</v>
      </c>
      <c r="D11" s="22" t="s">
        <v>2</v>
      </c>
      <c r="E11" s="40"/>
      <c r="F11" s="22" t="s">
        <v>2</v>
      </c>
      <c r="G11" s="93"/>
      <c r="H11" s="165">
        <f t="shared" si="0"/>
        <v>0.40256083390965514</v>
      </c>
      <c r="J11" s="164">
        <f>Notes!E86</f>
        <v>0.40256083390965514</v>
      </c>
    </row>
    <row r="12" spans="1:19" ht="17" thickBot="1" x14ac:dyDescent="0.25">
      <c r="A12" s="95"/>
      <c r="B12" s="96"/>
      <c r="C12" s="141" t="s">
        <v>61</v>
      </c>
      <c r="D12" s="142" t="s">
        <v>2</v>
      </c>
      <c r="E12" s="143"/>
      <c r="F12" s="142" t="s">
        <v>62</v>
      </c>
      <c r="H12" s="165">
        <f t="shared" si="0"/>
        <v>8000</v>
      </c>
      <c r="I12" s="93"/>
      <c r="J12" s="162">
        <f>Notes!E16</f>
        <v>8000</v>
      </c>
      <c r="K12" s="95"/>
      <c r="L12" s="95"/>
      <c r="M12" s="117"/>
      <c r="N12" s="95"/>
    </row>
    <row r="13" spans="1:19" x14ac:dyDescent="0.2">
      <c r="B13" s="44"/>
      <c r="C13" s="35"/>
      <c r="D13" s="35"/>
      <c r="E13" s="35"/>
      <c r="F13" s="35"/>
      <c r="H13" s="47"/>
      <c r="I13" s="93"/>
      <c r="J13" s="133"/>
      <c r="K13" s="95"/>
      <c r="L13" s="50"/>
      <c r="M13" s="50"/>
      <c r="N13" s="50"/>
      <c r="O13" s="46"/>
      <c r="P13" s="117"/>
    </row>
    <row r="14" spans="1:19" ht="17" thickBot="1" x14ac:dyDescent="0.25">
      <c r="A14" s="95"/>
      <c r="B14" s="96"/>
      <c r="C14" s="12" t="s">
        <v>41</v>
      </c>
      <c r="D14" s="35"/>
      <c r="E14" s="35"/>
      <c r="F14" s="35"/>
      <c r="H14" s="11"/>
      <c r="I14" s="106"/>
      <c r="J14" s="105"/>
      <c r="K14" s="106"/>
      <c r="L14" s="106"/>
      <c r="M14" s="106"/>
      <c r="N14" s="106"/>
      <c r="O14" s="105"/>
      <c r="P14" s="51"/>
    </row>
    <row r="15" spans="1:19" ht="17" thickBot="1" x14ac:dyDescent="0.25">
      <c r="A15" s="95"/>
      <c r="B15" s="96"/>
      <c r="C15" s="38" t="s">
        <v>21</v>
      </c>
      <c r="D15" s="22" t="s">
        <v>19</v>
      </c>
      <c r="E15" s="147"/>
      <c r="F15" s="22" t="s">
        <v>19</v>
      </c>
      <c r="H15" s="161">
        <f>J15</f>
        <v>4477015437.3927946</v>
      </c>
      <c r="I15" s="11"/>
      <c r="J15" s="131">
        <f>Notes!D105</f>
        <v>4477015437.3927946</v>
      </c>
      <c r="K15" s="11"/>
      <c r="L15" s="11"/>
      <c r="M15" s="11"/>
      <c r="N15" s="11"/>
      <c r="O15" s="105"/>
      <c r="P15" s="92"/>
    </row>
    <row r="16" spans="1:19" ht="17" thickBot="1" x14ac:dyDescent="0.25">
      <c r="A16" s="95"/>
      <c r="B16" s="96"/>
      <c r="C16" s="38" t="s">
        <v>22</v>
      </c>
      <c r="D16" s="22" t="s">
        <v>46</v>
      </c>
      <c r="E16" s="40">
        <v>0</v>
      </c>
      <c r="F16" s="22" t="s">
        <v>46</v>
      </c>
      <c r="H16" s="107">
        <f>J16</f>
        <v>15031046.312178385</v>
      </c>
      <c r="I16" s="105"/>
      <c r="J16" s="131">
        <f>Notes!D107</f>
        <v>15031046.312178385</v>
      </c>
      <c r="K16" s="105"/>
      <c r="P16" s="92"/>
    </row>
    <row r="17" spans="1:16" ht="17" thickBot="1" x14ac:dyDescent="0.25">
      <c r="A17" s="95"/>
      <c r="B17" s="96"/>
      <c r="C17" s="118" t="s">
        <v>65</v>
      </c>
      <c r="D17" s="113" t="s">
        <v>59</v>
      </c>
      <c r="E17" s="40">
        <f>'Research data'!H15</f>
        <v>4477015437.3927946</v>
      </c>
      <c r="F17" s="113" t="s">
        <v>59</v>
      </c>
      <c r="H17" s="107">
        <f>J17</f>
        <v>0</v>
      </c>
      <c r="J17" s="131"/>
      <c r="L17" s="105"/>
      <c r="M17" s="105"/>
      <c r="N17" s="105"/>
      <c r="O17" s="105"/>
      <c r="P17" s="108"/>
    </row>
    <row r="18" spans="1:16" ht="17" thickBot="1" x14ac:dyDescent="0.25">
      <c r="A18" s="95"/>
      <c r="B18" s="96"/>
      <c r="C18" s="118" t="s">
        <v>63</v>
      </c>
      <c r="D18" s="113"/>
      <c r="E18" s="40">
        <f>'Research data'!H16</f>
        <v>15031046.312178385</v>
      </c>
      <c r="F18" s="113"/>
      <c r="H18" s="132">
        <f>J18</f>
        <v>0</v>
      </c>
      <c r="J18" s="131"/>
      <c r="L18" s="105"/>
      <c r="M18" s="105"/>
      <c r="N18" s="105"/>
      <c r="O18" s="105"/>
      <c r="P18" s="108"/>
    </row>
    <row r="19" spans="1:16" ht="17" thickBot="1" x14ac:dyDescent="0.25">
      <c r="A19" s="95"/>
      <c r="B19" s="96"/>
      <c r="C19" s="118" t="s">
        <v>64</v>
      </c>
      <c r="D19" s="113"/>
      <c r="E19" s="40">
        <f>'Research data'!H17</f>
        <v>0</v>
      </c>
      <c r="F19" s="113"/>
      <c r="H19" s="132">
        <f>J19</f>
        <v>0</v>
      </c>
      <c r="J19" s="132"/>
      <c r="L19" s="105"/>
      <c r="M19" s="105"/>
      <c r="N19" s="105"/>
      <c r="O19" s="100"/>
      <c r="P19" s="108"/>
    </row>
    <row r="20" spans="1:16" ht="17" thickBot="1" x14ac:dyDescent="0.25">
      <c r="A20" s="95"/>
      <c r="B20" s="96"/>
      <c r="C20" s="126" t="s">
        <v>71</v>
      </c>
      <c r="D20" s="113"/>
      <c r="E20" s="40">
        <f>'Research data'!H18</f>
        <v>0</v>
      </c>
      <c r="F20" s="113"/>
      <c r="H20" s="132">
        <f>Notes!E224</f>
        <v>0</v>
      </c>
      <c r="J20" s="132"/>
      <c r="L20" s="106"/>
      <c r="M20" s="106"/>
      <c r="N20" s="106"/>
      <c r="O20" s="100"/>
      <c r="P20" s="108"/>
    </row>
    <row r="21" spans="1:16" ht="17" thickBot="1" x14ac:dyDescent="0.25">
      <c r="A21" s="120"/>
      <c r="B21" s="121"/>
      <c r="C21" s="118" t="s">
        <v>66</v>
      </c>
      <c r="D21" s="113"/>
      <c r="E21" s="40">
        <f>'Research data'!H19</f>
        <v>0</v>
      </c>
      <c r="F21" s="113"/>
      <c r="G21" s="120"/>
      <c r="H21" s="122">
        <f>J21</f>
        <v>0</v>
      </c>
      <c r="I21" s="123"/>
      <c r="J21" s="122"/>
      <c r="K21" s="123"/>
      <c r="O21" s="120"/>
      <c r="P21" s="124" t="s">
        <v>70</v>
      </c>
    </row>
    <row r="22" spans="1:16" ht="17" thickBot="1" x14ac:dyDescent="0.25">
      <c r="A22" s="120"/>
      <c r="B22" s="121"/>
      <c r="C22" s="153" t="s">
        <v>48</v>
      </c>
      <c r="D22" s="22" t="s">
        <v>49</v>
      </c>
      <c r="E22" s="98">
        <v>0.1</v>
      </c>
      <c r="F22" s="22" t="s">
        <v>49</v>
      </c>
      <c r="G22" s="120"/>
      <c r="H22" s="122">
        <f>J22</f>
        <v>0</v>
      </c>
      <c r="I22" s="123"/>
      <c r="J22" s="122"/>
      <c r="K22" s="123"/>
      <c r="O22" s="120"/>
      <c r="P22" s="136" t="s">
        <v>73</v>
      </c>
    </row>
    <row r="23" spans="1:16" ht="17" thickBot="1" x14ac:dyDescent="0.25">
      <c r="A23" s="95"/>
      <c r="B23" s="96"/>
      <c r="C23" s="93" t="s">
        <v>51</v>
      </c>
      <c r="D23" s="22" t="s">
        <v>52</v>
      </c>
      <c r="E23" s="98">
        <v>0</v>
      </c>
      <c r="F23" s="22" t="s">
        <v>52</v>
      </c>
      <c r="H23" s="107">
        <f>J23</f>
        <v>0</v>
      </c>
      <c r="I23" s="100"/>
      <c r="J23" s="107"/>
      <c r="K23" s="100"/>
      <c r="L23" s="100"/>
      <c r="M23" s="100"/>
      <c r="N23" s="100"/>
      <c r="O23" s="100"/>
      <c r="P23" s="108"/>
    </row>
    <row r="24" spans="1:16" ht="17" thickBot="1" x14ac:dyDescent="0.25">
      <c r="A24" s="120"/>
      <c r="B24" s="121"/>
      <c r="C24" s="93"/>
      <c r="D24" s="22"/>
      <c r="E24" s="101"/>
      <c r="F24" s="22"/>
      <c r="G24" s="120"/>
      <c r="H24" s="122">
        <f>J24</f>
        <v>0</v>
      </c>
      <c r="I24" s="123"/>
      <c r="J24" s="122"/>
      <c r="K24" s="123"/>
      <c r="O24" s="120"/>
      <c r="P24" s="117" t="s">
        <v>70</v>
      </c>
    </row>
    <row r="25" spans="1:16" ht="17" thickBot="1" x14ac:dyDescent="0.25">
      <c r="C25" s="12" t="s">
        <v>4</v>
      </c>
      <c r="D25" s="89"/>
      <c r="E25" s="101"/>
      <c r="F25" s="89"/>
      <c r="H25" s="47"/>
      <c r="J25" s="47"/>
      <c r="P25" s="49"/>
    </row>
    <row r="26" spans="1:16" ht="17" thickBot="1" x14ac:dyDescent="0.25">
      <c r="B26" s="44"/>
      <c r="C26" s="93" t="s">
        <v>23</v>
      </c>
      <c r="D26" s="22" t="s">
        <v>1</v>
      </c>
      <c r="E26" s="98"/>
      <c r="F26" s="22" t="s">
        <v>1</v>
      </c>
      <c r="H26" s="107">
        <f>J26</f>
        <v>20</v>
      </c>
      <c r="J26" s="164">
        <f>Notes!E15</f>
        <v>20</v>
      </c>
      <c r="P26" s="92"/>
    </row>
    <row r="27" spans="1:16" ht="17" thickBot="1" x14ac:dyDescent="0.25">
      <c r="A27" s="95"/>
      <c r="B27" s="96"/>
      <c r="C27" s="93" t="s">
        <v>55</v>
      </c>
      <c r="D27" s="22" t="s">
        <v>1</v>
      </c>
      <c r="E27" s="98"/>
      <c r="F27" s="22" t="s">
        <v>1</v>
      </c>
      <c r="H27" s="107">
        <v>0</v>
      </c>
      <c r="I27" s="11"/>
      <c r="J27" s="166"/>
      <c r="K27" s="11"/>
      <c r="L27" s="11"/>
      <c r="M27" s="11"/>
      <c r="N27" s="11"/>
      <c r="O27" s="11"/>
      <c r="P27" s="117"/>
    </row>
    <row r="28" spans="1:16" ht="17" thickBot="1" x14ac:dyDescent="0.25">
      <c r="A28" s="95"/>
      <c r="B28" s="96"/>
      <c r="C28" s="93" t="s">
        <v>53</v>
      </c>
      <c r="D28" s="22" t="s">
        <v>54</v>
      </c>
      <c r="E28" s="109"/>
      <c r="F28" s="22" t="s">
        <v>54</v>
      </c>
      <c r="H28" s="107">
        <v>0</v>
      </c>
      <c r="I28" s="105"/>
      <c r="J28" s="131"/>
      <c r="K28" s="105"/>
      <c r="L28" s="105"/>
      <c r="M28" s="105"/>
      <c r="N28" s="105"/>
      <c r="O28" s="106"/>
      <c r="P28" s="117"/>
    </row>
    <row r="29" spans="1:16" ht="17" thickBot="1" x14ac:dyDescent="0.25">
      <c r="A29" s="95"/>
      <c r="B29" s="96"/>
      <c r="C29" s="93" t="s">
        <v>20</v>
      </c>
      <c r="D29" s="22" t="s">
        <v>2</v>
      </c>
      <c r="E29" s="98">
        <v>0</v>
      </c>
      <c r="F29" s="22" t="s">
        <v>2</v>
      </c>
      <c r="H29" s="107">
        <v>0</v>
      </c>
      <c r="I29" s="106"/>
      <c r="J29" s="163"/>
      <c r="K29" s="106"/>
      <c r="L29" s="105"/>
      <c r="M29" s="105"/>
      <c r="N29" s="105"/>
      <c r="O29" s="106"/>
      <c r="P29"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5"/>
  <sheetViews>
    <sheetView workbookViewId="0">
      <selection activeCell="I19" sqref="I19"/>
    </sheetView>
  </sheetViews>
  <sheetFormatPr baseColWidth="10" defaultColWidth="33.1640625" defaultRowHeight="16" x14ac:dyDescent="0.2"/>
  <cols>
    <col min="1" max="1" width="3.5" style="53" customWidth="1"/>
    <col min="2" max="2" width="6.5" style="53" customWidth="1"/>
    <col min="3" max="3" width="27.83203125" style="53" customWidth="1"/>
    <col min="4" max="4" width="32.83203125" style="53" customWidth="1"/>
    <col min="5" max="5" width="6.1640625" style="53" customWidth="1"/>
    <col min="6" max="6" width="16.33203125" style="53" customWidth="1"/>
    <col min="7" max="7" width="71" style="53" customWidth="1"/>
    <col min="8" max="8" width="12.5" style="57" customWidth="1"/>
    <col min="9" max="9" width="31.5" style="57" customWidth="1"/>
    <col min="10" max="10" width="98.5" style="53" customWidth="1"/>
    <col min="11" max="16384" width="33.1640625" style="53"/>
  </cols>
  <sheetData>
    <row r="1" spans="2:10" ht="17" thickBot="1" x14ac:dyDescent="0.25"/>
    <row r="2" spans="2:10" x14ac:dyDescent="0.2">
      <c r="B2" s="54"/>
      <c r="C2" s="55"/>
      <c r="D2" s="55"/>
      <c r="E2" s="55"/>
      <c r="F2" s="55"/>
      <c r="G2" s="55"/>
      <c r="H2" s="58"/>
      <c r="I2" s="58"/>
      <c r="J2" s="55"/>
    </row>
    <row r="3" spans="2:10" x14ac:dyDescent="0.2">
      <c r="B3" s="56"/>
      <c r="C3" s="12" t="s">
        <v>14</v>
      </c>
      <c r="D3" s="12"/>
      <c r="E3" s="12"/>
      <c r="F3" s="12"/>
      <c r="G3" s="12"/>
      <c r="H3" s="17"/>
      <c r="I3" s="17"/>
      <c r="J3" s="52"/>
    </row>
    <row r="4" spans="2:10" x14ac:dyDescent="0.2">
      <c r="B4" s="56"/>
      <c r="C4" s="52"/>
      <c r="D4" s="52"/>
      <c r="E4" s="52"/>
      <c r="F4" s="52"/>
      <c r="G4" s="52"/>
      <c r="H4" s="59"/>
      <c r="I4" s="59"/>
      <c r="J4" s="52"/>
    </row>
    <row r="5" spans="2:10" x14ac:dyDescent="0.2">
      <c r="B5" s="60"/>
      <c r="C5" s="14" t="s">
        <v>15</v>
      </c>
      <c r="D5" s="14" t="s">
        <v>0</v>
      </c>
      <c r="E5" s="14" t="s">
        <v>11</v>
      </c>
      <c r="F5" s="14" t="s">
        <v>16</v>
      </c>
      <c r="G5" s="14" t="s">
        <v>106</v>
      </c>
      <c r="H5" s="18" t="s">
        <v>17</v>
      </c>
      <c r="I5" s="18" t="s">
        <v>44</v>
      </c>
      <c r="J5" s="14" t="s">
        <v>8</v>
      </c>
    </row>
    <row r="6" spans="2:10" x14ac:dyDescent="0.2">
      <c r="B6" s="167" t="s">
        <v>102</v>
      </c>
      <c r="G6" s="154"/>
      <c r="H6" s="187">
        <v>42979</v>
      </c>
    </row>
    <row r="7" spans="2:10" x14ac:dyDescent="0.2">
      <c r="C7" s="167" t="s">
        <v>81</v>
      </c>
      <c r="D7" s="167" t="s">
        <v>108</v>
      </c>
      <c r="F7" s="53">
        <v>2012</v>
      </c>
      <c r="G7" s="53" t="s">
        <v>107</v>
      </c>
      <c r="H7" s="187">
        <v>42979</v>
      </c>
    </row>
    <row r="8" spans="2:10" x14ac:dyDescent="0.2">
      <c r="C8" s="167" t="s">
        <v>101</v>
      </c>
      <c r="D8" s="167" t="s">
        <v>110</v>
      </c>
      <c r="F8" s="53">
        <v>2015</v>
      </c>
      <c r="G8" s="53" t="s">
        <v>109</v>
      </c>
      <c r="H8" s="187">
        <v>42979</v>
      </c>
    </row>
    <row r="9" spans="2:10" x14ac:dyDescent="0.2">
      <c r="C9" s="53" t="s">
        <v>82</v>
      </c>
      <c r="D9" s="167" t="s">
        <v>112</v>
      </c>
      <c r="F9" s="53">
        <v>2011</v>
      </c>
      <c r="G9" s="53" t="s">
        <v>111</v>
      </c>
      <c r="H9" s="187">
        <v>42979</v>
      </c>
    </row>
    <row r="10" spans="2:10" x14ac:dyDescent="0.2">
      <c r="H10" s="187">
        <v>42979</v>
      </c>
    </row>
    <row r="11" spans="2:10" x14ac:dyDescent="0.2">
      <c r="B11" s="167" t="s">
        <v>103</v>
      </c>
      <c r="H11" s="187">
        <v>42979</v>
      </c>
    </row>
    <row r="12" spans="2:10" x14ac:dyDescent="0.2">
      <c r="C12" s="53" t="s">
        <v>104</v>
      </c>
      <c r="D12" s="167" t="s">
        <v>114</v>
      </c>
      <c r="F12" s="53">
        <v>2017</v>
      </c>
      <c r="G12" s="53" t="s">
        <v>113</v>
      </c>
      <c r="H12" s="187">
        <v>42979</v>
      </c>
    </row>
    <row r="13" spans="2:10" x14ac:dyDescent="0.2">
      <c r="C13" s="53" t="s">
        <v>105</v>
      </c>
      <c r="D13" s="167" t="s">
        <v>116</v>
      </c>
      <c r="F13" s="53">
        <v>2017</v>
      </c>
      <c r="G13" s="53" t="s">
        <v>115</v>
      </c>
      <c r="H13" s="187">
        <v>42979</v>
      </c>
    </row>
    <row r="14" spans="2:10" x14ac:dyDescent="0.2">
      <c r="C14" s="167" t="s">
        <v>163</v>
      </c>
      <c r="D14" s="127" t="s">
        <v>164</v>
      </c>
      <c r="E14" s="182" t="s">
        <v>165</v>
      </c>
      <c r="F14" s="182">
        <v>2015</v>
      </c>
      <c r="G14" s="182">
        <v>2015</v>
      </c>
      <c r="H14" s="183">
        <v>42339</v>
      </c>
      <c r="I14" s="184" t="s">
        <v>166</v>
      </c>
      <c r="J14" s="182" t="s">
        <v>167</v>
      </c>
    </row>
    <row r="15" spans="2:10" x14ac:dyDescent="0.2">
      <c r="C15" s="167" t="s">
        <v>163</v>
      </c>
      <c r="D15" s="167" t="s">
        <v>162</v>
      </c>
      <c r="E15" s="167" t="s">
        <v>168</v>
      </c>
      <c r="F15" s="167">
        <v>2013</v>
      </c>
      <c r="G15" s="167">
        <v>2013</v>
      </c>
      <c r="H15" s="185">
        <v>42373</v>
      </c>
      <c r="I15" s="186" t="s">
        <v>169</v>
      </c>
      <c r="J15" s="167" t="s">
        <v>170</v>
      </c>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308"/>
  <sheetViews>
    <sheetView tabSelected="1" topLeftCell="A42" workbookViewId="0">
      <selection activeCell="E86" sqref="E86"/>
    </sheetView>
  </sheetViews>
  <sheetFormatPr baseColWidth="10" defaultRowHeight="16" x14ac:dyDescent="0.2"/>
  <cols>
    <col min="1" max="2" width="3.5" style="61" customWidth="1"/>
    <col min="3" max="3" width="18.5" style="61" customWidth="1"/>
    <col min="4" max="4" width="19" style="61" customWidth="1"/>
    <col min="5" max="5" width="17" style="61" customWidth="1"/>
    <col min="6" max="6" width="6.1640625" style="61" customWidth="1"/>
    <col min="7" max="13" width="10.83203125" style="61"/>
    <col min="14" max="14" width="15.6640625" style="61" customWidth="1"/>
    <col min="15" max="15" width="10.83203125" style="61"/>
    <col min="16" max="16" width="12.1640625" style="61" customWidth="1"/>
    <col min="17" max="16384" width="10.83203125" style="61"/>
  </cols>
  <sheetData>
    <row r="1" spans="1:14" ht="17" thickBot="1" x14ac:dyDescent="0.25"/>
    <row r="2" spans="1:14" x14ac:dyDescent="0.2">
      <c r="B2" s="62"/>
      <c r="C2" s="63"/>
      <c r="D2" s="63"/>
      <c r="E2" s="63"/>
      <c r="F2" s="63"/>
      <c r="G2" s="63"/>
      <c r="H2" s="63"/>
      <c r="I2" s="63"/>
      <c r="J2" s="63"/>
      <c r="K2" s="63"/>
      <c r="L2" s="63"/>
      <c r="M2" s="63"/>
      <c r="N2" s="64"/>
    </row>
    <row r="3" spans="1:14" ht="17" customHeight="1" x14ac:dyDescent="0.2">
      <c r="A3" s="65"/>
      <c r="B3" s="90"/>
      <c r="C3" s="69" t="s">
        <v>0</v>
      </c>
      <c r="D3" s="69" t="s">
        <v>47</v>
      </c>
      <c r="E3" s="69" t="s">
        <v>24</v>
      </c>
      <c r="F3" s="69"/>
      <c r="G3" s="69"/>
      <c r="H3" s="66"/>
      <c r="I3" s="66"/>
      <c r="J3" s="66"/>
      <c r="K3" s="66"/>
      <c r="L3" s="66"/>
      <c r="M3" s="66"/>
      <c r="N3" s="91"/>
    </row>
    <row r="4" spans="1:14" ht="17" customHeight="1" x14ac:dyDescent="0.2">
      <c r="A4" s="65"/>
      <c r="B4" s="155"/>
      <c r="C4" s="156"/>
      <c r="D4" s="156"/>
      <c r="E4" s="156"/>
      <c r="F4" s="156"/>
      <c r="G4" s="156"/>
      <c r="H4" s="68"/>
      <c r="I4" s="68"/>
      <c r="J4" s="68"/>
      <c r="K4" s="68"/>
      <c r="L4" s="68"/>
      <c r="M4" s="68"/>
      <c r="N4" s="68"/>
    </row>
    <row r="5" spans="1:14" ht="17" customHeight="1" x14ac:dyDescent="0.2">
      <c r="A5" s="65"/>
      <c r="B5" s="155"/>
      <c r="C5" s="156" t="s">
        <v>87</v>
      </c>
      <c r="D5" s="156"/>
      <c r="E5" s="156"/>
      <c r="F5" s="156"/>
      <c r="G5" s="156"/>
      <c r="H5" s="68"/>
      <c r="I5" s="68"/>
      <c r="J5" s="68"/>
      <c r="K5" s="68"/>
      <c r="L5" s="68"/>
      <c r="M5" s="68"/>
      <c r="N5" s="68"/>
    </row>
    <row r="6" spans="1:14" ht="17" customHeight="1" x14ac:dyDescent="0.2">
      <c r="A6" s="65"/>
      <c r="B6" s="155"/>
      <c r="C6" s="68" t="s">
        <v>88</v>
      </c>
      <c r="D6" s="68"/>
      <c r="E6" s="68"/>
      <c r="F6" s="156"/>
      <c r="G6" s="156"/>
      <c r="H6" s="68"/>
      <c r="I6" s="68"/>
      <c r="J6" s="68"/>
      <c r="K6" s="68"/>
      <c r="L6" s="68"/>
      <c r="M6" s="68"/>
      <c r="N6" s="68"/>
    </row>
    <row r="7" spans="1:14" ht="17" customHeight="1" x14ac:dyDescent="0.2">
      <c r="A7" s="65"/>
      <c r="B7" s="155"/>
      <c r="C7" s="68" t="s">
        <v>89</v>
      </c>
      <c r="E7" s="68">
        <v>2.016</v>
      </c>
      <c r="F7" s="68" t="s">
        <v>90</v>
      </c>
      <c r="G7" s="156"/>
      <c r="H7" s="156"/>
      <c r="I7" s="68"/>
      <c r="J7" s="68"/>
      <c r="K7" s="68"/>
      <c r="L7" s="68"/>
      <c r="M7" s="68"/>
      <c r="N7" s="68"/>
    </row>
    <row r="8" spans="1:14" ht="17" customHeight="1" x14ac:dyDescent="0.2">
      <c r="A8" s="65"/>
      <c r="B8" s="155"/>
      <c r="C8" s="68" t="s">
        <v>91</v>
      </c>
      <c r="E8" s="68">
        <v>28</v>
      </c>
      <c r="F8" s="68" t="s">
        <v>90</v>
      </c>
      <c r="G8" s="156"/>
      <c r="H8" s="156"/>
      <c r="I8" s="68"/>
      <c r="J8" s="68"/>
      <c r="K8" s="68"/>
      <c r="L8" s="68"/>
      <c r="M8" s="68"/>
      <c r="N8" s="68"/>
    </row>
    <row r="9" spans="1:14" ht="17" customHeight="1" x14ac:dyDescent="0.2">
      <c r="A9" s="65"/>
      <c r="B9" s="155"/>
      <c r="C9" s="68" t="s">
        <v>92</v>
      </c>
      <c r="E9" s="68">
        <v>44</v>
      </c>
      <c r="F9" s="68" t="s">
        <v>90</v>
      </c>
      <c r="G9" s="156"/>
      <c r="H9" s="156"/>
      <c r="I9" s="68"/>
      <c r="J9" s="68"/>
      <c r="K9" s="68"/>
      <c r="L9" s="68"/>
      <c r="M9" s="68"/>
      <c r="N9" s="68"/>
    </row>
    <row r="10" spans="1:14" ht="17" customHeight="1" x14ac:dyDescent="0.2">
      <c r="A10" s="65"/>
      <c r="B10" s="155"/>
      <c r="C10" s="68" t="s">
        <v>93</v>
      </c>
      <c r="E10" s="68">
        <f>12*11+1.008*24</f>
        <v>156.19200000000001</v>
      </c>
      <c r="F10" s="68" t="s">
        <v>90</v>
      </c>
      <c r="G10" s="156"/>
      <c r="H10" s="156"/>
      <c r="I10" s="68"/>
      <c r="J10" s="68"/>
      <c r="K10" s="68"/>
      <c r="L10" s="68"/>
      <c r="M10" s="68"/>
      <c r="N10" s="68"/>
    </row>
    <row r="11" spans="1:14" ht="17" customHeight="1" x14ac:dyDescent="0.2">
      <c r="A11" s="65"/>
      <c r="B11" s="155"/>
      <c r="C11" s="68" t="s">
        <v>94</v>
      </c>
      <c r="E11" s="68">
        <v>32</v>
      </c>
      <c r="F11" s="68" t="s">
        <v>90</v>
      </c>
      <c r="G11" s="156"/>
      <c r="H11" s="156"/>
      <c r="I11" s="68"/>
      <c r="J11" s="68"/>
      <c r="K11" s="68"/>
      <c r="L11" s="68"/>
      <c r="M11" s="68"/>
      <c r="N11" s="68"/>
    </row>
    <row r="12" spans="1:14" ht="17" customHeight="1" x14ac:dyDescent="0.2">
      <c r="A12" s="65"/>
      <c r="B12" s="155"/>
      <c r="C12" s="68" t="s">
        <v>95</v>
      </c>
      <c r="E12" s="68">
        <v>32.031999999999996</v>
      </c>
      <c r="F12" s="68" t="s">
        <v>90</v>
      </c>
      <c r="G12" s="156"/>
      <c r="H12" s="156"/>
      <c r="I12" s="68"/>
      <c r="J12" s="68"/>
      <c r="K12" s="68"/>
      <c r="L12" s="68"/>
      <c r="M12" s="68"/>
      <c r="N12" s="68"/>
    </row>
    <row r="13" spans="1:14" ht="17" customHeight="1" x14ac:dyDescent="0.2">
      <c r="A13" s="65"/>
      <c r="B13" s="155"/>
      <c r="C13" s="68" t="s">
        <v>96</v>
      </c>
      <c r="E13" s="68">
        <f>2*12+6*1.008+16</f>
        <v>46.048000000000002</v>
      </c>
      <c r="F13" s="68" t="s">
        <v>90</v>
      </c>
      <c r="G13" s="68">
        <v>0.78900000000000003</v>
      </c>
      <c r="H13" s="68" t="s">
        <v>97</v>
      </c>
      <c r="I13" s="68"/>
      <c r="J13" s="68"/>
      <c r="K13" s="68"/>
      <c r="L13" s="68"/>
      <c r="M13" s="68"/>
      <c r="N13" s="68"/>
    </row>
    <row r="14" spans="1:14" ht="17" customHeight="1" x14ac:dyDescent="0.2">
      <c r="A14" s="65"/>
      <c r="B14" s="155"/>
      <c r="C14" s="68"/>
      <c r="D14" s="68"/>
      <c r="E14" s="68"/>
      <c r="F14" s="156"/>
      <c r="G14" s="156"/>
      <c r="H14" s="68"/>
      <c r="I14" s="68"/>
      <c r="J14" s="68"/>
      <c r="K14" s="68"/>
      <c r="L14" s="68"/>
      <c r="M14" s="68"/>
      <c r="N14" s="68"/>
    </row>
    <row r="15" spans="1:14" ht="17" customHeight="1" x14ac:dyDescent="0.2">
      <c r="A15" s="65"/>
      <c r="B15" s="155"/>
      <c r="C15" s="93" t="s">
        <v>23</v>
      </c>
      <c r="D15" s="156"/>
      <c r="E15" s="68">
        <v>20</v>
      </c>
      <c r="F15" s="156"/>
      <c r="G15" s="68" t="s">
        <v>86</v>
      </c>
      <c r="H15" s="68"/>
      <c r="I15" s="68"/>
      <c r="J15" s="68"/>
      <c r="K15" s="68"/>
      <c r="L15" s="68"/>
      <c r="M15" s="68"/>
      <c r="N15" s="68"/>
    </row>
    <row r="16" spans="1:14" ht="17" customHeight="1" x14ac:dyDescent="0.2">
      <c r="A16" s="65"/>
      <c r="B16" s="155"/>
      <c r="C16" s="68" t="s">
        <v>61</v>
      </c>
      <c r="D16" s="156"/>
      <c r="E16" s="68">
        <v>8000</v>
      </c>
      <c r="F16" s="156"/>
      <c r="G16" s="68" t="s">
        <v>85</v>
      </c>
      <c r="H16" s="68"/>
      <c r="I16" s="68"/>
      <c r="J16" s="68"/>
      <c r="K16" s="68"/>
      <c r="L16" s="68"/>
      <c r="M16" s="68"/>
      <c r="N16" s="68"/>
    </row>
    <row r="17" spans="1:14" ht="17" customHeight="1" x14ac:dyDescent="0.2">
      <c r="A17" s="65"/>
      <c r="B17" s="155"/>
      <c r="C17" s="68" t="s">
        <v>83</v>
      </c>
      <c r="D17" s="156"/>
      <c r="E17" s="68">
        <v>10.01</v>
      </c>
      <c r="F17" s="156"/>
      <c r="G17" s="68" t="s">
        <v>84</v>
      </c>
      <c r="H17" s="68"/>
      <c r="I17" s="68"/>
      <c r="J17" s="68"/>
      <c r="K17" s="68"/>
      <c r="L17" s="68"/>
      <c r="M17" s="68"/>
      <c r="N17" s="68"/>
    </row>
    <row r="18" spans="1:14" ht="17" thickBot="1" x14ac:dyDescent="0.25"/>
    <row r="19" spans="1:14" x14ac:dyDescent="0.2">
      <c r="B19" s="62"/>
      <c r="C19" s="63"/>
      <c r="D19" s="63"/>
      <c r="E19" s="63"/>
      <c r="F19" s="63"/>
      <c r="G19" s="63"/>
      <c r="H19" s="63"/>
      <c r="I19" s="63"/>
      <c r="J19" s="63"/>
      <c r="K19" s="63"/>
      <c r="L19" s="63"/>
      <c r="M19" s="63"/>
      <c r="N19" s="64"/>
    </row>
    <row r="20" spans="1:14" ht="17" customHeight="1" x14ac:dyDescent="0.2">
      <c r="A20" s="65"/>
      <c r="B20" s="90"/>
      <c r="C20" s="69" t="s">
        <v>0</v>
      </c>
      <c r="D20" s="69" t="s">
        <v>47</v>
      </c>
      <c r="E20" s="69" t="s">
        <v>24</v>
      </c>
      <c r="F20" s="69"/>
      <c r="G20" s="69"/>
      <c r="H20" s="66"/>
      <c r="I20" s="66"/>
      <c r="J20" s="66"/>
      <c r="K20" s="66"/>
      <c r="L20" s="66"/>
      <c r="M20" s="66"/>
      <c r="N20" s="91"/>
    </row>
    <row r="21" spans="1:14" ht="17" customHeight="1" x14ac:dyDescent="0.2">
      <c r="A21" s="65"/>
      <c r="B21" s="155"/>
      <c r="C21" s="156" t="s">
        <v>156</v>
      </c>
      <c r="D21" s="156"/>
      <c r="E21" s="156"/>
      <c r="F21" s="156"/>
      <c r="G21" s="156"/>
      <c r="H21" s="68"/>
      <c r="I21" s="68"/>
      <c r="J21" s="68"/>
      <c r="K21" s="68"/>
      <c r="L21" s="68"/>
      <c r="M21" s="68"/>
      <c r="N21" s="68"/>
    </row>
    <row r="22" spans="1:14" ht="18" customHeight="1" x14ac:dyDescent="0.2">
      <c r="A22" s="65"/>
      <c r="B22" s="155"/>
      <c r="C22" s="68"/>
      <c r="D22" s="173"/>
      <c r="E22" s="68"/>
      <c r="F22" s="156"/>
      <c r="G22" s="68"/>
      <c r="H22" s="68"/>
      <c r="I22" s="68"/>
      <c r="J22" s="68"/>
      <c r="K22" s="68"/>
      <c r="L22" s="68"/>
      <c r="M22" s="68"/>
      <c r="N22" s="68"/>
    </row>
    <row r="23" spans="1:14" ht="18" customHeight="1" x14ac:dyDescent="0.25">
      <c r="A23" s="65"/>
      <c r="B23" s="65"/>
      <c r="C23" s="178" t="s">
        <v>92</v>
      </c>
      <c r="H23" s="68"/>
      <c r="I23" s="179" t="s">
        <v>92</v>
      </c>
      <c r="J23" s="158" t="s">
        <v>155</v>
      </c>
      <c r="K23" s="180" t="s">
        <v>91</v>
      </c>
      <c r="L23" s="68"/>
      <c r="M23" s="156"/>
      <c r="N23" s="68"/>
    </row>
    <row r="24" spans="1:14" ht="18" customHeight="1" x14ac:dyDescent="0.2">
      <c r="A24" s="65"/>
      <c r="B24" s="174" t="s">
        <v>140</v>
      </c>
      <c r="C24" s="169"/>
      <c r="D24" s="169"/>
      <c r="E24" s="169"/>
      <c r="F24" s="169"/>
      <c r="G24" s="169"/>
      <c r="H24" s="170"/>
      <c r="I24" s="174" t="s">
        <v>194</v>
      </c>
      <c r="J24" s="169"/>
      <c r="K24" s="175"/>
      <c r="L24" s="169"/>
      <c r="M24" s="175"/>
      <c r="N24" s="170"/>
    </row>
    <row r="25" spans="1:14" ht="18" customHeight="1" x14ac:dyDescent="0.2">
      <c r="A25" s="65"/>
      <c r="B25" s="160"/>
      <c r="C25" s="68"/>
      <c r="D25" s="68"/>
      <c r="E25" s="68"/>
      <c r="F25" s="68"/>
      <c r="G25" s="68"/>
      <c r="H25" s="168"/>
      <c r="I25" s="160" t="s">
        <v>200</v>
      </c>
      <c r="J25" s="68"/>
      <c r="K25" s="68">
        <v>25</v>
      </c>
      <c r="L25" s="68"/>
      <c r="M25" s="68"/>
      <c r="N25" s="168"/>
    </row>
    <row r="26" spans="1:14" ht="18" customHeight="1" x14ac:dyDescent="0.2">
      <c r="A26" s="65"/>
      <c r="B26" s="160"/>
      <c r="C26" s="68" t="s">
        <v>141</v>
      </c>
      <c r="D26" s="68">
        <v>1</v>
      </c>
      <c r="E26" s="68" t="s">
        <v>142</v>
      </c>
      <c r="F26" s="68"/>
      <c r="G26" s="68"/>
      <c r="H26" s="168"/>
      <c r="I26" s="160" t="s">
        <v>104</v>
      </c>
      <c r="J26" s="68"/>
      <c r="K26" s="68">
        <v>0.7</v>
      </c>
      <c r="L26" s="68"/>
      <c r="M26" s="68"/>
      <c r="N26" s="168" t="s">
        <v>123</v>
      </c>
    </row>
    <row r="27" spans="1:14" ht="18" customHeight="1" x14ac:dyDescent="0.2">
      <c r="A27" s="65"/>
      <c r="B27" s="160"/>
      <c r="C27" s="68" t="s">
        <v>143</v>
      </c>
      <c r="D27" s="68">
        <v>0.99990000000000001</v>
      </c>
      <c r="E27" s="68"/>
      <c r="F27" s="176" t="s">
        <v>144</v>
      </c>
      <c r="G27" s="68"/>
      <c r="H27" s="168"/>
      <c r="I27" s="160" t="s">
        <v>124</v>
      </c>
      <c r="J27" s="68"/>
      <c r="K27" s="68">
        <v>0.97</v>
      </c>
      <c r="L27" s="68"/>
      <c r="M27" s="68"/>
      <c r="N27" s="168"/>
    </row>
    <row r="28" spans="1:14" ht="18" customHeight="1" x14ac:dyDescent="0.2">
      <c r="A28" s="65"/>
      <c r="B28" s="160"/>
      <c r="C28" s="68" t="s">
        <v>145</v>
      </c>
      <c r="D28" s="68"/>
      <c r="E28" s="68" t="s">
        <v>146</v>
      </c>
      <c r="F28" s="176"/>
      <c r="G28" s="68"/>
      <c r="H28" s="168"/>
      <c r="I28" s="160" t="s">
        <v>125</v>
      </c>
      <c r="J28" s="68"/>
      <c r="K28" s="190">
        <f>D71</f>
        <v>5760.4928763958414</v>
      </c>
      <c r="L28" s="68"/>
      <c r="M28" s="68" t="s">
        <v>126</v>
      </c>
      <c r="N28" s="168"/>
    </row>
    <row r="29" spans="1:14" ht="18" customHeight="1" x14ac:dyDescent="0.2">
      <c r="A29" s="65"/>
      <c r="B29" s="160"/>
      <c r="C29" s="68"/>
      <c r="D29" s="68"/>
      <c r="E29" s="68"/>
      <c r="F29" s="176" t="s">
        <v>147</v>
      </c>
      <c r="G29" s="68"/>
      <c r="H29" s="168"/>
      <c r="I29" s="160" t="s">
        <v>127</v>
      </c>
      <c r="J29" s="68"/>
      <c r="K29" s="68">
        <v>80000</v>
      </c>
      <c r="L29" s="68"/>
      <c r="M29" s="68" t="s">
        <v>128</v>
      </c>
      <c r="N29" s="168"/>
    </row>
    <row r="30" spans="1:14" ht="18" customHeight="1" x14ac:dyDescent="0.2">
      <c r="A30" s="65"/>
      <c r="B30" s="160"/>
      <c r="C30" s="68" t="s">
        <v>125</v>
      </c>
      <c r="D30" s="68">
        <f>55+45</f>
        <v>100</v>
      </c>
      <c r="E30" s="68" t="s">
        <v>126</v>
      </c>
      <c r="F30" s="176" t="s">
        <v>148</v>
      </c>
      <c r="G30" s="68"/>
      <c r="H30" s="168"/>
      <c r="I30" s="160" t="s">
        <v>129</v>
      </c>
      <c r="J30" s="68"/>
      <c r="K30" s="68">
        <f>K29/K38</f>
        <v>10</v>
      </c>
      <c r="L30" s="68"/>
      <c r="M30" s="68" t="s">
        <v>130</v>
      </c>
      <c r="N30" s="168"/>
    </row>
    <row r="31" spans="1:14" x14ac:dyDescent="0.2">
      <c r="B31" s="160"/>
      <c r="C31" s="68" t="s">
        <v>149</v>
      </c>
      <c r="D31" s="68">
        <v>3.2</v>
      </c>
      <c r="E31" s="68" t="s">
        <v>150</v>
      </c>
      <c r="F31" s="176" t="s">
        <v>151</v>
      </c>
      <c r="G31" s="68"/>
      <c r="H31" s="168"/>
      <c r="I31" s="160" t="s">
        <v>131</v>
      </c>
      <c r="J31" s="68"/>
      <c r="K31" s="68">
        <v>30</v>
      </c>
      <c r="L31" s="68"/>
      <c r="M31" s="68" t="s">
        <v>130</v>
      </c>
      <c r="N31" s="168"/>
    </row>
    <row r="32" spans="1:14" x14ac:dyDescent="0.2">
      <c r="B32" s="160"/>
      <c r="C32" s="68"/>
      <c r="D32" s="68"/>
      <c r="E32" s="68"/>
      <c r="F32" s="176"/>
      <c r="G32" s="68"/>
      <c r="H32" s="168"/>
      <c r="I32" s="160" t="s">
        <v>159</v>
      </c>
      <c r="J32" s="68"/>
      <c r="K32" s="68">
        <v>0.15</v>
      </c>
      <c r="L32" s="68"/>
      <c r="M32" s="68"/>
      <c r="N32" s="168"/>
    </row>
    <row r="33" spans="1:17" ht="18" customHeight="1" x14ac:dyDescent="0.2">
      <c r="A33" s="65"/>
      <c r="B33" s="160"/>
      <c r="C33" s="68"/>
      <c r="D33" s="68"/>
      <c r="E33" s="68"/>
      <c r="F33" s="176"/>
      <c r="G33" s="68"/>
      <c r="H33" s="168"/>
      <c r="I33" s="160" t="s">
        <v>158</v>
      </c>
      <c r="J33" s="68"/>
      <c r="K33" s="68">
        <f>K35+K32*K35*(K31-K30)/K30</f>
        <v>1300</v>
      </c>
      <c r="L33" s="68"/>
      <c r="M33" s="68" t="s">
        <v>132</v>
      </c>
      <c r="N33" s="168"/>
    </row>
    <row r="34" spans="1:17" ht="18" customHeight="1" x14ac:dyDescent="0.2">
      <c r="A34" s="65"/>
      <c r="B34" s="160"/>
      <c r="C34" s="68"/>
      <c r="D34" s="68"/>
      <c r="E34" s="68"/>
      <c r="F34" s="176"/>
      <c r="G34" s="68"/>
      <c r="H34" s="168"/>
      <c r="I34" s="160" t="s">
        <v>129</v>
      </c>
      <c r="J34" s="68"/>
      <c r="K34" s="68">
        <f>K29/K38</f>
        <v>10</v>
      </c>
      <c r="L34" s="68"/>
      <c r="M34" s="68" t="s">
        <v>130</v>
      </c>
      <c r="N34" s="168"/>
      <c r="O34" s="61">
        <v>930</v>
      </c>
      <c r="P34" s="61" t="s">
        <v>160</v>
      </c>
      <c r="Q34" s="61" t="s">
        <v>161</v>
      </c>
    </row>
    <row r="35" spans="1:17" x14ac:dyDescent="0.2">
      <c r="B35" s="160"/>
      <c r="C35" s="68" t="s">
        <v>117</v>
      </c>
      <c r="D35" s="68">
        <v>80</v>
      </c>
      <c r="E35" s="68" t="s">
        <v>152</v>
      </c>
      <c r="F35" s="177" t="s">
        <v>108</v>
      </c>
      <c r="G35" s="68"/>
      <c r="H35" s="168"/>
      <c r="I35" s="160" t="s">
        <v>117</v>
      </c>
      <c r="J35" s="68"/>
      <c r="K35" s="181">
        <f>(O34+O35)/2</f>
        <v>1000</v>
      </c>
      <c r="L35" s="68"/>
      <c r="M35" s="68" t="s">
        <v>132</v>
      </c>
      <c r="N35" s="168"/>
      <c r="O35" s="61">
        <v>1070</v>
      </c>
      <c r="P35" s="61" t="s">
        <v>160</v>
      </c>
      <c r="Q35" s="61" t="s">
        <v>162</v>
      </c>
    </row>
    <row r="36" spans="1:17" ht="18" customHeight="1" x14ac:dyDescent="0.2">
      <c r="A36" s="65"/>
      <c r="B36" s="160"/>
      <c r="C36" s="68" t="s">
        <v>117</v>
      </c>
      <c r="D36" s="68">
        <f>D35*D26</f>
        <v>80</v>
      </c>
      <c r="E36" s="68" t="s">
        <v>99</v>
      </c>
      <c r="F36" s="176"/>
      <c r="G36" s="68"/>
      <c r="H36" s="168"/>
      <c r="I36" s="160" t="s">
        <v>133</v>
      </c>
      <c r="J36" s="68"/>
      <c r="K36" s="190">
        <f>D26*(E8/E9)*K27</f>
        <v>0.6172727272727272</v>
      </c>
      <c r="L36" s="68"/>
      <c r="M36" s="68" t="s">
        <v>134</v>
      </c>
      <c r="N36" s="168"/>
    </row>
    <row r="37" spans="1:17" ht="18" customHeight="1" x14ac:dyDescent="0.2">
      <c r="A37" s="65"/>
      <c r="B37" s="160"/>
      <c r="C37" s="68" t="s">
        <v>139</v>
      </c>
      <c r="D37" s="68">
        <f>$AS$15</f>
        <v>0</v>
      </c>
      <c r="E37" s="68"/>
      <c r="F37" s="176"/>
      <c r="G37" s="68"/>
      <c r="H37" s="168"/>
      <c r="I37" s="160" t="s">
        <v>125</v>
      </c>
      <c r="J37" s="68"/>
      <c r="K37" s="190">
        <f>K36*D70</f>
        <v>2262.7787307032586</v>
      </c>
      <c r="L37" s="68"/>
      <c r="M37" s="68" t="s">
        <v>135</v>
      </c>
      <c r="N37" s="168"/>
    </row>
    <row r="38" spans="1:17" ht="18" customHeight="1" x14ac:dyDescent="0.2">
      <c r="A38" s="65"/>
      <c r="B38" s="160"/>
      <c r="C38" s="68"/>
      <c r="D38" s="68"/>
      <c r="E38" s="68"/>
      <c r="F38" s="176"/>
      <c r="G38" s="68"/>
      <c r="H38" s="168"/>
      <c r="I38" s="160" t="s">
        <v>136</v>
      </c>
      <c r="J38" s="68"/>
      <c r="K38" s="68">
        <v>8000</v>
      </c>
      <c r="L38" s="68"/>
      <c r="M38" s="68" t="s">
        <v>128</v>
      </c>
      <c r="N38" s="168"/>
      <c r="O38" s="127"/>
    </row>
    <row r="39" spans="1:17" ht="18" customHeight="1" x14ac:dyDescent="0.2">
      <c r="A39" s="65"/>
      <c r="B39" s="160"/>
      <c r="C39" s="68" t="s">
        <v>136</v>
      </c>
      <c r="D39" s="68">
        <v>8000</v>
      </c>
      <c r="E39" s="68"/>
      <c r="F39" s="176"/>
      <c r="G39" s="68"/>
      <c r="H39" s="168"/>
      <c r="I39" s="160" t="s">
        <v>137</v>
      </c>
      <c r="J39" s="68"/>
      <c r="K39" s="68">
        <v>1</v>
      </c>
      <c r="L39" s="68"/>
      <c r="M39" s="68"/>
      <c r="N39" s="168"/>
    </row>
    <row r="40" spans="1:17" ht="18" customHeight="1" x14ac:dyDescent="0.2">
      <c r="A40" s="65"/>
      <c r="B40" s="160"/>
      <c r="C40" s="68" t="s">
        <v>118</v>
      </c>
      <c r="D40" s="68">
        <v>5</v>
      </c>
      <c r="E40" s="68" t="s">
        <v>153</v>
      </c>
      <c r="F40" s="176" t="s">
        <v>112</v>
      </c>
      <c r="G40" s="68"/>
      <c r="H40" s="168"/>
      <c r="I40" s="160" t="s">
        <v>138</v>
      </c>
      <c r="J40" s="68"/>
      <c r="K40" s="190">
        <f>K37/K38*1000*K39</f>
        <v>282.84734133790732</v>
      </c>
      <c r="L40" s="68"/>
      <c r="M40" s="68" t="s">
        <v>98</v>
      </c>
      <c r="N40" s="168"/>
    </row>
    <row r="41" spans="1:17" ht="18" customHeight="1" x14ac:dyDescent="0.2">
      <c r="A41" s="65"/>
      <c r="B41" s="160"/>
      <c r="C41" s="68" t="s">
        <v>127</v>
      </c>
      <c r="D41" s="68">
        <v>20</v>
      </c>
      <c r="E41" s="68" t="s">
        <v>154</v>
      </c>
      <c r="F41" s="176" t="s">
        <v>112</v>
      </c>
      <c r="G41" s="68"/>
      <c r="H41" s="168"/>
      <c r="I41" s="160" t="s">
        <v>117</v>
      </c>
      <c r="J41" s="68"/>
      <c r="K41" s="190">
        <f>K33*K40/1000</f>
        <v>367.70154373927949</v>
      </c>
      <c r="L41" s="68"/>
      <c r="M41" s="68" t="s">
        <v>99</v>
      </c>
      <c r="N41" s="168"/>
    </row>
    <row r="42" spans="1:17" ht="18" customHeight="1" x14ac:dyDescent="0.2">
      <c r="A42" s="65"/>
      <c r="B42" s="160"/>
      <c r="C42" s="68"/>
      <c r="D42" s="68"/>
      <c r="E42" s="68"/>
      <c r="F42" s="68"/>
      <c r="G42" s="68"/>
      <c r="H42" s="168"/>
      <c r="I42" s="160" t="s">
        <v>139</v>
      </c>
      <c r="J42" s="68"/>
      <c r="K42" s="68">
        <f>$AS$15</f>
        <v>0</v>
      </c>
      <c r="L42" s="68"/>
      <c r="M42" s="68"/>
      <c r="N42" s="168"/>
    </row>
    <row r="43" spans="1:17" ht="18" customHeight="1" x14ac:dyDescent="0.2">
      <c r="A43" s="65"/>
      <c r="B43" s="160"/>
      <c r="C43" s="68"/>
      <c r="D43" s="68"/>
      <c r="E43" s="68"/>
      <c r="F43" s="68"/>
      <c r="G43" s="68"/>
      <c r="H43" s="168"/>
      <c r="I43" s="160"/>
      <c r="J43" s="68"/>
      <c r="K43" s="68"/>
      <c r="L43" s="68"/>
      <c r="M43" s="68"/>
      <c r="N43" s="168"/>
    </row>
    <row r="44" spans="1:17" x14ac:dyDescent="0.2">
      <c r="B44" s="171"/>
      <c r="C44" s="66"/>
      <c r="D44" s="66"/>
      <c r="E44" s="66"/>
      <c r="F44" s="66"/>
      <c r="G44" s="66"/>
      <c r="H44" s="172"/>
      <c r="I44" s="171" t="s">
        <v>118</v>
      </c>
      <c r="J44" s="66"/>
      <c r="K44" s="66">
        <v>3</v>
      </c>
      <c r="L44" s="66"/>
      <c r="M44" s="66" t="s">
        <v>49</v>
      </c>
      <c r="N44" s="172"/>
    </row>
    <row r="45" spans="1:17" x14ac:dyDescent="0.2">
      <c r="B45" s="68"/>
      <c r="C45" s="68"/>
      <c r="D45" s="68"/>
      <c r="E45" s="68"/>
      <c r="F45" s="68"/>
      <c r="G45" s="68"/>
      <c r="H45" s="68"/>
      <c r="I45" s="68"/>
      <c r="J45" s="68"/>
      <c r="K45" s="68"/>
      <c r="L45" s="68"/>
      <c r="M45" s="68"/>
      <c r="N45" s="68"/>
    </row>
    <row r="46" spans="1:17" ht="21" x14ac:dyDescent="0.25">
      <c r="B46" s="68"/>
      <c r="C46" s="188" t="s">
        <v>173</v>
      </c>
      <c r="D46" s="68"/>
      <c r="E46" s="68"/>
      <c r="F46" s="68"/>
      <c r="G46" s="68"/>
      <c r="H46" s="68"/>
      <c r="I46" s="68"/>
      <c r="J46" s="68"/>
      <c r="K46" s="68"/>
      <c r="L46" s="68"/>
      <c r="M46" s="68"/>
      <c r="N46" s="68"/>
    </row>
    <row r="47" spans="1:17" ht="15" customHeight="1" x14ac:dyDescent="0.2"/>
    <row r="48" spans="1:17" x14ac:dyDescent="0.2">
      <c r="C48" s="61" t="s">
        <v>174</v>
      </c>
    </row>
    <row r="50" spans="1:14" ht="18" customHeight="1" x14ac:dyDescent="0.2">
      <c r="A50" s="65"/>
      <c r="C50" s="61" t="s">
        <v>175</v>
      </c>
      <c r="D50" s="61" t="s">
        <v>176</v>
      </c>
      <c r="E50" s="61" t="s">
        <v>177</v>
      </c>
      <c r="G50" s="68"/>
      <c r="H50" s="68"/>
      <c r="I50" s="68"/>
      <c r="J50" s="68"/>
      <c r="K50" s="68"/>
      <c r="L50" s="68"/>
      <c r="M50" s="68"/>
      <c r="N50" s="68"/>
    </row>
    <row r="51" spans="1:14" x14ac:dyDescent="0.2">
      <c r="D51" s="61" t="s">
        <v>178</v>
      </c>
      <c r="E51" s="61" t="s">
        <v>179</v>
      </c>
    </row>
    <row r="52" spans="1:14" x14ac:dyDescent="0.2">
      <c r="D52" s="61" t="s">
        <v>180</v>
      </c>
      <c r="E52" s="61" t="s">
        <v>181</v>
      </c>
      <c r="G52" s="61" t="s">
        <v>182</v>
      </c>
    </row>
    <row r="53" spans="1:14" ht="18" customHeight="1" x14ac:dyDescent="0.2">
      <c r="A53" s="65"/>
      <c r="G53" s="68"/>
      <c r="H53" s="68"/>
      <c r="I53" s="68"/>
      <c r="J53" s="68"/>
      <c r="K53" s="68"/>
      <c r="L53" s="68"/>
      <c r="M53" s="68"/>
      <c r="N53" s="68"/>
    </row>
    <row r="54" spans="1:14" x14ac:dyDescent="0.2">
      <c r="B54" s="68"/>
      <c r="C54" s="68" t="s">
        <v>183</v>
      </c>
      <c r="D54" s="68"/>
      <c r="E54" s="68"/>
      <c r="F54" s="68"/>
      <c r="G54" s="68"/>
      <c r="H54" s="68"/>
      <c r="I54" s="68"/>
      <c r="J54" s="68"/>
      <c r="K54" s="68"/>
      <c r="L54" s="68"/>
      <c r="M54" s="68"/>
      <c r="N54" s="68"/>
    </row>
    <row r="55" spans="1:14" x14ac:dyDescent="0.2">
      <c r="B55" s="68"/>
      <c r="C55" s="68"/>
      <c r="D55" s="68"/>
      <c r="E55" s="68"/>
      <c r="F55" s="68"/>
      <c r="G55" s="68"/>
      <c r="H55" s="68"/>
      <c r="I55" s="68"/>
      <c r="J55" s="68"/>
      <c r="K55" s="68"/>
      <c r="L55" s="68"/>
      <c r="M55" s="68"/>
      <c r="N55" s="68"/>
    </row>
    <row r="56" spans="1:14" x14ac:dyDescent="0.2">
      <c r="B56" s="68"/>
      <c r="C56" s="68"/>
      <c r="D56" s="68"/>
      <c r="E56" s="68"/>
      <c r="F56" s="68"/>
      <c r="G56" s="68"/>
      <c r="H56" s="68"/>
      <c r="I56" s="68"/>
      <c r="J56" s="68"/>
      <c r="K56" s="68"/>
      <c r="L56" s="68"/>
      <c r="M56" s="68"/>
      <c r="N56" s="68"/>
    </row>
    <row r="57" spans="1:14" ht="15" customHeight="1" x14ac:dyDescent="0.2">
      <c r="C57" s="61" t="s">
        <v>184</v>
      </c>
    </row>
    <row r="59" spans="1:14" x14ac:dyDescent="0.2">
      <c r="D59" s="61">
        <f>K26*100</f>
        <v>70</v>
      </c>
      <c r="E59" s="61" t="s">
        <v>49</v>
      </c>
      <c r="F59" s="61" t="s">
        <v>185</v>
      </c>
    </row>
    <row r="60" spans="1:14" ht="18" customHeight="1" x14ac:dyDescent="0.2">
      <c r="A60" s="65"/>
      <c r="D60" s="61">
        <f>0.0032/(D59/100)</f>
        <v>4.5714285714285718E-3</v>
      </c>
      <c r="E60" s="61" t="s">
        <v>186</v>
      </c>
      <c r="G60" s="68"/>
      <c r="H60" s="68"/>
      <c r="I60" s="68"/>
      <c r="J60" s="68"/>
      <c r="K60" s="68"/>
      <c r="L60" s="68"/>
      <c r="M60" s="68"/>
      <c r="N60" s="68"/>
    </row>
    <row r="62" spans="1:14" x14ac:dyDescent="0.2">
      <c r="D62" s="189">
        <v>1</v>
      </c>
      <c r="E62" s="61" t="s">
        <v>187</v>
      </c>
    </row>
    <row r="63" spans="1:14" ht="18" customHeight="1" x14ac:dyDescent="0.2">
      <c r="A63" s="65"/>
      <c r="D63" s="189">
        <f>D62/44</f>
        <v>2.2727272727272728E-2</v>
      </c>
      <c r="E63" s="61" t="s">
        <v>188</v>
      </c>
      <c r="G63" s="68"/>
      <c r="H63" s="68"/>
      <c r="I63" s="68"/>
      <c r="J63" s="68"/>
      <c r="K63" s="68"/>
      <c r="L63" s="68"/>
      <c r="M63" s="68"/>
      <c r="N63" s="68"/>
    </row>
    <row r="64" spans="1:14" x14ac:dyDescent="0.2">
      <c r="B64" s="68"/>
      <c r="C64" s="68"/>
      <c r="D64" s="190">
        <f>D63*28</f>
        <v>0.63636363636363635</v>
      </c>
      <c r="E64" s="68" t="s">
        <v>187</v>
      </c>
      <c r="F64" s="68"/>
      <c r="G64" s="68"/>
      <c r="H64" s="68"/>
      <c r="I64" s="68"/>
      <c r="J64" s="68"/>
      <c r="K64" s="68"/>
      <c r="L64" s="68"/>
      <c r="M64" s="68"/>
      <c r="N64" s="68"/>
    </row>
    <row r="65" spans="1:16" x14ac:dyDescent="0.2">
      <c r="B65" s="68"/>
      <c r="C65" s="68"/>
      <c r="D65" s="190">
        <f>0.636/D64</f>
        <v>0.99942857142857144</v>
      </c>
      <c r="E65" s="68"/>
      <c r="F65" s="68"/>
      <c r="G65" s="68"/>
      <c r="H65" s="68"/>
      <c r="I65" s="68"/>
      <c r="J65" s="68"/>
      <c r="K65" s="68"/>
      <c r="L65" s="68"/>
      <c r="M65" s="68"/>
      <c r="N65" s="68"/>
    </row>
    <row r="66" spans="1:16" ht="15" customHeight="1" x14ac:dyDescent="0.2">
      <c r="D66" s="189"/>
    </row>
    <row r="67" spans="1:16" x14ac:dyDescent="0.2">
      <c r="C67" s="61" t="s">
        <v>189</v>
      </c>
      <c r="D67" s="189"/>
    </row>
    <row r="68" spans="1:16" x14ac:dyDescent="0.2">
      <c r="D68" s="189">
        <v>510</v>
      </c>
      <c r="E68" s="61" t="s">
        <v>190</v>
      </c>
      <c r="P68" s="61" t="s">
        <v>191</v>
      </c>
    </row>
    <row r="69" spans="1:16" ht="18" customHeight="1" x14ac:dyDescent="0.2">
      <c r="A69" s="65"/>
      <c r="D69" s="189">
        <f>D60*D68*1000</f>
        <v>2331.4285714285716</v>
      </c>
      <c r="E69" s="61" t="s">
        <v>192</v>
      </c>
      <c r="G69" s="68"/>
      <c r="H69" s="68"/>
      <c r="I69" s="68"/>
      <c r="J69" s="68"/>
      <c r="K69" s="68"/>
      <c r="L69" s="68"/>
      <c r="M69" s="68"/>
      <c r="N69" s="68"/>
    </row>
    <row r="70" spans="1:16" x14ac:dyDescent="0.2">
      <c r="D70" s="191">
        <f>D69*1000/636</f>
        <v>3665.7681940700809</v>
      </c>
      <c r="E70" s="61" t="s">
        <v>193</v>
      </c>
    </row>
    <row r="71" spans="1:16" x14ac:dyDescent="0.2">
      <c r="D71" s="189">
        <f>D70/(E8/E9)</f>
        <v>5760.4928763958414</v>
      </c>
      <c r="E71" s="61" t="s">
        <v>126</v>
      </c>
    </row>
    <row r="72" spans="1:16" ht="18" customHeight="1" x14ac:dyDescent="0.2">
      <c r="A72" s="65"/>
      <c r="G72" s="68"/>
      <c r="H72" s="68"/>
      <c r="I72" s="68"/>
      <c r="J72" s="68"/>
      <c r="K72" s="68"/>
      <c r="L72" s="68"/>
      <c r="M72" s="68"/>
      <c r="N72" s="68"/>
    </row>
    <row r="73" spans="1:16" x14ac:dyDescent="0.2">
      <c r="B73" s="68"/>
      <c r="C73" s="68"/>
      <c r="D73" s="68"/>
      <c r="E73" s="68"/>
      <c r="F73" s="68"/>
      <c r="G73" s="68"/>
      <c r="H73" s="68"/>
      <c r="I73" s="68"/>
      <c r="J73" s="68"/>
      <c r="K73" s="68"/>
      <c r="L73" s="68"/>
      <c r="M73" s="68"/>
      <c r="N73" s="68"/>
    </row>
    <row r="74" spans="1:16" x14ac:dyDescent="0.2">
      <c r="B74" s="68"/>
      <c r="C74" s="68"/>
      <c r="D74" s="68"/>
      <c r="E74" s="68"/>
      <c r="F74" s="68"/>
      <c r="G74" s="68"/>
      <c r="H74" s="68"/>
      <c r="I74" s="68"/>
      <c r="J74" s="68"/>
      <c r="K74" s="68"/>
      <c r="L74" s="68"/>
      <c r="M74" s="68"/>
      <c r="N74" s="68"/>
    </row>
    <row r="75" spans="1:16" ht="15" customHeight="1" x14ac:dyDescent="0.2"/>
    <row r="78" spans="1:16" ht="18" customHeight="1" thickBot="1" x14ac:dyDescent="0.25">
      <c r="A78" s="65"/>
      <c r="G78" s="68"/>
      <c r="H78" s="68"/>
      <c r="I78" s="68"/>
      <c r="J78" s="68"/>
      <c r="K78" s="68"/>
      <c r="L78" s="68"/>
      <c r="M78" s="68"/>
      <c r="N78" s="68"/>
    </row>
    <row r="79" spans="1:16" x14ac:dyDescent="0.2">
      <c r="B79" s="62"/>
      <c r="C79" s="63"/>
      <c r="D79" s="63"/>
      <c r="E79" s="63"/>
      <c r="F79" s="63"/>
      <c r="G79" s="63"/>
      <c r="H79" s="63"/>
      <c r="I79" s="63"/>
      <c r="J79" s="63"/>
      <c r="K79" s="63"/>
      <c r="L79" s="63"/>
      <c r="M79" s="63"/>
      <c r="N79" s="64"/>
    </row>
    <row r="80" spans="1:16" ht="17" customHeight="1" x14ac:dyDescent="0.2">
      <c r="A80" s="65"/>
      <c r="B80" s="90"/>
      <c r="C80" s="69"/>
      <c r="D80" s="69"/>
      <c r="E80" s="69"/>
      <c r="F80" s="69"/>
      <c r="G80" s="69"/>
      <c r="H80" s="66"/>
      <c r="I80" s="66"/>
      <c r="J80" s="66"/>
      <c r="K80" s="66"/>
      <c r="L80" s="66"/>
      <c r="M80" s="66"/>
      <c r="N80" s="91"/>
    </row>
    <row r="81" spans="1:15" ht="17" customHeight="1" x14ac:dyDescent="0.2">
      <c r="A81" s="65"/>
      <c r="B81" s="155"/>
      <c r="C81" s="156" t="s">
        <v>157</v>
      </c>
      <c r="D81" s="156"/>
      <c r="E81" s="156"/>
      <c r="F81" s="156"/>
      <c r="G81" s="156"/>
      <c r="H81" s="68"/>
      <c r="I81" s="68"/>
      <c r="J81" s="68"/>
      <c r="K81" s="68"/>
      <c r="L81" s="68"/>
      <c r="M81" s="68"/>
      <c r="N81" s="68"/>
    </row>
    <row r="82" spans="1:15" x14ac:dyDescent="0.2">
      <c r="A82" s="65"/>
      <c r="B82" s="155"/>
      <c r="C82" s="156"/>
      <c r="D82" s="156"/>
      <c r="E82" s="68"/>
      <c r="F82" s="156"/>
      <c r="G82" s="156"/>
      <c r="H82" s="68"/>
      <c r="I82" s="68"/>
      <c r="J82" s="68"/>
      <c r="K82" s="68"/>
      <c r="L82" s="68"/>
      <c r="M82" s="68"/>
      <c r="N82" s="68"/>
    </row>
    <row r="83" spans="1:15" x14ac:dyDescent="0.2">
      <c r="B83" s="67"/>
      <c r="C83" s="159" t="s">
        <v>76</v>
      </c>
      <c r="D83" s="138"/>
      <c r="E83" s="157">
        <f>(D30+K28)/(D30+K28+D31/3.6*1000)</f>
        <v>0.86830069481906247</v>
      </c>
      <c r="F83" s="68"/>
      <c r="G83" s="68"/>
      <c r="H83" s="68"/>
      <c r="I83" s="68"/>
      <c r="J83" s="68"/>
      <c r="K83" s="68"/>
      <c r="L83" s="68"/>
      <c r="M83" s="68"/>
      <c r="N83" s="68"/>
      <c r="O83" s="68"/>
    </row>
    <row r="84" spans="1:15" x14ac:dyDescent="0.2">
      <c r="B84" s="67"/>
      <c r="C84" s="159" t="s">
        <v>77</v>
      </c>
      <c r="D84" s="138"/>
      <c r="E84" s="157">
        <f>(D31/3.6*1000)/(D30+K28+(D31/3.6*1000))</f>
        <v>0.13169930518093759</v>
      </c>
      <c r="N84" s="68"/>
      <c r="O84" s="68"/>
    </row>
    <row r="85" spans="1:15" x14ac:dyDescent="0.2">
      <c r="B85" s="67"/>
      <c r="C85" s="159" t="s">
        <v>78</v>
      </c>
      <c r="D85" s="138"/>
      <c r="E85" s="157">
        <f>(K26*K28)/(K28+D30+D31/3.6*1000)</f>
        <v>0.59743916609034486</v>
      </c>
      <c r="N85" s="68"/>
      <c r="O85" s="68"/>
    </row>
    <row r="86" spans="1:15" x14ac:dyDescent="0.2">
      <c r="B86" s="67"/>
      <c r="C86" s="159" t="s">
        <v>79</v>
      </c>
      <c r="D86" s="158"/>
      <c r="E86" s="157">
        <f>1-E85</f>
        <v>0.40256083390965514</v>
      </c>
      <c r="N86" s="68"/>
      <c r="O86" s="68"/>
    </row>
    <row r="87" spans="1:15" ht="17" thickBot="1" x14ac:dyDescent="0.25">
      <c r="B87" s="67"/>
      <c r="C87" s="68"/>
      <c r="D87" s="68"/>
      <c r="E87" s="68"/>
      <c r="N87" s="68"/>
      <c r="O87" s="68"/>
    </row>
    <row r="88" spans="1:15" x14ac:dyDescent="0.2">
      <c r="B88" s="62"/>
      <c r="C88" s="63"/>
      <c r="D88" s="63"/>
      <c r="E88" s="63"/>
      <c r="F88" s="63"/>
      <c r="G88" s="63"/>
      <c r="H88" s="63"/>
      <c r="I88" s="63"/>
      <c r="J88" s="63"/>
      <c r="K88" s="63"/>
      <c r="L88" s="63"/>
      <c r="M88" s="63"/>
      <c r="N88" s="64"/>
    </row>
    <row r="89" spans="1:15" x14ac:dyDescent="0.2">
      <c r="A89" s="65"/>
      <c r="B89" s="90"/>
      <c r="C89" s="69" t="s">
        <v>0</v>
      </c>
      <c r="D89" s="69" t="s">
        <v>47</v>
      </c>
      <c r="E89" s="69" t="s">
        <v>24</v>
      </c>
      <c r="F89" s="69"/>
      <c r="G89" s="69"/>
      <c r="H89" s="66"/>
      <c r="I89" s="66"/>
      <c r="J89" s="66"/>
      <c r="K89" s="66"/>
      <c r="L89" s="66"/>
      <c r="M89" s="66"/>
      <c r="N89" s="91"/>
    </row>
    <row r="90" spans="1:15" x14ac:dyDescent="0.2">
      <c r="A90" s="65"/>
      <c r="B90" s="155"/>
      <c r="C90" s="156" t="s">
        <v>198</v>
      </c>
      <c r="D90" s="156"/>
      <c r="E90" s="156"/>
      <c r="F90" s="156"/>
      <c r="G90" s="156"/>
      <c r="H90" s="68"/>
      <c r="I90" s="68"/>
      <c r="J90" s="68"/>
      <c r="K90" s="68"/>
      <c r="L90" s="68"/>
      <c r="M90" s="68"/>
      <c r="N90" s="68"/>
    </row>
    <row r="91" spans="1:15" x14ac:dyDescent="0.2">
      <c r="B91" s="67"/>
      <c r="C91" s="65"/>
      <c r="N91" s="68"/>
      <c r="O91" s="68"/>
    </row>
    <row r="92" spans="1:15" x14ac:dyDescent="0.2">
      <c r="B92" s="67"/>
      <c r="C92" s="61" t="s">
        <v>195</v>
      </c>
      <c r="D92" s="61">
        <f>D30*1000/D39</f>
        <v>12.5</v>
      </c>
      <c r="E92" s="61" t="s">
        <v>98</v>
      </c>
      <c r="N92" s="68"/>
      <c r="O92" s="68"/>
    </row>
    <row r="93" spans="1:15" x14ac:dyDescent="0.2">
      <c r="B93" s="67"/>
      <c r="C93" s="61" t="s">
        <v>196</v>
      </c>
      <c r="D93" s="189">
        <f>K40</f>
        <v>282.84734133790732</v>
      </c>
      <c r="E93" s="61" t="s">
        <v>98</v>
      </c>
      <c r="N93" s="68"/>
      <c r="O93" s="68"/>
    </row>
    <row r="94" spans="1:15" x14ac:dyDescent="0.2">
      <c r="B94" s="67"/>
      <c r="C94" s="65" t="s">
        <v>197</v>
      </c>
      <c r="D94" s="191">
        <f>SUM(D92:D93)</f>
        <v>295.34734133790732</v>
      </c>
      <c r="E94" s="65" t="s">
        <v>98</v>
      </c>
      <c r="N94" s="68"/>
      <c r="O94" s="68"/>
    </row>
    <row r="95" spans="1:15" x14ac:dyDescent="0.2">
      <c r="B95" s="67"/>
      <c r="N95" s="68"/>
      <c r="O95" s="68"/>
    </row>
    <row r="96" spans="1:15" hidden="1" x14ac:dyDescent="0.2">
      <c r="B96" s="67"/>
      <c r="E96" s="128"/>
      <c r="N96" s="68"/>
      <c r="O96" s="68"/>
    </row>
    <row r="97" spans="1:15" ht="17" thickBot="1" x14ac:dyDescent="0.25">
      <c r="B97" s="67"/>
      <c r="N97" s="68"/>
      <c r="O97" s="68"/>
    </row>
    <row r="98" spans="1:15" x14ac:dyDescent="0.2">
      <c r="B98" s="62"/>
      <c r="C98" s="63"/>
      <c r="D98" s="63"/>
      <c r="E98" s="63"/>
      <c r="F98" s="63"/>
      <c r="G98" s="63"/>
      <c r="H98" s="63"/>
      <c r="I98" s="63"/>
      <c r="J98" s="63"/>
      <c r="K98" s="63"/>
      <c r="L98" s="63"/>
      <c r="M98" s="63"/>
      <c r="N98" s="64"/>
    </row>
    <row r="99" spans="1:15" x14ac:dyDescent="0.2">
      <c r="A99" s="65"/>
      <c r="B99" s="90"/>
      <c r="C99" s="69" t="s">
        <v>0</v>
      </c>
      <c r="D99" s="69" t="s">
        <v>47</v>
      </c>
      <c r="E99" s="69" t="s">
        <v>24</v>
      </c>
      <c r="F99" s="69"/>
      <c r="G99" s="69"/>
      <c r="H99" s="66"/>
      <c r="I99" s="66"/>
      <c r="J99" s="66"/>
      <c r="K99" s="66"/>
      <c r="L99" s="66"/>
      <c r="M99" s="66"/>
      <c r="N99" s="91"/>
    </row>
    <row r="100" spans="1:15" x14ac:dyDescent="0.2">
      <c r="A100" s="65"/>
      <c r="B100" s="155"/>
      <c r="C100" s="156" t="s">
        <v>199</v>
      </c>
      <c r="D100" s="156"/>
      <c r="E100" s="156"/>
      <c r="F100" s="156"/>
      <c r="G100" s="156"/>
      <c r="H100" s="68"/>
      <c r="I100" s="68"/>
      <c r="J100" s="68"/>
      <c r="K100" s="68"/>
      <c r="L100" s="68"/>
      <c r="M100" s="68"/>
      <c r="N100" s="68"/>
    </row>
    <row r="101" spans="1:15" x14ac:dyDescent="0.2">
      <c r="B101" s="67"/>
      <c r="N101" s="68"/>
      <c r="O101" s="68"/>
    </row>
    <row r="102" spans="1:15" x14ac:dyDescent="0.2">
      <c r="B102" s="67"/>
      <c r="C102" s="61" t="s">
        <v>122</v>
      </c>
      <c r="D102" s="61">
        <f>D36</f>
        <v>80</v>
      </c>
    </row>
    <row r="103" spans="1:15" x14ac:dyDescent="0.2">
      <c r="B103" s="67"/>
      <c r="C103" s="61" t="s">
        <v>121</v>
      </c>
      <c r="D103" s="189">
        <f>K41</f>
        <v>367.70154373927949</v>
      </c>
    </row>
    <row r="104" spans="1:15" x14ac:dyDescent="0.2">
      <c r="B104" s="67"/>
      <c r="C104" s="156" t="s">
        <v>120</v>
      </c>
      <c r="D104" s="189">
        <f>D102+D103</f>
        <v>447.70154373927949</v>
      </c>
      <c r="E104" s="61" t="s">
        <v>99</v>
      </c>
    </row>
    <row r="105" spans="1:15" x14ac:dyDescent="0.2">
      <c r="B105" s="67"/>
      <c r="C105" s="68"/>
      <c r="D105" s="191">
        <f>D104*10000000</f>
        <v>4477015437.3927946</v>
      </c>
      <c r="E105" s="65" t="s">
        <v>100</v>
      </c>
    </row>
    <row r="106" spans="1:15" x14ac:dyDescent="0.2">
      <c r="B106" s="67"/>
      <c r="C106" s="68"/>
    </row>
    <row r="107" spans="1:15" x14ac:dyDescent="0.2">
      <c r="B107" s="67"/>
      <c r="C107" s="156" t="s">
        <v>119</v>
      </c>
      <c r="D107" s="61">
        <f>(D102*(D40/100)+D103*(K44/100))*1000000</f>
        <v>15031046.312178385</v>
      </c>
      <c r="E107" s="61" t="s">
        <v>172</v>
      </c>
    </row>
    <row r="108" spans="1:15" x14ac:dyDescent="0.2">
      <c r="B108" s="67"/>
      <c r="C108" s="68"/>
    </row>
    <row r="109" spans="1:15" x14ac:dyDescent="0.2">
      <c r="B109" s="67"/>
      <c r="C109" s="68"/>
      <c r="E109" s="110"/>
    </row>
    <row r="110" spans="1:15" x14ac:dyDescent="0.2">
      <c r="B110" s="67"/>
    </row>
    <row r="111" spans="1:15" x14ac:dyDescent="0.2">
      <c r="B111" s="67"/>
    </row>
    <row r="112" spans="1:15" x14ac:dyDescent="0.2">
      <c r="B112" s="67"/>
    </row>
    <row r="113" spans="2:2" x14ac:dyDescent="0.2">
      <c r="B113" s="67"/>
    </row>
    <row r="114" spans="2:2" x14ac:dyDescent="0.2">
      <c r="B114" s="67"/>
    </row>
    <row r="115" spans="2:2" x14ac:dyDescent="0.2">
      <c r="B115" s="67"/>
    </row>
    <row r="116" spans="2:2" x14ac:dyDescent="0.2">
      <c r="B116" s="67"/>
    </row>
    <row r="117" spans="2:2" x14ac:dyDescent="0.2">
      <c r="B117" s="67"/>
    </row>
    <row r="118" spans="2:2" x14ac:dyDescent="0.2">
      <c r="B118" s="67"/>
    </row>
    <row r="119" spans="2:2" x14ac:dyDescent="0.2">
      <c r="B119" s="67"/>
    </row>
    <row r="120" spans="2:2" x14ac:dyDescent="0.2">
      <c r="B120" s="67"/>
    </row>
    <row r="121" spans="2:2" x14ac:dyDescent="0.2">
      <c r="B121" s="67"/>
    </row>
    <row r="122" spans="2:2" x14ac:dyDescent="0.2">
      <c r="B122" s="67"/>
    </row>
    <row r="123" spans="2:2" x14ac:dyDescent="0.2">
      <c r="B123" s="67"/>
    </row>
    <row r="124" spans="2:2" x14ac:dyDescent="0.2">
      <c r="B124" s="67"/>
    </row>
    <row r="125" spans="2:2" x14ac:dyDescent="0.2">
      <c r="B125" s="67"/>
    </row>
    <row r="126" spans="2:2" x14ac:dyDescent="0.2">
      <c r="B126" s="67"/>
    </row>
    <row r="127" spans="2:2" x14ac:dyDescent="0.2">
      <c r="B127" s="67"/>
    </row>
    <row r="128" spans="2:2" x14ac:dyDescent="0.2">
      <c r="B128" s="67"/>
    </row>
    <row r="129" spans="2:2" x14ac:dyDescent="0.2">
      <c r="B129" s="67"/>
    </row>
    <row r="130" spans="2:2" x14ac:dyDescent="0.2">
      <c r="B130" s="67"/>
    </row>
    <row r="131" spans="2:2" x14ac:dyDescent="0.2">
      <c r="B131" s="67"/>
    </row>
    <row r="132" spans="2:2" x14ac:dyDescent="0.2">
      <c r="B132" s="67"/>
    </row>
    <row r="133" spans="2:2" x14ac:dyDescent="0.2">
      <c r="B133" s="67"/>
    </row>
    <row r="134" spans="2:2" x14ac:dyDescent="0.2">
      <c r="B134" s="67"/>
    </row>
    <row r="135" spans="2:2" x14ac:dyDescent="0.2">
      <c r="B135" s="67"/>
    </row>
    <row r="136" spans="2:2" x14ac:dyDescent="0.2">
      <c r="B136" s="67"/>
    </row>
    <row r="137" spans="2:2" x14ac:dyDescent="0.2">
      <c r="B137" s="67"/>
    </row>
    <row r="138" spans="2:2" x14ac:dyDescent="0.2">
      <c r="B138" s="67"/>
    </row>
    <row r="139" spans="2:2" x14ac:dyDescent="0.2">
      <c r="B139" s="67"/>
    </row>
    <row r="140" spans="2:2" x14ac:dyDescent="0.2">
      <c r="B140" s="67"/>
    </row>
    <row r="141" spans="2:2" x14ac:dyDescent="0.2">
      <c r="B141" s="67"/>
    </row>
    <row r="142" spans="2:2" x14ac:dyDescent="0.2">
      <c r="B142" s="67"/>
    </row>
    <row r="143" spans="2:2" x14ac:dyDescent="0.2">
      <c r="B143" s="67"/>
    </row>
    <row r="144" spans="2:2" x14ac:dyDescent="0.2">
      <c r="B144" s="67"/>
    </row>
    <row r="145" spans="2:2" x14ac:dyDescent="0.2">
      <c r="B145" s="67"/>
    </row>
    <row r="146" spans="2:2" x14ac:dyDescent="0.2">
      <c r="B146" s="67"/>
    </row>
    <row r="147" spans="2:2" x14ac:dyDescent="0.2">
      <c r="B147" s="67"/>
    </row>
    <row r="148" spans="2:2" x14ac:dyDescent="0.2">
      <c r="B148" s="67"/>
    </row>
    <row r="149" spans="2:2" x14ac:dyDescent="0.2">
      <c r="B149" s="67"/>
    </row>
    <row r="150" spans="2:2" x14ac:dyDescent="0.2">
      <c r="B150" s="67"/>
    </row>
    <row r="151" spans="2:2" x14ac:dyDescent="0.2">
      <c r="B151" s="67"/>
    </row>
    <row r="152" spans="2:2" x14ac:dyDescent="0.2">
      <c r="B152" s="67"/>
    </row>
    <row r="153" spans="2:2" x14ac:dyDescent="0.2">
      <c r="B153" s="67"/>
    </row>
    <row r="154" spans="2:2" x14ac:dyDescent="0.2">
      <c r="B154" s="67"/>
    </row>
    <row r="155" spans="2:2" x14ac:dyDescent="0.2">
      <c r="B155" s="67"/>
    </row>
    <row r="156" spans="2:2" x14ac:dyDescent="0.2">
      <c r="B156" s="67"/>
    </row>
    <row r="157" spans="2:2" x14ac:dyDescent="0.2">
      <c r="B157" s="67"/>
    </row>
    <row r="158" spans="2:2" x14ac:dyDescent="0.2">
      <c r="B158" s="129"/>
    </row>
    <row r="159" spans="2:2" x14ac:dyDescent="0.2">
      <c r="B159" s="129"/>
    </row>
    <row r="160" spans="2:2" x14ac:dyDescent="0.2">
      <c r="B160" s="129"/>
    </row>
    <row r="161" spans="2:2" x14ac:dyDescent="0.2">
      <c r="B161" s="129"/>
    </row>
    <row r="162" spans="2:2" x14ac:dyDescent="0.2">
      <c r="B162" s="129"/>
    </row>
    <row r="163" spans="2:2" x14ac:dyDescent="0.2">
      <c r="B163" s="129"/>
    </row>
    <row r="164" spans="2:2" x14ac:dyDescent="0.2">
      <c r="B164" s="129"/>
    </row>
    <row r="165" spans="2:2" x14ac:dyDescent="0.2">
      <c r="B165" s="129"/>
    </row>
    <row r="166" spans="2:2" x14ac:dyDescent="0.2">
      <c r="B166" s="129"/>
    </row>
    <row r="167" spans="2:2" x14ac:dyDescent="0.2">
      <c r="B167" s="129"/>
    </row>
    <row r="168" spans="2:2" x14ac:dyDescent="0.2">
      <c r="B168" s="129"/>
    </row>
    <row r="169" spans="2:2" x14ac:dyDescent="0.2">
      <c r="B169" s="129"/>
    </row>
    <row r="170" spans="2:2" x14ac:dyDescent="0.2">
      <c r="B170" s="129"/>
    </row>
    <row r="171" spans="2:2" x14ac:dyDescent="0.2">
      <c r="B171" s="129"/>
    </row>
    <row r="172" spans="2:2" x14ac:dyDescent="0.2">
      <c r="B172" s="129"/>
    </row>
    <row r="173" spans="2:2" x14ac:dyDescent="0.2">
      <c r="B173" s="129"/>
    </row>
    <row r="174" spans="2:2" x14ac:dyDescent="0.2">
      <c r="B174" s="129"/>
    </row>
    <row r="175" spans="2:2" x14ac:dyDescent="0.2">
      <c r="B175" s="129"/>
    </row>
    <row r="176" spans="2:2" x14ac:dyDescent="0.2">
      <c r="B176" s="129"/>
    </row>
    <row r="177" spans="2:2" x14ac:dyDescent="0.2">
      <c r="B177" s="129"/>
    </row>
    <row r="178" spans="2:2" x14ac:dyDescent="0.2">
      <c r="B178" s="129"/>
    </row>
    <row r="179" spans="2:2" x14ac:dyDescent="0.2">
      <c r="B179" s="129"/>
    </row>
    <row r="180" spans="2:2" x14ac:dyDescent="0.2">
      <c r="B180" s="129"/>
    </row>
    <row r="181" spans="2:2" x14ac:dyDescent="0.2">
      <c r="B181" s="129"/>
    </row>
    <row r="182" spans="2:2" x14ac:dyDescent="0.2">
      <c r="B182" s="129"/>
    </row>
    <row r="183" spans="2:2" x14ac:dyDescent="0.2">
      <c r="B183" s="129"/>
    </row>
    <row r="184" spans="2:2" x14ac:dyDescent="0.2">
      <c r="B184" s="129"/>
    </row>
    <row r="185" spans="2:2" x14ac:dyDescent="0.2">
      <c r="B185" s="129"/>
    </row>
    <row r="186" spans="2:2" x14ac:dyDescent="0.2">
      <c r="B186" s="129"/>
    </row>
    <row r="187" spans="2:2" x14ac:dyDescent="0.2">
      <c r="B187" s="129"/>
    </row>
    <row r="188" spans="2:2" x14ac:dyDescent="0.2">
      <c r="B188" s="129"/>
    </row>
    <row r="189" spans="2:2" x14ac:dyDescent="0.2">
      <c r="B189" s="129"/>
    </row>
    <row r="190" spans="2:2" x14ac:dyDescent="0.2">
      <c r="B190" s="129"/>
    </row>
    <row r="191" spans="2:2" x14ac:dyDescent="0.2">
      <c r="B191" s="129"/>
    </row>
    <row r="192" spans="2:2" x14ac:dyDescent="0.2">
      <c r="B192" s="129"/>
    </row>
    <row r="193" spans="2:2" x14ac:dyDescent="0.2">
      <c r="B193" s="129"/>
    </row>
    <row r="194" spans="2:2" x14ac:dyDescent="0.2">
      <c r="B194" s="129"/>
    </row>
    <row r="195" spans="2:2" x14ac:dyDescent="0.2">
      <c r="B195" s="129"/>
    </row>
    <row r="196" spans="2:2" x14ac:dyDescent="0.2">
      <c r="B196" s="129"/>
    </row>
    <row r="197" spans="2:2" x14ac:dyDescent="0.2">
      <c r="B197" s="129"/>
    </row>
    <row r="198" spans="2:2" x14ac:dyDescent="0.2">
      <c r="B198" s="129"/>
    </row>
    <row r="199" spans="2:2" x14ac:dyDescent="0.2">
      <c r="B199" s="129"/>
    </row>
    <row r="200" spans="2:2" x14ac:dyDescent="0.2">
      <c r="B200" s="129"/>
    </row>
    <row r="201" spans="2:2" x14ac:dyDescent="0.2">
      <c r="B201" s="129"/>
    </row>
    <row r="202" spans="2:2" x14ac:dyDescent="0.2">
      <c r="B202" s="129"/>
    </row>
    <row r="203" spans="2:2" x14ac:dyDescent="0.2">
      <c r="B203" s="129"/>
    </row>
    <row r="204" spans="2:2" x14ac:dyDescent="0.2">
      <c r="B204" s="129"/>
    </row>
    <row r="205" spans="2:2" x14ac:dyDescent="0.2">
      <c r="B205" s="129"/>
    </row>
    <row r="206" spans="2:2" x14ac:dyDescent="0.2">
      <c r="B206" s="129"/>
    </row>
    <row r="207" spans="2:2" x14ac:dyDescent="0.2">
      <c r="B207" s="129"/>
    </row>
    <row r="208" spans="2:2" x14ac:dyDescent="0.2">
      <c r="B208" s="129"/>
    </row>
    <row r="209" spans="1:2" x14ac:dyDescent="0.2">
      <c r="B209" s="129"/>
    </row>
    <row r="210" spans="1:2" x14ac:dyDescent="0.2">
      <c r="B210" s="129"/>
    </row>
    <row r="211" spans="1:2" x14ac:dyDescent="0.2">
      <c r="A211" s="127"/>
      <c r="B211" s="129"/>
    </row>
    <row r="212" spans="1:2" x14ac:dyDescent="0.2">
      <c r="A212" s="127"/>
      <c r="B212" s="129"/>
    </row>
    <row r="213" spans="1:2" x14ac:dyDescent="0.2">
      <c r="A213" s="127"/>
      <c r="B213" s="129"/>
    </row>
    <row r="214" spans="1:2" x14ac:dyDescent="0.2">
      <c r="A214" s="127"/>
      <c r="B214" s="129"/>
    </row>
    <row r="215" spans="1:2" x14ac:dyDescent="0.2">
      <c r="A215" s="127"/>
      <c r="B215" s="129"/>
    </row>
    <row r="216" spans="1:2" x14ac:dyDescent="0.2">
      <c r="A216" s="127"/>
      <c r="B216" s="129"/>
    </row>
    <row r="217" spans="1:2" x14ac:dyDescent="0.2">
      <c r="A217" s="127"/>
      <c r="B217" s="129"/>
    </row>
    <row r="218" spans="1:2" x14ac:dyDescent="0.2">
      <c r="A218" s="127"/>
      <c r="B218" s="129"/>
    </row>
    <row r="219" spans="1:2" x14ac:dyDescent="0.2">
      <c r="A219" s="127"/>
      <c r="B219" s="129"/>
    </row>
    <row r="220" spans="1:2" x14ac:dyDescent="0.2">
      <c r="A220" s="127"/>
      <c r="B220" s="129"/>
    </row>
    <row r="221" spans="1:2" x14ac:dyDescent="0.2">
      <c r="A221" s="127"/>
      <c r="B221" s="129"/>
    </row>
    <row r="222" spans="1:2" x14ac:dyDescent="0.2">
      <c r="A222" s="127"/>
      <c r="B222" s="129"/>
    </row>
    <row r="223" spans="1:2" x14ac:dyDescent="0.2">
      <c r="A223" s="127"/>
      <c r="B223" s="129"/>
    </row>
    <row r="224" spans="1:2" x14ac:dyDescent="0.2">
      <c r="A224" s="127"/>
      <c r="B224" s="129"/>
    </row>
    <row r="225" spans="1:2" x14ac:dyDescent="0.2">
      <c r="A225" s="127"/>
      <c r="B225" s="129"/>
    </row>
    <row r="226" spans="1:2" x14ac:dyDescent="0.2">
      <c r="A226" s="127"/>
      <c r="B226" s="129"/>
    </row>
    <row r="227" spans="1:2" x14ac:dyDescent="0.2">
      <c r="A227" s="127"/>
      <c r="B227" s="129"/>
    </row>
    <row r="228" spans="1:2" x14ac:dyDescent="0.2">
      <c r="A228" s="127"/>
      <c r="B228" s="129"/>
    </row>
    <row r="229" spans="1:2" x14ac:dyDescent="0.2">
      <c r="A229" s="127"/>
      <c r="B229" s="129"/>
    </row>
    <row r="230" spans="1:2" x14ac:dyDescent="0.2">
      <c r="A230" s="127"/>
      <c r="B230" s="129"/>
    </row>
    <row r="231" spans="1:2" x14ac:dyDescent="0.2">
      <c r="A231" s="127"/>
      <c r="B231" s="129"/>
    </row>
    <row r="232" spans="1:2" x14ac:dyDescent="0.2">
      <c r="A232" s="127"/>
      <c r="B232" s="129"/>
    </row>
    <row r="233" spans="1:2" x14ac:dyDescent="0.2">
      <c r="A233" s="127"/>
      <c r="B233" s="129"/>
    </row>
    <row r="234" spans="1:2" x14ac:dyDescent="0.2">
      <c r="A234" s="127"/>
      <c r="B234" s="129"/>
    </row>
    <row r="235" spans="1:2" x14ac:dyDescent="0.2">
      <c r="A235" s="127"/>
      <c r="B235" s="129"/>
    </row>
    <row r="236" spans="1:2" x14ac:dyDescent="0.2">
      <c r="A236" s="127"/>
      <c r="B236" s="129"/>
    </row>
    <row r="237" spans="1:2" x14ac:dyDescent="0.2">
      <c r="A237" s="127"/>
      <c r="B237" s="129"/>
    </row>
    <row r="238" spans="1:2" x14ac:dyDescent="0.2">
      <c r="A238" s="127"/>
      <c r="B238" s="129"/>
    </row>
    <row r="239" spans="1:2" x14ac:dyDescent="0.2">
      <c r="A239" s="127"/>
      <c r="B239" s="129"/>
    </row>
    <row r="240" spans="1:2" x14ac:dyDescent="0.2">
      <c r="A240" s="127"/>
      <c r="B240" s="129"/>
    </row>
    <row r="241" spans="1:2" x14ac:dyDescent="0.2">
      <c r="A241" s="127"/>
      <c r="B241" s="129"/>
    </row>
    <row r="242" spans="1:2" x14ac:dyDescent="0.2">
      <c r="A242" s="127"/>
      <c r="B242" s="129"/>
    </row>
    <row r="243" spans="1:2" x14ac:dyDescent="0.2">
      <c r="A243" s="127"/>
      <c r="B243" s="129"/>
    </row>
    <row r="244" spans="1:2" x14ac:dyDescent="0.2">
      <c r="A244" s="127"/>
      <c r="B244" s="129"/>
    </row>
    <row r="245" spans="1:2" x14ac:dyDescent="0.2">
      <c r="A245" s="127"/>
      <c r="B245" s="129"/>
    </row>
    <row r="246" spans="1:2" x14ac:dyDescent="0.2">
      <c r="A246" s="127"/>
      <c r="B246" s="129"/>
    </row>
    <row r="247" spans="1:2" x14ac:dyDescent="0.2">
      <c r="A247" s="127"/>
      <c r="B247" s="129"/>
    </row>
    <row r="248" spans="1:2" x14ac:dyDescent="0.2">
      <c r="A248" s="127"/>
      <c r="B248" s="129"/>
    </row>
    <row r="249" spans="1:2" x14ac:dyDescent="0.2">
      <c r="A249" s="127"/>
      <c r="B249" s="129"/>
    </row>
    <row r="250" spans="1:2" x14ac:dyDescent="0.2">
      <c r="A250" s="127"/>
      <c r="B250" s="129"/>
    </row>
    <row r="251" spans="1:2" x14ac:dyDescent="0.2">
      <c r="A251" s="127"/>
      <c r="B251" s="129"/>
    </row>
    <row r="252" spans="1:2" x14ac:dyDescent="0.2">
      <c r="A252" s="127"/>
      <c r="B252" s="129"/>
    </row>
    <row r="253" spans="1:2" x14ac:dyDescent="0.2">
      <c r="A253" s="127"/>
      <c r="B253" s="129"/>
    </row>
    <row r="254" spans="1:2" x14ac:dyDescent="0.2">
      <c r="A254" s="127"/>
      <c r="B254" s="129"/>
    </row>
    <row r="255" spans="1:2" x14ac:dyDescent="0.2">
      <c r="A255" s="127"/>
      <c r="B255" s="129"/>
    </row>
    <row r="256" spans="1:2" x14ac:dyDescent="0.2">
      <c r="A256" s="127"/>
    </row>
    <row r="257" spans="1:1" x14ac:dyDescent="0.2">
      <c r="A257" s="127"/>
    </row>
    <row r="258" spans="1:1" x14ac:dyDescent="0.2">
      <c r="A258" s="127"/>
    </row>
    <row r="259" spans="1:1" x14ac:dyDescent="0.2">
      <c r="A259" s="127"/>
    </row>
    <row r="260" spans="1:1" x14ac:dyDescent="0.2">
      <c r="A260" s="127"/>
    </row>
    <row r="261" spans="1:1" x14ac:dyDescent="0.2">
      <c r="A261" s="127"/>
    </row>
    <row r="262" spans="1:1" x14ac:dyDescent="0.2">
      <c r="A262" s="127"/>
    </row>
    <row r="263" spans="1:1" x14ac:dyDescent="0.2">
      <c r="A263" s="127"/>
    </row>
    <row r="264" spans="1:1" x14ac:dyDescent="0.2">
      <c r="A264" s="127"/>
    </row>
    <row r="265" spans="1:1" x14ac:dyDescent="0.2">
      <c r="A265" s="127"/>
    </row>
    <row r="266" spans="1:1" x14ac:dyDescent="0.2">
      <c r="A266" s="127"/>
    </row>
    <row r="267" spans="1:1" x14ac:dyDescent="0.2">
      <c r="A267" s="127"/>
    </row>
    <row r="268" spans="1:1" x14ac:dyDescent="0.2">
      <c r="A268" s="127"/>
    </row>
    <row r="269" spans="1:1" x14ac:dyDescent="0.2">
      <c r="A269" s="127"/>
    </row>
    <row r="270" spans="1:1" x14ac:dyDescent="0.2">
      <c r="A270" s="127"/>
    </row>
    <row r="271" spans="1:1" x14ac:dyDescent="0.2">
      <c r="A271" s="127"/>
    </row>
    <row r="272" spans="1:1" x14ac:dyDescent="0.2">
      <c r="A272" s="127"/>
    </row>
    <row r="273" spans="1:1" x14ac:dyDescent="0.2">
      <c r="A273" s="127"/>
    </row>
    <row r="274" spans="1:1" x14ac:dyDescent="0.2">
      <c r="A274" s="127"/>
    </row>
    <row r="275" spans="1:1" x14ac:dyDescent="0.2">
      <c r="A275" s="127"/>
    </row>
    <row r="276" spans="1:1" x14ac:dyDescent="0.2">
      <c r="A276" s="127"/>
    </row>
    <row r="277" spans="1:1" x14ac:dyDescent="0.2">
      <c r="A277" s="127"/>
    </row>
    <row r="278" spans="1:1" x14ac:dyDescent="0.2">
      <c r="A278" s="127"/>
    </row>
    <row r="279" spans="1:1" x14ac:dyDescent="0.2">
      <c r="A279" s="127"/>
    </row>
    <row r="280" spans="1:1" x14ac:dyDescent="0.2">
      <c r="A280" s="127"/>
    </row>
    <row r="281" spans="1:1" x14ac:dyDescent="0.2">
      <c r="A281" s="127"/>
    </row>
    <row r="282" spans="1:1" x14ac:dyDescent="0.2">
      <c r="A282" s="127"/>
    </row>
    <row r="283" spans="1:1" x14ac:dyDescent="0.2">
      <c r="A283" s="127"/>
    </row>
    <row r="284" spans="1:1" x14ac:dyDescent="0.2">
      <c r="A284" s="127"/>
    </row>
    <row r="285" spans="1:1" x14ac:dyDescent="0.2">
      <c r="A285" s="127"/>
    </row>
    <row r="286" spans="1:1" x14ac:dyDescent="0.2">
      <c r="A286" s="127"/>
    </row>
    <row r="287" spans="1:1" x14ac:dyDescent="0.2">
      <c r="A287" s="127"/>
    </row>
    <row r="288" spans="1:1" x14ac:dyDescent="0.2">
      <c r="A288" s="127"/>
    </row>
    <row r="289" spans="1:1" x14ac:dyDescent="0.2">
      <c r="A289" s="127"/>
    </row>
    <row r="290" spans="1:1" x14ac:dyDescent="0.2">
      <c r="A290" s="127"/>
    </row>
    <row r="291" spans="1:1" x14ac:dyDescent="0.2">
      <c r="A291" s="127"/>
    </row>
    <row r="292" spans="1:1" x14ac:dyDescent="0.2">
      <c r="A292" s="127"/>
    </row>
    <row r="293" spans="1:1" x14ac:dyDescent="0.2">
      <c r="A293" s="127"/>
    </row>
    <row r="294" spans="1:1" x14ac:dyDescent="0.2">
      <c r="A294" s="127"/>
    </row>
    <row r="295" spans="1:1" x14ac:dyDescent="0.2">
      <c r="A295" s="127"/>
    </row>
    <row r="296" spans="1:1" x14ac:dyDescent="0.2">
      <c r="A296" s="127"/>
    </row>
    <row r="297" spans="1:1" x14ac:dyDescent="0.2">
      <c r="A297" s="127"/>
    </row>
    <row r="298" spans="1:1" x14ac:dyDescent="0.2">
      <c r="A298" s="127"/>
    </row>
    <row r="299" spans="1:1" x14ac:dyDescent="0.2">
      <c r="A299" s="127"/>
    </row>
    <row r="300" spans="1:1" x14ac:dyDescent="0.2">
      <c r="A300" s="127"/>
    </row>
    <row r="301" spans="1:1" x14ac:dyDescent="0.2">
      <c r="A301" s="127"/>
    </row>
    <row r="302" spans="1:1" x14ac:dyDescent="0.2">
      <c r="A302" s="127"/>
    </row>
    <row r="303" spans="1:1" x14ac:dyDescent="0.2">
      <c r="A303" s="127"/>
    </row>
    <row r="304" spans="1:1" x14ac:dyDescent="0.2">
      <c r="A304" s="127"/>
    </row>
    <row r="305" spans="1:1" x14ac:dyDescent="0.2">
      <c r="A305" s="127"/>
    </row>
    <row r="306" spans="1:1" x14ac:dyDescent="0.2">
      <c r="A306" s="127"/>
    </row>
    <row r="307" spans="1:1" x14ac:dyDescent="0.2">
      <c r="A307" s="127"/>
    </row>
    <row r="308" spans="1:1" x14ac:dyDescent="0.2">
      <c r="A308" s="12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2018-01-03T10:42:17Z</dcterms:modified>
</cp:coreProperties>
</file>