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900" tabRatio="500"/>
  </bookViews>
  <sheets>
    <sheet name="Odyssee" sheetId="1" r:id="rId1"/>
    <sheet name="Ecofys_space_heating" sheetId="2" r:id="rId2"/>
    <sheet name="Ecofys_hot_water" sheetId="3" r:id="rId3"/>
    <sheet name="Ecofys_appliances" sheetId="4" r:id="rId4"/>
  </sheets>
  <definedNames>
    <definedName name="TWh_to_TJ">Ecofys_appliances!$C$69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4" l="1"/>
  <c r="C40" i="4"/>
  <c r="C41" i="4"/>
  <c r="C44" i="4"/>
  <c r="C45" i="4"/>
  <c r="C46" i="4"/>
  <c r="C47" i="4"/>
  <c r="C55" i="4"/>
  <c r="C54" i="4"/>
  <c r="C60" i="4"/>
  <c r="C59" i="4"/>
  <c r="C58" i="4"/>
  <c r="C57" i="4"/>
  <c r="C53" i="4"/>
  <c r="C61" i="4"/>
  <c r="G45" i="4"/>
  <c r="G47" i="4"/>
  <c r="G34" i="4"/>
  <c r="G35" i="4"/>
  <c r="G36" i="4"/>
  <c r="G37" i="4"/>
  <c r="G40" i="4"/>
  <c r="G41" i="4"/>
  <c r="G42" i="4"/>
  <c r="G44" i="4"/>
  <c r="G48" i="4"/>
  <c r="C34" i="4"/>
  <c r="C35" i="4"/>
  <c r="C36" i="4"/>
  <c r="C37" i="4"/>
  <c r="C48" i="4"/>
  <c r="D5" i="1"/>
  <c r="G27" i="4"/>
  <c r="F24" i="4"/>
  <c r="F25" i="4"/>
  <c r="F26" i="4"/>
  <c r="F47" i="4"/>
  <c r="F21" i="4"/>
  <c r="F23" i="4"/>
  <c r="F45" i="4"/>
  <c r="F20" i="4"/>
  <c r="F44" i="4"/>
  <c r="F9" i="4"/>
  <c r="F42" i="4"/>
  <c r="F8" i="4"/>
  <c r="F41" i="4"/>
  <c r="F10" i="4"/>
  <c r="F40" i="4"/>
  <c r="F17" i="4"/>
  <c r="F37" i="4"/>
  <c r="F13" i="4"/>
  <c r="F14" i="4"/>
  <c r="F36" i="4"/>
  <c r="F11" i="4"/>
  <c r="F35" i="4"/>
  <c r="F15" i="4"/>
  <c r="F16" i="4"/>
  <c r="F34" i="4"/>
  <c r="F48" i="4"/>
  <c r="D11" i="4"/>
  <c r="D35" i="4"/>
  <c r="D17" i="4"/>
  <c r="D37" i="4"/>
  <c r="D15" i="4"/>
  <c r="D16" i="4"/>
  <c r="D34" i="4"/>
  <c r="D13" i="4"/>
  <c r="D36" i="4"/>
  <c r="D10" i="4"/>
  <c r="D40" i="4"/>
  <c r="D8" i="4"/>
  <c r="D41" i="4"/>
  <c r="D9" i="4"/>
  <c r="D42" i="4"/>
  <c r="D19" i="4"/>
  <c r="D44" i="4"/>
  <c r="D21" i="4"/>
  <c r="D22" i="4"/>
  <c r="D45" i="4"/>
  <c r="D12" i="4"/>
  <c r="D46" i="4"/>
  <c r="D18" i="4"/>
  <c r="D26" i="4"/>
  <c r="D47" i="4"/>
  <c r="D48" i="4"/>
  <c r="D27" i="4"/>
  <c r="C27" i="4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G21" i="3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G21" i="2"/>
  <c r="G26" i="2"/>
  <c r="D26" i="2"/>
  <c r="E26" i="2"/>
  <c r="F26" i="2"/>
  <c r="C26" i="2"/>
  <c r="D23" i="1"/>
  <c r="D24" i="1"/>
  <c r="D25" i="1"/>
  <c r="D26" i="1"/>
  <c r="D27" i="1"/>
  <c r="D28" i="1"/>
  <c r="D29" i="1"/>
  <c r="E23" i="1"/>
  <c r="E24" i="1"/>
  <c r="D17" i="1"/>
  <c r="D16" i="1"/>
  <c r="E17" i="1"/>
  <c r="F23" i="1"/>
  <c r="D6" i="1"/>
  <c r="D7" i="1"/>
  <c r="D8" i="1"/>
  <c r="D9" i="1"/>
  <c r="D10" i="1"/>
  <c r="E25" i="1"/>
  <c r="E26" i="1"/>
  <c r="E27" i="1"/>
  <c r="E28" i="1"/>
  <c r="F25" i="1"/>
  <c r="F26" i="1"/>
  <c r="F27" i="1"/>
  <c r="F28" i="1"/>
  <c r="E29" i="1"/>
  <c r="F29" i="1"/>
  <c r="E16" i="1"/>
</calcChain>
</file>

<file path=xl/sharedStrings.xml><?xml version="1.0" encoding="utf-8"?>
<sst xmlns="http://schemas.openxmlformats.org/spreadsheetml/2006/main" count="240" uniqueCount="115">
  <si>
    <t>Small applicances</t>
  </si>
  <si>
    <t>Large applicances</t>
  </si>
  <si>
    <t>Large appliances</t>
  </si>
  <si>
    <t>Refrigerator</t>
  </si>
  <si>
    <t>Freezers</t>
  </si>
  <si>
    <t>Washing machine</t>
  </si>
  <si>
    <t>TV</t>
  </si>
  <si>
    <t>Dryers</t>
  </si>
  <si>
    <t>Total</t>
  </si>
  <si>
    <t>Dishwashers</t>
  </si>
  <si>
    <t>Source:</t>
  </si>
  <si>
    <t>http://www.odyssee-mure.eu/publications/efficiency-by-sector/household/</t>
  </si>
  <si>
    <t>Consumption (TWh)</t>
  </si>
  <si>
    <t>Split</t>
  </si>
  <si>
    <t>Length</t>
  </si>
  <si>
    <t>Scale</t>
  </si>
  <si>
    <t>Final energy demand for Residences on IEA energy balance</t>
  </si>
  <si>
    <t>Space heating</t>
  </si>
  <si>
    <t>Hot water</t>
  </si>
  <si>
    <t>Space cooling</t>
  </si>
  <si>
    <t>Lighting</t>
  </si>
  <si>
    <t>Cooking</t>
  </si>
  <si>
    <t>Electrical applicances</t>
  </si>
  <si>
    <t>Percentage</t>
  </si>
  <si>
    <t>End-use (TJ)</t>
  </si>
  <si>
    <t>Application split</t>
  </si>
  <si>
    <t>Appliances</t>
  </si>
  <si>
    <t>Germany</t>
  </si>
  <si>
    <t>France</t>
  </si>
  <si>
    <t>UK</t>
  </si>
  <si>
    <t>Spain</t>
  </si>
  <si>
    <t>Total (check)</t>
  </si>
  <si>
    <t>Solar thermal panels</t>
  </si>
  <si>
    <t>Gas-fired micro CHP</t>
  </si>
  <si>
    <t>Woodpellets (biomass) heaters</t>
  </si>
  <si>
    <t>Electric heat pump add-on</t>
  </si>
  <si>
    <t>Final demand for space heating</t>
  </si>
  <si>
    <t>EU</t>
  </si>
  <si>
    <t>Condensing combi boiler</t>
  </si>
  <si>
    <t>Gas-fired heat pump (ground)</t>
  </si>
  <si>
    <t>District heating</t>
  </si>
  <si>
    <t>Electricity-driven heat pump (air)</t>
  </si>
  <si>
    <t>Electric heaters (resistance)</t>
  </si>
  <si>
    <t>Gas-fired heaters</t>
  </si>
  <si>
    <t>Oil-fired heaters</t>
  </si>
  <si>
    <t>Coal-fired heaters</t>
  </si>
  <si>
    <t>Total (DE, FR, UK, ES)</t>
  </si>
  <si>
    <t>-</t>
  </si>
  <si>
    <t>Gas-fired hot water pump (ground)</t>
  </si>
  <si>
    <t>Woodpellets (biomass) stoves</t>
  </si>
  <si>
    <t>Fuel cells</t>
  </si>
  <si>
    <t>Application</t>
  </si>
  <si>
    <t>Cold appliances</t>
  </si>
  <si>
    <t>Washing and drying</t>
  </si>
  <si>
    <t>Electric ovens, grills and hobs</t>
  </si>
  <si>
    <t>Vacuum cleaners</t>
  </si>
  <si>
    <t>Heating systems and electric boilers</t>
  </si>
  <si>
    <t>Coffee machines</t>
  </si>
  <si>
    <t>Entertainment</t>
  </si>
  <si>
    <t>Set-top boxes</t>
  </si>
  <si>
    <t>Office equipment</t>
  </si>
  <si>
    <t>Other</t>
  </si>
  <si>
    <t>General</t>
  </si>
  <si>
    <t>Total electricity consumption in residences</t>
  </si>
  <si>
    <t>TJ</t>
  </si>
  <si>
    <t>Share (%)</t>
  </si>
  <si>
    <t>ETM category</t>
  </si>
  <si>
    <t>Appliances - Fridges/Freezers</t>
  </si>
  <si>
    <t>Appliances - Washing machines + Dyers</t>
  </si>
  <si>
    <t>Appliances - Dishwashers</t>
  </si>
  <si>
    <t>Cooking - Electric stoves</t>
  </si>
  <si>
    <t>Appliances - Vacuum cleaners</t>
  </si>
  <si>
    <t>Cooling - Air conditioning</t>
  </si>
  <si>
    <t>Appliances - Others</t>
  </si>
  <si>
    <t>Appliances - Computers/Media</t>
  </si>
  <si>
    <t>Appliances - Television + Computers/Media</t>
  </si>
  <si>
    <t>[1]</t>
  </si>
  <si>
    <t>References</t>
  </si>
  <si>
    <t>[2]</t>
  </si>
  <si>
    <t>Washing machines</t>
  </si>
  <si>
    <t>Electricity consumption (TWh)</t>
  </si>
  <si>
    <t>Air conditioning</t>
  </si>
  <si>
    <t>Ventilation</t>
  </si>
  <si>
    <t>Water heaters</t>
  </si>
  <si>
    <t>Television</t>
  </si>
  <si>
    <t>Computers</t>
  </si>
  <si>
    <t>External power supplies</t>
  </si>
  <si>
    <t>Home appliances stand-by</t>
  </si>
  <si>
    <t>Electricity consumption (TJ)</t>
  </si>
  <si>
    <t>Space heating + Hot water</t>
  </si>
  <si>
    <t>Appliances - Television</t>
  </si>
  <si>
    <t>Final energy demand for lighting</t>
  </si>
  <si>
    <t>Fridges / Freezers</t>
  </si>
  <si>
    <t>Computers / Media</t>
  </si>
  <si>
    <t>Vacuum Cleaners</t>
  </si>
  <si>
    <t>Others</t>
  </si>
  <si>
    <t>Final energy demand for cooling</t>
  </si>
  <si>
    <t>Final electricity demand for space heating and hot water</t>
  </si>
  <si>
    <t>Final electricity demand for cooking</t>
  </si>
  <si>
    <t>Conversions</t>
  </si>
  <si>
    <t>TWh_to_TJ</t>
  </si>
  <si>
    <t>TJ/TWh</t>
  </si>
  <si>
    <t>Application splits for hot water in four EU countries</t>
  </si>
  <si>
    <t>Final demand for hot water</t>
  </si>
  <si>
    <t>Final demand for hot water in four EU countries and the EU</t>
  </si>
  <si>
    <t>Application splits for space heating in four EU countries</t>
  </si>
  <si>
    <t>Final demand for space heating in four EU countries and the EU</t>
  </si>
  <si>
    <t>Calculation of weighted average application split for space heating in the EU based on the four EU countries</t>
  </si>
  <si>
    <t>Calculation of weighted average application split for hot water in the EU based on the four EU countries</t>
  </si>
  <si>
    <t>Table 1: Electricity consumption in the residential sector</t>
  </si>
  <si>
    <t>Table 2: Mapping of electricity consumption in the residential sector to ETM catagories</t>
  </si>
  <si>
    <t>Table 3: Mapping of electricity consumption in the residential sector to ETM appliances catagories</t>
  </si>
  <si>
    <t>[1] JRC (2012) Energy Efficiency Status Report 2012, http://iet.jrc.ec.europa.eu/energyefficiency/sites/energyefficiency/files/energy-efficiency-status-report-2012.pdf</t>
  </si>
  <si>
    <t xml:space="preserve">[2] JRC (2009) Electricity Consumption and Efficiency Trends in European Union, http://iet.jrc.ec.europa.eu/sites/default/files/documents/ie_energy_press_event/status_report_2009.pdf
</t>
  </si>
  <si>
    <t>Enerdata_2014_Energy efficiency trends for households in the EU (http://refman.et-model.com/publications/1868)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</si>
</sst>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1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Border="1"/>
    <xf numFmtId="1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10" fontId="1" fillId="0" borderId="0" xfId="0" applyNumberFormat="1" applyFont="1"/>
    <xf numFmtId="3" fontId="1" fillId="0" borderId="0" xfId="0" applyNumberFormat="1" applyFont="1"/>
    <xf numFmtId="0" fontId="1" fillId="0" borderId="2" xfId="0" applyFont="1" applyBorder="1"/>
    <xf numFmtId="0" fontId="0" fillId="0" borderId="3" xfId="0" applyBorder="1"/>
    <xf numFmtId="10" fontId="0" fillId="0" borderId="4" xfId="0" applyNumberFormat="1" applyBorder="1"/>
    <xf numFmtId="3" fontId="1" fillId="0" borderId="3" xfId="0" applyNumberFormat="1" applyFont="1" applyBorder="1"/>
    <xf numFmtId="0" fontId="0" fillId="0" borderId="5" xfId="0" applyBorder="1"/>
    <xf numFmtId="0" fontId="0" fillId="0" borderId="4" xfId="0" applyBorder="1"/>
    <xf numFmtId="2" fontId="0" fillId="0" borderId="3" xfId="0" applyNumberFormat="1" applyBorder="1"/>
    <xf numFmtId="164" fontId="2" fillId="0" borderId="0" xfId="0" applyNumberFormat="1" applyFont="1"/>
    <xf numFmtId="164" fontId="2" fillId="0" borderId="3" xfId="0" applyNumberFormat="1" applyFont="1" applyBorder="1"/>
    <xf numFmtId="10" fontId="2" fillId="0" borderId="0" xfId="0" applyNumberFormat="1" applyFont="1"/>
    <xf numFmtId="0" fontId="0" fillId="0" borderId="2" xfId="0" applyBorder="1"/>
    <xf numFmtId="0" fontId="0" fillId="0" borderId="6" xfId="0" applyBorder="1"/>
    <xf numFmtId="2" fontId="0" fillId="0" borderId="2" xfId="0" applyNumberFormat="1" applyBorder="1"/>
    <xf numFmtId="10" fontId="0" fillId="0" borderId="2" xfId="0" applyNumberForma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9" fontId="0" fillId="0" borderId="2" xfId="0" applyNumberFormat="1" applyBorder="1" applyAlignment="1">
      <alignment horizontal="right" vertical="center" wrapText="1"/>
    </xf>
    <xf numFmtId="9" fontId="0" fillId="0" borderId="0" xfId="0" applyNumberFormat="1" applyBorder="1" applyAlignment="1">
      <alignment horizontal="right" vertical="center" wrapText="1"/>
    </xf>
    <xf numFmtId="165" fontId="0" fillId="0" borderId="2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1" fillId="0" borderId="2" xfId="0" applyNumberFormat="1" applyFont="1" applyBorder="1"/>
    <xf numFmtId="3" fontId="0" fillId="0" borderId="0" xfId="0" applyNumberFormat="1"/>
    <xf numFmtId="3" fontId="0" fillId="0" borderId="2" xfId="0" applyNumberFormat="1" applyBorder="1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/>
    <xf numFmtId="3" fontId="0" fillId="0" borderId="0" xfId="0" applyNumberFormat="1" applyAlignment="1">
      <alignment horizontal="right" vertical="center"/>
    </xf>
    <xf numFmtId="3" fontId="0" fillId="0" borderId="0" xfId="0" applyNumberFormat="1" applyBorder="1"/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1" fillId="0" borderId="2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165" fontId="5" fillId="0" borderId="0" xfId="0" applyNumberFormat="1" applyFont="1"/>
    <xf numFmtId="165" fontId="0" fillId="0" borderId="0" xfId="0" applyNumberFormat="1" applyAlignment="1"/>
    <xf numFmtId="0" fontId="0" fillId="0" borderId="0" xfId="0" applyNumberFormat="1"/>
    <xf numFmtId="165" fontId="0" fillId="0" borderId="2" xfId="0" applyNumberFormat="1" applyFont="1" applyBorder="1"/>
    <xf numFmtId="0" fontId="0" fillId="0" borderId="2" xfId="0" applyFont="1" applyBorder="1"/>
    <xf numFmtId="165" fontId="0" fillId="0" borderId="0" xfId="0" applyNumberFormat="1" applyBorder="1"/>
    <xf numFmtId="165" fontId="0" fillId="0" borderId="0" xfId="0" applyNumberFormat="1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3" fontId="0" fillId="0" borderId="7" xfId="0" applyNumberFormat="1" applyFont="1" applyFill="1" applyBorder="1" applyAlignment="1">
      <alignment horizontal="right"/>
    </xf>
    <xf numFmtId="3" fontId="0" fillId="0" borderId="0" xfId="0" applyNumberFormat="1" applyAlignment="1">
      <alignment vertical="center"/>
    </xf>
    <xf numFmtId="10" fontId="1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abSelected="1" topLeftCell="A2" workbookViewId="0">
      <selection activeCell="C32" sqref="C32"/>
    </sheetView>
  </sheetViews>
  <sheetFormatPr baseColWidth="10" defaultRowHeight="15" x14ac:dyDescent="0"/>
  <cols>
    <col min="1" max="1" width="3.83203125" customWidth="1"/>
    <col min="2" max="6" width="18.33203125" customWidth="1"/>
  </cols>
  <sheetData>
    <row r="2" spans="2:6">
      <c r="B2" s="7" t="s">
        <v>25</v>
      </c>
    </row>
    <row r="3" spans="2:6">
      <c r="B3" s="12"/>
      <c r="C3" s="12" t="s">
        <v>23</v>
      </c>
      <c r="D3" s="12" t="s">
        <v>24</v>
      </c>
    </row>
    <row r="4" spans="2:6">
      <c r="B4" t="s">
        <v>16</v>
      </c>
      <c r="C4" s="1">
        <v>1</v>
      </c>
      <c r="D4" s="68">
        <v>11542987.4409546</v>
      </c>
    </row>
    <row r="5" spans="2:6">
      <c r="B5" t="s">
        <v>17</v>
      </c>
      <c r="C5" s="5">
        <v>0.65</v>
      </c>
      <c r="D5" s="11">
        <f>$D$4*(C5/SUM($C$5:$C$10))</f>
        <v>7480500.3356136475</v>
      </c>
      <c r="F5" s="4"/>
    </row>
    <row r="6" spans="2:6">
      <c r="B6" t="s">
        <v>18</v>
      </c>
      <c r="C6" s="5">
        <v>0.14000000000000001</v>
      </c>
      <c r="D6" s="11">
        <f t="shared" ref="D6:D10" si="0">$D$4*(C6/SUM($C$5:$C$10))</f>
        <v>1611184.687670632</v>
      </c>
      <c r="F6" s="4"/>
    </row>
    <row r="7" spans="2:6">
      <c r="B7" t="s">
        <v>19</v>
      </c>
      <c r="C7" s="5">
        <v>3.0000000000000001E-3</v>
      </c>
      <c r="D7" s="11">
        <f t="shared" si="0"/>
        <v>34525.386164370684</v>
      </c>
      <c r="F7" s="4"/>
    </row>
    <row r="8" spans="2:6">
      <c r="B8" t="s">
        <v>20</v>
      </c>
      <c r="C8" s="5">
        <v>0.03</v>
      </c>
      <c r="D8" s="11">
        <f t="shared" si="0"/>
        <v>345253.8616437068</v>
      </c>
      <c r="F8" s="4"/>
    </row>
    <row r="9" spans="2:6">
      <c r="B9" t="s">
        <v>21</v>
      </c>
      <c r="C9" s="5">
        <v>0.06</v>
      </c>
      <c r="D9" s="11">
        <f t="shared" si="0"/>
        <v>690507.7232874136</v>
      </c>
      <c r="F9" s="4"/>
    </row>
    <row r="10" spans="2:6">
      <c r="B10" s="13" t="s">
        <v>22</v>
      </c>
      <c r="C10" s="14">
        <v>0.12</v>
      </c>
      <c r="D10" s="15">
        <f t="shared" si="0"/>
        <v>1381015.4465748272</v>
      </c>
    </row>
    <row r="13" spans="2:6">
      <c r="B13" s="7" t="s">
        <v>26</v>
      </c>
    </row>
    <row r="14" spans="2:6">
      <c r="B14" s="12"/>
      <c r="C14" s="12" t="s">
        <v>14</v>
      </c>
      <c r="D14" s="12" t="s">
        <v>12</v>
      </c>
      <c r="E14" s="12" t="s">
        <v>13</v>
      </c>
    </row>
    <row r="15" spans="2:6">
      <c r="B15" s="2" t="s">
        <v>15</v>
      </c>
      <c r="C15" s="16">
        <v>4.05</v>
      </c>
      <c r="D15" s="16">
        <v>250</v>
      </c>
    </row>
    <row r="16" spans="2:6">
      <c r="B16" t="s">
        <v>0</v>
      </c>
      <c r="C16" s="6">
        <v>2.6</v>
      </c>
      <c r="D16" s="3">
        <f>$D$15*C16/$C$15</f>
        <v>160.49382716049382</v>
      </c>
      <c r="E16" s="19">
        <f>D16/SUM(D16:D17)</f>
        <v>0.40310077519379844</v>
      </c>
    </row>
    <row r="17" spans="2:6">
      <c r="B17" s="13" t="s">
        <v>1</v>
      </c>
      <c r="C17" s="17">
        <v>3.85</v>
      </c>
      <c r="D17" s="18">
        <f>$D$15*C17/$C$15</f>
        <v>237.65432098765433</v>
      </c>
      <c r="E17" s="20">
        <f>D17/SUM(D16:D17)</f>
        <v>0.59689922480620161</v>
      </c>
    </row>
    <row r="20" spans="2:6">
      <c r="B20" s="7" t="s">
        <v>2</v>
      </c>
    </row>
    <row r="21" spans="2:6">
      <c r="B21" s="22"/>
      <c r="C21" s="12" t="s">
        <v>14</v>
      </c>
      <c r="D21" s="12" t="s">
        <v>12</v>
      </c>
      <c r="E21" s="12" t="s">
        <v>13</v>
      </c>
      <c r="F21" s="22"/>
    </row>
    <row r="22" spans="2:6">
      <c r="B22" s="2" t="s">
        <v>15</v>
      </c>
      <c r="C22" s="16">
        <v>2.88</v>
      </c>
      <c r="D22" s="16">
        <v>80</v>
      </c>
    </row>
    <row r="23" spans="2:6">
      <c r="B23" t="s">
        <v>3</v>
      </c>
      <c r="C23" s="6">
        <v>2.39</v>
      </c>
      <c r="D23" s="3">
        <f>$D$22*C23/$C$22</f>
        <v>66.3888888888889</v>
      </c>
      <c r="E23" s="21">
        <f>D23/$D$29</f>
        <v>0.28486293206197855</v>
      </c>
      <c r="F23" s="70">
        <f>(E23+E24)*$E$17</f>
        <v>0.25825318069684289</v>
      </c>
    </row>
    <row r="24" spans="2:6">
      <c r="B24" t="s">
        <v>4</v>
      </c>
      <c r="C24" s="6">
        <v>1.24</v>
      </c>
      <c r="D24" s="3">
        <f t="shared" ref="D24:D28" si="1">$D$22*C24/$C$22</f>
        <v>34.44444444444445</v>
      </c>
      <c r="E24" s="21">
        <f t="shared" ref="E24:E28" si="2">D24/$D$29</f>
        <v>0.14779499404052446</v>
      </c>
      <c r="F24" s="70"/>
    </row>
    <row r="25" spans="2:6">
      <c r="B25" t="s">
        <v>5</v>
      </c>
      <c r="C25" s="6">
        <v>1.54</v>
      </c>
      <c r="D25" s="3">
        <f t="shared" si="1"/>
        <v>42.777777777777779</v>
      </c>
      <c r="E25" s="21">
        <f t="shared" si="2"/>
        <v>0.1835518474374255</v>
      </c>
      <c r="F25" s="10">
        <f t="shared" ref="F25:F29" si="3">E25*$E$17</f>
        <v>0.10956195544714546</v>
      </c>
    </row>
    <row r="26" spans="2:6">
      <c r="B26" t="s">
        <v>9</v>
      </c>
      <c r="C26" s="6">
        <v>0.88</v>
      </c>
      <c r="D26" s="3">
        <f t="shared" si="1"/>
        <v>24.444444444444446</v>
      </c>
      <c r="E26" s="21">
        <f t="shared" si="2"/>
        <v>0.10488676996424315</v>
      </c>
      <c r="F26" s="10">
        <f t="shared" si="3"/>
        <v>6.2606831684083125E-2</v>
      </c>
    </row>
    <row r="27" spans="2:6">
      <c r="B27" t="s">
        <v>6</v>
      </c>
      <c r="C27" s="6">
        <v>1.71</v>
      </c>
      <c r="D27" s="3">
        <f t="shared" si="1"/>
        <v>47.500000000000007</v>
      </c>
      <c r="E27" s="21">
        <f t="shared" si="2"/>
        <v>0.20381406436233612</v>
      </c>
      <c r="F27" s="10">
        <f t="shared" si="3"/>
        <v>0.12165645702247971</v>
      </c>
    </row>
    <row r="28" spans="2:6">
      <c r="B28" t="s">
        <v>7</v>
      </c>
      <c r="C28" s="23">
        <v>0.63</v>
      </c>
      <c r="D28" s="3">
        <f t="shared" si="1"/>
        <v>17.5</v>
      </c>
      <c r="E28" s="21">
        <f t="shared" si="2"/>
        <v>7.508939213349225E-2</v>
      </c>
      <c r="F28" s="10">
        <f t="shared" si="3"/>
        <v>4.4820799955650414E-2</v>
      </c>
    </row>
    <row r="29" spans="2:6">
      <c r="B29" s="22" t="s">
        <v>8</v>
      </c>
      <c r="C29" s="22"/>
      <c r="D29" s="24">
        <f>SUM(D23:D28)</f>
        <v>233.05555555555557</v>
      </c>
      <c r="E29" s="25">
        <f>SUM(E23:E28)</f>
        <v>1</v>
      </c>
      <c r="F29" s="25">
        <f t="shared" si="3"/>
        <v>0.59689922480620161</v>
      </c>
    </row>
    <row r="31" spans="2:6" s="7" customFormat="1">
      <c r="B31" s="9" t="s">
        <v>10</v>
      </c>
      <c r="C31" t="s">
        <v>114</v>
      </c>
    </row>
    <row r="32" spans="2:6">
      <c r="C32" s="9" t="s">
        <v>11</v>
      </c>
    </row>
  </sheetData>
  <mergeCells count="1">
    <mergeCell ref="F23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C12" workbookViewId="0">
      <selection activeCell="I31" sqref="I31"/>
    </sheetView>
  </sheetViews>
  <sheetFormatPr baseColWidth="10" defaultRowHeight="15" x14ac:dyDescent="0"/>
  <cols>
    <col min="1" max="1" width="3.83203125" style="8" customWidth="1"/>
    <col min="2" max="2" width="20.83203125" style="8" customWidth="1"/>
    <col min="3" max="7" width="10.83203125" style="29"/>
    <col min="8" max="8" width="3.83203125" style="42" customWidth="1"/>
    <col min="9" max="9" width="10.83203125" style="29"/>
    <col min="10" max="10" width="10.83203125" style="8"/>
  </cols>
  <sheetData>
    <row r="2" spans="2:8">
      <c r="B2" s="67" t="s">
        <v>105</v>
      </c>
    </row>
    <row r="3" spans="2:8" customFormat="1">
      <c r="B3" s="26"/>
      <c r="C3" s="27" t="s">
        <v>27</v>
      </c>
      <c r="D3" s="27" t="s">
        <v>28</v>
      </c>
      <c r="E3" s="27" t="s">
        <v>29</v>
      </c>
      <c r="F3" s="27" t="s">
        <v>30</v>
      </c>
      <c r="G3" s="28"/>
      <c r="H3" s="28"/>
    </row>
    <row r="4" spans="2:8" customFormat="1">
      <c r="B4" s="8" t="s">
        <v>38</v>
      </c>
      <c r="C4" s="30">
        <v>0.14000000000000001</v>
      </c>
      <c r="D4" s="30">
        <v>1.0200000000000001E-2</v>
      </c>
      <c r="E4" s="30">
        <v>8.3050780146264547E-2</v>
      </c>
      <c r="F4" s="30">
        <v>2.0000000000000001E-4</v>
      </c>
      <c r="G4" s="30"/>
      <c r="H4" s="31"/>
    </row>
    <row r="5" spans="2:8" customFormat="1">
      <c r="B5" s="8" t="s">
        <v>32</v>
      </c>
      <c r="C5" s="30"/>
      <c r="D5" s="30"/>
      <c r="E5" s="30"/>
      <c r="F5" s="30"/>
      <c r="G5" s="30"/>
      <c r="H5" s="31"/>
    </row>
    <row r="6" spans="2:8" customFormat="1">
      <c r="B6" s="8" t="s">
        <v>39</v>
      </c>
      <c r="C6" s="30">
        <v>0</v>
      </c>
      <c r="D6" s="30">
        <v>8.9999999999999998E-4</v>
      </c>
      <c r="E6" s="30">
        <v>0</v>
      </c>
      <c r="F6" s="30">
        <v>0</v>
      </c>
      <c r="G6" s="30"/>
      <c r="H6" s="31"/>
    </row>
    <row r="7" spans="2:8" customFormat="1">
      <c r="B7" s="8" t="s">
        <v>33</v>
      </c>
      <c r="C7" s="30">
        <v>0</v>
      </c>
      <c r="D7" s="30">
        <v>0</v>
      </c>
      <c r="E7" s="30">
        <v>0</v>
      </c>
      <c r="F7" s="30">
        <v>0</v>
      </c>
      <c r="G7" s="30"/>
      <c r="H7" s="31"/>
    </row>
    <row r="8" spans="2:8" customFormat="1">
      <c r="B8" s="8" t="s">
        <v>40</v>
      </c>
      <c r="C8" s="30">
        <v>9.7000000000000003E-2</v>
      </c>
      <c r="D8" s="30">
        <v>0</v>
      </c>
      <c r="E8" s="30">
        <v>0</v>
      </c>
      <c r="F8" s="30">
        <v>0</v>
      </c>
      <c r="G8" s="30"/>
      <c r="H8" s="31"/>
    </row>
    <row r="9" spans="2:8" customFormat="1">
      <c r="B9" s="8" t="s">
        <v>41</v>
      </c>
      <c r="C9" s="30">
        <v>2.8767981574953916E-3</v>
      </c>
      <c r="D9" s="30">
        <v>6.3999999999999994E-3</v>
      </c>
      <c r="E9" s="30">
        <v>7.5892857142857131E-4</v>
      </c>
      <c r="F9" s="30">
        <v>6.2000000000000006E-3</v>
      </c>
      <c r="G9" s="30"/>
      <c r="H9" s="31"/>
    </row>
    <row r="10" spans="2:8" customFormat="1">
      <c r="B10" s="8" t="s">
        <v>34</v>
      </c>
      <c r="C10" s="30">
        <v>0.14000000000000001</v>
      </c>
      <c r="D10" s="30">
        <v>0.27500000000000002</v>
      </c>
      <c r="E10" s="30">
        <v>8.2885431400282882E-3</v>
      </c>
      <c r="F10" s="30">
        <v>0.27800000000000002</v>
      </c>
      <c r="G10" s="30"/>
      <c r="H10" s="31"/>
    </row>
    <row r="11" spans="2:8" customFormat="1">
      <c r="B11" s="8" t="s">
        <v>42</v>
      </c>
      <c r="C11" s="30">
        <v>2.8000000000000001E-2</v>
      </c>
      <c r="D11" s="30">
        <v>0.12</v>
      </c>
      <c r="E11" s="30">
        <v>0.15452891717743203</v>
      </c>
      <c r="F11" s="30">
        <v>0.379</v>
      </c>
      <c r="G11" s="30"/>
      <c r="H11" s="31"/>
    </row>
    <row r="12" spans="2:8" customFormat="1">
      <c r="B12" s="8" t="s">
        <v>43</v>
      </c>
      <c r="C12" s="30">
        <v>0.30499999999999999</v>
      </c>
      <c r="D12" s="30">
        <v>0.38700000000000001</v>
      </c>
      <c r="E12" s="30">
        <v>0.70893358888057845</v>
      </c>
      <c r="F12" s="30">
        <v>0.245</v>
      </c>
      <c r="G12" s="30"/>
      <c r="H12" s="31"/>
    </row>
    <row r="13" spans="2:8" customFormat="1">
      <c r="B13" s="8" t="s">
        <v>44</v>
      </c>
      <c r="C13" s="30">
        <v>0.28300000000000003</v>
      </c>
      <c r="D13" s="30">
        <v>0.192</v>
      </c>
      <c r="E13" s="30">
        <v>4.3950750020776197E-2</v>
      </c>
      <c r="F13" s="30">
        <v>9.0800000000000006E-2</v>
      </c>
      <c r="G13" s="30"/>
      <c r="H13" s="31"/>
    </row>
    <row r="14" spans="2:8" customFormat="1">
      <c r="B14" s="8" t="s">
        <v>45</v>
      </c>
      <c r="C14" s="30"/>
      <c r="D14" s="30"/>
      <c r="E14" s="30"/>
      <c r="F14" s="30"/>
      <c r="G14" s="30"/>
      <c r="H14" s="31"/>
    </row>
    <row r="15" spans="2:8" customFormat="1">
      <c r="B15" s="8" t="s">
        <v>35</v>
      </c>
      <c r="C15" s="30">
        <v>4.3989877154497229E-3</v>
      </c>
      <c r="D15" s="30">
        <v>8.5000000000000006E-3</v>
      </c>
      <c r="E15" s="30">
        <v>4.8849206349206348E-4</v>
      </c>
      <c r="F15" s="30">
        <v>8.0000000000000004E-4</v>
      </c>
      <c r="G15" s="30"/>
      <c r="H15" s="31"/>
    </row>
    <row r="16" spans="2:8" customFormat="1">
      <c r="B16" s="32" t="s">
        <v>31</v>
      </c>
      <c r="C16" s="33">
        <v>1.0002757858729452</v>
      </c>
      <c r="D16" s="33">
        <v>1</v>
      </c>
      <c r="E16" s="33">
        <v>1.0000000000000002</v>
      </c>
      <c r="F16" s="33">
        <v>1</v>
      </c>
      <c r="G16" s="31"/>
      <c r="H16" s="31"/>
    </row>
    <row r="19" spans="1:10">
      <c r="B19" s="67" t="s">
        <v>106</v>
      </c>
    </row>
    <row r="20" spans="1:10" ht="30">
      <c r="A20"/>
      <c r="B20" s="26"/>
      <c r="C20" s="27" t="s">
        <v>27</v>
      </c>
      <c r="D20" s="27" t="s">
        <v>28</v>
      </c>
      <c r="E20" s="27" t="s">
        <v>29</v>
      </c>
      <c r="F20" s="27" t="s">
        <v>30</v>
      </c>
      <c r="G20" s="27" t="s">
        <v>46</v>
      </c>
      <c r="H20" s="28"/>
      <c r="I20" s="27" t="s">
        <v>37</v>
      </c>
      <c r="J20"/>
    </row>
    <row r="21" spans="1:10">
      <c r="A21"/>
      <c r="B21" s="32" t="s">
        <v>36</v>
      </c>
      <c r="C21" s="34">
        <v>1608000</v>
      </c>
      <c r="D21" s="34">
        <v>1150000</v>
      </c>
      <c r="E21" s="34">
        <v>1185122.63735796</v>
      </c>
      <c r="F21" s="34">
        <v>320000</v>
      </c>
      <c r="G21" s="34">
        <f>SUM(C21:F21)</f>
        <v>4263122.6373579595</v>
      </c>
      <c r="H21" s="35"/>
      <c r="I21" s="34">
        <v>7480500.3356136503</v>
      </c>
      <c r="J21"/>
    </row>
    <row r="24" spans="1:10">
      <c r="B24" s="67" t="s">
        <v>107</v>
      </c>
    </row>
    <row r="25" spans="1:10" ht="30">
      <c r="A25"/>
      <c r="B25" s="26"/>
      <c r="C25" s="27" t="s">
        <v>27</v>
      </c>
      <c r="D25" s="27" t="s">
        <v>28</v>
      </c>
      <c r="E25" s="27" t="s">
        <v>29</v>
      </c>
      <c r="F25" s="27" t="s">
        <v>30</v>
      </c>
      <c r="G25" s="27" t="s">
        <v>46</v>
      </c>
      <c r="H25" s="28"/>
      <c r="I25" s="36" t="s">
        <v>37</v>
      </c>
      <c r="J25"/>
    </row>
    <row r="26" spans="1:10">
      <c r="A26"/>
      <c r="B26" s="8" t="s">
        <v>38</v>
      </c>
      <c r="C26" s="37">
        <f t="shared" ref="C26:C37" si="0">C4*C$21</f>
        <v>225120.00000000003</v>
      </c>
      <c r="D26" s="37">
        <f t="shared" ref="D26:F26" si="1">D4*D$21</f>
        <v>11730</v>
      </c>
      <c r="E26" s="37">
        <f t="shared" si="1"/>
        <v>98425.359601577147</v>
      </c>
      <c r="F26" s="37">
        <f t="shared" si="1"/>
        <v>64</v>
      </c>
      <c r="G26" s="37">
        <f t="shared" ref="G26:G37" si="2">SUM(C26:F26)</f>
        <v>335339.35960157716</v>
      </c>
      <c r="H26" s="35"/>
      <c r="I26" s="38">
        <f>G26/SUM(G$26:G$37)</f>
        <v>7.865231865870416E-2</v>
      </c>
      <c r="J26"/>
    </row>
    <row r="27" spans="1:10">
      <c r="A27"/>
      <c r="B27" s="8" t="s">
        <v>32</v>
      </c>
      <c r="C27" s="37">
        <f t="shared" si="0"/>
        <v>0</v>
      </c>
      <c r="D27" s="37">
        <f t="shared" ref="D27:F37" si="3">D5*D$21</f>
        <v>0</v>
      </c>
      <c r="E27" s="37">
        <f t="shared" si="3"/>
        <v>0</v>
      </c>
      <c r="F27" s="37">
        <f t="shared" si="3"/>
        <v>0</v>
      </c>
      <c r="G27" s="37">
        <f t="shared" si="2"/>
        <v>0</v>
      </c>
      <c r="H27" s="35"/>
      <c r="I27" s="38">
        <f t="shared" ref="I27:I37" si="4">G27/SUM(G$26:G$37)</f>
        <v>0</v>
      </c>
      <c r="J27"/>
    </row>
    <row r="28" spans="1:10">
      <c r="A28"/>
      <c r="B28" s="8" t="s">
        <v>39</v>
      </c>
      <c r="C28" s="37">
        <f t="shared" si="0"/>
        <v>0</v>
      </c>
      <c r="D28" s="37">
        <f t="shared" si="3"/>
        <v>1035</v>
      </c>
      <c r="E28" s="37">
        <f t="shared" si="3"/>
        <v>0</v>
      </c>
      <c r="F28" s="37">
        <f t="shared" si="3"/>
        <v>0</v>
      </c>
      <c r="G28" s="37">
        <f t="shared" si="2"/>
        <v>1035</v>
      </c>
      <c r="H28" s="35"/>
      <c r="I28" s="38">
        <f t="shared" si="4"/>
        <v>2.4275453352233317E-4</v>
      </c>
      <c r="J28"/>
    </row>
    <row r="29" spans="1:10">
      <c r="A29"/>
      <c r="B29" s="8" t="s">
        <v>33</v>
      </c>
      <c r="C29" s="37">
        <f t="shared" si="0"/>
        <v>0</v>
      </c>
      <c r="D29" s="37">
        <f t="shared" si="3"/>
        <v>0</v>
      </c>
      <c r="E29" s="37">
        <f t="shared" si="3"/>
        <v>0</v>
      </c>
      <c r="F29" s="37">
        <f t="shared" si="3"/>
        <v>0</v>
      </c>
      <c r="G29" s="37">
        <f t="shared" si="2"/>
        <v>0</v>
      </c>
      <c r="H29" s="35"/>
      <c r="I29" s="38">
        <f t="shared" si="4"/>
        <v>0</v>
      </c>
      <c r="J29"/>
    </row>
    <row r="30" spans="1:10">
      <c r="A30"/>
      <c r="B30" s="8" t="s">
        <v>40</v>
      </c>
      <c r="C30" s="37">
        <f t="shared" si="0"/>
        <v>155976</v>
      </c>
      <c r="D30" s="37">
        <f t="shared" si="3"/>
        <v>0</v>
      </c>
      <c r="E30" s="37">
        <f t="shared" si="3"/>
        <v>0</v>
      </c>
      <c r="F30" s="37">
        <f t="shared" si="3"/>
        <v>0</v>
      </c>
      <c r="G30" s="37">
        <f t="shared" si="2"/>
        <v>155976</v>
      </c>
      <c r="H30" s="35"/>
      <c r="I30" s="38">
        <f t="shared" si="4"/>
        <v>3.6583460019980134E-2</v>
      </c>
      <c r="J30"/>
    </row>
    <row r="31" spans="1:10">
      <c r="A31"/>
      <c r="B31" s="8" t="s">
        <v>41</v>
      </c>
      <c r="C31" s="37">
        <f t="shared" si="0"/>
        <v>4625.8914372525896</v>
      </c>
      <c r="D31" s="37">
        <f t="shared" si="3"/>
        <v>7359.9999999999991</v>
      </c>
      <c r="E31" s="37">
        <f t="shared" si="3"/>
        <v>899.42343013773734</v>
      </c>
      <c r="F31" s="37">
        <f t="shared" si="3"/>
        <v>1984.0000000000002</v>
      </c>
      <c r="G31" s="37">
        <f t="shared" si="2"/>
        <v>14869.314867390327</v>
      </c>
      <c r="H31" s="35"/>
      <c r="I31" s="38">
        <f t="shared" si="4"/>
        <v>3.4875300429275673E-3</v>
      </c>
      <c r="J31"/>
    </row>
    <row r="32" spans="1:10">
      <c r="A32"/>
      <c r="B32" s="8" t="s">
        <v>34</v>
      </c>
      <c r="C32" s="37">
        <f t="shared" si="0"/>
        <v>225120.00000000003</v>
      </c>
      <c r="D32" s="37">
        <f t="shared" si="3"/>
        <v>316250</v>
      </c>
      <c r="E32" s="37">
        <f t="shared" si="3"/>
        <v>9822.940105965552</v>
      </c>
      <c r="F32" s="37">
        <f t="shared" si="3"/>
        <v>88960.000000000015</v>
      </c>
      <c r="G32" s="37">
        <f t="shared" si="2"/>
        <v>640152.94010596559</v>
      </c>
      <c r="H32" s="35"/>
      <c r="I32" s="38">
        <f t="shared" si="4"/>
        <v>0.15014495493562682</v>
      </c>
      <c r="J32"/>
    </row>
    <row r="33" spans="1:10">
      <c r="A33"/>
      <c r="B33" s="8" t="s">
        <v>42</v>
      </c>
      <c r="C33" s="37">
        <f t="shared" si="0"/>
        <v>45024</v>
      </c>
      <c r="D33" s="37">
        <f t="shared" si="3"/>
        <v>138000</v>
      </c>
      <c r="E33" s="37">
        <f t="shared" si="3"/>
        <v>183135.717873388</v>
      </c>
      <c r="F33" s="37">
        <f t="shared" si="3"/>
        <v>121280</v>
      </c>
      <c r="G33" s="37">
        <f t="shared" si="2"/>
        <v>487439.71787338797</v>
      </c>
      <c r="H33" s="35"/>
      <c r="I33" s="38">
        <f t="shared" si="4"/>
        <v>0.11432676457257196</v>
      </c>
      <c r="J33"/>
    </row>
    <row r="34" spans="1:10">
      <c r="A34"/>
      <c r="B34" s="8" t="s">
        <v>43</v>
      </c>
      <c r="C34" s="37">
        <f t="shared" si="0"/>
        <v>490440</v>
      </c>
      <c r="D34" s="37">
        <f t="shared" si="3"/>
        <v>445050</v>
      </c>
      <c r="E34" s="37">
        <f t="shared" si="3"/>
        <v>840173.24456579483</v>
      </c>
      <c r="F34" s="37">
        <f t="shared" si="3"/>
        <v>78400</v>
      </c>
      <c r="G34" s="37">
        <f t="shared" si="2"/>
        <v>1854063.2445657947</v>
      </c>
      <c r="H34" s="35"/>
      <c r="I34" s="38">
        <f t="shared" si="4"/>
        <v>0.4348620850777517</v>
      </c>
      <c r="J34"/>
    </row>
    <row r="35" spans="1:10">
      <c r="A35"/>
      <c r="B35" s="8" t="s">
        <v>44</v>
      </c>
      <c r="C35" s="37">
        <f t="shared" si="0"/>
        <v>455064.00000000006</v>
      </c>
      <c r="D35" s="37">
        <f t="shared" si="3"/>
        <v>220800</v>
      </c>
      <c r="E35" s="37">
        <f t="shared" si="3"/>
        <v>52087.028778482701</v>
      </c>
      <c r="F35" s="37">
        <f t="shared" si="3"/>
        <v>29056.000000000004</v>
      </c>
      <c r="G35" s="37">
        <f t="shared" si="2"/>
        <v>757007.02877848269</v>
      </c>
      <c r="H35" s="35"/>
      <c r="I35" s="38">
        <f t="shared" si="4"/>
        <v>0.17755254893164057</v>
      </c>
      <c r="J35"/>
    </row>
    <row r="36" spans="1:10">
      <c r="A36"/>
      <c r="B36" s="8" t="s">
        <v>45</v>
      </c>
      <c r="C36" s="37">
        <f t="shared" si="0"/>
        <v>0</v>
      </c>
      <c r="D36" s="37">
        <f t="shared" si="3"/>
        <v>0</v>
      </c>
      <c r="E36" s="37">
        <f t="shared" si="3"/>
        <v>0</v>
      </c>
      <c r="F36" s="37">
        <f t="shared" si="3"/>
        <v>0</v>
      </c>
      <c r="G36" s="37">
        <f t="shared" si="2"/>
        <v>0</v>
      </c>
      <c r="H36" s="35"/>
      <c r="I36" s="38">
        <f t="shared" si="4"/>
        <v>0</v>
      </c>
      <c r="J36"/>
    </row>
    <row r="37" spans="1:10">
      <c r="A37"/>
      <c r="B37" s="8" t="s">
        <v>35</v>
      </c>
      <c r="C37" s="37">
        <f t="shared" si="0"/>
        <v>7073.5722464431547</v>
      </c>
      <c r="D37" s="37">
        <f t="shared" si="3"/>
        <v>9775</v>
      </c>
      <c r="E37" s="37">
        <f t="shared" si="3"/>
        <v>578.9230026141463</v>
      </c>
      <c r="F37" s="37">
        <f t="shared" si="3"/>
        <v>256</v>
      </c>
      <c r="G37" s="37">
        <f t="shared" si="2"/>
        <v>17683.495249057298</v>
      </c>
      <c r="H37" s="35"/>
      <c r="I37" s="38">
        <f t="shared" si="4"/>
        <v>4.147583227274685E-3</v>
      </c>
      <c r="J37"/>
    </row>
    <row r="38" spans="1:10">
      <c r="A38"/>
      <c r="B38" s="32" t="s">
        <v>31</v>
      </c>
      <c r="C38" s="39" t="s">
        <v>47</v>
      </c>
      <c r="D38" s="39" t="s">
        <v>47</v>
      </c>
      <c r="E38" s="39" t="s">
        <v>47</v>
      </c>
      <c r="F38" s="39" t="s">
        <v>47</v>
      </c>
      <c r="G38" s="39" t="s">
        <v>47</v>
      </c>
      <c r="H38" s="40"/>
      <c r="I38" s="41">
        <f>SUM(I26:I37)</f>
        <v>0.99999999999999989</v>
      </c>
      <c r="J3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E14" workbookViewId="0">
      <selection activeCell="B26" sqref="B26:B37"/>
    </sheetView>
  </sheetViews>
  <sheetFormatPr baseColWidth="10" defaultRowHeight="15" x14ac:dyDescent="0"/>
  <cols>
    <col min="1" max="1" width="3.83203125" style="8" customWidth="1"/>
    <col min="2" max="2" width="20.83203125" style="8" customWidth="1"/>
    <col min="3" max="7" width="10.83203125" style="29"/>
    <col min="8" max="8" width="3.83203125" style="42" customWidth="1"/>
    <col min="9" max="9" width="10.83203125" style="29"/>
    <col min="10" max="10" width="10.83203125" style="8"/>
  </cols>
  <sheetData>
    <row r="2" spans="2:8">
      <c r="B2" s="67" t="s">
        <v>102</v>
      </c>
    </row>
    <row r="3" spans="2:8" customFormat="1">
      <c r="B3" s="26"/>
      <c r="C3" s="27" t="s">
        <v>27</v>
      </c>
      <c r="D3" s="27" t="s">
        <v>28</v>
      </c>
      <c r="E3" s="27" t="s">
        <v>29</v>
      </c>
      <c r="F3" s="27" t="s">
        <v>30</v>
      </c>
      <c r="G3" s="28"/>
      <c r="H3" s="28"/>
    </row>
    <row r="4" spans="2:8" customFormat="1">
      <c r="B4" s="8" t="s">
        <v>38</v>
      </c>
      <c r="C4" s="30">
        <v>0.12</v>
      </c>
      <c r="D4" s="30">
        <v>0.01</v>
      </c>
      <c r="E4" s="30">
        <v>2.5000000000000001E-2</v>
      </c>
      <c r="F4" s="30">
        <v>0</v>
      </c>
      <c r="G4" s="30"/>
      <c r="H4" s="31"/>
    </row>
    <row r="5" spans="2:8" customFormat="1">
      <c r="B5" s="8" t="s">
        <v>32</v>
      </c>
      <c r="C5" s="30"/>
      <c r="D5" s="30"/>
      <c r="E5" s="30"/>
      <c r="F5" s="30"/>
      <c r="G5" s="30"/>
      <c r="H5" s="31"/>
    </row>
    <row r="6" spans="2:8" customFormat="1">
      <c r="B6" s="8" t="s">
        <v>48</v>
      </c>
      <c r="C6" s="30">
        <v>0</v>
      </c>
      <c r="D6" s="30">
        <v>1E-3</v>
      </c>
      <c r="E6" s="30">
        <v>0</v>
      </c>
      <c r="F6" s="30">
        <v>0</v>
      </c>
      <c r="G6" s="30"/>
      <c r="H6" s="31"/>
    </row>
    <row r="7" spans="2:8" customFormat="1">
      <c r="B7" s="8" t="s">
        <v>33</v>
      </c>
      <c r="C7" s="30">
        <v>0</v>
      </c>
      <c r="D7" s="30">
        <v>0</v>
      </c>
      <c r="E7" s="30">
        <v>0</v>
      </c>
      <c r="F7" s="30">
        <v>0</v>
      </c>
      <c r="G7" s="30"/>
      <c r="H7" s="31"/>
    </row>
    <row r="8" spans="2:8" customFormat="1">
      <c r="B8" s="8" t="s">
        <v>40</v>
      </c>
      <c r="C8" s="30">
        <v>4.3999999999999997E-2</v>
      </c>
      <c r="D8" s="30">
        <v>0</v>
      </c>
      <c r="E8" s="30">
        <v>0</v>
      </c>
      <c r="F8" s="30">
        <v>0</v>
      </c>
      <c r="G8" s="30"/>
      <c r="H8" s="31"/>
    </row>
    <row r="9" spans="2:8" customFormat="1">
      <c r="B9" s="8" t="s">
        <v>41</v>
      </c>
      <c r="C9" s="30">
        <v>2.5999999999999999E-3</v>
      </c>
      <c r="D9" s="30">
        <v>2E-3</v>
      </c>
      <c r="E9" s="30">
        <v>1E-3</v>
      </c>
      <c r="F9" s="30">
        <v>1E-3</v>
      </c>
      <c r="G9" s="30"/>
      <c r="H9" s="31"/>
    </row>
    <row r="10" spans="2:8" customFormat="1">
      <c r="B10" s="8" t="s">
        <v>49</v>
      </c>
      <c r="C10" s="30">
        <v>3.4000000000000002E-2</v>
      </c>
      <c r="D10" s="30">
        <v>9.4E-2</v>
      </c>
      <c r="E10" s="30">
        <v>5.0000000000000001E-3</v>
      </c>
      <c r="F10" s="30">
        <v>5.1999999999999998E-2</v>
      </c>
      <c r="G10" s="30"/>
      <c r="H10" s="31"/>
    </row>
    <row r="11" spans="2:8" customFormat="1">
      <c r="B11" s="8" t="s">
        <v>42</v>
      </c>
      <c r="C11" s="30">
        <v>0.2956342394276984</v>
      </c>
      <c r="D11" s="30">
        <v>0.57069999999999999</v>
      </c>
      <c r="E11" s="30">
        <v>0.23200000000000001</v>
      </c>
      <c r="F11" s="30">
        <v>0.61099999999999999</v>
      </c>
      <c r="G11" s="30"/>
      <c r="H11" s="31"/>
    </row>
    <row r="12" spans="2:8" customFormat="1">
      <c r="B12" s="8" t="s">
        <v>43</v>
      </c>
      <c r="C12" s="30">
        <v>0.30499999999999999</v>
      </c>
      <c r="D12" s="30">
        <v>0.20100000000000001</v>
      </c>
      <c r="E12" s="30">
        <v>0.69699999999999995</v>
      </c>
      <c r="F12" s="30">
        <v>0.245</v>
      </c>
      <c r="G12" s="30"/>
      <c r="H12" s="31"/>
    </row>
    <row r="13" spans="2:8" customFormat="1">
      <c r="B13" s="8" t="s">
        <v>44</v>
      </c>
      <c r="C13" s="30">
        <v>0.19899999999999998</v>
      </c>
      <c r="D13" s="30">
        <v>0.12100000000000001</v>
      </c>
      <c r="E13" s="30">
        <v>4.0000000000000008E-2</v>
      </c>
      <c r="F13" s="30">
        <v>9.1000000000000011E-2</v>
      </c>
      <c r="G13" s="30"/>
      <c r="H13" s="31"/>
    </row>
    <row r="14" spans="2:8" customFormat="1">
      <c r="B14" s="8" t="s">
        <v>45</v>
      </c>
      <c r="C14" s="30"/>
      <c r="D14" s="30"/>
      <c r="E14" s="30"/>
      <c r="F14" s="30"/>
      <c r="G14" s="30"/>
      <c r="H14" s="31"/>
    </row>
    <row r="15" spans="2:8" customFormat="1">
      <c r="B15" s="8" t="s">
        <v>50</v>
      </c>
      <c r="C15" s="30"/>
      <c r="D15" s="30"/>
      <c r="E15" s="30"/>
      <c r="F15" s="30"/>
      <c r="G15" s="30"/>
      <c r="H15" s="31"/>
    </row>
    <row r="16" spans="2:8" customFormat="1">
      <c r="B16" s="32" t="s">
        <v>31</v>
      </c>
      <c r="C16" s="33">
        <v>1.0002757858729452</v>
      </c>
      <c r="D16" s="33">
        <v>1</v>
      </c>
      <c r="E16" s="33">
        <v>1.0000000000000002</v>
      </c>
      <c r="F16" s="33">
        <v>1</v>
      </c>
      <c r="G16" s="31"/>
      <c r="H16" s="31"/>
    </row>
    <row r="19" spans="1:10">
      <c r="B19" s="67" t="s">
        <v>104</v>
      </c>
    </row>
    <row r="20" spans="1:10" ht="30">
      <c r="A20"/>
      <c r="B20" s="26"/>
      <c r="C20" s="27" t="s">
        <v>27</v>
      </c>
      <c r="D20" s="27" t="s">
        <v>28</v>
      </c>
      <c r="E20" s="27" t="s">
        <v>29</v>
      </c>
      <c r="F20" s="27" t="s">
        <v>30</v>
      </c>
      <c r="G20" s="27" t="s">
        <v>46</v>
      </c>
      <c r="H20" s="28"/>
      <c r="I20" s="27" t="s">
        <v>37</v>
      </c>
      <c r="J20"/>
    </row>
    <row r="21" spans="1:10">
      <c r="A21"/>
      <c r="B21" s="32" t="s">
        <v>103</v>
      </c>
      <c r="C21" s="34">
        <v>375000</v>
      </c>
      <c r="D21" s="34">
        <v>185000</v>
      </c>
      <c r="E21" s="34">
        <v>298115.70211396</v>
      </c>
      <c r="F21" s="34">
        <v>127000</v>
      </c>
      <c r="G21" s="34">
        <f>SUM(C21:F21)</f>
        <v>985115.70211395994</v>
      </c>
      <c r="H21" s="35"/>
      <c r="I21" s="34">
        <v>1611184.6876706299</v>
      </c>
      <c r="J21"/>
    </row>
    <row r="24" spans="1:10">
      <c r="B24" s="67" t="s">
        <v>108</v>
      </c>
    </row>
    <row r="25" spans="1:10" ht="30">
      <c r="A25"/>
      <c r="B25" s="26"/>
      <c r="C25" s="27" t="s">
        <v>27</v>
      </c>
      <c r="D25" s="27" t="s">
        <v>28</v>
      </c>
      <c r="E25" s="27" t="s">
        <v>29</v>
      </c>
      <c r="F25" s="27" t="s">
        <v>30</v>
      </c>
      <c r="G25" s="27" t="s">
        <v>46</v>
      </c>
      <c r="H25" s="28"/>
      <c r="I25" s="36" t="s">
        <v>37</v>
      </c>
      <c r="J25"/>
    </row>
    <row r="26" spans="1:10">
      <c r="A26"/>
      <c r="B26" s="8" t="s">
        <v>38</v>
      </c>
      <c r="C26" s="37">
        <f t="shared" ref="C26:C37" si="0">C4*C$21</f>
        <v>45000</v>
      </c>
      <c r="D26" s="37">
        <f t="shared" ref="D26:F26" si="1">D4*D$21</f>
        <v>1850</v>
      </c>
      <c r="E26" s="37">
        <f t="shared" si="1"/>
        <v>7452.8925528489999</v>
      </c>
      <c r="F26" s="37">
        <f t="shared" si="1"/>
        <v>0</v>
      </c>
      <c r="G26" s="37">
        <f t="shared" ref="G26:G37" si="2">SUM(C26:F26)</f>
        <v>54302.892552849</v>
      </c>
      <c r="H26" s="35"/>
      <c r="I26" s="38">
        <f>G26/SUM(G$26:G$37)</f>
        <v>5.5121555586867987E-2</v>
      </c>
      <c r="J26"/>
    </row>
    <row r="27" spans="1:10">
      <c r="A27"/>
      <c r="B27" s="8" t="s">
        <v>32</v>
      </c>
      <c r="C27" s="37">
        <f t="shared" si="0"/>
        <v>0</v>
      </c>
      <c r="D27" s="37">
        <f t="shared" ref="D27:F37" si="3">D5*D$21</f>
        <v>0</v>
      </c>
      <c r="E27" s="37">
        <f t="shared" si="3"/>
        <v>0</v>
      </c>
      <c r="F27" s="37">
        <f t="shared" si="3"/>
        <v>0</v>
      </c>
      <c r="G27" s="37">
        <f t="shared" si="2"/>
        <v>0</v>
      </c>
      <c r="H27" s="35"/>
      <c r="I27" s="38">
        <f t="shared" ref="I27:I37" si="4">G27/SUM(G$26:G$37)</f>
        <v>0</v>
      </c>
      <c r="J27"/>
    </row>
    <row r="28" spans="1:10">
      <c r="A28"/>
      <c r="B28" s="8" t="s">
        <v>39</v>
      </c>
      <c r="C28" s="37">
        <f t="shared" si="0"/>
        <v>0</v>
      </c>
      <c r="D28" s="37">
        <f t="shared" si="3"/>
        <v>185</v>
      </c>
      <c r="E28" s="37">
        <f t="shared" si="3"/>
        <v>0</v>
      </c>
      <c r="F28" s="37">
        <f t="shared" si="3"/>
        <v>0</v>
      </c>
      <c r="G28" s="37">
        <f t="shared" si="2"/>
        <v>185</v>
      </c>
      <c r="H28" s="35"/>
      <c r="I28" s="38">
        <f t="shared" si="4"/>
        <v>1.8778903487776669E-4</v>
      </c>
      <c r="J28"/>
    </row>
    <row r="29" spans="1:10">
      <c r="A29"/>
      <c r="B29" s="8" t="s">
        <v>33</v>
      </c>
      <c r="C29" s="37">
        <f t="shared" si="0"/>
        <v>0</v>
      </c>
      <c r="D29" s="37">
        <f t="shared" si="3"/>
        <v>0</v>
      </c>
      <c r="E29" s="37">
        <f t="shared" si="3"/>
        <v>0</v>
      </c>
      <c r="F29" s="37">
        <f t="shared" si="3"/>
        <v>0</v>
      </c>
      <c r="G29" s="37">
        <f t="shared" si="2"/>
        <v>0</v>
      </c>
      <c r="H29" s="35"/>
      <c r="I29" s="38">
        <f t="shared" si="4"/>
        <v>0</v>
      </c>
      <c r="J29"/>
    </row>
    <row r="30" spans="1:10">
      <c r="A30"/>
      <c r="B30" s="8" t="s">
        <v>40</v>
      </c>
      <c r="C30" s="37">
        <f t="shared" si="0"/>
        <v>16500</v>
      </c>
      <c r="D30" s="37">
        <f t="shared" si="3"/>
        <v>0</v>
      </c>
      <c r="E30" s="37">
        <f t="shared" si="3"/>
        <v>0</v>
      </c>
      <c r="F30" s="37">
        <f t="shared" si="3"/>
        <v>0</v>
      </c>
      <c r="G30" s="37">
        <f t="shared" si="2"/>
        <v>16500</v>
      </c>
      <c r="H30" s="35"/>
      <c r="I30" s="38">
        <f t="shared" si="4"/>
        <v>1.674875175936838E-2</v>
      </c>
      <c r="J30"/>
    </row>
    <row r="31" spans="1:10">
      <c r="A31"/>
      <c r="B31" s="8" t="s">
        <v>41</v>
      </c>
      <c r="C31" s="37">
        <f t="shared" si="0"/>
        <v>975</v>
      </c>
      <c r="D31" s="37">
        <f t="shared" si="3"/>
        <v>370</v>
      </c>
      <c r="E31" s="37">
        <f t="shared" si="3"/>
        <v>298.11570211396003</v>
      </c>
      <c r="F31" s="37">
        <f t="shared" si="3"/>
        <v>127</v>
      </c>
      <c r="G31" s="37">
        <f t="shared" si="2"/>
        <v>1770.11570211396</v>
      </c>
      <c r="H31" s="35"/>
      <c r="I31" s="38">
        <f t="shared" si="4"/>
        <v>1.7968017260646535E-3</v>
      </c>
      <c r="J31"/>
    </row>
    <row r="32" spans="1:10">
      <c r="A32"/>
      <c r="B32" s="8" t="s">
        <v>34</v>
      </c>
      <c r="C32" s="37">
        <f t="shared" si="0"/>
        <v>12750.000000000002</v>
      </c>
      <c r="D32" s="37">
        <f t="shared" si="3"/>
        <v>17390</v>
      </c>
      <c r="E32" s="37">
        <f t="shared" si="3"/>
        <v>1490.5785105698001</v>
      </c>
      <c r="F32" s="37">
        <f t="shared" si="3"/>
        <v>6604</v>
      </c>
      <c r="G32" s="37">
        <f t="shared" si="2"/>
        <v>38234.578510569801</v>
      </c>
      <c r="H32" s="35"/>
      <c r="I32" s="38">
        <f t="shared" si="4"/>
        <v>3.8810997824097845E-2</v>
      </c>
      <c r="J32"/>
    </row>
    <row r="33" spans="1:10">
      <c r="A33"/>
      <c r="B33" s="8" t="s">
        <v>42</v>
      </c>
      <c r="C33" s="37">
        <f t="shared" si="0"/>
        <v>110862.8397853869</v>
      </c>
      <c r="D33" s="37">
        <f t="shared" si="3"/>
        <v>105579.5</v>
      </c>
      <c r="E33" s="37">
        <f t="shared" si="3"/>
        <v>69162.842890438726</v>
      </c>
      <c r="F33" s="37">
        <f t="shared" si="3"/>
        <v>77597</v>
      </c>
      <c r="G33" s="37">
        <f t="shared" si="2"/>
        <v>363202.18267582561</v>
      </c>
      <c r="H33" s="35"/>
      <c r="I33" s="38">
        <f t="shared" si="4"/>
        <v>0.36867776946049513</v>
      </c>
      <c r="J33"/>
    </row>
    <row r="34" spans="1:10">
      <c r="A34"/>
      <c r="B34" s="8" t="s">
        <v>43</v>
      </c>
      <c r="C34" s="37">
        <f t="shared" si="0"/>
        <v>114375</v>
      </c>
      <c r="D34" s="37">
        <f t="shared" si="3"/>
        <v>37185</v>
      </c>
      <c r="E34" s="37">
        <f t="shared" si="3"/>
        <v>207786.64437343011</v>
      </c>
      <c r="F34" s="37">
        <f t="shared" si="3"/>
        <v>31115</v>
      </c>
      <c r="G34" s="37">
        <f t="shared" si="2"/>
        <v>390461.64437343011</v>
      </c>
      <c r="H34" s="35"/>
      <c r="I34" s="38">
        <f t="shared" si="4"/>
        <v>0.39634819110093078</v>
      </c>
      <c r="J34"/>
    </row>
    <row r="35" spans="1:10">
      <c r="A35"/>
      <c r="B35" s="8" t="s">
        <v>44</v>
      </c>
      <c r="C35" s="37">
        <f t="shared" si="0"/>
        <v>74625</v>
      </c>
      <c r="D35" s="37">
        <f t="shared" si="3"/>
        <v>22385.000000000004</v>
      </c>
      <c r="E35" s="37">
        <f t="shared" si="3"/>
        <v>11924.628084558402</v>
      </c>
      <c r="F35" s="37">
        <f t="shared" si="3"/>
        <v>11557.000000000002</v>
      </c>
      <c r="G35" s="37">
        <f t="shared" si="2"/>
        <v>120491.6280845584</v>
      </c>
      <c r="H35" s="35"/>
      <c r="I35" s="38">
        <f t="shared" si="4"/>
        <v>0.12230814350729745</v>
      </c>
      <c r="J35"/>
    </row>
    <row r="36" spans="1:10">
      <c r="A36"/>
      <c r="B36" s="8" t="s">
        <v>45</v>
      </c>
      <c r="C36" s="37">
        <f t="shared" si="0"/>
        <v>0</v>
      </c>
      <c r="D36" s="37">
        <f t="shared" si="3"/>
        <v>0</v>
      </c>
      <c r="E36" s="37">
        <f t="shared" si="3"/>
        <v>0</v>
      </c>
      <c r="F36" s="37">
        <f t="shared" si="3"/>
        <v>0</v>
      </c>
      <c r="G36" s="37">
        <f t="shared" si="2"/>
        <v>0</v>
      </c>
      <c r="H36" s="35"/>
      <c r="I36" s="38">
        <f t="shared" si="4"/>
        <v>0</v>
      </c>
      <c r="J36"/>
    </row>
    <row r="37" spans="1:10">
      <c r="A37"/>
      <c r="B37" s="8" t="s">
        <v>35</v>
      </c>
      <c r="C37" s="37">
        <f t="shared" si="0"/>
        <v>0</v>
      </c>
      <c r="D37" s="37">
        <f t="shared" si="3"/>
        <v>0</v>
      </c>
      <c r="E37" s="37">
        <f t="shared" si="3"/>
        <v>0</v>
      </c>
      <c r="F37" s="37">
        <f t="shared" si="3"/>
        <v>0</v>
      </c>
      <c r="G37" s="37">
        <f t="shared" si="2"/>
        <v>0</v>
      </c>
      <c r="H37" s="35"/>
      <c r="I37" s="38">
        <f t="shared" si="4"/>
        <v>0</v>
      </c>
      <c r="J37"/>
    </row>
    <row r="38" spans="1:10">
      <c r="A38"/>
      <c r="B38" s="32" t="s">
        <v>31</v>
      </c>
      <c r="C38" s="39" t="s">
        <v>47</v>
      </c>
      <c r="D38" s="39" t="s">
        <v>47</v>
      </c>
      <c r="E38" s="39" t="s">
        <v>47</v>
      </c>
      <c r="F38" s="39" t="s">
        <v>47</v>
      </c>
      <c r="G38" s="39" t="s">
        <v>47</v>
      </c>
      <c r="H38" s="40"/>
      <c r="I38" s="41">
        <f>SUM(I26:I37)</f>
        <v>1</v>
      </c>
      <c r="J3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9"/>
  <sheetViews>
    <sheetView topLeftCell="A6" workbookViewId="0">
      <selection activeCell="B65" sqref="B65"/>
    </sheetView>
  </sheetViews>
  <sheetFormatPr baseColWidth="10" defaultRowHeight="15" x14ac:dyDescent="0"/>
  <cols>
    <col min="1" max="1" width="3.83203125" customWidth="1"/>
    <col min="2" max="2" width="30.83203125" customWidth="1"/>
    <col min="3" max="3" width="15.83203125" style="43" customWidth="1"/>
    <col min="4" max="4" width="15.83203125" style="46" customWidth="1"/>
    <col min="5" max="5" width="3.83203125" style="46" customWidth="1"/>
    <col min="6" max="7" width="15.83203125" customWidth="1"/>
    <col min="8" max="8" width="3.83203125" customWidth="1"/>
    <col min="9" max="9" width="40.83203125" customWidth="1"/>
  </cols>
  <sheetData>
    <row r="2" spans="2:9">
      <c r="B2" s="7" t="s">
        <v>62</v>
      </c>
    </row>
    <row r="3" spans="2:9" ht="30">
      <c r="B3" s="48" t="s">
        <v>63</v>
      </c>
      <c r="C3" s="69">
        <v>2892533.7599999998</v>
      </c>
      <c r="D3" s="69" t="s">
        <v>64</v>
      </c>
    </row>
    <row r="6" spans="2:9">
      <c r="B6" s="7" t="s">
        <v>109</v>
      </c>
    </row>
    <row r="7" spans="2:9" s="53" customFormat="1" ht="45">
      <c r="B7" s="27" t="s">
        <v>51</v>
      </c>
      <c r="C7" s="57" t="s">
        <v>65</v>
      </c>
      <c r="D7" s="58" t="s">
        <v>88</v>
      </c>
      <c r="E7" s="58"/>
      <c r="F7" s="27" t="s">
        <v>65</v>
      </c>
      <c r="G7" s="27" t="s">
        <v>80</v>
      </c>
      <c r="H7" s="27"/>
      <c r="I7" s="27" t="s">
        <v>66</v>
      </c>
    </row>
    <row r="8" spans="2:9">
      <c r="B8" t="s">
        <v>52</v>
      </c>
      <c r="C8" s="43">
        <v>0.14499999999999999</v>
      </c>
      <c r="D8" s="46">
        <f>C8*C$3</f>
        <v>419417.39519999991</v>
      </c>
      <c r="F8" s="43">
        <f>G8/G$27</f>
        <v>0.15236667915573873</v>
      </c>
      <c r="G8">
        <v>122</v>
      </c>
      <c r="H8" s="43"/>
      <c r="I8" t="s">
        <v>67</v>
      </c>
    </row>
    <row r="9" spans="2:9">
      <c r="B9" t="s">
        <v>53</v>
      </c>
      <c r="C9" s="43">
        <v>7.1999999999999995E-2</v>
      </c>
      <c r="D9" s="46">
        <f t="shared" ref="D9:D26" si="0">C9*C$3</f>
        <v>208262.43071999997</v>
      </c>
      <c r="F9" s="43">
        <f>G9/G$27</f>
        <v>6.3694267515923567E-2</v>
      </c>
      <c r="G9">
        <v>51</v>
      </c>
      <c r="H9" s="43"/>
      <c r="I9" t="s">
        <v>68</v>
      </c>
    </row>
    <row r="10" spans="2:9">
      <c r="B10" t="s">
        <v>9</v>
      </c>
      <c r="C10" s="43">
        <v>0.03</v>
      </c>
      <c r="D10" s="46">
        <f t="shared" si="0"/>
        <v>86776.012799999997</v>
      </c>
      <c r="F10" s="43">
        <f>G10/G$27</f>
        <v>2.6851504933183466E-2</v>
      </c>
      <c r="G10">
        <v>21.5</v>
      </c>
      <c r="H10" s="43"/>
      <c r="I10" t="s">
        <v>69</v>
      </c>
    </row>
    <row r="11" spans="2:9">
      <c r="B11" t="s">
        <v>54</v>
      </c>
      <c r="C11" s="43">
        <v>6.6000000000000003E-2</v>
      </c>
      <c r="D11" s="46">
        <f t="shared" si="0"/>
        <v>190907.22816</v>
      </c>
      <c r="F11" s="43">
        <f>G11/G$27</f>
        <v>7.4934432371674797E-2</v>
      </c>
      <c r="G11">
        <v>60</v>
      </c>
      <c r="H11" s="43"/>
      <c r="I11" t="s">
        <v>70</v>
      </c>
    </row>
    <row r="12" spans="2:9">
      <c r="B12" t="s">
        <v>55</v>
      </c>
      <c r="C12" s="43">
        <v>0.03</v>
      </c>
      <c r="D12" s="46">
        <f t="shared" si="0"/>
        <v>86776.012799999997</v>
      </c>
      <c r="F12" s="54" t="s">
        <v>47</v>
      </c>
      <c r="G12" s="56" t="s">
        <v>47</v>
      </c>
      <c r="H12" s="43"/>
      <c r="I12" t="s">
        <v>71</v>
      </c>
    </row>
    <row r="13" spans="2:9">
      <c r="B13" t="s">
        <v>81</v>
      </c>
      <c r="C13" s="71">
        <v>4.7E-2</v>
      </c>
      <c r="D13" s="73">
        <f t="shared" si="0"/>
        <v>135949.08671999999</v>
      </c>
      <c r="E13" s="51"/>
      <c r="F13" s="43">
        <f>G13/G$27</f>
        <v>2.1231422505307858E-2</v>
      </c>
      <c r="G13">
        <v>17</v>
      </c>
      <c r="H13" s="43"/>
      <c r="I13" t="s">
        <v>72</v>
      </c>
    </row>
    <row r="14" spans="2:9">
      <c r="B14" t="s">
        <v>82</v>
      </c>
      <c r="C14" s="71"/>
      <c r="D14" s="73"/>
      <c r="E14" s="51"/>
      <c r="F14" s="43">
        <f>G14/G$27</f>
        <v>2.7475958536280758E-2</v>
      </c>
      <c r="G14">
        <v>22</v>
      </c>
      <c r="H14" s="43"/>
      <c r="I14" t="s">
        <v>72</v>
      </c>
    </row>
    <row r="15" spans="2:9">
      <c r="B15" s="50" t="s">
        <v>83</v>
      </c>
      <c r="C15" s="59">
        <v>8.7999999999999995E-2</v>
      </c>
      <c r="D15" s="46">
        <f t="shared" si="0"/>
        <v>254542.97087999998</v>
      </c>
      <c r="F15" s="43">
        <f>G15/G$27</f>
        <v>8.5924815786187089E-2</v>
      </c>
      <c r="G15">
        <v>68.8</v>
      </c>
      <c r="H15" s="43"/>
      <c r="I15" t="s">
        <v>18</v>
      </c>
    </row>
    <row r="16" spans="2:9">
      <c r="B16" t="s">
        <v>56</v>
      </c>
      <c r="C16" s="43">
        <v>0.191</v>
      </c>
      <c r="D16" s="46">
        <f t="shared" si="0"/>
        <v>552473.94815999991</v>
      </c>
      <c r="F16" s="43">
        <f>G16/G$27</f>
        <v>0.18733608092918697</v>
      </c>
      <c r="G16">
        <v>150</v>
      </c>
      <c r="H16" s="43"/>
      <c r="I16" t="s">
        <v>89</v>
      </c>
    </row>
    <row r="17" spans="2:9">
      <c r="B17" t="s">
        <v>20</v>
      </c>
      <c r="C17" s="43">
        <v>0.1</v>
      </c>
      <c r="D17" s="46">
        <f t="shared" si="0"/>
        <v>289253.37599999999</v>
      </c>
      <c r="F17" s="43">
        <f>G17/G$27</f>
        <v>0.10490820532034471</v>
      </c>
      <c r="G17">
        <v>84</v>
      </c>
      <c r="H17" s="43"/>
      <c r="I17" t="s">
        <v>20</v>
      </c>
    </row>
    <row r="18" spans="2:9">
      <c r="B18" t="s">
        <v>57</v>
      </c>
      <c r="C18" s="43">
        <v>1.7999999999999999E-2</v>
      </c>
      <c r="D18" s="46">
        <f t="shared" si="0"/>
        <v>52065.607679999994</v>
      </c>
      <c r="F18" s="54" t="s">
        <v>47</v>
      </c>
      <c r="G18" s="56" t="s">
        <v>47</v>
      </c>
      <c r="H18" s="43"/>
      <c r="I18" t="s">
        <v>73</v>
      </c>
    </row>
    <row r="19" spans="2:9">
      <c r="B19" t="s">
        <v>58</v>
      </c>
      <c r="C19" s="43">
        <v>8.3000000000000004E-2</v>
      </c>
      <c r="D19" s="46">
        <f t="shared" si="0"/>
        <v>240080.30207999999</v>
      </c>
      <c r="F19" s="54" t="s">
        <v>47</v>
      </c>
      <c r="G19" s="56" t="s">
        <v>47</v>
      </c>
      <c r="H19" s="43"/>
      <c r="I19" t="s">
        <v>75</v>
      </c>
    </row>
    <row r="20" spans="2:9">
      <c r="B20" t="s">
        <v>84</v>
      </c>
      <c r="C20" s="54" t="s">
        <v>47</v>
      </c>
      <c r="D20" s="55" t="s">
        <v>47</v>
      </c>
      <c r="F20" s="43">
        <f>G20/G$27</f>
        <v>6.7440989134507315E-2</v>
      </c>
      <c r="G20">
        <v>54</v>
      </c>
      <c r="H20" s="43"/>
      <c r="I20" t="s">
        <v>90</v>
      </c>
    </row>
    <row r="21" spans="2:9">
      <c r="B21" t="s">
        <v>59</v>
      </c>
      <c r="C21" s="43">
        <v>1.7000000000000001E-2</v>
      </c>
      <c r="D21" s="46">
        <f t="shared" si="0"/>
        <v>49173.073920000003</v>
      </c>
      <c r="F21" s="43">
        <f>G21/G$27</f>
        <v>1.1614837017609594E-2</v>
      </c>
      <c r="G21">
        <v>9.3000000000000007</v>
      </c>
      <c r="H21" s="43"/>
      <c r="I21" t="s">
        <v>74</v>
      </c>
    </row>
    <row r="22" spans="2:9">
      <c r="B22" t="s">
        <v>60</v>
      </c>
      <c r="C22" s="43">
        <v>7.1999999999999995E-2</v>
      </c>
      <c r="D22" s="46">
        <f t="shared" si="0"/>
        <v>208262.43071999997</v>
      </c>
      <c r="F22" s="54" t="s">
        <v>47</v>
      </c>
      <c r="G22" s="56" t="s">
        <v>47</v>
      </c>
      <c r="H22" s="43"/>
      <c r="I22" t="s">
        <v>75</v>
      </c>
    </row>
    <row r="23" spans="2:9">
      <c r="B23" t="s">
        <v>85</v>
      </c>
      <c r="C23" s="54" t="s">
        <v>47</v>
      </c>
      <c r="D23" s="55" t="s">
        <v>47</v>
      </c>
      <c r="F23" s="43">
        <f>G23/G$27</f>
        <v>2.7475958536280758E-2</v>
      </c>
      <c r="G23">
        <v>22</v>
      </c>
      <c r="H23" s="43"/>
      <c r="I23" t="s">
        <v>74</v>
      </c>
    </row>
    <row r="24" spans="2:9">
      <c r="B24" t="s">
        <v>86</v>
      </c>
      <c r="C24" s="54" t="s">
        <v>47</v>
      </c>
      <c r="D24" s="55" t="s">
        <v>47</v>
      </c>
      <c r="F24" s="43">
        <f>G24/G$27</f>
        <v>1.9358061696015987E-2</v>
      </c>
      <c r="G24">
        <v>15.5</v>
      </c>
      <c r="H24" s="43"/>
      <c r="I24" t="s">
        <v>73</v>
      </c>
    </row>
    <row r="25" spans="2:9">
      <c r="B25" t="s">
        <v>87</v>
      </c>
      <c r="C25" s="54" t="s">
        <v>47</v>
      </c>
      <c r="D25" s="55" t="s">
        <v>47</v>
      </c>
      <c r="F25" s="43">
        <f>G25/G$27</f>
        <v>5.3703009866366933E-2</v>
      </c>
      <c r="G25">
        <v>43</v>
      </c>
      <c r="H25" s="43"/>
      <c r="I25" t="s">
        <v>73</v>
      </c>
    </row>
    <row r="26" spans="2:9">
      <c r="B26" t="s">
        <v>61</v>
      </c>
      <c r="C26" s="43">
        <v>4.1000000000000002E-2</v>
      </c>
      <c r="D26" s="46">
        <f t="shared" si="0"/>
        <v>118593.88416</v>
      </c>
      <c r="F26" s="43">
        <f>G26/G$27</f>
        <v>7.5683776695391544E-2</v>
      </c>
      <c r="G26">
        <v>60.6</v>
      </c>
      <c r="H26" s="43"/>
      <c r="I26" t="s">
        <v>73</v>
      </c>
    </row>
    <row r="27" spans="2:9">
      <c r="B27" s="22" t="s">
        <v>31</v>
      </c>
      <c r="C27" s="44">
        <f>SUM(C8:C26)</f>
        <v>1</v>
      </c>
      <c r="D27" s="47">
        <f>SUM(D8:D26)</f>
        <v>2892533.7599999993</v>
      </c>
      <c r="E27" s="47"/>
      <c r="F27" s="22"/>
      <c r="G27" s="22">
        <f>SUM(G8:G26)</f>
        <v>800.69999999999993</v>
      </c>
      <c r="H27" s="22"/>
      <c r="I27" s="22"/>
    </row>
    <row r="29" spans="2:9">
      <c r="B29" t="s">
        <v>10</v>
      </c>
      <c r="C29" s="43" t="s">
        <v>76</v>
      </c>
      <c r="G29" t="s">
        <v>78</v>
      </c>
    </row>
    <row r="32" spans="2:9">
      <c r="B32" s="7" t="s">
        <v>110</v>
      </c>
    </row>
    <row r="33" spans="2:7" ht="45">
      <c r="B33" s="27" t="s">
        <v>51</v>
      </c>
      <c r="C33" s="57" t="s">
        <v>65</v>
      </c>
      <c r="D33" s="58" t="s">
        <v>88</v>
      </c>
      <c r="E33" s="58"/>
      <c r="F33" s="27" t="s">
        <v>65</v>
      </c>
      <c r="G33" s="27" t="s">
        <v>80</v>
      </c>
    </row>
    <row r="34" spans="2:7">
      <c r="B34" t="s">
        <v>97</v>
      </c>
      <c r="C34" s="43">
        <f>C15+C16</f>
        <v>0.27900000000000003</v>
      </c>
      <c r="D34" s="46">
        <f>D15+D16</f>
        <v>807016.91903999983</v>
      </c>
      <c r="F34" s="43">
        <f>(F15+F16)</f>
        <v>0.27326089671537407</v>
      </c>
      <c r="G34">
        <f>(G15+G16)*TWh_to_TJ</f>
        <v>787680</v>
      </c>
    </row>
    <row r="35" spans="2:7">
      <c r="B35" t="s">
        <v>98</v>
      </c>
      <c r="C35" s="43">
        <f>C11</f>
        <v>6.6000000000000003E-2</v>
      </c>
      <c r="D35" s="46">
        <f>D11</f>
        <v>190907.22816</v>
      </c>
      <c r="F35" s="43">
        <f>F11</f>
        <v>7.4934432371674797E-2</v>
      </c>
      <c r="G35">
        <f>G11*TWh_to_TJ</f>
        <v>216000</v>
      </c>
    </row>
    <row r="36" spans="2:7">
      <c r="B36" t="s">
        <v>96</v>
      </c>
      <c r="C36" s="43">
        <f>C13</f>
        <v>4.7E-2</v>
      </c>
      <c r="D36" s="11">
        <f>D13</f>
        <v>135949.08671999999</v>
      </c>
      <c r="F36" s="43">
        <f>(F13+F14)</f>
        <v>4.8707381041588615E-2</v>
      </c>
      <c r="G36">
        <f>(G13+G14)*TWh_to_TJ</f>
        <v>140400</v>
      </c>
    </row>
    <row r="37" spans="2:7">
      <c r="B37" t="s">
        <v>91</v>
      </c>
      <c r="C37" s="43">
        <f>C17</f>
        <v>0.1</v>
      </c>
      <c r="D37" s="11">
        <f>D17</f>
        <v>289253.37599999999</v>
      </c>
      <c r="F37" s="43">
        <f>F17</f>
        <v>0.10490820532034471</v>
      </c>
      <c r="G37">
        <f>G17*TWh_to_TJ</f>
        <v>302400</v>
      </c>
    </row>
    <row r="39" spans="2:7">
      <c r="B39" s="7" t="s">
        <v>26</v>
      </c>
    </row>
    <row r="40" spans="2:7">
      <c r="B40" t="s">
        <v>9</v>
      </c>
      <c r="C40" s="43">
        <f>C10</f>
        <v>0.03</v>
      </c>
      <c r="D40" s="46">
        <f>D10</f>
        <v>86776.012799999997</v>
      </c>
      <c r="F40" s="43">
        <f>F10</f>
        <v>2.6851504933183466E-2</v>
      </c>
      <c r="G40">
        <f>G10*TWh_to_TJ</f>
        <v>77400</v>
      </c>
    </row>
    <row r="41" spans="2:7">
      <c r="B41" t="s">
        <v>92</v>
      </c>
      <c r="C41" s="43">
        <f>C8</f>
        <v>0.14499999999999999</v>
      </c>
      <c r="D41" s="46">
        <f>D8</f>
        <v>419417.39519999991</v>
      </c>
      <c r="F41" s="43">
        <f>F8</f>
        <v>0.15236667915573873</v>
      </c>
      <c r="G41">
        <f>G8*TWh_to_TJ</f>
        <v>439200</v>
      </c>
    </row>
    <row r="42" spans="2:7">
      <c r="B42" t="s">
        <v>79</v>
      </c>
      <c r="C42" s="71">
        <f>C9</f>
        <v>7.1999999999999995E-2</v>
      </c>
      <c r="D42" s="73">
        <f>D9</f>
        <v>208262.43071999997</v>
      </c>
      <c r="F42" s="71">
        <f>F9</f>
        <v>6.3694267515923567E-2</v>
      </c>
      <c r="G42" s="72">
        <f>G9*TWh_to_TJ</f>
        <v>183600</v>
      </c>
    </row>
    <row r="43" spans="2:7">
      <c r="B43" t="s">
        <v>7</v>
      </c>
      <c r="C43" s="71"/>
      <c r="D43" s="73"/>
      <c r="F43" s="71"/>
      <c r="G43" s="72"/>
    </row>
    <row r="44" spans="2:7">
      <c r="B44" t="s">
        <v>84</v>
      </c>
      <c r="C44" s="43">
        <f>C19</f>
        <v>8.3000000000000004E-2</v>
      </c>
      <c r="D44" s="46">
        <f>D19</f>
        <v>240080.30207999999</v>
      </c>
      <c r="F44" s="43">
        <f>F20</f>
        <v>6.7440989134507315E-2</v>
      </c>
      <c r="G44">
        <f>G20*TWh_to_TJ</f>
        <v>194400</v>
      </c>
    </row>
    <row r="45" spans="2:7">
      <c r="B45" t="s">
        <v>93</v>
      </c>
      <c r="C45" s="43">
        <f>C21+C22</f>
        <v>8.8999999999999996E-2</v>
      </c>
      <c r="D45" s="46">
        <f>D21+D22</f>
        <v>257435.50463999997</v>
      </c>
      <c r="F45" s="43">
        <f>(F21+F23)</f>
        <v>3.9090795553890348E-2</v>
      </c>
      <c r="G45">
        <f>(G21+G23)*TWh_to_TJ</f>
        <v>112680</v>
      </c>
    </row>
    <row r="46" spans="2:7">
      <c r="B46" t="s">
        <v>94</v>
      </c>
      <c r="C46" s="43">
        <f>C12</f>
        <v>0.03</v>
      </c>
      <c r="D46" s="46">
        <f>D12</f>
        <v>86776.012799999997</v>
      </c>
    </row>
    <row r="47" spans="2:7">
      <c r="B47" t="s">
        <v>95</v>
      </c>
      <c r="C47" s="43">
        <f>C18+C26</f>
        <v>5.8999999999999997E-2</v>
      </c>
      <c r="D47" s="46">
        <f>D18+D26</f>
        <v>170659.49184</v>
      </c>
      <c r="F47" s="43">
        <f>(F24+F25+F26)</f>
        <v>0.14874484825777445</v>
      </c>
      <c r="G47">
        <f>(G24+G25+G26)*TWh_to_TJ</f>
        <v>428760</v>
      </c>
    </row>
    <row r="48" spans="2:7">
      <c r="B48" s="22" t="s">
        <v>31</v>
      </c>
      <c r="C48" s="44">
        <f>SUM(C34:C47)</f>
        <v>1</v>
      </c>
      <c r="D48" s="47">
        <f>SUM(D34:D47)</f>
        <v>2892533.7599999993</v>
      </c>
      <c r="E48" s="47"/>
      <c r="F48" s="62">
        <f>SUM(F34:F47)</f>
        <v>1</v>
      </c>
      <c r="G48" s="63">
        <f>SUM(G34:G47)</f>
        <v>2882520</v>
      </c>
    </row>
    <row r="49" spans="2:7">
      <c r="B49" s="4"/>
      <c r="C49" s="64"/>
      <c r="D49" s="52"/>
      <c r="E49" s="52"/>
      <c r="F49" s="65"/>
      <c r="G49" s="66"/>
    </row>
    <row r="50" spans="2:7">
      <c r="B50" s="4"/>
      <c r="C50" s="64"/>
      <c r="D50" s="52"/>
      <c r="E50" s="52"/>
      <c r="F50" s="65"/>
      <c r="G50" s="66"/>
    </row>
    <row r="51" spans="2:7">
      <c r="B51" s="7" t="s">
        <v>111</v>
      </c>
      <c r="C51" s="64"/>
      <c r="D51" s="52"/>
      <c r="E51" s="52"/>
      <c r="F51" s="65"/>
      <c r="G51" s="66"/>
    </row>
    <row r="52" spans="2:7">
      <c r="B52" s="12" t="s">
        <v>26</v>
      </c>
      <c r="C52" s="45" t="s">
        <v>23</v>
      </c>
    </row>
    <row r="53" spans="2:7">
      <c r="B53" t="s">
        <v>9</v>
      </c>
      <c r="C53" s="43">
        <f>C40/SUM(C$40:C$47)</f>
        <v>5.905511811023622E-2</v>
      </c>
      <c r="D53"/>
      <c r="E53"/>
    </row>
    <row r="54" spans="2:7">
      <c r="B54" t="s">
        <v>92</v>
      </c>
      <c r="C54" s="43">
        <f>C41/SUM(C$40:C$47)</f>
        <v>0.28543307086614172</v>
      </c>
      <c r="D54"/>
      <c r="E54"/>
    </row>
    <row r="55" spans="2:7">
      <c r="B55" t="s">
        <v>79</v>
      </c>
      <c r="C55" s="71">
        <f>C42/SUM(C$40:C$47)</f>
        <v>0.14173228346456693</v>
      </c>
      <c r="D55"/>
      <c r="E55"/>
    </row>
    <row r="56" spans="2:7">
      <c r="B56" t="s">
        <v>7</v>
      </c>
      <c r="C56" s="71"/>
      <c r="D56"/>
      <c r="E56"/>
    </row>
    <row r="57" spans="2:7">
      <c r="B57" t="s">
        <v>84</v>
      </c>
      <c r="C57" s="43">
        <f>C44/SUM(C$40:C$47)</f>
        <v>0.16338582677165356</v>
      </c>
      <c r="D57"/>
      <c r="E57"/>
    </row>
    <row r="58" spans="2:7">
      <c r="B58" t="s">
        <v>93</v>
      </c>
      <c r="C58" s="43">
        <f>C45/SUM(C$40:C$47)</f>
        <v>0.17519685039370078</v>
      </c>
      <c r="D58"/>
      <c r="E58"/>
    </row>
    <row r="59" spans="2:7">
      <c r="B59" t="s">
        <v>94</v>
      </c>
      <c r="C59" s="43">
        <f>C46/SUM(C$40:C$47)</f>
        <v>5.905511811023622E-2</v>
      </c>
      <c r="D59"/>
      <c r="E59"/>
    </row>
    <row r="60" spans="2:7">
      <c r="B60" t="s">
        <v>95</v>
      </c>
      <c r="C60" s="43">
        <f>C47/SUM(C$40:C$47)</f>
        <v>0.11614173228346455</v>
      </c>
      <c r="D60"/>
      <c r="E60"/>
    </row>
    <row r="61" spans="2:7">
      <c r="B61" s="22" t="s">
        <v>31</v>
      </c>
      <c r="C61" s="44">
        <f>SUM(C53:C60)</f>
        <v>1</v>
      </c>
      <c r="D61"/>
      <c r="E61"/>
    </row>
    <row r="62" spans="2:7">
      <c r="B62" s="4"/>
      <c r="C62" s="64"/>
      <c r="D62" s="52"/>
      <c r="E62" s="52"/>
      <c r="F62" s="65"/>
      <c r="G62" s="66"/>
    </row>
    <row r="63" spans="2:7">
      <c r="B63" s="4"/>
      <c r="C63" s="64"/>
      <c r="D63" s="52"/>
      <c r="E63" s="52"/>
      <c r="F63" s="65"/>
      <c r="G63" s="66"/>
    </row>
    <row r="64" spans="2:7">
      <c r="B64" s="7" t="s">
        <v>77</v>
      </c>
    </row>
    <row r="65" spans="2:4">
      <c r="B65" s="49" t="s">
        <v>112</v>
      </c>
    </row>
    <row r="66" spans="2:4">
      <c r="B66" s="60" t="s">
        <v>113</v>
      </c>
    </row>
    <row r="68" spans="2:4">
      <c r="B68" s="7" t="s">
        <v>99</v>
      </c>
    </row>
    <row r="69" spans="2:4">
      <c r="B69" t="s">
        <v>100</v>
      </c>
      <c r="C69" s="61">
        <v>3600</v>
      </c>
      <c r="D69" s="46" t="s">
        <v>101</v>
      </c>
    </row>
  </sheetData>
  <mergeCells count="7">
    <mergeCell ref="F42:F43"/>
    <mergeCell ref="G42:G43"/>
    <mergeCell ref="C55:C56"/>
    <mergeCell ref="C13:C14"/>
    <mergeCell ref="D13:D14"/>
    <mergeCell ref="D42:D43"/>
    <mergeCell ref="C42:C4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Odyssee</vt:lpstr>
      <vt:lpstr>Ecofys_space_heating</vt:lpstr>
      <vt:lpstr>Ecofys_hot_water</vt:lpstr>
      <vt:lpstr>Ecofys_appliances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Wouter Terlouw</cp:lastModifiedBy>
  <dcterms:created xsi:type="dcterms:W3CDTF">2014-06-16T12:25:15Z</dcterms:created>
  <dcterms:modified xsi:type="dcterms:W3CDTF">2014-07-11T07:52:25Z</dcterms:modified>
</cp:coreProperties>
</file>