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5600" windowHeight="16100" tabRatio="710" activeTab="2"/>
  </bookViews>
  <sheets>
    <sheet name="Cover sheet" sheetId="4" r:id="rId1"/>
    <sheet name="Changelog" sheetId="5" r:id="rId2"/>
    <sheet name="Sources and assumptions" sheetId="2" r:id="rId3"/>
    <sheet name="Final demand per energy carrier" sheetId="1" r:id="rId4"/>
    <sheet name="Electricity" sheetId="7" r:id="rId5"/>
    <sheet name="Cooking" sheetId="6" r:id="rId6"/>
    <sheet name="Heat pumps" sheetId="8" r:id="rId7"/>
    <sheet name="Cooling" sheetId="9" r:id="rId8"/>
  </sheets>
  <externalReferences>
    <externalReference r:id="rId9"/>
    <externalReference r:id="rId10"/>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60" i="1" l="1"/>
  <c r="F61" i="1"/>
  <c r="F59" i="1"/>
  <c r="N60" i="1"/>
  <c r="N61" i="1"/>
  <c r="N59" i="1"/>
  <c r="B60" i="1"/>
  <c r="F45" i="1"/>
  <c r="G20" i="6"/>
  <c r="C39" i="7"/>
  <c r="D39" i="7"/>
  <c r="E39" i="7"/>
  <c r="J23" i="8"/>
  <c r="J24" i="8"/>
  <c r="J25" i="8"/>
  <c r="J26" i="8"/>
  <c r="J28" i="8"/>
  <c r="F20" i="1"/>
  <c r="F35" i="1"/>
  <c r="I23" i="8"/>
  <c r="I24" i="8"/>
  <c r="I25" i="8"/>
  <c r="I26" i="8"/>
  <c r="I28" i="8"/>
  <c r="F17" i="1"/>
  <c r="F32" i="1"/>
  <c r="F37" i="1"/>
  <c r="C38" i="7"/>
  <c r="D38" i="7"/>
  <c r="E38" i="7"/>
  <c r="F22" i="1"/>
  <c r="H22" i="6"/>
  <c r="F54" i="1"/>
  <c r="H21" i="6"/>
  <c r="F53" i="1"/>
  <c r="H20" i="6"/>
  <c r="F52" i="1"/>
  <c r="C42" i="7"/>
  <c r="D42" i="7"/>
  <c r="E42" i="7"/>
  <c r="F47" i="1"/>
  <c r="C36" i="7"/>
  <c r="D36" i="7"/>
  <c r="E36" i="7"/>
  <c r="F72" i="1"/>
  <c r="C35" i="7"/>
  <c r="D35" i="7"/>
  <c r="E35" i="7"/>
  <c r="F71" i="1"/>
  <c r="C34" i="7"/>
  <c r="D34" i="7"/>
  <c r="E34" i="7"/>
  <c r="F70" i="1"/>
  <c r="C33" i="7"/>
  <c r="D33" i="7"/>
  <c r="E33" i="7"/>
  <c r="F69" i="1"/>
  <c r="C32" i="7"/>
  <c r="D32" i="7"/>
  <c r="E32" i="7"/>
  <c r="F68" i="1"/>
  <c r="C31" i="7"/>
  <c r="D31" i="7"/>
  <c r="E31" i="7"/>
  <c r="F67" i="1"/>
  <c r="C30" i="7"/>
  <c r="D30" i="7"/>
  <c r="E30" i="7"/>
  <c r="F66" i="1"/>
  <c r="C29" i="7"/>
  <c r="D29" i="7"/>
  <c r="E29" i="7"/>
  <c r="F65" i="1"/>
  <c r="B66" i="1"/>
  <c r="E51" i="1"/>
  <c r="B52" i="1"/>
  <c r="B46" i="1"/>
  <c r="E30" i="1"/>
  <c r="G31" i="1"/>
  <c r="K34" i="1"/>
  <c r="B31" i="1"/>
  <c r="E15" i="1"/>
  <c r="G16" i="1"/>
  <c r="K19" i="1"/>
  <c r="J21" i="1"/>
  <c r="I24" i="1"/>
  <c r="H25" i="1"/>
  <c r="B16" i="1"/>
  <c r="E22" i="6"/>
  <c r="E20" i="6"/>
  <c r="E21" i="6"/>
  <c r="F22" i="6"/>
  <c r="F21" i="6"/>
  <c r="F20" i="6"/>
  <c r="C40" i="7"/>
  <c r="D40" i="7"/>
  <c r="E40" i="7"/>
  <c r="C41" i="7"/>
  <c r="D41" i="7"/>
  <c r="E41" i="7"/>
  <c r="C5" i="4"/>
  <c r="N52" i="1"/>
  <c r="N51" i="1"/>
  <c r="N53" i="1"/>
  <c r="N54" i="1"/>
  <c r="N55" i="1"/>
  <c r="O52" i="1"/>
  <c r="O53" i="1"/>
  <c r="O54" i="1"/>
  <c r="O55" i="1"/>
  <c r="O51" i="1"/>
  <c r="N46" i="1"/>
  <c r="N45" i="1"/>
  <c r="N47" i="1"/>
  <c r="O46" i="1"/>
  <c r="O47" i="1"/>
  <c r="O45" i="1"/>
  <c r="N31" i="1"/>
  <c r="N30" i="1"/>
  <c r="N32" i="1"/>
  <c r="N33" i="1"/>
  <c r="N34" i="1"/>
  <c r="N35" i="1"/>
  <c r="N36" i="1"/>
  <c r="N37" i="1"/>
  <c r="N38" i="1"/>
  <c r="N39" i="1"/>
  <c r="N40" i="1"/>
  <c r="N41" i="1"/>
  <c r="O31" i="1"/>
  <c r="O32" i="1"/>
  <c r="O33" i="1"/>
  <c r="O34" i="1"/>
  <c r="O35" i="1"/>
  <c r="O36" i="1"/>
  <c r="O37" i="1"/>
  <c r="O38" i="1"/>
  <c r="O39" i="1"/>
  <c r="O40" i="1"/>
  <c r="O41" i="1"/>
  <c r="O30" i="1"/>
  <c r="N26" i="1"/>
  <c r="N16" i="1"/>
  <c r="N15" i="1"/>
  <c r="N17" i="1"/>
  <c r="N18" i="1"/>
  <c r="N19" i="1"/>
  <c r="N20" i="1"/>
  <c r="N21" i="1"/>
  <c r="N22" i="1"/>
  <c r="N23" i="1"/>
  <c r="N24" i="1"/>
  <c r="N25" i="1"/>
  <c r="O16" i="1"/>
  <c r="O17" i="1"/>
  <c r="O18" i="1"/>
  <c r="O19" i="1"/>
  <c r="O20" i="1"/>
  <c r="O21" i="1"/>
  <c r="O22" i="1"/>
  <c r="O23" i="1"/>
  <c r="O24" i="1"/>
  <c r="O25" i="1"/>
  <c r="O26" i="1"/>
  <c r="O15" i="1"/>
  <c r="D46" i="1"/>
  <c r="D47" i="1"/>
  <c r="D45" i="1"/>
  <c r="D41" i="1"/>
  <c r="D40" i="1"/>
  <c r="D39" i="1"/>
  <c r="D38" i="1"/>
  <c r="D37" i="1"/>
  <c r="D36" i="1"/>
  <c r="D35" i="1"/>
  <c r="D34" i="1"/>
  <c r="D33" i="1"/>
  <c r="D32" i="1"/>
  <c r="D31" i="1"/>
  <c r="D30" i="1"/>
  <c r="D26" i="1"/>
  <c r="D25" i="1"/>
  <c r="D24" i="1"/>
  <c r="D23" i="1"/>
  <c r="D22" i="1"/>
  <c r="D21" i="1"/>
  <c r="D20" i="1"/>
  <c r="D19" i="1"/>
  <c r="D18" i="1"/>
  <c r="D17" i="1"/>
  <c r="D16" i="1"/>
  <c r="D15" i="1"/>
  <c r="D60" i="1"/>
  <c r="D61" i="1"/>
  <c r="D59" i="1"/>
  <c r="D66" i="1"/>
  <c r="D67" i="1"/>
  <c r="D68" i="1"/>
  <c r="D69" i="1"/>
  <c r="D70" i="1"/>
  <c r="D71" i="1"/>
  <c r="D72" i="1"/>
  <c r="D65" i="1"/>
  <c r="K76" i="1"/>
  <c r="K77" i="1"/>
  <c r="K78" i="1"/>
  <c r="J76" i="1"/>
  <c r="J77" i="1"/>
  <c r="J78" i="1"/>
  <c r="I76" i="1"/>
  <c r="I77" i="1"/>
  <c r="I78" i="1"/>
  <c r="H76" i="1"/>
  <c r="H77" i="1"/>
  <c r="H78" i="1"/>
  <c r="G76" i="1"/>
  <c r="G77" i="1"/>
  <c r="G78" i="1"/>
  <c r="E76" i="1"/>
  <c r="E77" i="1"/>
  <c r="E78" i="1"/>
  <c r="D54" i="1"/>
  <c r="D53" i="1"/>
  <c r="D51" i="1"/>
  <c r="D55" i="1"/>
  <c r="D52" i="1"/>
  <c r="F76" i="1"/>
  <c r="F77" i="1"/>
  <c r="F78" i="1"/>
</calcChain>
</file>

<file path=xl/sharedStrings.xml><?xml version="1.0" encoding="utf-8"?>
<sst xmlns="http://schemas.openxmlformats.org/spreadsheetml/2006/main" count="230" uniqueCount="200">
  <si>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</si>
  <si>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</si>
  <si>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</si>
  <si>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</si>
  <si>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</si>
  <si>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</si>
  <si>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</si>
  <si>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</si>
  <si>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</si>
  <si>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</si>
  <si>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</si>
  <si>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</si>
  <si>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</si>
  <si>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</si>
  <si>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</si>
  <si>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</si>
  <si>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</si>
  <si>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</si>
  <si>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</si>
  <si>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</si>
  <si>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</si>
  <si>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</si>
  <si>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</si>
  <si>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</si>
  <si>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</si>
  <si>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</si>
  <si>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</si>
  <si>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</si>
  <si>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</si>
  <si>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</si>
  <si>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</si>
  <si>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</si>
  <si>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</si>
  <si>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</si>
  <si>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</si>
  <si>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</si>
  <si>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</si>
  <si>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</si>
  <si>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</si>
  <si>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</si>
  <si>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</si>
  <si>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</si>
  <si>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</si>
  <si>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</si>
  <si>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</si>
  <si>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</si>
  <si>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electric heat pump add-on</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</si>
  <si>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</si>
  <si>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</si>
  <si>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</si>
  <si>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</si>
  <si>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</si>
  <si>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</si>
  <si>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</si>
  <si>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</si>
  <si>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</si>
  <si>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</si>
  <si>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</si>
  <si>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</si>
  <si>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</si>
  <si>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</si>
  <si>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</si>
  <si>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</si>
  <si>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</si>
  <si>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</si>
  <si>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</si>
  <si>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</si>
  <si>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</si>
  <si>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</si>
  <si>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</si>
  <si>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</si>
  <si>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</si>
  <si>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</si>
  <si>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</si>
  <si>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</si>
  <si>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</si>
  <si>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</si>
  <si>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</si>
  <si>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</si>
  <si>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</si>
  <si>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</si>
  <si>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 xml:space="preserve">Free standing </t>
  </si>
  <si>
    <t xml:space="preserve">2^1 roof </t>
  </si>
  <si>
    <t xml:space="preserve">Terraced </t>
  </si>
  <si>
    <t xml:space="preserve">Multi family </t>
  </si>
  <si>
    <t xml:space="preserve">Total tm 2012 </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</si>
  <si>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</si>
  <si>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</si>
  <si>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</si>
  <si>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</si>
  <si>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</si>
  <si>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</si>
  <si>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</si>
  <si>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</si>
  <si>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</si>
  <si>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</si>
  <si>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</si>
  <si>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</si>
  <si>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</si>
  <si>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</si>
  <si>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</si>
  <si>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</si>
  <si>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</si>
  <si>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</si>
  <si>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</si>
  <si>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</si>
  <si>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</si>
  <si>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</si>
  <si>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</si>
  <si>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</si>
  <si>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</si>
  <si>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</si>
  <si>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</si>
  <si>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</si>
  <si>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</si>
  <si>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</si>
  <si>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</si>
  <si>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</si>
  <si>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</si>
  <si>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</si>
  <si>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</si>
  <si>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</si>
  <si>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</si>
  <si>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</si>
  <si>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</si>
  <si>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</si>
  <si>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</si>
  <si>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</si>
  <si>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</si>
  <si>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</si>
  <si>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</si>
  <si>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</si>
  <si>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</si>
  <si>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</si>
  <si>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</si>
  <si>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</si>
  <si>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</si>
  <si>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</si>
  <si>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</si>
  <si>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</si>
  <si>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</si>
  <si>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</si>
  <si>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</si>
  <si>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</si>
  <si>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</si>
  <si>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</si>
  <si>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</si>
  <si>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</si>
  <si>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</si>
  <si>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</si>
  <si>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</si>
  <si>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</si>
  <si>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</si>
  <si>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IEA energy balance NL 2013</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</si>
  <si>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</si>
  <si>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</si>
  <si>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</si>
  <si>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</si>
  <si>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</si>
  <si>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</si>
  <si>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</si>
  <si>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</si>
  <si>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</si>
  <si>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</si>
  <si>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</si>
  <si>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</si>
  <si>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</si>
  <si>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</si>
  <si>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</si>
  <si>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</si>
  <si>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Total</t>
  </si>
  <si>
    <t>Total final demand for space heating heat pumps (air) (GJ)</t>
  </si>
  <si>
    <t>I have put the hybrids in the heat pump (air) category</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</si>
  <si>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</si>
  <si>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</si>
  <si>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</si>
  <si>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</si>
  <si>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</si>
  <si>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</si>
  <si>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</si>
  <si>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</si>
  <si>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</si>
  <si>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</si>
  <si>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</si>
  <si>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http://refman.et-model.com/publications/2029</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</si>
  <si>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</si>
  <si>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</si>
  <si>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http://refman.et-model.com/publications/2030</t>
  </si>
  <si>
    <t>The numbers in red are used to the 'Final demand per energy carrier' sheet (use Trace Dependents to find their destination)</t>
  </si>
  <si>
    <t>Correctie elektriciteitsverbruik koken, tabel 1, page 4 (ECN, 2014)</t>
  </si>
  <si>
    <t>Technology efficiency</t>
  </si>
  <si>
    <t>IEA HPP Annex 42: Heat Pumps in Smart Grids,Task 1: Market Overview, The Netherlands, page 23 (Delta, 2014)</t>
  </si>
  <si>
    <t>Hernieuwbare Energie in Nederland 2014, page 57 (CBS)</t>
  </si>
  <si>
    <t>Onttrekking van koude in 2013</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</si>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</sst>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19"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s>
  <fills count="14">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20">
    <xf numFmtId="0" fontId="0" fillId="0" borderId="0"/>
    <xf numFmtId="9" fontId="2" fillId="0" borderId="0" applyFont="0" applyFill="0" applyBorder="0" applyAlignment="0" applyProtection="0"/>
    <xf numFmtId="164" fontId="10" fillId="3" borderId="25">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15">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20" xfId="0" applyNumberFormat="1" applyFill="1" applyBorder="1"/>
    <xf numFmtId="0" fontId="9" fillId="2" borderId="10" xfId="0" applyFont="1" applyFill="1" applyBorder="1"/>
    <xf numFmtId="0" fontId="4" fillId="2" borderId="5" xfId="0" applyFont="1" applyFill="1" applyBorder="1"/>
    <xf numFmtId="4" fontId="4" fillId="2" borderId="21"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8"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2"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3" xfId="0" applyFill="1" applyBorder="1"/>
    <xf numFmtId="0" fontId="0" fillId="2" borderId="24" xfId="0" applyFill="1" applyBorder="1"/>
    <xf numFmtId="4" fontId="0" fillId="0" borderId="16" xfId="0" applyNumberFormat="1" applyFont="1" applyFill="1" applyBorder="1" applyAlignment="1">
      <alignment vertical="top" wrapText="1"/>
    </xf>
    <xf numFmtId="4" fontId="0" fillId="0" borderId="15" xfId="0" applyNumberFormat="1" applyFont="1" applyFill="1" applyBorder="1" applyAlignment="1">
      <alignment vertical="top" wrapText="1"/>
    </xf>
    <xf numFmtId="4" fontId="0" fillId="0" borderId="17" xfId="0" applyNumberFormat="1" applyFont="1" applyFill="1" applyBorder="1" applyAlignment="1">
      <alignment vertical="top" wrapText="1"/>
    </xf>
    <xf numFmtId="4" fontId="4" fillId="2" borderId="0" xfId="0" applyNumberFormat="1" applyFont="1" applyFill="1" applyBorder="1" applyAlignment="1">
      <alignment vertical="top" wrapText="1"/>
    </xf>
    <xf numFmtId="4" fontId="4"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9"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20"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8"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2"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0" fillId="2" borderId="0" xfId="0" applyNumberFormat="1" applyFont="1" applyFill="1" applyBorder="1" applyAlignment="1">
      <alignment vertical="top" wrapText="1"/>
    </xf>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6"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8" xfId="44" applyFont="1" applyFill="1" applyBorder="1" applyAlignment="1">
      <alignment vertical="center"/>
    </xf>
    <xf numFmtId="0" fontId="1" fillId="2" borderId="0" xfId="44" applyFill="1" applyBorder="1" applyAlignment="1">
      <alignment horizontal="left"/>
    </xf>
    <xf numFmtId="0" fontId="1" fillId="2" borderId="22"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8" xfId="44" applyFont="1" applyFill="1" applyBorder="1"/>
    <xf numFmtId="0" fontId="8" fillId="2" borderId="0" xfId="44" applyFont="1" applyFill="1" applyBorder="1"/>
    <xf numFmtId="0" fontId="1" fillId="2" borderId="27"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8"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8" xfId="44" applyFont="1" applyFill="1" applyBorder="1" applyAlignment="1">
      <alignment vertical="top"/>
    </xf>
    <xf numFmtId="0" fontId="4" fillId="2" borderId="0" xfId="44" applyFont="1" applyFill="1" applyBorder="1" applyAlignment="1">
      <alignment wrapText="1"/>
    </xf>
    <xf numFmtId="0" fontId="4" fillId="2" borderId="22" xfId="44" applyFont="1" applyFill="1" applyBorder="1" applyAlignment="1">
      <alignment vertical="top"/>
    </xf>
    <xf numFmtId="166" fontId="15" fillId="0" borderId="18" xfId="44" applyNumberFormat="1" applyFont="1" applyFill="1" applyBorder="1" applyAlignment="1">
      <alignment horizontal="left" vertical="top"/>
    </xf>
    <xf numFmtId="0" fontId="1" fillId="0" borderId="0" xfId="44" applyFont="1" applyFill="1" applyBorder="1" applyAlignment="1">
      <alignment wrapText="1"/>
    </xf>
    <xf numFmtId="2" fontId="1" fillId="0" borderId="22" xfId="44" applyNumberFormat="1" applyFill="1" applyBorder="1" applyAlignment="1">
      <alignment vertical="top"/>
    </xf>
    <xf numFmtId="166" fontId="1" fillId="0" borderId="18" xfId="44" applyNumberFormat="1" applyFont="1" applyFill="1" applyBorder="1" applyAlignment="1">
      <alignment horizontal="left" vertical="top"/>
    </xf>
    <xf numFmtId="166" fontId="1" fillId="0" borderId="18" xfId="44" applyNumberFormat="1" applyFill="1" applyBorder="1" applyAlignment="1">
      <alignment horizontal="left" vertical="top"/>
    </xf>
    <xf numFmtId="0" fontId="1" fillId="0" borderId="0" xfId="44" applyFill="1" applyBorder="1" applyAlignment="1">
      <alignment wrapText="1"/>
    </xf>
    <xf numFmtId="0" fontId="1" fillId="0" borderId="18" xfId="44" applyFill="1" applyBorder="1" applyAlignment="1">
      <alignment vertical="top"/>
    </xf>
    <xf numFmtId="166" fontId="15" fillId="0" borderId="18" xfId="44" applyNumberFormat="1" applyFont="1" applyBorder="1" applyAlignment="1">
      <alignment horizontal="left" vertical="top"/>
    </xf>
    <xf numFmtId="0" fontId="15" fillId="0" borderId="0" xfId="44" applyFont="1" applyAlignment="1">
      <alignment wrapText="1"/>
    </xf>
    <xf numFmtId="2" fontId="15" fillId="0" borderId="22"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2" fontId="3" fillId="0" borderId="0" xfId="0" applyNumberFormat="1" applyFont="1"/>
    <xf numFmtId="0" fontId="4" fillId="2" borderId="25" xfId="0" applyFont="1" applyFill="1" applyBorder="1"/>
    <xf numFmtId="0" fontId="4" fillId="2" borderId="25" xfId="0" applyFont="1" applyFill="1" applyBorder="1" applyAlignment="1">
      <alignment wrapText="1"/>
    </xf>
    <xf numFmtId="2" fontId="15" fillId="2" borderId="2" xfId="0" applyNumberFormat="1" applyFont="1" applyFill="1" applyBorder="1"/>
    <xf numFmtId="4" fontId="8" fillId="2" borderId="2" xfId="0" applyNumberFormat="1" applyFont="1" applyFill="1" applyBorder="1"/>
    <xf numFmtId="2" fontId="3" fillId="2" borderId="3" xfId="0" applyNumberFormat="1" applyFont="1" applyFill="1" applyBorder="1"/>
    <xf numFmtId="2" fontId="15" fillId="2" borderId="0" xfId="0" applyNumberFormat="1" applyFont="1" applyFill="1" applyBorder="1"/>
    <xf numFmtId="2" fontId="3" fillId="2" borderId="22" xfId="0" applyNumberFormat="1" applyFont="1" applyFill="1" applyBorder="1"/>
    <xf numFmtId="2" fontId="15" fillId="2" borderId="5" xfId="0" applyNumberFormat="1" applyFont="1" applyFill="1" applyBorder="1"/>
    <xf numFmtId="2" fontId="3" fillId="2" borderId="6" xfId="0" applyNumberFormat="1" applyFont="1" applyFill="1" applyBorder="1"/>
    <xf numFmtId="0" fontId="7" fillId="2" borderId="28" xfId="0" applyFont="1" applyFill="1" applyBorder="1"/>
    <xf numFmtId="0" fontId="7" fillId="2" borderId="29" xfId="0" applyFont="1" applyFill="1" applyBorder="1"/>
    <xf numFmtId="0" fontId="7" fillId="2" borderId="30" xfId="0" applyFont="1" applyFill="1" applyBorder="1"/>
    <xf numFmtId="0" fontId="0" fillId="2" borderId="22" xfId="0" applyFill="1" applyBorder="1"/>
    <xf numFmtId="0" fontId="0" fillId="2" borderId="6" xfId="0" applyFill="1" applyBorder="1"/>
    <xf numFmtId="0" fontId="0" fillId="2" borderId="28" xfId="0" applyFill="1" applyBorder="1"/>
    <xf numFmtId="0" fontId="0" fillId="2" borderId="29" xfId="0" applyFill="1" applyBorder="1"/>
    <xf numFmtId="0" fontId="0" fillId="2" borderId="30" xfId="0" applyFill="1" applyBorder="1"/>
    <xf numFmtId="0" fontId="4" fillId="2" borderId="28" xfId="0" applyFont="1" applyFill="1" applyBorder="1"/>
    <xf numFmtId="0" fontId="4" fillId="2" borderId="2" xfId="0" applyFont="1" applyFill="1" applyBorder="1"/>
    <xf numFmtId="0" fontId="4" fillId="2" borderId="3" xfId="0" applyFont="1" applyFill="1" applyBorder="1" applyAlignment="1">
      <alignment wrapText="1"/>
    </xf>
    <xf numFmtId="0" fontId="4" fillId="2" borderId="2" xfId="0" applyFont="1" applyFill="1" applyBorder="1" applyAlignment="1">
      <alignment wrapText="1"/>
    </xf>
    <xf numFmtId="0" fontId="4" fillId="2" borderId="16" xfId="0" applyFont="1" applyFill="1" applyBorder="1"/>
    <xf numFmtId="0" fontId="3" fillId="2" borderId="15" xfId="0" applyFont="1" applyFill="1" applyBorder="1"/>
    <xf numFmtId="0" fontId="3" fillId="2" borderId="31" xfId="0" applyFont="1" applyFill="1" applyBorder="1"/>
    <xf numFmtId="0" fontId="4" fillId="2" borderId="15" xfId="0" applyFont="1" applyFill="1" applyBorder="1" applyAlignment="1">
      <alignment wrapText="1"/>
    </xf>
    <xf numFmtId="4" fontId="3" fillId="2" borderId="10" xfId="0" applyNumberFormat="1" applyFont="1" applyFill="1" applyBorder="1" applyAlignment="1">
      <alignment horizontal="left"/>
    </xf>
    <xf numFmtId="0" fontId="0" fillId="0" borderId="0" xfId="0" applyFill="1"/>
    <xf numFmtId="4" fontId="8" fillId="2" borderId="0" xfId="0" applyNumberFormat="1" applyFont="1" applyFill="1"/>
    <xf numFmtId="0" fontId="18" fillId="2" borderId="0" xfId="0" applyFont="1" applyFill="1"/>
    <xf numFmtId="0" fontId="18" fillId="2" borderId="0" xfId="0" applyFont="1" applyFill="1" applyBorder="1"/>
    <xf numFmtId="0" fontId="0" fillId="2" borderId="18"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2"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cellXfs>
  <cellStyles count="120">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Input cel" xfId="2"/>
    <cellStyle name="Normal" xfId="0" builtinId="0"/>
    <cellStyle name="Normal 2" xfId="3"/>
    <cellStyle name="Normal 2 2" xfId="44"/>
    <cellStyle name="Percent" xfId="1" builtinId="5"/>
    <cellStyle name="Percent 2" xfId="4"/>
    <cellStyle name="Percent 3" xfId="5"/>
    <cellStyle name="Percent 4" xfId="45"/>
    <cellStyle name="Warning Text 3" xfId="6"/>
  </cellStyles>
  <dxfs count="1">
    <dxf>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1066800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36600"/>
          <a:ext cx="8013700"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2.83203125" style="114" customWidth="1"/>
    <col min="2" max="2" width="14" style="114" customWidth="1"/>
    <col min="3" max="3" width="44" style="114" customWidth="1"/>
    <col min="4" max="4" width="9.33203125" style="114" customWidth="1"/>
    <col min="5" max="5" width="10.83203125" style="114"/>
    <col min="6" max="6" width="34.6640625" style="114" customWidth="1"/>
    <col min="7" max="7" width="4.5" style="114" customWidth="1"/>
    <col min="8" max="8" width="20.83203125" style="114" customWidth="1"/>
    <col min="9" max="16384" width="10.83203125" style="114"/>
  </cols>
  <sheetData>
    <row r="2" spans="2:8" ht="20">
      <c r="B2" s="113" t="s">
        <v>89</v>
      </c>
    </row>
    <row r="4" spans="2:8">
      <c r="B4" s="115" t="s">
        <v>90</v>
      </c>
      <c r="C4" s="141" t="s">
        <v>115</v>
      </c>
      <c r="D4" s="116"/>
      <c r="F4" s="117"/>
      <c r="G4" s="118"/>
      <c r="H4" s="117"/>
    </row>
    <row r="5" spans="2:8">
      <c r="B5" s="119" t="s">
        <v>91</v>
      </c>
      <c r="C5" s="167">
        <f>MAX(Changelog!D:D)</f>
        <v>2</v>
      </c>
      <c r="D5" s="121"/>
      <c r="F5" s="118"/>
      <c r="G5" s="118"/>
      <c r="H5" s="118"/>
    </row>
    <row r="6" spans="2:8">
      <c r="B6" s="119" t="s">
        <v>92</v>
      </c>
      <c r="C6" s="122" t="s">
        <v>93</v>
      </c>
      <c r="D6" s="121"/>
      <c r="F6" s="118"/>
      <c r="G6" s="118"/>
      <c r="H6" s="118"/>
    </row>
    <row r="7" spans="2:8">
      <c r="B7" s="119" t="s">
        <v>94</v>
      </c>
      <c r="C7" s="120">
        <v>2013</v>
      </c>
      <c r="D7" s="121"/>
      <c r="F7" s="118"/>
      <c r="G7" s="118"/>
      <c r="H7" s="118"/>
    </row>
    <row r="8" spans="2:8">
      <c r="B8" s="119" t="s">
        <v>95</v>
      </c>
      <c r="C8" s="142" t="s">
        <v>116</v>
      </c>
      <c r="D8" s="121"/>
      <c r="F8" s="118"/>
      <c r="G8" s="118"/>
      <c r="H8" s="118"/>
    </row>
    <row r="9" spans="2:8">
      <c r="B9" s="119" t="s">
        <v>96</v>
      </c>
      <c r="C9" s="143" t="s">
        <v>117</v>
      </c>
      <c r="D9" s="121"/>
      <c r="F9" s="118"/>
      <c r="G9" s="118"/>
      <c r="H9" s="118"/>
    </row>
    <row r="10" spans="2:8">
      <c r="B10" s="123" t="s">
        <v>97</v>
      </c>
      <c r="C10" s="124" t="s">
        <v>98</v>
      </c>
      <c r="D10" s="125"/>
      <c r="F10" s="118"/>
      <c r="G10" s="118"/>
      <c r="H10" s="118"/>
    </row>
    <row r="12" spans="2:8">
      <c r="B12" s="115" t="s">
        <v>99</v>
      </c>
      <c r="C12" s="126"/>
      <c r="D12" s="116"/>
    </row>
    <row r="13" spans="2:8">
      <c r="B13" s="127"/>
      <c r="C13" s="118"/>
      <c r="D13" s="121"/>
    </row>
    <row r="14" spans="2:8">
      <c r="B14" s="127" t="s">
        <v>100</v>
      </c>
      <c r="C14" s="128" t="s">
        <v>101</v>
      </c>
      <c r="D14" s="121"/>
    </row>
    <row r="15" spans="2:8" ht="16" thickBot="1">
      <c r="B15" s="127"/>
      <c r="C15" s="117" t="s">
        <v>102</v>
      </c>
      <c r="D15" s="121"/>
    </row>
    <row r="16" spans="2:8" ht="16" thickBot="1">
      <c r="B16" s="127"/>
      <c r="C16" s="129" t="s">
        <v>103</v>
      </c>
      <c r="D16" s="121"/>
    </row>
    <row r="17" spans="2:4">
      <c r="B17" s="127"/>
      <c r="C17" s="118" t="s">
        <v>104</v>
      </c>
      <c r="D17" s="121"/>
    </row>
    <row r="18" spans="2:4">
      <c r="B18" s="127"/>
      <c r="C18" s="118"/>
      <c r="D18" s="121"/>
    </row>
    <row r="19" spans="2:4">
      <c r="B19" s="127" t="s">
        <v>105</v>
      </c>
      <c r="C19" s="130" t="s">
        <v>106</v>
      </c>
      <c r="D19" s="121"/>
    </row>
    <row r="20" spans="2:4">
      <c r="B20" s="127"/>
      <c r="C20" s="131" t="s">
        <v>107</v>
      </c>
      <c r="D20" s="121"/>
    </row>
    <row r="21" spans="2:4">
      <c r="B21" s="127"/>
      <c r="C21" s="132" t="s">
        <v>108</v>
      </c>
      <c r="D21" s="121"/>
    </row>
    <row r="22" spans="2:4">
      <c r="B22" s="127"/>
      <c r="C22" s="133" t="s">
        <v>109</v>
      </c>
      <c r="D22" s="121"/>
    </row>
    <row r="23" spans="2:4">
      <c r="B23" s="134"/>
      <c r="C23" s="135" t="s">
        <v>110</v>
      </c>
      <c r="D23" s="121"/>
    </row>
    <row r="24" spans="2:4">
      <c r="B24" s="134"/>
      <c r="C24" s="136" t="s">
        <v>111</v>
      </c>
      <c r="D24" s="121"/>
    </row>
    <row r="25" spans="2:4">
      <c r="B25" s="134"/>
      <c r="C25" s="137" t="s">
        <v>112</v>
      </c>
      <c r="D25" s="121"/>
    </row>
    <row r="26" spans="2:4">
      <c r="B26" s="134"/>
      <c r="C26" s="138" t="s">
        <v>113</v>
      </c>
      <c r="D26" s="121"/>
    </row>
    <row r="27" spans="2:4">
      <c r="B27" s="139"/>
      <c r="C27" s="140"/>
      <c r="D27" s="125"/>
    </row>
    <row r="29" spans="2:4">
      <c r="B29" s="115" t="s">
        <v>114</v>
      </c>
      <c r="C29" s="126"/>
      <c r="D29" s="116"/>
    </row>
    <row r="30" spans="2:4">
      <c r="B30" s="206" t="s">
        <v>122</v>
      </c>
      <c r="C30" s="207"/>
      <c r="D30" s="208"/>
    </row>
    <row r="31" spans="2:4">
      <c r="B31" s="206"/>
      <c r="C31" s="207"/>
      <c r="D31" s="208"/>
    </row>
    <row r="32" spans="2:4">
      <c r="B32" s="206"/>
      <c r="C32" s="207"/>
      <c r="D32" s="208"/>
    </row>
    <row r="33" spans="2:4">
      <c r="B33" s="206"/>
      <c r="C33" s="207"/>
      <c r="D33" s="208"/>
    </row>
    <row r="34" spans="2:4">
      <c r="B34" s="206"/>
      <c r="C34" s="207"/>
      <c r="D34" s="208"/>
    </row>
    <row r="35" spans="2:4">
      <c r="B35" s="206"/>
      <c r="C35" s="207"/>
      <c r="D35" s="208"/>
    </row>
    <row r="36" spans="2:4">
      <c r="B36" s="206"/>
      <c r="C36" s="207"/>
      <c r="D36" s="208"/>
    </row>
    <row r="37" spans="2:4">
      <c r="B37" s="206"/>
      <c r="C37" s="207"/>
      <c r="D37" s="208"/>
    </row>
    <row r="38" spans="2:4">
      <c r="B38" s="206"/>
      <c r="C38" s="207"/>
      <c r="D38" s="208"/>
    </row>
    <row r="39" spans="2:4">
      <c r="B39" s="209"/>
      <c r="C39" s="210"/>
      <c r="D39" s="211"/>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B8" sqref="B8"/>
    </sheetView>
  </sheetViews>
  <sheetFormatPr baseColWidth="10" defaultRowHeight="15" x14ac:dyDescent="0"/>
  <cols>
    <col min="1" max="1" width="10.83203125" style="114"/>
    <col min="2" max="2" width="18.6640625" style="114" customWidth="1"/>
    <col min="3" max="3" width="59.5" style="144" customWidth="1"/>
    <col min="4" max="16384" width="10.83203125" style="114"/>
  </cols>
  <sheetData>
    <row r="2" spans="2:4" ht="20">
      <c r="B2" s="113" t="s">
        <v>118</v>
      </c>
    </row>
    <row r="4" spans="2:4">
      <c r="B4" s="145" t="s">
        <v>95</v>
      </c>
      <c r="C4" s="146" t="s">
        <v>119</v>
      </c>
      <c r="D4" s="147" t="s">
        <v>120</v>
      </c>
    </row>
    <row r="5" spans="2:4">
      <c r="B5" s="148"/>
      <c r="C5" s="149"/>
      <c r="D5" s="150"/>
    </row>
    <row r="6" spans="2:4">
      <c r="B6" s="151">
        <v>42369</v>
      </c>
      <c r="C6" s="166" t="s">
        <v>121</v>
      </c>
      <c r="D6" s="153">
        <v>1</v>
      </c>
    </row>
    <row r="7" spans="2:4">
      <c r="B7" s="154">
        <v>42387</v>
      </c>
      <c r="C7" s="166" t="s">
        <v>186</v>
      </c>
      <c r="D7" s="153">
        <v>2</v>
      </c>
    </row>
    <row r="8" spans="2:4">
      <c r="B8" s="154"/>
      <c r="C8" s="152"/>
      <c r="D8" s="153"/>
    </row>
    <row r="9" spans="2:4">
      <c r="B9" s="154"/>
      <c r="C9" s="152"/>
      <c r="D9" s="153"/>
    </row>
    <row r="10" spans="2:4">
      <c r="B10" s="155"/>
      <c r="C10" s="156"/>
      <c r="D10" s="153"/>
    </row>
    <row r="11" spans="2:4">
      <c r="B11" s="155"/>
      <c r="C11" s="156"/>
      <c r="D11" s="153"/>
    </row>
    <row r="12" spans="2:4">
      <c r="B12" s="155"/>
      <c r="C12" s="156"/>
      <c r="D12" s="153"/>
    </row>
    <row r="13" spans="2:4">
      <c r="B13" s="155"/>
      <c r="C13" s="156"/>
      <c r="D13" s="153"/>
    </row>
    <row r="14" spans="2:4">
      <c r="B14" s="155"/>
      <c r="C14" s="156"/>
      <c r="D14" s="153"/>
    </row>
    <row r="15" spans="2:4">
      <c r="B15" s="155"/>
      <c r="C15" s="156"/>
      <c r="D15" s="153"/>
    </row>
    <row r="16" spans="2:4">
      <c r="B16" s="155"/>
      <c r="C16" s="156"/>
      <c r="D16" s="153"/>
    </row>
    <row r="17" spans="2:4">
      <c r="B17" s="155"/>
      <c r="C17" s="156"/>
      <c r="D17" s="153"/>
    </row>
    <row r="18" spans="2:4">
      <c r="B18" s="155"/>
      <c r="C18" s="156"/>
      <c r="D18" s="153"/>
    </row>
    <row r="19" spans="2:4">
      <c r="B19" s="155"/>
      <c r="C19" s="156"/>
      <c r="D19" s="153"/>
    </row>
    <row r="20" spans="2:4">
      <c r="B20" s="155"/>
      <c r="C20" s="156"/>
      <c r="D20" s="153"/>
    </row>
    <row r="21" spans="2:4">
      <c r="B21" s="155"/>
      <c r="C21" s="156"/>
      <c r="D21" s="153"/>
    </row>
    <row r="22" spans="2:4">
      <c r="B22" s="155"/>
      <c r="C22" s="156"/>
      <c r="D22" s="153"/>
    </row>
    <row r="23" spans="2:4">
      <c r="B23" s="155"/>
      <c r="C23" s="156"/>
      <c r="D23" s="153"/>
    </row>
    <row r="24" spans="2:4">
      <c r="B24" s="155"/>
      <c r="C24" s="156"/>
      <c r="D24" s="153"/>
    </row>
    <row r="25" spans="2:4">
      <c r="B25" s="155"/>
      <c r="C25" s="156"/>
      <c r="D25" s="153"/>
    </row>
    <row r="26" spans="2:4">
      <c r="B26" s="155"/>
      <c r="C26" s="156"/>
      <c r="D26" s="153"/>
    </row>
    <row r="27" spans="2:4">
      <c r="B27" s="155"/>
      <c r="C27" s="156"/>
      <c r="D27" s="153"/>
    </row>
    <row r="28" spans="2:4">
      <c r="B28" s="155"/>
      <c r="C28" s="156"/>
      <c r="D28" s="153"/>
    </row>
    <row r="29" spans="2:4">
      <c r="B29" s="155"/>
      <c r="C29" s="156"/>
      <c r="D29" s="153"/>
    </row>
    <row r="30" spans="2:4">
      <c r="B30" s="155"/>
      <c r="C30" s="156"/>
      <c r="D30" s="153"/>
    </row>
    <row r="31" spans="2:4">
      <c r="B31" s="155"/>
      <c r="C31" s="156"/>
      <c r="D31" s="153"/>
    </row>
    <row r="32" spans="2:4">
      <c r="B32" s="157"/>
      <c r="C32" s="156"/>
      <c r="D32" s="153"/>
    </row>
    <row r="33" spans="2:4">
      <c r="B33" s="155"/>
      <c r="C33" s="156"/>
      <c r="D33" s="153"/>
    </row>
    <row r="34" spans="2:4">
      <c r="B34" s="155"/>
      <c r="C34" s="156"/>
      <c r="D34" s="153"/>
    </row>
    <row r="35" spans="2:4">
      <c r="B35" s="155"/>
      <c r="C35" s="156"/>
      <c r="D35" s="153"/>
    </row>
    <row r="36" spans="2:4">
      <c r="B36" s="155"/>
      <c r="C36" s="156"/>
      <c r="D36" s="153"/>
    </row>
    <row r="37" spans="2:4">
      <c r="B37" s="155"/>
      <c r="C37" s="156"/>
      <c r="D37" s="153"/>
    </row>
    <row r="38" spans="2:4">
      <c r="B38" s="155"/>
      <c r="C38" s="156"/>
      <c r="D38" s="153"/>
    </row>
    <row r="39" spans="2:4">
      <c r="B39" s="155"/>
      <c r="C39" s="156"/>
      <c r="D39" s="153"/>
    </row>
    <row r="40" spans="2:4">
      <c r="B40" s="158"/>
      <c r="C40" s="156"/>
      <c r="D40" s="153"/>
    </row>
    <row r="41" spans="2:4">
      <c r="B41" s="155"/>
      <c r="C41" s="156"/>
      <c r="D41" s="153"/>
    </row>
    <row r="42" spans="2:4">
      <c r="B42" s="158"/>
      <c r="C42" s="156"/>
      <c r="D42" s="153"/>
    </row>
    <row r="43" spans="2:4">
      <c r="B43" s="158"/>
      <c r="C43" s="159"/>
      <c r="D43" s="160"/>
    </row>
    <row r="44" spans="2:4">
      <c r="B44" s="158"/>
      <c r="C44" s="156"/>
      <c r="D44" s="153"/>
    </row>
    <row r="45" spans="2:4">
      <c r="B45" s="155"/>
      <c r="C45" s="156"/>
      <c r="D45" s="153"/>
    </row>
    <row r="46" spans="2:4">
      <c r="B46" s="155"/>
      <c r="C46" s="156"/>
      <c r="D46" s="153"/>
    </row>
    <row r="47" spans="2:4">
      <c r="B47" s="155"/>
      <c r="C47" s="156"/>
      <c r="D47" s="153"/>
    </row>
    <row r="48" spans="2:4">
      <c r="B48" s="161"/>
      <c r="C48" s="162"/>
      <c r="D48" s="163"/>
    </row>
    <row r="49" spans="2:4">
      <c r="B49" s="164"/>
      <c r="D49" s="165"/>
    </row>
    <row r="50" spans="2:4">
      <c r="B50" s="164"/>
      <c r="D50" s="165"/>
    </row>
    <row r="51" spans="2:4">
      <c r="B51" s="164"/>
      <c r="D51" s="165"/>
    </row>
    <row r="52" spans="2:4">
      <c r="B52" s="164"/>
      <c r="D52" s="165"/>
    </row>
    <row r="53" spans="2:4">
      <c r="B53" s="164"/>
      <c r="D53" s="165"/>
    </row>
    <row r="54" spans="2:4">
      <c r="B54" s="164"/>
      <c r="D54" s="165"/>
    </row>
    <row r="55" spans="2:4">
      <c r="B55" s="164"/>
      <c r="D55" s="165"/>
    </row>
    <row r="56" spans="2:4">
      <c r="B56" s="164"/>
      <c r="D56" s="164"/>
    </row>
    <row r="57" spans="2:4">
      <c r="B57" s="164"/>
      <c r="D57" s="164"/>
    </row>
    <row r="58" spans="2:4">
      <c r="B58" s="164"/>
      <c r="D58" s="164"/>
    </row>
    <row r="59" spans="2:4">
      <c r="B59" s="164"/>
      <c r="D59" s="164"/>
    </row>
    <row r="60" spans="2:4">
      <c r="B60" s="164"/>
      <c r="D60" s="164"/>
    </row>
    <row r="61" spans="2:4">
      <c r="B61" s="164"/>
      <c r="D61" s="164"/>
    </row>
    <row r="62" spans="2:4">
      <c r="B62" s="164"/>
      <c r="D62" s="164"/>
    </row>
    <row r="63" spans="2:4">
      <c r="B63" s="164"/>
      <c r="D63" s="164"/>
    </row>
    <row r="64" spans="2:4">
      <c r="B64" s="164"/>
      <c r="D64" s="164"/>
    </row>
    <row r="65" spans="2:4">
      <c r="B65" s="164"/>
      <c r="D65" s="164"/>
    </row>
    <row r="66" spans="2:4">
      <c r="B66" s="164"/>
      <c r="D66" s="164"/>
    </row>
    <row r="67" spans="2:4">
      <c r="B67" s="164"/>
      <c r="D67" s="164"/>
    </row>
    <row r="68" spans="2:4">
      <c r="B68" s="164"/>
      <c r="D68" s="164"/>
    </row>
    <row r="69" spans="2:4">
      <c r="B69" s="164"/>
      <c r="D69" s="164"/>
    </row>
    <row r="70" spans="2:4">
      <c r="B70" s="164"/>
      <c r="D70" s="164"/>
    </row>
    <row r="71" spans="2:4">
      <c r="B71" s="164"/>
      <c r="D71" s="164"/>
    </row>
    <row r="72" spans="2:4">
      <c r="B72" s="164"/>
      <c r="D72" s="164"/>
    </row>
    <row r="73" spans="2:4">
      <c r="B73" s="164"/>
      <c r="D73" s="164"/>
    </row>
    <row r="74" spans="2:4">
      <c r="B74" s="164"/>
      <c r="D74" s="164"/>
    </row>
    <row r="75" spans="2:4">
      <c r="B75" s="164"/>
      <c r="D75" s="164"/>
    </row>
    <row r="76" spans="2:4">
      <c r="B76" s="164"/>
      <c r="D76" s="164"/>
    </row>
    <row r="77" spans="2:4">
      <c r="B77" s="164"/>
      <c r="D77" s="164"/>
    </row>
    <row r="78" spans="2:4">
      <c r="B78" s="164"/>
      <c r="D78" s="164"/>
    </row>
    <row r="79" spans="2:4">
      <c r="B79" s="164"/>
      <c r="D79" s="164"/>
    </row>
    <row r="80" spans="2:4">
      <c r="B80" s="164"/>
      <c r="D80" s="164"/>
    </row>
    <row r="81" spans="2:4">
      <c r="B81" s="164"/>
      <c r="D81" s="164"/>
    </row>
    <row r="82" spans="2:4">
      <c r="B82" s="164"/>
      <c r="D82" s="164"/>
    </row>
    <row r="83" spans="2:4">
      <c r="B83" s="164"/>
      <c r="D83" s="164"/>
    </row>
    <row r="84" spans="2:4">
      <c r="B84" s="164"/>
      <c r="D84" s="164"/>
    </row>
    <row r="85" spans="2:4">
      <c r="B85" s="164"/>
      <c r="D85" s="164"/>
    </row>
    <row r="86" spans="2:4">
      <c r="B86" s="164"/>
      <c r="D86" s="164"/>
    </row>
    <row r="87" spans="2:4">
      <c r="D87" s="164"/>
    </row>
    <row r="88" spans="2:4">
      <c r="D88" s="164"/>
    </row>
    <row r="89" spans="2:4">
      <c r="D89" s="164"/>
    </row>
    <row r="90" spans="2:4">
      <c r="D90" s="164"/>
    </row>
    <row r="91" spans="2:4">
      <c r="D91" s="164"/>
    </row>
    <row r="92" spans="2:4">
      <c r="D92" s="164"/>
    </row>
    <row r="93" spans="2:4">
      <c r="D93" s="164"/>
    </row>
    <row r="94" spans="2:4">
      <c r="D94" s="164"/>
    </row>
    <row r="95" spans="2:4">
      <c r="D95" s="164"/>
    </row>
    <row r="96" spans="2:4">
      <c r="D96" s="164"/>
    </row>
    <row r="97" spans="4:4">
      <c r="D97" s="164"/>
    </row>
    <row r="98" spans="4:4">
      <c r="D98" s="164"/>
    </row>
    <row r="99" spans="4:4">
      <c r="D99" s="164"/>
    </row>
    <row r="100" spans="4:4">
      <c r="D100" s="164"/>
    </row>
    <row r="101" spans="4:4">
      <c r="D101" s="164"/>
    </row>
    <row r="102" spans="4:4">
      <c r="D102" s="164"/>
    </row>
    <row r="103" spans="4:4">
      <c r="D103" s="164"/>
    </row>
    <row r="104" spans="4:4">
      <c r="D104" s="164"/>
    </row>
    <row r="105" spans="4:4">
      <c r="D105" s="164"/>
    </row>
    <row r="106" spans="4:4">
      <c r="D106" s="164"/>
    </row>
    <row r="107" spans="4:4">
      <c r="D107" s="164"/>
    </row>
    <row r="108" spans="4:4">
      <c r="D108" s="164"/>
    </row>
    <row r="109" spans="4:4">
      <c r="D109" s="164"/>
    </row>
    <row r="110" spans="4:4">
      <c r="D110" s="164"/>
    </row>
    <row r="111" spans="4:4">
      <c r="D111" s="164"/>
    </row>
    <row r="112" spans="4:4">
      <c r="D112" s="164"/>
    </row>
    <row r="113" spans="4:4">
      <c r="D113"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abSelected="1" workbookViewId="0"/>
  </sheetViews>
  <sheetFormatPr baseColWidth="10" defaultRowHeight="15" x14ac:dyDescent="0"/>
  <cols>
    <col min="1" max="1" width="2.6640625" style="3" customWidth="1"/>
    <col min="2" max="2" width="3.1640625" style="168" customWidth="1"/>
    <col min="3" max="3" width="2.33203125" style="3" customWidth="1"/>
    <col min="4" max="16384" width="10.83203125" style="3"/>
  </cols>
  <sheetData>
    <row r="2" spans="2:4">
      <c r="B2" s="168" t="s">
        <v>198</v>
      </c>
    </row>
    <row r="4" spans="2:4">
      <c r="B4" s="91" t="s">
        <v>126</v>
      </c>
    </row>
    <row r="6" spans="2:4">
      <c r="B6" s="168">
        <v>1</v>
      </c>
      <c r="C6" s="3" t="s">
        <v>155</v>
      </c>
    </row>
    <row r="7" spans="2:4">
      <c r="C7" s="3" t="s">
        <v>123</v>
      </c>
      <c r="D7" s="3" t="s">
        <v>124</v>
      </c>
    </row>
    <row r="8" spans="2:4">
      <c r="C8" s="3" t="s">
        <v>123</v>
      </c>
      <c r="D8" s="3" t="s">
        <v>125</v>
      </c>
    </row>
    <row r="9" spans="2:4">
      <c r="C9" s="3" t="s">
        <v>123</v>
      </c>
      <c r="D9" s="3" t="s">
        <v>127</v>
      </c>
    </row>
    <row r="10" spans="2:4">
      <c r="B10" s="168">
        <v>2</v>
      </c>
      <c r="C10" s="3" t="s">
        <v>156</v>
      </c>
    </row>
    <row r="11" spans="2:4">
      <c r="B11" s="168">
        <v>3</v>
      </c>
      <c r="C11" s="3" t="s">
        <v>197</v>
      </c>
    </row>
    <row r="12" spans="2:4">
      <c r="B12" s="168">
        <v>4</v>
      </c>
      <c r="C12" s="3" t="s">
        <v>199</v>
      </c>
    </row>
    <row r="14" spans="2:4">
      <c r="B14" s="91" t="s">
        <v>162</v>
      </c>
    </row>
    <row r="16" spans="2:4">
      <c r="B16" s="168">
        <v>1</v>
      </c>
      <c r="C16" s="3" t="s">
        <v>163</v>
      </c>
    </row>
    <row r="17" spans="2:3">
      <c r="B17" s="168">
        <v>2</v>
      </c>
      <c r="C17" s="3" t="s">
        <v>173</v>
      </c>
    </row>
    <row r="18" spans="2:3">
      <c r="B18" s="168">
        <v>3</v>
      </c>
      <c r="C18" s="3" t="s">
        <v>164</v>
      </c>
    </row>
    <row r="19" spans="2:3">
      <c r="B19" s="168">
        <v>4</v>
      </c>
      <c r="C19" s="3" t="s">
        <v>165</v>
      </c>
    </row>
    <row r="20" spans="2:3">
      <c r="B20" s="168">
        <v>5</v>
      </c>
      <c r="C20" s="3" t="s">
        <v>167</v>
      </c>
    </row>
    <row r="21" spans="2:3">
      <c r="B21" s="168">
        <v>6</v>
      </c>
      <c r="C21" s="3" t="s">
        <v>166</v>
      </c>
    </row>
    <row r="23" spans="2:3">
      <c r="B23" s="91" t="s">
        <v>168</v>
      </c>
    </row>
    <row r="25" spans="2:3">
      <c r="C25" s="3" t="s">
        <v>169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P80"/>
  <sheetViews>
    <sheetView workbookViewId="0">
      <pane xSplit="2" ySplit="9" topLeftCell="C10" activePane="bottomRight" state="frozen"/>
      <selection pane="topRight" activeCell="C1" sqref="C1"/>
      <selection pane="bottomLeft" activeCell="A10" sqref="A10"/>
      <selection pane="bottomRight" activeCell="F60" sqref="F60"/>
    </sheetView>
  </sheetViews>
  <sheetFormatPr baseColWidth="10" defaultRowHeight="15" x14ac:dyDescent="0"/>
  <cols>
    <col min="1" max="1" width="10.83203125" style="3"/>
    <col min="2" max="2" width="31" style="3" customWidth="1"/>
    <col min="3" max="3" width="41.5" style="3" bestFit="1" customWidth="1"/>
    <col min="4" max="4" width="16.83203125" style="3" customWidth="1"/>
    <col min="5" max="11" width="21.6640625" style="3" customWidth="1"/>
    <col min="12" max="12" width="4.5" style="3" customWidth="1"/>
    <col min="13" max="13" width="19.83203125" style="3" customWidth="1"/>
    <col min="14" max="14" width="22.6640625" style="3" customWidth="1"/>
    <col min="15" max="16384" width="10.83203125" style="3"/>
  </cols>
  <sheetData>
    <row r="2" spans="2:15" ht="20">
      <c r="B2" s="1" t="s">
        <v>0</v>
      </c>
      <c r="C2" s="2"/>
      <c r="D2" s="2"/>
      <c r="E2" s="2"/>
      <c r="F2" s="2"/>
      <c r="G2" s="2"/>
      <c r="H2" s="2"/>
      <c r="I2" s="2"/>
      <c r="J2" s="2"/>
      <c r="K2" s="2"/>
      <c r="L2" s="2"/>
    </row>
    <row r="3" spans="2:15">
      <c r="E3" s="2"/>
      <c r="F3" s="2"/>
      <c r="G3" s="2"/>
      <c r="H3" s="2"/>
      <c r="I3" s="2"/>
      <c r="J3" s="2"/>
      <c r="K3" s="2"/>
      <c r="L3" s="2"/>
    </row>
    <row r="4" spans="2:15">
      <c r="B4" s="4" t="s">
        <v>1</v>
      </c>
      <c r="C4" s="5"/>
      <c r="D4" s="5"/>
      <c r="E4" s="5"/>
      <c r="F4" s="5"/>
      <c r="G4" s="6"/>
      <c r="H4" s="2"/>
      <c r="I4" s="2"/>
      <c r="J4" s="2"/>
      <c r="K4" s="2"/>
      <c r="L4" s="2"/>
    </row>
    <row r="5" spans="2:15" ht="30" customHeight="1">
      <c r="B5" s="212" t="s">
        <v>185</v>
      </c>
      <c r="C5" s="213"/>
      <c r="D5" s="213"/>
      <c r="E5" s="213"/>
      <c r="F5" s="213"/>
      <c r="G5" s="214"/>
      <c r="H5" s="2"/>
      <c r="I5" s="2"/>
      <c r="J5" s="2"/>
      <c r="K5" s="2"/>
      <c r="L5" s="2"/>
    </row>
    <row r="6" spans="2:15" ht="16" thickBot="1">
      <c r="B6" s="2"/>
      <c r="C6" s="2"/>
      <c r="D6" s="2"/>
      <c r="E6" s="2"/>
      <c r="F6" s="2"/>
      <c r="G6" s="2"/>
      <c r="H6" s="2"/>
      <c r="I6" s="2"/>
      <c r="J6" s="2"/>
      <c r="K6" s="2"/>
      <c r="L6" s="2"/>
    </row>
    <row r="7" spans="2:15">
      <c r="B7" s="7" t="s">
        <v>0</v>
      </c>
      <c r="C7" s="8"/>
      <c r="D7" s="8"/>
      <c r="E7" s="8"/>
      <c r="F7" s="8"/>
      <c r="G7" s="8"/>
      <c r="H7" s="8"/>
      <c r="I7" s="8"/>
      <c r="J7" s="8"/>
      <c r="K7" s="9"/>
      <c r="L7" s="2"/>
      <c r="M7" s="103"/>
      <c r="N7" s="8"/>
      <c r="O7" s="9"/>
    </row>
    <row r="8" spans="2:15">
      <c r="B8" s="10"/>
      <c r="C8" s="2"/>
      <c r="D8" s="2"/>
      <c r="E8" s="2"/>
      <c r="F8" s="2"/>
      <c r="G8" s="2"/>
      <c r="H8" s="2"/>
      <c r="I8" s="2"/>
      <c r="J8" s="2"/>
      <c r="K8" s="11"/>
      <c r="L8" s="2"/>
      <c r="M8" s="10"/>
      <c r="N8" s="2"/>
      <c r="O8" s="11"/>
    </row>
    <row r="9" spans="2:15" ht="75">
      <c r="B9" s="12" t="s">
        <v>2</v>
      </c>
      <c r="C9" s="13" t="s">
        <v>3</v>
      </c>
      <c r="D9" s="14" t="s">
        <v>4</v>
      </c>
      <c r="E9" s="15" t="s">
        <v>5</v>
      </c>
      <c r="F9" s="15" t="s">
        <v>6</v>
      </c>
      <c r="G9" s="15" t="s">
        <v>7</v>
      </c>
      <c r="H9" s="15" t="s">
        <v>8</v>
      </c>
      <c r="I9" s="15" t="s">
        <v>9</v>
      </c>
      <c r="J9" s="15" t="s">
        <v>10</v>
      </c>
      <c r="K9" s="16" t="s">
        <v>11</v>
      </c>
      <c r="L9" s="25"/>
      <c r="M9" s="104" t="s">
        <v>86</v>
      </c>
      <c r="N9" s="105" t="s">
        <v>87</v>
      </c>
      <c r="O9" s="106" t="s">
        <v>88</v>
      </c>
    </row>
    <row r="10" spans="2:15">
      <c r="B10" s="17" t="s">
        <v>12</v>
      </c>
      <c r="C10" s="18"/>
      <c r="D10" s="18"/>
      <c r="E10" s="19"/>
      <c r="F10" s="19"/>
      <c r="G10" s="19"/>
      <c r="H10" s="19"/>
      <c r="I10" s="19"/>
      <c r="J10" s="19"/>
      <c r="K10" s="20"/>
      <c r="L10" s="92"/>
      <c r="M10" s="10"/>
      <c r="N10" s="2"/>
      <c r="O10" s="11"/>
    </row>
    <row r="11" spans="2:15" s="23" customFormat="1">
      <c r="B11" s="21"/>
      <c r="C11" s="22" t="s">
        <v>13</v>
      </c>
      <c r="D11" s="22"/>
      <c r="E11" s="57">
        <v>331545.53000000003</v>
      </c>
      <c r="F11" s="58">
        <v>90491.49</v>
      </c>
      <c r="G11" s="58">
        <v>934.83</v>
      </c>
      <c r="H11" s="58">
        <v>205.11</v>
      </c>
      <c r="I11" s="58">
        <v>3700.96</v>
      </c>
      <c r="J11" s="58">
        <v>12820.53</v>
      </c>
      <c r="K11" s="59">
        <v>11141.87</v>
      </c>
      <c r="L11" s="94"/>
      <c r="M11" s="21"/>
      <c r="N11" s="107"/>
      <c r="O11" s="108"/>
    </row>
    <row r="12" spans="2:15">
      <c r="B12" s="24"/>
      <c r="C12" s="25"/>
      <c r="D12" s="25"/>
      <c r="E12" s="60"/>
      <c r="F12" s="60"/>
      <c r="G12" s="60"/>
      <c r="H12" s="60"/>
      <c r="I12" s="60"/>
      <c r="J12" s="60"/>
      <c r="K12" s="61"/>
      <c r="L12" s="60"/>
      <c r="M12" s="10"/>
      <c r="N12" s="2"/>
      <c r="O12" s="11"/>
    </row>
    <row r="13" spans="2:15">
      <c r="B13" s="12"/>
      <c r="C13" s="26"/>
      <c r="D13" s="26"/>
      <c r="E13" s="36"/>
      <c r="F13" s="36"/>
      <c r="G13" s="36"/>
      <c r="H13" s="36"/>
      <c r="I13" s="36"/>
      <c r="J13" s="36"/>
      <c r="K13" s="37"/>
      <c r="L13" s="93"/>
      <c r="M13" s="10"/>
      <c r="N13" s="2"/>
      <c r="O13" s="11"/>
    </row>
    <row r="14" spans="2:15">
      <c r="B14" s="17" t="s">
        <v>34</v>
      </c>
      <c r="C14" s="27"/>
      <c r="D14" s="26"/>
      <c r="E14" s="36"/>
      <c r="F14" s="36"/>
      <c r="G14" s="36"/>
      <c r="H14" s="36"/>
      <c r="I14" s="36"/>
      <c r="J14" s="36"/>
      <c r="K14" s="37"/>
      <c r="L14" s="93"/>
      <c r="M14" s="10"/>
      <c r="N14" s="2"/>
      <c r="O14" s="11"/>
    </row>
    <row r="15" spans="2:15">
      <c r="B15" s="24" t="s">
        <v>161</v>
      </c>
      <c r="C15" s="28" t="s">
        <v>35</v>
      </c>
      <c r="D15" s="80">
        <f>E15/SUM($E$15:$K$26)</f>
        <v>0.84307901526029527</v>
      </c>
      <c r="E15" s="90">
        <f>259562.758912-E23</f>
        <v>246584.62096639999</v>
      </c>
      <c r="F15" s="82"/>
      <c r="G15" s="82"/>
      <c r="H15" s="82"/>
      <c r="I15" s="82"/>
      <c r="J15" s="82"/>
      <c r="K15" s="89"/>
      <c r="L15" s="95"/>
      <c r="M15" s="10">
        <v>1.0669999999999999</v>
      </c>
      <c r="N15" s="2">
        <f>M15*SUM(E15:K15)</f>
        <v>263105.7905711488</v>
      </c>
      <c r="O15" s="111">
        <f>N15/SUM($N$15:$N$26)</f>
        <v>0.83817702405126293</v>
      </c>
    </row>
    <row r="16" spans="2:15">
      <c r="B16" s="201">
        <f>SUM(E15:K26)</f>
        <v>292481.03262334026</v>
      </c>
      <c r="C16" s="28" t="s">
        <v>36</v>
      </c>
      <c r="D16" s="80">
        <f>G16/SUM($E$15:$K$26)</f>
        <v>2.5569658083199743E-3</v>
      </c>
      <c r="E16" s="78"/>
      <c r="F16" s="79"/>
      <c r="G16" s="79">
        <f>0.8*G11</f>
        <v>747.86400000000003</v>
      </c>
      <c r="H16" s="79"/>
      <c r="I16" s="79"/>
      <c r="J16" s="79"/>
      <c r="K16" s="85"/>
      <c r="L16" s="95"/>
      <c r="M16" s="10">
        <v>1</v>
      </c>
      <c r="N16" s="2">
        <f t="shared" ref="N16:N55" si="0">M16*SUM(E16:K16)</f>
        <v>747.86400000000003</v>
      </c>
      <c r="O16" s="111">
        <f t="shared" ref="O16:O26" si="1">N16/SUM($N$15:$N$26)</f>
        <v>2.3824729229802474E-3</v>
      </c>
    </row>
    <row r="17" spans="2:15">
      <c r="B17" s="17"/>
      <c r="C17" s="28" t="s">
        <v>37</v>
      </c>
      <c r="D17" s="80">
        <f>F17/SUM($E$15:$K$26)</f>
        <v>1.8086642927073191E-3</v>
      </c>
      <c r="E17" s="78"/>
      <c r="F17" s="79">
        <f>'Heat pumps'!I28/1000</f>
        <v>529</v>
      </c>
      <c r="G17" s="79"/>
      <c r="H17" s="79"/>
      <c r="I17" s="79"/>
      <c r="J17" s="79"/>
      <c r="K17" s="85"/>
      <c r="L17" s="95"/>
      <c r="M17" s="10">
        <v>4.8000000000000078</v>
      </c>
      <c r="N17" s="2">
        <f t="shared" si="0"/>
        <v>2539.2000000000039</v>
      </c>
      <c r="O17" s="111">
        <f t="shared" si="1"/>
        <v>8.0891381936173609E-3</v>
      </c>
    </row>
    <row r="18" spans="2:15">
      <c r="B18" s="17"/>
      <c r="C18" s="28" t="s">
        <v>38</v>
      </c>
      <c r="D18" s="80">
        <f>E18/SUM($E$15:$K$26)</f>
        <v>0</v>
      </c>
      <c r="E18" s="78">
        <v>0</v>
      </c>
      <c r="F18" s="79"/>
      <c r="G18" s="79"/>
      <c r="H18" s="79"/>
      <c r="I18" s="79"/>
      <c r="J18" s="79"/>
      <c r="K18" s="85"/>
      <c r="L18" s="95"/>
      <c r="M18" s="10">
        <v>0.88</v>
      </c>
      <c r="N18" s="2">
        <f t="shared" si="0"/>
        <v>0</v>
      </c>
      <c r="O18" s="111">
        <f t="shared" si="1"/>
        <v>0</v>
      </c>
    </row>
    <row r="19" spans="2:15">
      <c r="B19" s="17"/>
      <c r="C19" s="28" t="s">
        <v>39</v>
      </c>
      <c r="D19" s="80">
        <f>K19/SUM($E$15:$K$26)</f>
        <v>3.0475466802248618E-2</v>
      </c>
      <c r="E19" s="78"/>
      <c r="F19" s="79"/>
      <c r="G19" s="79"/>
      <c r="H19" s="79"/>
      <c r="I19" s="79"/>
      <c r="J19" s="79"/>
      <c r="K19" s="85">
        <f>0.8*K11</f>
        <v>8913.496000000001</v>
      </c>
      <c r="L19" s="95"/>
      <c r="M19" s="10">
        <v>1</v>
      </c>
      <c r="N19" s="2">
        <f t="shared" si="0"/>
        <v>8913.496000000001</v>
      </c>
      <c r="O19" s="111">
        <f t="shared" si="1"/>
        <v>2.8395754935513339E-2</v>
      </c>
    </row>
    <row r="20" spans="2:15">
      <c r="B20" s="17"/>
      <c r="C20" s="28" t="s">
        <v>40</v>
      </c>
      <c r="D20" s="80">
        <f>F20/SUM($E$15:$K$26)</f>
        <v>8.1954032317947886E-3</v>
      </c>
      <c r="E20" s="78"/>
      <c r="F20" s="79">
        <f>'Heat pumps'!J28/1000</f>
        <v>2397</v>
      </c>
      <c r="G20" s="79"/>
      <c r="H20" s="79"/>
      <c r="I20" s="79"/>
      <c r="J20" s="79"/>
      <c r="K20" s="85"/>
      <c r="L20" s="95"/>
      <c r="M20" s="10">
        <v>4.5000000000000044</v>
      </c>
      <c r="N20" s="2">
        <f t="shared" si="0"/>
        <v>10786.500000000011</v>
      </c>
      <c r="O20" s="111">
        <f t="shared" si="1"/>
        <v>3.4362590235292069E-2</v>
      </c>
    </row>
    <row r="21" spans="2:15">
      <c r="B21" s="17"/>
      <c r="C21" s="28" t="s">
        <v>41</v>
      </c>
      <c r="D21" s="80">
        <f>J21/SUM($E$15:$K$26)</f>
        <v>4.3833714224164398E-2</v>
      </c>
      <c r="E21" s="78"/>
      <c r="F21" s="79"/>
      <c r="G21" s="79"/>
      <c r="H21" s="79"/>
      <c r="I21" s="79"/>
      <c r="J21" s="79">
        <f>J11</f>
        <v>12820.53</v>
      </c>
      <c r="K21" s="85"/>
      <c r="L21" s="95"/>
      <c r="M21" s="10">
        <v>0.82</v>
      </c>
      <c r="N21" s="2">
        <f t="shared" si="0"/>
        <v>10512.8346</v>
      </c>
      <c r="O21" s="111">
        <f t="shared" si="1"/>
        <v>3.3490773427080164E-2</v>
      </c>
    </row>
    <row r="22" spans="2:15">
      <c r="B22" s="17"/>
      <c r="C22" s="28" t="s">
        <v>42</v>
      </c>
      <c r="D22" s="80">
        <f>F22/SUM($E$15:$K$26)</f>
        <v>1.2323239148235203E-2</v>
      </c>
      <c r="E22" s="78"/>
      <c r="F22" s="79">
        <f>Electricity!E38-F20-F17-F26</f>
        <v>3604.3137113402045</v>
      </c>
      <c r="G22" s="79"/>
      <c r="H22" s="79"/>
      <c r="I22" s="79"/>
      <c r="J22" s="79"/>
      <c r="K22" s="85"/>
      <c r="L22" s="95"/>
      <c r="M22" s="10">
        <v>1</v>
      </c>
      <c r="N22" s="2">
        <f t="shared" si="0"/>
        <v>3604.3137113402045</v>
      </c>
      <c r="O22" s="111">
        <f t="shared" si="1"/>
        <v>1.1482274615698149E-2</v>
      </c>
    </row>
    <row r="23" spans="2:15">
      <c r="B23" s="17"/>
      <c r="C23" s="28" t="s">
        <v>43</v>
      </c>
      <c r="D23" s="80">
        <f>E23/SUM($E$15:$K$26)</f>
        <v>4.437257975054186E-2</v>
      </c>
      <c r="E23" s="78">
        <v>12978.137945600001</v>
      </c>
      <c r="F23" s="79"/>
      <c r="G23" s="79"/>
      <c r="H23" s="79"/>
      <c r="I23" s="79"/>
      <c r="J23" s="79"/>
      <c r="K23" s="85"/>
      <c r="L23" s="95"/>
      <c r="M23" s="10">
        <v>0.8</v>
      </c>
      <c r="N23" s="2">
        <f t="shared" si="0"/>
        <v>10382.510356480001</v>
      </c>
      <c r="O23" s="111">
        <f t="shared" si="1"/>
        <v>3.3075599035219776E-2</v>
      </c>
    </row>
    <row r="24" spans="2:15">
      <c r="B24" s="17"/>
      <c r="C24" s="28" t="s">
        <v>44</v>
      </c>
      <c r="D24" s="80">
        <f>I24/SUM($E$15:$K$26)</f>
        <v>1.2653675237690131E-2</v>
      </c>
      <c r="E24" s="78"/>
      <c r="F24" s="79"/>
      <c r="G24" s="79"/>
      <c r="H24" s="79"/>
      <c r="I24" s="79">
        <f>I11</f>
        <v>3700.96</v>
      </c>
      <c r="J24" s="79"/>
      <c r="K24" s="85"/>
      <c r="L24" s="95"/>
      <c r="M24" s="10">
        <v>0.85</v>
      </c>
      <c r="N24" s="2">
        <f t="shared" si="0"/>
        <v>3145.8159999999998</v>
      </c>
      <c r="O24" s="111">
        <f t="shared" si="1"/>
        <v>1.0021636876060393E-2</v>
      </c>
    </row>
    <row r="25" spans="2:15">
      <c r="B25" s="17"/>
      <c r="C25" s="28" t="s">
        <v>45</v>
      </c>
      <c r="D25" s="80">
        <f>H25/SUM($E$15:$K$26)</f>
        <v>7.0127624400226503E-4</v>
      </c>
      <c r="E25" s="78"/>
      <c r="F25" s="79"/>
      <c r="G25" s="79"/>
      <c r="H25" s="79">
        <f>H11</f>
        <v>205.11</v>
      </c>
      <c r="I25" s="79"/>
      <c r="J25" s="79"/>
      <c r="K25" s="85"/>
      <c r="L25" s="95"/>
      <c r="M25" s="10">
        <v>0.8</v>
      </c>
      <c r="N25" s="2">
        <f t="shared" si="0"/>
        <v>164.08800000000002</v>
      </c>
      <c r="O25" s="111">
        <f t="shared" si="1"/>
        <v>5.2273570727563159E-4</v>
      </c>
    </row>
    <row r="26" spans="2:15">
      <c r="B26" s="17"/>
      <c r="C26" s="29" t="s">
        <v>46</v>
      </c>
      <c r="D26" s="84">
        <f>F26/SUM($E$15:$K$26)</f>
        <v>0</v>
      </c>
      <c r="E26" s="83"/>
      <c r="F26" s="77">
        <v>0</v>
      </c>
      <c r="G26" s="77"/>
      <c r="H26" s="77"/>
      <c r="I26" s="77"/>
      <c r="J26" s="77"/>
      <c r="K26" s="86"/>
      <c r="L26" s="95"/>
      <c r="M26" s="10">
        <v>4.4999999999999947</v>
      </c>
      <c r="N26" s="2">
        <f t="shared" si="0"/>
        <v>0</v>
      </c>
      <c r="O26" s="111">
        <f t="shared" si="1"/>
        <v>0</v>
      </c>
    </row>
    <row r="27" spans="2:15">
      <c r="B27" s="17"/>
      <c r="C27" s="30"/>
      <c r="D27" s="74"/>
      <c r="E27" s="32"/>
      <c r="F27" s="32"/>
      <c r="G27" s="32"/>
      <c r="H27" s="32"/>
      <c r="I27" s="32"/>
      <c r="J27" s="32"/>
      <c r="K27" s="33"/>
      <c r="L27" s="93"/>
      <c r="M27" s="10"/>
      <c r="N27" s="2"/>
      <c r="O27" s="112"/>
    </row>
    <row r="28" spans="2:15">
      <c r="B28" s="34"/>
      <c r="C28" s="35"/>
      <c r="D28" s="75"/>
      <c r="E28" s="36"/>
      <c r="F28" s="36"/>
      <c r="G28" s="36"/>
      <c r="H28" s="36"/>
      <c r="I28" s="36"/>
      <c r="J28" s="36"/>
      <c r="K28" s="37"/>
      <c r="L28" s="93"/>
      <c r="M28" s="10"/>
      <c r="N28" s="2"/>
      <c r="O28" s="112"/>
    </row>
    <row r="29" spans="2:15">
      <c r="B29" s="17" t="s">
        <v>47</v>
      </c>
      <c r="C29" s="35"/>
      <c r="D29" s="75"/>
      <c r="E29" s="62"/>
      <c r="F29" s="62"/>
      <c r="G29" s="62"/>
      <c r="H29" s="62"/>
      <c r="I29" s="62"/>
      <c r="J29" s="62"/>
      <c r="K29" s="63"/>
      <c r="L29" s="68"/>
      <c r="M29" s="10"/>
      <c r="N29" s="2"/>
      <c r="O29" s="112"/>
    </row>
    <row r="30" spans="2:15">
      <c r="B30" s="24" t="s">
        <v>161</v>
      </c>
      <c r="C30" s="28" t="s">
        <v>48</v>
      </c>
      <c r="D30" s="80">
        <f>E30/SUM($E$30:$K$41)</f>
        <v>0.85654707677875475</v>
      </c>
      <c r="E30" s="78">
        <f>64890.689728-E38</f>
        <v>61646.155241599998</v>
      </c>
      <c r="F30" s="79"/>
      <c r="G30" s="79"/>
      <c r="H30" s="79"/>
      <c r="I30" s="79"/>
      <c r="J30" s="79"/>
      <c r="K30" s="85"/>
      <c r="L30" s="95"/>
      <c r="M30" s="10">
        <v>0.9</v>
      </c>
      <c r="N30" s="2">
        <f t="shared" si="0"/>
        <v>55481.539717439999</v>
      </c>
      <c r="O30" s="111">
        <f>N30/SUM($N$30:$N$41)</f>
        <v>0.84060930256716293</v>
      </c>
    </row>
    <row r="31" spans="2:15">
      <c r="B31" s="201">
        <f>SUM(E30:K41)</f>
        <v>71970.53952181444</v>
      </c>
      <c r="C31" s="28" t="s">
        <v>49</v>
      </c>
      <c r="D31" s="80">
        <f>G31/SUM($E$30:$K$41)</f>
        <v>2.5978129557210025E-3</v>
      </c>
      <c r="E31" s="78"/>
      <c r="F31" s="79"/>
      <c r="G31" s="79">
        <f>0.2*G11</f>
        <v>186.96600000000001</v>
      </c>
      <c r="H31" s="79"/>
      <c r="I31" s="79"/>
      <c r="J31" s="79"/>
      <c r="K31" s="85"/>
      <c r="L31" s="95"/>
      <c r="M31" s="10">
        <v>1</v>
      </c>
      <c r="N31" s="2">
        <f t="shared" si="0"/>
        <v>186.96600000000001</v>
      </c>
      <c r="O31" s="111">
        <f t="shared" ref="O31:O41" si="2">N31/SUM($N$30:$N$41)</f>
        <v>2.8327504907793505E-3</v>
      </c>
    </row>
    <row r="32" spans="2:15">
      <c r="B32" s="17"/>
      <c r="C32" s="28" t="s">
        <v>50</v>
      </c>
      <c r="D32" s="80">
        <f>F32/SUM($E$30:$K$41)</f>
        <v>1.8375574350101226E-3</v>
      </c>
      <c r="E32" s="78"/>
      <c r="F32" s="79">
        <f>F17/4</f>
        <v>132.25</v>
      </c>
      <c r="G32" s="79"/>
      <c r="H32" s="79"/>
      <c r="I32" s="79"/>
      <c r="J32" s="79"/>
      <c r="K32" s="85"/>
      <c r="L32" s="95"/>
      <c r="M32" s="10">
        <v>3.0000000000000031</v>
      </c>
      <c r="N32" s="2">
        <f t="shared" si="0"/>
        <v>396.7500000000004</v>
      </c>
      <c r="O32" s="111">
        <f t="shared" si="2"/>
        <v>6.0112199930292586E-3</v>
      </c>
    </row>
    <row r="33" spans="2:15">
      <c r="B33" s="17"/>
      <c r="C33" s="28" t="s">
        <v>51</v>
      </c>
      <c r="D33" s="80">
        <f>E33/SUM($E$30:$K$41)</f>
        <v>0</v>
      </c>
      <c r="E33" s="78">
        <v>0</v>
      </c>
      <c r="F33" s="79"/>
      <c r="G33" s="79"/>
      <c r="H33" s="79"/>
      <c r="I33" s="79"/>
      <c r="J33" s="79"/>
      <c r="K33" s="85"/>
      <c r="L33" s="95"/>
      <c r="M33" s="10">
        <v>0.88</v>
      </c>
      <c r="N33" s="2">
        <f t="shared" si="0"/>
        <v>0</v>
      </c>
      <c r="O33" s="111">
        <f t="shared" si="2"/>
        <v>0</v>
      </c>
    </row>
    <row r="34" spans="2:15">
      <c r="B34" s="17"/>
      <c r="C34" s="28" t="s">
        <v>52</v>
      </c>
      <c r="D34" s="80">
        <f>K34/SUM($E$30:$K$41)</f>
        <v>3.0962307838814724E-2</v>
      </c>
      <c r="E34" s="78"/>
      <c r="F34" s="79"/>
      <c r="G34" s="79"/>
      <c r="H34" s="79"/>
      <c r="I34" s="79"/>
      <c r="J34" s="79"/>
      <c r="K34" s="85">
        <f>0.2*K11</f>
        <v>2228.3740000000003</v>
      </c>
      <c r="L34" s="95"/>
      <c r="M34" s="10">
        <v>1</v>
      </c>
      <c r="N34" s="2">
        <f t="shared" si="0"/>
        <v>2228.3740000000003</v>
      </c>
      <c r="O34" s="111">
        <f t="shared" si="2"/>
        <v>3.3762435641453231E-2</v>
      </c>
    </row>
    <row r="35" spans="2:15">
      <c r="B35" s="17"/>
      <c r="C35" s="28" t="s">
        <v>53</v>
      </c>
      <c r="D35" s="80">
        <f>F35/SUM($E$30:$K$41)</f>
        <v>8.3263235760288549E-3</v>
      </c>
      <c r="E35" s="78"/>
      <c r="F35" s="79">
        <f>F20/4</f>
        <v>599.25</v>
      </c>
      <c r="G35" s="79"/>
      <c r="H35" s="79"/>
      <c r="I35" s="79"/>
      <c r="J35" s="79"/>
      <c r="K35" s="85"/>
      <c r="L35" s="95"/>
      <c r="M35" s="10">
        <v>3.0000000000000031</v>
      </c>
      <c r="N35" s="2">
        <f t="shared" si="0"/>
        <v>1797.7500000000018</v>
      </c>
      <c r="O35" s="111">
        <f t="shared" si="2"/>
        <v>2.7237985488263013E-2</v>
      </c>
    </row>
    <row r="36" spans="2:15">
      <c r="B36" s="17"/>
      <c r="C36" s="28" t="s">
        <v>54</v>
      </c>
      <c r="D36" s="80">
        <f>J36/SUM($E$30:$K$41)</f>
        <v>0</v>
      </c>
      <c r="E36" s="78"/>
      <c r="F36" s="79"/>
      <c r="G36" s="79"/>
      <c r="H36" s="79"/>
      <c r="I36" s="79"/>
      <c r="J36" s="79"/>
      <c r="K36" s="85"/>
      <c r="L36" s="95"/>
      <c r="M36" s="10">
        <v>0.82</v>
      </c>
      <c r="N36" s="2">
        <f t="shared" si="0"/>
        <v>0</v>
      </c>
      <c r="O36" s="111">
        <f t="shared" si="2"/>
        <v>0</v>
      </c>
    </row>
    <row r="37" spans="2:15">
      <c r="B37" s="17"/>
      <c r="C37" s="28" t="s">
        <v>55</v>
      </c>
      <c r="D37" s="80">
        <f>F37/SUM($E$30:$K$41)</f>
        <v>5.4647496322051708E-2</v>
      </c>
      <c r="E37" s="78"/>
      <c r="F37" s="79">
        <f>Electricity!E39-F35-F32-F41</f>
        <v>3933.0097938144318</v>
      </c>
      <c r="G37" s="79"/>
      <c r="H37" s="79"/>
      <c r="I37" s="79"/>
      <c r="J37" s="79"/>
      <c r="K37" s="85"/>
      <c r="L37" s="95"/>
      <c r="M37" s="10">
        <v>0.95</v>
      </c>
      <c r="N37" s="2">
        <f t="shared" si="0"/>
        <v>3736.35930412371</v>
      </c>
      <c r="O37" s="111">
        <f t="shared" si="2"/>
        <v>5.6610151859078292E-2</v>
      </c>
    </row>
    <row r="38" spans="2:15">
      <c r="B38" s="17"/>
      <c r="C38" s="28" t="s">
        <v>56</v>
      </c>
      <c r="D38" s="80">
        <f>E38/SUM($E$30:$K$41)</f>
        <v>4.5081425093618677E-2</v>
      </c>
      <c r="E38" s="78">
        <v>3244.5344864000003</v>
      </c>
      <c r="F38" s="79"/>
      <c r="G38" s="79"/>
      <c r="H38" s="79"/>
      <c r="I38" s="79"/>
      <c r="J38" s="79"/>
      <c r="K38" s="85"/>
      <c r="L38" s="95"/>
      <c r="M38" s="10">
        <v>0.67</v>
      </c>
      <c r="N38" s="2">
        <f t="shared" si="0"/>
        <v>2173.8381058880004</v>
      </c>
      <c r="O38" s="111">
        <f t="shared" si="2"/>
        <v>3.2936153960233874E-2</v>
      </c>
    </row>
    <row r="39" spans="2:15">
      <c r="B39" s="17"/>
      <c r="C39" s="28" t="s">
        <v>57</v>
      </c>
      <c r="D39" s="80">
        <f>I39/SUM($E$30:$K$41)</f>
        <v>0</v>
      </c>
      <c r="E39" s="78"/>
      <c r="F39" s="79"/>
      <c r="G39" s="79"/>
      <c r="H39" s="79"/>
      <c r="I39" s="79">
        <v>0</v>
      </c>
      <c r="J39" s="79"/>
      <c r="K39" s="85"/>
      <c r="L39" s="95"/>
      <c r="M39" s="10">
        <v>0.85</v>
      </c>
      <c r="N39" s="2">
        <f t="shared" si="0"/>
        <v>0</v>
      </c>
      <c r="O39" s="111">
        <f t="shared" si="2"/>
        <v>0</v>
      </c>
    </row>
    <row r="40" spans="2:15">
      <c r="B40" s="17"/>
      <c r="C40" s="28" t="s">
        <v>58</v>
      </c>
      <c r="D40" s="80">
        <f>H40/SUM($E$30:$K$41)</f>
        <v>0</v>
      </c>
      <c r="E40" s="78"/>
      <c r="F40" s="79"/>
      <c r="G40" s="79"/>
      <c r="H40" s="79">
        <v>0</v>
      </c>
      <c r="I40" s="79"/>
      <c r="J40" s="79"/>
      <c r="K40" s="85"/>
      <c r="L40" s="95"/>
      <c r="M40" s="10">
        <v>0.8</v>
      </c>
      <c r="N40" s="2">
        <f t="shared" si="0"/>
        <v>0</v>
      </c>
      <c r="O40" s="111">
        <f t="shared" si="2"/>
        <v>0</v>
      </c>
    </row>
    <row r="41" spans="2:15">
      <c r="B41" s="17"/>
      <c r="C41" s="29" t="s">
        <v>59</v>
      </c>
      <c r="D41" s="84">
        <f>E41/SUM($E$30:$K$41)</f>
        <v>0</v>
      </c>
      <c r="E41" s="78"/>
      <c r="F41" s="77">
        <v>0</v>
      </c>
      <c r="G41" s="77"/>
      <c r="H41" s="77"/>
      <c r="I41" s="77"/>
      <c r="J41" s="77"/>
      <c r="K41" s="86"/>
      <c r="L41" s="95"/>
      <c r="M41" s="10">
        <v>0.2</v>
      </c>
      <c r="N41" s="2">
        <f t="shared" si="0"/>
        <v>0</v>
      </c>
      <c r="O41" s="111">
        <f t="shared" si="2"/>
        <v>0</v>
      </c>
    </row>
    <row r="42" spans="2:15">
      <c r="B42" s="17"/>
      <c r="C42" s="30"/>
      <c r="D42" s="74"/>
      <c r="E42" s="64"/>
      <c r="F42" s="65"/>
      <c r="G42" s="65"/>
      <c r="H42" s="65"/>
      <c r="I42" s="65"/>
      <c r="J42" s="65"/>
      <c r="K42" s="66"/>
      <c r="L42" s="68"/>
      <c r="M42" s="10"/>
      <c r="N42" s="2"/>
      <c r="O42" s="112"/>
    </row>
    <row r="43" spans="2:15">
      <c r="B43" s="34"/>
      <c r="C43" s="35"/>
      <c r="D43" s="75"/>
      <c r="E43" s="62"/>
      <c r="F43" s="62"/>
      <c r="G43" s="62"/>
      <c r="H43" s="62"/>
      <c r="I43" s="62"/>
      <c r="J43" s="62"/>
      <c r="K43" s="63"/>
      <c r="L43" s="68"/>
      <c r="M43" s="10"/>
      <c r="N43" s="2"/>
      <c r="O43" s="112"/>
    </row>
    <row r="44" spans="2:15">
      <c r="B44" s="17" t="s">
        <v>60</v>
      </c>
      <c r="C44" s="35"/>
      <c r="D44" s="75"/>
      <c r="E44" s="67"/>
      <c r="F44" s="62"/>
      <c r="G44" s="62"/>
      <c r="H44" s="62"/>
      <c r="I44" s="62"/>
      <c r="J44" s="62"/>
      <c r="K44" s="63"/>
      <c r="L44" s="68"/>
      <c r="M44" s="10"/>
      <c r="N44" s="2"/>
      <c r="O44" s="112"/>
    </row>
    <row r="45" spans="2:15">
      <c r="B45" s="24" t="s">
        <v>161</v>
      </c>
      <c r="C45" s="28" t="s">
        <v>61</v>
      </c>
      <c r="D45" s="80">
        <f>F45/SUM($E$45:$K$47)</f>
        <v>8.1202496727978718E-2</v>
      </c>
      <c r="E45" s="78"/>
      <c r="F45" s="79">
        <f>Cooling!B6/(M45-1)</f>
        <v>530.27777777777749</v>
      </c>
      <c r="G45" s="79"/>
      <c r="H45" s="79"/>
      <c r="I45" s="79"/>
      <c r="J45" s="79"/>
      <c r="K45" s="85"/>
      <c r="L45" s="95"/>
      <c r="M45" s="10">
        <v>4.6000000000000023</v>
      </c>
      <c r="N45" s="2">
        <f t="shared" si="0"/>
        <v>2439.2777777777778</v>
      </c>
      <c r="O45" s="111">
        <f>N45/SUM($N$45:$N$47)</f>
        <v>9.2259120596421995E-2</v>
      </c>
    </row>
    <row r="46" spans="2:15">
      <c r="B46" s="201">
        <f>SUM(E45:K47)</f>
        <v>6530.3137113402045</v>
      </c>
      <c r="C46" s="28" t="s">
        <v>62</v>
      </c>
      <c r="D46" s="80">
        <f t="shared" ref="D46:D47" si="3">F46/SUM($E$45:$K$47)</f>
        <v>0</v>
      </c>
      <c r="E46" s="78"/>
      <c r="F46" s="79">
        <v>0</v>
      </c>
      <c r="G46" s="79"/>
      <c r="H46" s="79"/>
      <c r="I46" s="79"/>
      <c r="J46" s="79"/>
      <c r="K46" s="85"/>
      <c r="L46" s="95"/>
      <c r="M46" s="10">
        <v>4.5000000000000044</v>
      </c>
      <c r="N46" s="2">
        <f t="shared" si="0"/>
        <v>0</v>
      </c>
      <c r="O46" s="111">
        <f t="shared" ref="O46:O47" si="4">N46/SUM($N$45:$N$47)</f>
        <v>0</v>
      </c>
    </row>
    <row r="47" spans="2:15">
      <c r="B47" s="17"/>
      <c r="C47" s="29" t="s">
        <v>63</v>
      </c>
      <c r="D47" s="84">
        <f t="shared" si="3"/>
        <v>0.91879750327202125</v>
      </c>
      <c r="E47" s="78"/>
      <c r="F47" s="77">
        <f>Electricity!E42-F45</f>
        <v>6000.0359335624271</v>
      </c>
      <c r="G47" s="77"/>
      <c r="H47" s="77"/>
      <c r="I47" s="77"/>
      <c r="J47" s="77"/>
      <c r="K47" s="86"/>
      <c r="L47" s="95"/>
      <c r="M47" s="10">
        <v>4</v>
      </c>
      <c r="N47" s="2">
        <f t="shared" si="0"/>
        <v>24000.143734249708</v>
      </c>
      <c r="O47" s="111">
        <f t="shared" si="4"/>
        <v>0.90774087940357806</v>
      </c>
    </row>
    <row r="48" spans="2:15">
      <c r="B48" s="17"/>
      <c r="C48" s="30"/>
      <c r="D48" s="74"/>
      <c r="E48" s="64"/>
      <c r="F48" s="68"/>
      <c r="G48" s="68"/>
      <c r="H48" s="68"/>
      <c r="I48" s="68"/>
      <c r="J48" s="68"/>
      <c r="K48" s="69"/>
      <c r="L48" s="68"/>
      <c r="M48" s="10"/>
      <c r="N48" s="2"/>
      <c r="O48" s="112"/>
    </row>
    <row r="49" spans="2:16">
      <c r="B49" s="34"/>
      <c r="C49" s="35"/>
      <c r="D49" s="75"/>
      <c r="E49" s="62"/>
      <c r="F49" s="62"/>
      <c r="G49" s="62"/>
      <c r="H49" s="62"/>
      <c r="I49" s="62"/>
      <c r="J49" s="62"/>
      <c r="K49" s="63"/>
      <c r="L49" s="68"/>
      <c r="M49" s="10"/>
      <c r="N49" s="2"/>
      <c r="O49" s="112"/>
    </row>
    <row r="50" spans="2:16">
      <c r="B50" s="17" t="s">
        <v>64</v>
      </c>
      <c r="C50" s="35"/>
      <c r="D50" s="75"/>
      <c r="E50" s="67"/>
      <c r="F50" s="62"/>
      <c r="G50" s="62"/>
      <c r="H50" s="62"/>
      <c r="I50" s="62"/>
      <c r="J50" s="62"/>
      <c r="K50" s="63"/>
      <c r="L50" s="68"/>
      <c r="M50" s="10"/>
      <c r="N50" s="2"/>
      <c r="O50" s="112"/>
    </row>
    <row r="51" spans="2:16">
      <c r="B51" s="24" t="s">
        <v>161</v>
      </c>
      <c r="C51" s="28" t="s">
        <v>65</v>
      </c>
      <c r="D51" s="87">
        <f>E51/SUM($E$51:$K$55)</f>
        <v>0.71703911838075052</v>
      </c>
      <c r="E51" s="78">
        <f>39*31.65*0.76*7560000/1000000</f>
        <v>7092.0813600000001</v>
      </c>
      <c r="F51" s="79"/>
      <c r="G51" s="79"/>
      <c r="H51" s="79"/>
      <c r="I51" s="79"/>
      <c r="J51" s="79"/>
      <c r="K51" s="85"/>
      <c r="L51" s="95"/>
      <c r="M51" s="10">
        <v>0.4</v>
      </c>
      <c r="N51" s="2">
        <f t="shared" si="0"/>
        <v>2836.8325440000003</v>
      </c>
      <c r="O51" s="111">
        <f>N51/SUM($N$51:$N$55)</f>
        <v>0.61209508848637761</v>
      </c>
    </row>
    <row r="52" spans="2:16">
      <c r="B52" s="201">
        <f>SUM(E51:K55)</f>
        <v>9890.7872362886592</v>
      </c>
      <c r="C52" s="28" t="s">
        <v>66</v>
      </c>
      <c r="D52" s="88">
        <f>F52/SUM($E$51:$K$55)</f>
        <v>2.7540085806453667E-2</v>
      </c>
      <c r="E52" s="78"/>
      <c r="F52" s="76">
        <f>Cooking!H20</f>
        <v>272.39312918076638</v>
      </c>
      <c r="G52" s="79"/>
      <c r="H52" s="79"/>
      <c r="I52" s="79"/>
      <c r="J52" s="79"/>
      <c r="K52" s="85"/>
      <c r="L52" s="95"/>
      <c r="M52" s="10">
        <v>0.55000000000000004</v>
      </c>
      <c r="N52" s="2">
        <f t="shared" si="0"/>
        <v>149.81622104942153</v>
      </c>
      <c r="O52" s="111">
        <f t="shared" ref="O52:O55" si="5">N52/SUM($N$51:$N$55)</f>
        <v>3.2325409292801872E-2</v>
      </c>
    </row>
    <row r="53" spans="2:16">
      <c r="B53" s="17"/>
      <c r="C53" s="28" t="s">
        <v>67</v>
      </c>
      <c r="D53" s="88">
        <f>F53/SUM($E$51:$K$55)</f>
        <v>0.20196062924732691</v>
      </c>
      <c r="E53" s="78"/>
      <c r="F53" s="79">
        <f>Cooking!H21</f>
        <v>1997.549613992287</v>
      </c>
      <c r="G53" s="79"/>
      <c r="H53" s="79"/>
      <c r="I53" s="79"/>
      <c r="J53" s="79"/>
      <c r="K53" s="85"/>
      <c r="L53" s="95"/>
      <c r="M53" s="10">
        <v>0.6</v>
      </c>
      <c r="N53" s="2">
        <f t="shared" si="0"/>
        <v>1198.5297683953722</v>
      </c>
      <c r="O53" s="111">
        <f t="shared" si="5"/>
        <v>0.25860327434241498</v>
      </c>
    </row>
    <row r="54" spans="2:16">
      <c r="B54" s="17"/>
      <c r="C54" s="28" t="s">
        <v>68</v>
      </c>
      <c r="D54" s="88">
        <f>F54/SUM($E$51:$K$55)</f>
        <v>5.3460166565468883E-2</v>
      </c>
      <c r="E54" s="78"/>
      <c r="F54" s="79">
        <f>Cooking!H22</f>
        <v>528.76313311560534</v>
      </c>
      <c r="G54" s="79"/>
      <c r="H54" s="79"/>
      <c r="I54" s="79"/>
      <c r="J54" s="79"/>
      <c r="K54" s="85"/>
      <c r="L54" s="95"/>
      <c r="M54" s="10">
        <v>0.85</v>
      </c>
      <c r="N54" s="2">
        <f t="shared" si="0"/>
        <v>449.44866314826453</v>
      </c>
      <c r="O54" s="111">
        <f t="shared" si="5"/>
        <v>9.6976227878405596E-2</v>
      </c>
    </row>
    <row r="55" spans="2:16">
      <c r="B55" s="17"/>
      <c r="C55" s="29" t="s">
        <v>69</v>
      </c>
      <c r="D55" s="84">
        <f>H55/SUM($E$51:$K$55)</f>
        <v>0</v>
      </c>
      <c r="E55" s="78"/>
      <c r="F55" s="77"/>
      <c r="G55" s="77"/>
      <c r="H55" s="77"/>
      <c r="I55" s="77"/>
      <c r="J55" s="76">
        <v>0</v>
      </c>
      <c r="K55" s="86"/>
      <c r="L55" s="95"/>
      <c r="M55" s="10">
        <v>0.3</v>
      </c>
      <c r="N55" s="2">
        <f t="shared" si="0"/>
        <v>0</v>
      </c>
      <c r="O55" s="111">
        <f t="shared" si="5"/>
        <v>0</v>
      </c>
    </row>
    <row r="56" spans="2:16">
      <c r="B56" s="17"/>
      <c r="C56" s="30"/>
      <c r="D56" s="74"/>
      <c r="E56" s="64"/>
      <c r="F56" s="65"/>
      <c r="G56" s="65"/>
      <c r="H56" s="65"/>
      <c r="I56" s="65"/>
      <c r="J56" s="65"/>
      <c r="K56" s="66"/>
      <c r="L56" s="68"/>
      <c r="M56" s="10"/>
      <c r="N56" s="2"/>
      <c r="O56" s="112"/>
    </row>
    <row r="57" spans="2:16">
      <c r="B57" s="34"/>
      <c r="C57" s="35"/>
      <c r="D57" s="75"/>
      <c r="E57" s="62"/>
      <c r="F57" s="62"/>
      <c r="G57" s="62"/>
      <c r="H57" s="62"/>
      <c r="I57" s="62"/>
      <c r="J57" s="62"/>
      <c r="K57" s="63"/>
      <c r="L57" s="68"/>
      <c r="M57" s="10"/>
      <c r="N57" s="2"/>
      <c r="O57" s="112"/>
    </row>
    <row r="58" spans="2:16">
      <c r="B58" s="17" t="s">
        <v>70</v>
      </c>
      <c r="C58" s="35"/>
      <c r="D58" s="75"/>
      <c r="E58" s="67"/>
      <c r="F58" s="62"/>
      <c r="G58" s="62"/>
      <c r="H58" s="62"/>
      <c r="I58" s="62"/>
      <c r="J58" s="62"/>
      <c r="K58" s="62"/>
      <c r="L58" s="96"/>
      <c r="M58" s="10"/>
      <c r="N58" s="2"/>
      <c r="O58" s="112"/>
    </row>
    <row r="59" spans="2:16">
      <c r="B59" s="24" t="s">
        <v>161</v>
      </c>
      <c r="C59" s="28" t="s">
        <v>71</v>
      </c>
      <c r="D59" s="80">
        <f>F59/SUM($E$59:$K$61)</f>
        <v>0.83333333333333326</v>
      </c>
      <c r="E59" s="78"/>
      <c r="F59" s="79">
        <f>$B$60*N59/SUM($N$59:$N$61)</f>
        <v>10106.437886597938</v>
      </c>
      <c r="G59" s="79"/>
      <c r="H59" s="79"/>
      <c r="I59" s="79"/>
      <c r="J59" s="79"/>
      <c r="K59" s="79"/>
      <c r="L59" s="97"/>
      <c r="M59" s="10">
        <v>0.05</v>
      </c>
      <c r="N59" s="205">
        <f>O59/M59</f>
        <v>9.8999999999999986</v>
      </c>
      <c r="O59" s="111">
        <v>0.495</v>
      </c>
      <c r="P59" s="23" t="s">
        <v>195</v>
      </c>
    </row>
    <row r="60" spans="2:16">
      <c r="B60" s="201">
        <f>Electricity!E40</f>
        <v>12127.725463917524</v>
      </c>
      <c r="C60" s="28" t="s">
        <v>72</v>
      </c>
      <c r="D60" s="80">
        <f t="shared" ref="D60:D61" si="6">F60/SUM($E$59:$K$61)</f>
        <v>0.16329966329966331</v>
      </c>
      <c r="E60" s="78"/>
      <c r="F60" s="79">
        <f t="shared" ref="F60:F61" si="7">$B$60*N60/SUM($N$59:$N$61)</f>
        <v>1980.453484848485</v>
      </c>
      <c r="G60" s="79"/>
      <c r="H60" s="79"/>
      <c r="I60" s="79"/>
      <c r="J60" s="79"/>
      <c r="K60" s="79"/>
      <c r="L60" s="97"/>
      <c r="M60" s="10">
        <v>0.25</v>
      </c>
      <c r="N60" s="205">
        <f t="shared" ref="N60:N61" si="8">O60/M60</f>
        <v>1.94</v>
      </c>
      <c r="O60" s="111">
        <v>0.48499999999999999</v>
      </c>
      <c r="P60" s="204" t="s">
        <v>196</v>
      </c>
    </row>
    <row r="61" spans="2:16">
      <c r="B61" s="17"/>
      <c r="C61" s="29" t="s">
        <v>73</v>
      </c>
      <c r="D61" s="84">
        <f t="shared" si="6"/>
        <v>3.3670033670033673E-3</v>
      </c>
      <c r="E61" s="83"/>
      <c r="F61" s="77">
        <f t="shared" si="7"/>
        <v>40.834092471102785</v>
      </c>
      <c r="G61" s="77"/>
      <c r="H61" s="77"/>
      <c r="I61" s="77"/>
      <c r="J61" s="77"/>
      <c r="K61" s="77"/>
      <c r="L61" s="97"/>
      <c r="M61" s="10">
        <v>0.5</v>
      </c>
      <c r="N61" s="205">
        <f t="shared" si="8"/>
        <v>0.04</v>
      </c>
      <c r="O61" s="111">
        <v>0.02</v>
      </c>
    </row>
    <row r="62" spans="2:16">
      <c r="B62" s="17"/>
      <c r="C62" s="31"/>
      <c r="D62" s="74"/>
      <c r="E62" s="70"/>
      <c r="F62" s="70"/>
      <c r="G62" s="70"/>
      <c r="H62" s="70"/>
      <c r="I62" s="70"/>
      <c r="J62" s="70"/>
      <c r="K62" s="70"/>
      <c r="L62" s="98"/>
      <c r="M62" s="10"/>
      <c r="N62" s="2"/>
      <c r="O62" s="11"/>
    </row>
    <row r="63" spans="2:16">
      <c r="B63" s="34"/>
      <c r="C63" s="27"/>
      <c r="D63" s="75"/>
      <c r="E63" s="71"/>
      <c r="F63" s="71"/>
      <c r="G63" s="71"/>
      <c r="H63" s="71"/>
      <c r="I63" s="71"/>
      <c r="J63" s="71"/>
      <c r="K63" s="71"/>
      <c r="L63" s="98"/>
      <c r="M63" s="10"/>
      <c r="N63" s="2"/>
      <c r="O63" s="11"/>
    </row>
    <row r="64" spans="2:16">
      <c r="B64" s="17" t="s">
        <v>14</v>
      </c>
      <c r="C64" s="27"/>
      <c r="D64" s="75"/>
      <c r="E64" s="71"/>
      <c r="F64" s="71"/>
      <c r="G64" s="71"/>
      <c r="H64" s="71"/>
      <c r="I64" s="71"/>
      <c r="J64" s="71"/>
      <c r="K64" s="71"/>
      <c r="L64" s="98"/>
      <c r="M64" s="10"/>
      <c r="N64" s="2"/>
      <c r="O64" s="11"/>
    </row>
    <row r="65" spans="2:15">
      <c r="B65" s="24" t="s">
        <v>161</v>
      </c>
      <c r="C65" s="39" t="s">
        <v>15</v>
      </c>
      <c r="D65" s="80">
        <f>F65/SUM($E$65:$K$72)</f>
        <v>8.0645161290322578E-2</v>
      </c>
      <c r="E65" s="78"/>
      <c r="F65" s="76">
        <f>Electricity!E29</f>
        <v>4664.5097938144318</v>
      </c>
      <c r="G65" s="76"/>
      <c r="H65" s="76"/>
      <c r="I65" s="76"/>
      <c r="J65" s="76"/>
      <c r="K65" s="82"/>
      <c r="L65" s="97"/>
      <c r="M65" s="10"/>
      <c r="N65" s="109"/>
      <c r="O65" s="11"/>
    </row>
    <row r="66" spans="2:15">
      <c r="B66" s="201">
        <f>SUM(E65:K72)</f>
        <v>57839.921443298954</v>
      </c>
      <c r="C66" s="39" t="s">
        <v>16</v>
      </c>
      <c r="D66" s="80">
        <f t="shared" ref="D66:D72" si="9">F66/SUM($E$65:$K$72)</f>
        <v>0.22580645161290322</v>
      </c>
      <c r="E66" s="78"/>
      <c r="F66" s="76">
        <f>Electricity!E30</f>
        <v>13060.627422680409</v>
      </c>
      <c r="G66" s="76"/>
      <c r="H66" s="76"/>
      <c r="I66" s="76"/>
      <c r="J66" s="76"/>
      <c r="K66" s="79"/>
      <c r="L66" s="97"/>
      <c r="M66" s="10"/>
      <c r="N66" s="109"/>
      <c r="O66" s="11"/>
    </row>
    <row r="67" spans="2:15">
      <c r="B67" s="21"/>
      <c r="C67" s="39" t="s">
        <v>17</v>
      </c>
      <c r="D67" s="80">
        <f t="shared" si="9"/>
        <v>8.0645161290322578E-2</v>
      </c>
      <c r="E67" s="78"/>
      <c r="F67" s="76">
        <f>Electricity!E31</f>
        <v>4664.5097938144318</v>
      </c>
      <c r="G67" s="76"/>
      <c r="H67" s="76"/>
      <c r="I67" s="76"/>
      <c r="J67" s="76"/>
      <c r="K67" s="79"/>
      <c r="L67" s="97"/>
      <c r="M67" s="10"/>
      <c r="N67" s="109"/>
      <c r="O67" s="11"/>
    </row>
    <row r="68" spans="2:15">
      <c r="B68" s="21"/>
      <c r="C68" s="39" t="s">
        <v>18</v>
      </c>
      <c r="D68" s="80">
        <f t="shared" si="9"/>
        <v>0.11290322580645161</v>
      </c>
      <c r="E68" s="78"/>
      <c r="F68" s="76">
        <f>Electricity!E32</f>
        <v>6530.3137113402045</v>
      </c>
      <c r="G68" s="76"/>
      <c r="H68" s="76"/>
      <c r="I68" s="76"/>
      <c r="J68" s="76"/>
      <c r="K68" s="79"/>
      <c r="L68" s="97"/>
      <c r="M68" s="10"/>
      <c r="N68" s="109"/>
      <c r="O68" s="11"/>
    </row>
    <row r="69" spans="2:15">
      <c r="B69" s="21"/>
      <c r="C69" s="39" t="s">
        <v>19</v>
      </c>
      <c r="D69" s="80">
        <f t="shared" si="9"/>
        <v>0.14516129032258066</v>
      </c>
      <c r="E69" s="78"/>
      <c r="F69" s="76">
        <f>Electricity!E33</f>
        <v>8396.1176288659772</v>
      </c>
      <c r="G69" s="76"/>
      <c r="H69" s="76"/>
      <c r="I69" s="76"/>
      <c r="J69" s="76"/>
      <c r="K69" s="79"/>
      <c r="L69" s="97"/>
      <c r="M69" s="10"/>
      <c r="N69" s="109"/>
      <c r="O69" s="11"/>
    </row>
    <row r="70" spans="2:15">
      <c r="B70" s="21"/>
      <c r="C70" s="39" t="s">
        <v>20</v>
      </c>
      <c r="D70" s="80">
        <f t="shared" si="9"/>
        <v>0.19354838709677419</v>
      </c>
      <c r="E70" s="78"/>
      <c r="F70" s="76">
        <f>Electricity!E34</f>
        <v>11194.823505154636</v>
      </c>
      <c r="G70" s="76"/>
      <c r="H70" s="76"/>
      <c r="I70" s="76"/>
      <c r="J70" s="76"/>
      <c r="K70" s="79"/>
      <c r="L70" s="97"/>
      <c r="M70" s="10"/>
      <c r="N70" s="109"/>
      <c r="O70" s="11"/>
    </row>
    <row r="71" spans="2:15">
      <c r="B71" s="21"/>
      <c r="C71" s="39" t="s">
        <v>21</v>
      </c>
      <c r="D71" s="80">
        <f t="shared" si="9"/>
        <v>4.8387096774193547E-2</v>
      </c>
      <c r="E71" s="78"/>
      <c r="F71" s="76">
        <f>Electricity!E35</f>
        <v>2798.7058762886591</v>
      </c>
      <c r="G71" s="76"/>
      <c r="H71" s="76"/>
      <c r="I71" s="76"/>
      <c r="J71" s="76"/>
      <c r="K71" s="79"/>
      <c r="L71" s="97"/>
      <c r="M71" s="10"/>
      <c r="N71" s="109"/>
      <c r="O71" s="11"/>
    </row>
    <row r="72" spans="2:15">
      <c r="B72" s="21"/>
      <c r="C72" s="40" t="s">
        <v>22</v>
      </c>
      <c r="D72" s="81">
        <f t="shared" si="9"/>
        <v>0.11290322580645161</v>
      </c>
      <c r="E72" s="83"/>
      <c r="F72" s="77">
        <f>Electricity!E36</f>
        <v>6530.3137113402045</v>
      </c>
      <c r="G72" s="77"/>
      <c r="H72" s="77"/>
      <c r="I72" s="77"/>
      <c r="J72" s="77"/>
      <c r="K72" s="77"/>
      <c r="L72" s="97"/>
      <c r="M72" s="10"/>
      <c r="N72" s="109"/>
      <c r="O72" s="11"/>
    </row>
    <row r="73" spans="2:15">
      <c r="B73" s="17"/>
      <c r="C73" s="31"/>
      <c r="D73" s="31"/>
      <c r="E73" s="31"/>
      <c r="F73" s="31"/>
      <c r="G73" s="31"/>
      <c r="H73" s="31"/>
      <c r="I73" s="31"/>
      <c r="J73" s="31"/>
      <c r="K73" s="31"/>
      <c r="L73" s="17"/>
      <c r="M73" s="10"/>
      <c r="N73" s="2"/>
      <c r="O73" s="11"/>
    </row>
    <row r="74" spans="2:15">
      <c r="B74" s="34"/>
      <c r="C74" s="26"/>
      <c r="D74" s="26"/>
      <c r="E74" s="41"/>
      <c r="F74" s="38"/>
      <c r="G74" s="38"/>
      <c r="H74" s="38"/>
      <c r="I74" s="38"/>
      <c r="J74" s="38"/>
      <c r="K74" s="38"/>
      <c r="L74" s="99"/>
      <c r="M74" s="10"/>
      <c r="N74" s="2"/>
      <c r="O74" s="11"/>
    </row>
    <row r="75" spans="2:15">
      <c r="B75" s="42" t="s">
        <v>23</v>
      </c>
      <c r="C75" s="43"/>
      <c r="D75" s="43"/>
      <c r="E75" s="44" t="s">
        <v>24</v>
      </c>
      <c r="F75" s="36" t="s">
        <v>25</v>
      </c>
      <c r="G75" s="36" t="s">
        <v>26</v>
      </c>
      <c r="H75" s="36" t="s">
        <v>27</v>
      </c>
      <c r="I75" s="36" t="s">
        <v>28</v>
      </c>
      <c r="J75" s="36" t="s">
        <v>29</v>
      </c>
      <c r="K75" s="36" t="s">
        <v>30</v>
      </c>
      <c r="L75" s="100"/>
      <c r="M75" s="10"/>
      <c r="N75" s="2"/>
      <c r="O75" s="11"/>
    </row>
    <row r="76" spans="2:15">
      <c r="B76" s="45"/>
      <c r="C76" s="46" t="s">
        <v>31</v>
      </c>
      <c r="D76" s="47"/>
      <c r="E76" s="48">
        <f t="shared" ref="E76:K76" si="10">SUM(E15:E73)</f>
        <v>331545.53000000003</v>
      </c>
      <c r="F76" s="49">
        <f t="shared" si="10"/>
        <v>90491.489999999976</v>
      </c>
      <c r="G76" s="49">
        <f t="shared" si="10"/>
        <v>934.83</v>
      </c>
      <c r="H76" s="49">
        <f t="shared" si="10"/>
        <v>205.11</v>
      </c>
      <c r="I76" s="49">
        <f t="shared" si="10"/>
        <v>3700.96</v>
      </c>
      <c r="J76" s="49">
        <f t="shared" si="10"/>
        <v>12820.53</v>
      </c>
      <c r="K76" s="49">
        <f t="shared" si="10"/>
        <v>11141.87</v>
      </c>
      <c r="L76" s="100"/>
      <c r="M76" s="10"/>
      <c r="N76" s="2"/>
      <c r="O76" s="11"/>
    </row>
    <row r="77" spans="2:15">
      <c r="B77" s="45"/>
      <c r="C77" s="50" t="s">
        <v>32</v>
      </c>
      <c r="D77" s="51"/>
      <c r="E77" s="48">
        <f t="shared" ref="E77:K77" si="11">E11-E76</f>
        <v>0</v>
      </c>
      <c r="F77" s="49">
        <f t="shared" si="11"/>
        <v>0</v>
      </c>
      <c r="G77" s="49">
        <f t="shared" si="11"/>
        <v>0</v>
      </c>
      <c r="H77" s="49">
        <f t="shared" si="11"/>
        <v>0</v>
      </c>
      <c r="I77" s="49">
        <f t="shared" si="11"/>
        <v>0</v>
      </c>
      <c r="J77" s="49">
        <f t="shared" si="11"/>
        <v>0</v>
      </c>
      <c r="K77" s="49">
        <f t="shared" si="11"/>
        <v>0</v>
      </c>
      <c r="L77" s="100"/>
      <c r="M77" s="10"/>
      <c r="N77" s="2"/>
      <c r="O77" s="11"/>
    </row>
    <row r="78" spans="2:15">
      <c r="B78" s="45"/>
      <c r="C78" s="52" t="s">
        <v>33</v>
      </c>
      <c r="D78" s="53"/>
      <c r="E78" s="72">
        <f t="shared" ref="E78:K78" si="12">E77/E11</f>
        <v>0</v>
      </c>
      <c r="F78" s="73">
        <f t="shared" si="12"/>
        <v>0</v>
      </c>
      <c r="G78" s="73">
        <f t="shared" si="12"/>
        <v>0</v>
      </c>
      <c r="H78" s="73">
        <f t="shared" si="12"/>
        <v>0</v>
      </c>
      <c r="I78" s="73">
        <f t="shared" si="12"/>
        <v>0</v>
      </c>
      <c r="J78" s="73">
        <f t="shared" si="12"/>
        <v>0</v>
      </c>
      <c r="K78" s="73">
        <f t="shared" si="12"/>
        <v>0</v>
      </c>
      <c r="L78" s="101"/>
      <c r="M78" s="10"/>
      <c r="N78" s="2"/>
      <c r="O78" s="11"/>
    </row>
    <row r="79" spans="2:15">
      <c r="B79" s="45"/>
      <c r="C79" s="50"/>
      <c r="D79" s="50"/>
      <c r="E79" s="54"/>
      <c r="F79" s="54"/>
      <c r="G79" s="54"/>
      <c r="H79" s="54"/>
      <c r="I79" s="54"/>
      <c r="J79" s="54"/>
      <c r="K79" s="54"/>
      <c r="L79" s="102"/>
      <c r="M79" s="10"/>
      <c r="N79" s="2"/>
      <c r="O79" s="11"/>
    </row>
    <row r="80" spans="2:15" ht="16" thickBot="1">
      <c r="B80" s="55"/>
      <c r="C80" s="56"/>
      <c r="D80" s="56"/>
      <c r="E80" s="56"/>
      <c r="F80" s="56"/>
      <c r="G80" s="56"/>
      <c r="H80" s="56"/>
      <c r="I80" s="56"/>
      <c r="J80" s="56"/>
      <c r="K80" s="56"/>
      <c r="L80" s="10"/>
      <c r="M80" s="55"/>
      <c r="N80" s="56"/>
      <c r="O80" s="110"/>
    </row>
  </sheetData>
  <mergeCells count="1">
    <mergeCell ref="B5:G5"/>
  </mergeCells>
  <conditionalFormatting sqref="J75">
    <cfRule type="cellIs" dxfId="0" priority="1" operator="lessThan">
      <formula>0</formula>
    </cfRule>
  </conditionalFormatting>
  <pageMargins left="0.75" right="0.75" top="1" bottom="1" header="0.5" footer="0.5"/>
  <pageSetup paperSize="9" orientation="portrait" horizontalDpi="4294967292" verticalDpi="4294967292"/>
  <ignoredErrors>
    <ignoredError sqref="D65:D72 D51:D55 D59:D61 D15 D17:D18 D20 D25:D26 D22:D23 D30 D32:D33 D35 D40:D41 D45:D47 D37:D38 B16 B31 B46 B52 B66" emptyCellReference="1"/>
    <ignoredError sqref="D16 D19 D24 D21 D31 D34 D39 D36" formula="1" emptyCellReference="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topLeftCell="A8" workbookViewId="0"/>
  </sheetViews>
  <sheetFormatPr baseColWidth="10" defaultRowHeight="15" x14ac:dyDescent="0"/>
  <cols>
    <col min="1" max="1" width="3.33203125" customWidth="1"/>
    <col min="2" max="2" width="20.6640625" bestFit="1" customWidth="1"/>
    <col min="3" max="3" width="18.1640625" bestFit="1" customWidth="1"/>
    <col min="4" max="4" width="20.33203125" bestFit="1" customWidth="1"/>
    <col min="5" max="5" width="21" customWidth="1"/>
  </cols>
  <sheetData>
    <row r="2" spans="2:4">
      <c r="B2" s="171" t="s">
        <v>152</v>
      </c>
      <c r="C2" s="171">
        <v>90491.49</v>
      </c>
      <c r="D2" s="172" t="s">
        <v>153</v>
      </c>
    </row>
    <row r="4" spans="2:4">
      <c r="C4" t="s">
        <v>151</v>
      </c>
    </row>
    <row r="5" spans="2:4">
      <c r="B5" t="s">
        <v>150</v>
      </c>
      <c r="C5" s="169">
        <v>0.05</v>
      </c>
    </row>
    <row r="6" spans="2:4">
      <c r="B6" t="s">
        <v>149</v>
      </c>
      <c r="C6" s="169">
        <v>0.05</v>
      </c>
    </row>
    <row r="7" spans="2:4">
      <c r="B7" t="s">
        <v>148</v>
      </c>
      <c r="C7" s="169">
        <v>7.0000000000000007E-2</v>
      </c>
    </row>
    <row r="8" spans="2:4">
      <c r="B8" t="s">
        <v>147</v>
      </c>
      <c r="C8" s="169">
        <v>0.03</v>
      </c>
    </row>
    <row r="9" spans="2:4">
      <c r="B9" t="s">
        <v>146</v>
      </c>
      <c r="C9" s="169">
        <v>0.09</v>
      </c>
    </row>
    <row r="10" spans="2:4">
      <c r="B10" t="s">
        <v>145</v>
      </c>
      <c r="C10" s="169">
        <v>0.05</v>
      </c>
    </row>
    <row r="11" spans="2:4">
      <c r="B11" t="s">
        <v>144</v>
      </c>
      <c r="C11" s="169">
        <v>0.09</v>
      </c>
    </row>
    <row r="12" spans="2:4">
      <c r="B12" t="s">
        <v>143</v>
      </c>
      <c r="C12" s="169">
        <v>0.06</v>
      </c>
    </row>
    <row r="13" spans="2:4">
      <c r="B13" t="s">
        <v>142</v>
      </c>
      <c r="C13" s="169">
        <v>0.06</v>
      </c>
    </row>
    <row r="14" spans="2:4">
      <c r="B14" t="s">
        <v>141</v>
      </c>
      <c r="C14" s="169">
        <v>7.0000000000000007E-2</v>
      </c>
    </row>
    <row r="15" spans="2:4">
      <c r="B15" t="s">
        <v>140</v>
      </c>
      <c r="C15" s="169">
        <v>0.05</v>
      </c>
    </row>
    <row r="16" spans="2:4">
      <c r="B16" t="s">
        <v>139</v>
      </c>
      <c r="C16" s="169">
        <v>7.0000000000000007E-2</v>
      </c>
    </row>
    <row r="17" spans="2:7">
      <c r="B17" t="s">
        <v>138</v>
      </c>
      <c r="C17" s="169">
        <v>0.03</v>
      </c>
    </row>
    <row r="18" spans="2:7">
      <c r="B18" t="s">
        <v>137</v>
      </c>
      <c r="C18" s="169">
        <v>0.04</v>
      </c>
    </row>
    <row r="19" spans="2:7">
      <c r="B19" t="s">
        <v>136</v>
      </c>
      <c r="C19" s="169">
        <v>0.01</v>
      </c>
    </row>
    <row r="20" spans="2:7">
      <c r="B20" t="s">
        <v>135</v>
      </c>
      <c r="C20" s="169">
        <v>0.01</v>
      </c>
    </row>
    <row r="21" spans="2:7">
      <c r="B21" t="s">
        <v>134</v>
      </c>
      <c r="C21" s="169">
        <v>0.01</v>
      </c>
    </row>
    <row r="22" spans="2:7">
      <c r="B22" t="s">
        <v>133</v>
      </c>
      <c r="C22" s="169">
        <v>0.13</v>
      </c>
      <c r="E22" t="s">
        <v>174</v>
      </c>
      <c r="F22" t="s">
        <v>182</v>
      </c>
      <c r="G22" s="173"/>
    </row>
    <row r="23" spans="2:7">
      <c r="B23" t="s">
        <v>132</v>
      </c>
      <c r="E23" t="s">
        <v>175</v>
      </c>
      <c r="F23" t="s">
        <v>176</v>
      </c>
      <c r="G23" s="174"/>
    </row>
    <row r="24" spans="2:7">
      <c r="G24" s="174"/>
    </row>
    <row r="25" spans="2:7">
      <c r="B25" t="s">
        <v>177</v>
      </c>
      <c r="G25" s="174"/>
    </row>
    <row r="26" spans="2:7">
      <c r="B26" t="s">
        <v>178</v>
      </c>
      <c r="G26" s="174"/>
    </row>
    <row r="27" spans="2:7">
      <c r="G27" s="173"/>
    </row>
    <row r="28" spans="2:7" s="171" customFormat="1">
      <c r="B28" s="171" t="s">
        <v>181</v>
      </c>
      <c r="C28" s="171" t="s">
        <v>179</v>
      </c>
      <c r="D28" s="171" t="s">
        <v>180</v>
      </c>
      <c r="E28" s="171" t="s">
        <v>152</v>
      </c>
    </row>
    <row r="29" spans="2:7">
      <c r="B29" t="s">
        <v>131</v>
      </c>
      <c r="C29" s="170">
        <f>C5</f>
        <v>0.05</v>
      </c>
      <c r="D29" s="169">
        <f t="shared" ref="D29:D36" si="0">C29/SUM($C$5:$C$22)</f>
        <v>5.1546391752577303E-2</v>
      </c>
      <c r="E29" s="175">
        <f t="shared" ref="E29:E36" si="1">D29*$C$2</f>
        <v>4664.5097938144318</v>
      </c>
    </row>
    <row r="30" spans="2:7">
      <c r="B30" t="s">
        <v>16</v>
      </c>
      <c r="C30" s="170">
        <f>C9+C10</f>
        <v>0.14000000000000001</v>
      </c>
      <c r="D30" s="169">
        <f t="shared" si="0"/>
        <v>0.14432989690721645</v>
      </c>
      <c r="E30" s="175">
        <f t="shared" si="1"/>
        <v>13060.627422680409</v>
      </c>
    </row>
    <row r="31" spans="2:7">
      <c r="B31" t="s">
        <v>17</v>
      </c>
      <c r="C31" s="170">
        <f>C6</f>
        <v>0.05</v>
      </c>
      <c r="D31" s="169">
        <f t="shared" si="0"/>
        <v>5.1546391752577303E-2</v>
      </c>
      <c r="E31" s="175">
        <f t="shared" si="1"/>
        <v>4664.5097938144318</v>
      </c>
    </row>
    <row r="32" spans="2:7">
      <c r="B32" t="s">
        <v>18</v>
      </c>
      <c r="C32" s="170">
        <f>C7</f>
        <v>7.0000000000000007E-2</v>
      </c>
      <c r="D32" s="169">
        <f t="shared" si="0"/>
        <v>7.2164948453608227E-2</v>
      </c>
      <c r="E32" s="175">
        <f t="shared" si="1"/>
        <v>6530.3137113402045</v>
      </c>
    </row>
    <row r="33" spans="2:5">
      <c r="B33" t="s">
        <v>19</v>
      </c>
      <c r="C33" s="170">
        <f>C11</f>
        <v>0.09</v>
      </c>
      <c r="D33" s="169">
        <f t="shared" si="0"/>
        <v>9.2783505154639137E-2</v>
      </c>
      <c r="E33" s="175">
        <f t="shared" si="1"/>
        <v>8396.1176288659772</v>
      </c>
    </row>
    <row r="34" spans="2:5">
      <c r="B34" t="s">
        <v>20</v>
      </c>
      <c r="C34" s="170">
        <f>C12+C13</f>
        <v>0.12</v>
      </c>
      <c r="D34" s="169">
        <f t="shared" si="0"/>
        <v>0.12371134020618553</v>
      </c>
      <c r="E34" s="175">
        <f t="shared" si="1"/>
        <v>11194.823505154636</v>
      </c>
    </row>
    <row r="35" spans="2:5">
      <c r="B35" t="s">
        <v>21</v>
      </c>
      <c r="C35" s="170">
        <f>C8</f>
        <v>0.03</v>
      </c>
      <c r="D35" s="169">
        <f t="shared" si="0"/>
        <v>3.0927835051546382E-2</v>
      </c>
      <c r="E35" s="175">
        <f t="shared" si="1"/>
        <v>2798.7058762886591</v>
      </c>
    </row>
    <row r="36" spans="2:5">
      <c r="B36" t="s">
        <v>22</v>
      </c>
      <c r="C36" s="170">
        <f>C18+C19+C20+C21</f>
        <v>7.0000000000000007E-2</v>
      </c>
      <c r="D36" s="169">
        <f t="shared" si="0"/>
        <v>7.2164948453608227E-2</v>
      </c>
      <c r="E36" s="175">
        <f t="shared" si="1"/>
        <v>6530.3137113402045</v>
      </c>
    </row>
    <row r="37" spans="2:5">
      <c r="D37" s="169"/>
      <c r="E37" s="175"/>
    </row>
    <row r="38" spans="2:5">
      <c r="B38" t="s">
        <v>130</v>
      </c>
      <c r="C38" s="170">
        <f>C14</f>
        <v>7.0000000000000007E-2</v>
      </c>
      <c r="D38" s="169">
        <f>C38/SUM($C$5:$C$22)</f>
        <v>7.2164948453608227E-2</v>
      </c>
      <c r="E38" s="175">
        <f>D38*$C$2</f>
        <v>6530.3137113402045</v>
      </c>
    </row>
    <row r="39" spans="2:5">
      <c r="B39" t="s">
        <v>129</v>
      </c>
      <c r="C39" s="170">
        <f>C15</f>
        <v>0.05</v>
      </c>
      <c r="D39" s="169">
        <f>C39/SUM($C$5:$C$22)</f>
        <v>5.1546391752577303E-2</v>
      </c>
      <c r="E39" s="175">
        <f>D39*$C$2</f>
        <v>4664.5097938144318</v>
      </c>
    </row>
    <row r="40" spans="2:5">
      <c r="B40" t="s">
        <v>70</v>
      </c>
      <c r="C40" s="170">
        <f>C22</f>
        <v>0.13</v>
      </c>
      <c r="D40" s="169">
        <f>C40/SUM($C$5:$C$22)</f>
        <v>0.134020618556701</v>
      </c>
      <c r="E40" s="175">
        <f>D40*$C$2</f>
        <v>12127.725463917524</v>
      </c>
    </row>
    <row r="41" spans="2:5">
      <c r="B41" t="s">
        <v>64</v>
      </c>
      <c r="C41" s="170">
        <f>C17</f>
        <v>0.03</v>
      </c>
      <c r="D41" s="169">
        <f>C41/SUM($C$5:$C$22)</f>
        <v>3.0927835051546382E-2</v>
      </c>
      <c r="E41" s="175">
        <f>D41*$C$2</f>
        <v>2798.7058762886591</v>
      </c>
    </row>
    <row r="42" spans="2:5">
      <c r="B42" t="s">
        <v>128</v>
      </c>
      <c r="C42" s="170">
        <f>C16</f>
        <v>7.0000000000000007E-2</v>
      </c>
      <c r="D42" s="169">
        <f>C42/SUM($C$5:$C$22)</f>
        <v>7.2164948453608227E-2</v>
      </c>
      <c r="E42" s="175">
        <f>D42*$C$2</f>
        <v>6530.3137113402045</v>
      </c>
    </row>
    <row r="44" spans="2:5">
      <c r="B44" s="172" t="s">
        <v>188</v>
      </c>
    </row>
  </sheetData>
  <pageMargins left="0.75" right="0.75" top="1" bottom="1" header="0.5" footer="0.5"/>
  <pageSetup paperSize="9" orientation="portrait" horizontalDpi="4294967292" verticalDpi="4294967292"/>
  <ignoredErrors>
    <ignoredError sqref="C40" formula="1"/>
  </ignoredError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H20" sqref="H20"/>
    </sheetView>
  </sheetViews>
  <sheetFormatPr baseColWidth="10" defaultRowHeight="15" x14ac:dyDescent="0"/>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c r="A1" s="202"/>
      <c r="B1" s="202"/>
      <c r="C1" s="202"/>
      <c r="D1" s="202"/>
      <c r="E1" s="202"/>
    </row>
    <row r="2" spans="1:5">
      <c r="A2" s="202"/>
      <c r="B2" s="202" t="s">
        <v>174</v>
      </c>
      <c r="C2" s="202" t="s">
        <v>189</v>
      </c>
      <c r="D2" s="202"/>
      <c r="E2" s="202"/>
    </row>
    <row r="3" spans="1:5">
      <c r="A3" s="202"/>
      <c r="B3" s="202" t="s">
        <v>175</v>
      </c>
      <c r="C3" s="202" t="s">
        <v>183</v>
      </c>
      <c r="D3" s="202"/>
      <c r="E3" s="202"/>
    </row>
    <row r="4" spans="1:5">
      <c r="A4" s="202"/>
      <c r="B4" s="202"/>
      <c r="C4" s="202"/>
      <c r="D4" s="202"/>
      <c r="E4" s="202"/>
    </row>
    <row r="5" spans="1:5">
      <c r="A5" s="202"/>
      <c r="B5" s="202"/>
      <c r="C5" s="202"/>
      <c r="D5" s="202"/>
      <c r="E5" s="202"/>
    </row>
    <row r="6" spans="1:5">
      <c r="A6" s="202"/>
      <c r="B6" s="202"/>
      <c r="C6" s="202"/>
      <c r="D6" s="202"/>
      <c r="E6" s="202"/>
    </row>
    <row r="7" spans="1:5">
      <c r="A7" s="202"/>
      <c r="B7" s="202"/>
      <c r="C7" s="202"/>
      <c r="D7" s="202"/>
      <c r="E7" s="202"/>
    </row>
    <row r="8" spans="1:5">
      <c r="A8" s="202"/>
      <c r="B8" s="202"/>
      <c r="C8" s="202"/>
      <c r="D8" s="202"/>
      <c r="E8" s="202"/>
    </row>
    <row r="9" spans="1:5">
      <c r="A9" s="202"/>
      <c r="B9" s="202"/>
      <c r="C9" s="202"/>
      <c r="D9" s="202"/>
      <c r="E9" s="202"/>
    </row>
    <row r="10" spans="1:5">
      <c r="A10" s="202"/>
      <c r="B10" s="202"/>
      <c r="C10" s="202"/>
      <c r="D10" s="202"/>
      <c r="E10" s="202"/>
    </row>
    <row r="11" spans="1:5">
      <c r="A11" s="202"/>
      <c r="B11" s="202"/>
      <c r="C11" s="202"/>
      <c r="D11" s="202"/>
      <c r="E11" s="202"/>
    </row>
    <row r="12" spans="1:5">
      <c r="A12" s="202"/>
      <c r="B12" s="202"/>
      <c r="C12" s="202"/>
      <c r="D12" s="202"/>
      <c r="E12" s="202"/>
    </row>
    <row r="18" spans="1:9">
      <c r="A18" s="3"/>
      <c r="B18" s="3"/>
      <c r="C18" s="3"/>
      <c r="D18" s="3"/>
      <c r="E18" s="3"/>
      <c r="F18" s="3"/>
      <c r="G18" s="3"/>
      <c r="H18" s="3"/>
      <c r="I18" s="3"/>
    </row>
    <row r="19" spans="1:9" ht="45">
      <c r="A19" s="3"/>
      <c r="B19" s="176" t="s">
        <v>154</v>
      </c>
      <c r="C19" s="176" t="s">
        <v>157</v>
      </c>
      <c r="D19" s="177" t="s">
        <v>190</v>
      </c>
      <c r="E19" s="177" t="s">
        <v>159</v>
      </c>
      <c r="F19" s="177" t="s">
        <v>158</v>
      </c>
      <c r="G19" s="177" t="s">
        <v>160</v>
      </c>
      <c r="H19" s="176" t="s">
        <v>161</v>
      </c>
      <c r="I19" s="3"/>
    </row>
    <row r="20" spans="1:9">
      <c r="A20" s="3"/>
      <c r="B20" s="185" t="s">
        <v>66</v>
      </c>
      <c r="C20" s="5">
        <v>0.02</v>
      </c>
      <c r="D20" s="178">
        <v>0.55000000000000004</v>
      </c>
      <c r="E20" s="5">
        <f>C20/D20</f>
        <v>3.6363636363636362E-2</v>
      </c>
      <c r="F20" s="5">
        <f>E20/SUM($E$20:$E$22)</f>
        <v>9.7328244274809142E-2</v>
      </c>
      <c r="G20" s="179">
        <f>Electricity!E41</f>
        <v>2798.7058762886591</v>
      </c>
      <c r="H20" s="180">
        <f>F20*$G$20</f>
        <v>272.39312918076638</v>
      </c>
      <c r="I20" s="3"/>
    </row>
    <row r="21" spans="1:9">
      <c r="A21" s="3"/>
      <c r="B21" s="186" t="s">
        <v>67</v>
      </c>
      <c r="C21" s="2">
        <v>0.16</v>
      </c>
      <c r="D21" s="181">
        <v>0.6</v>
      </c>
      <c r="E21" s="2">
        <f>C21/D21</f>
        <v>0.26666666666666666</v>
      </c>
      <c r="F21" s="2">
        <f>E21/SUM($E$20:$E$22)</f>
        <v>0.71374045801526709</v>
      </c>
      <c r="G21" s="2"/>
      <c r="H21" s="182">
        <f>F21*$G$20</f>
        <v>1997.549613992287</v>
      </c>
      <c r="I21" s="3"/>
    </row>
    <row r="22" spans="1:9">
      <c r="A22" s="3"/>
      <c r="B22" s="187" t="s">
        <v>68</v>
      </c>
      <c r="C22" s="26">
        <v>0.06</v>
      </c>
      <c r="D22" s="183">
        <v>0.85</v>
      </c>
      <c r="E22" s="26">
        <f>C22/D22</f>
        <v>7.0588235294117646E-2</v>
      </c>
      <c r="F22" s="26">
        <f>E22/SUM($E$20:$E$22)</f>
        <v>0.18893129770992365</v>
      </c>
      <c r="G22" s="26"/>
      <c r="H22" s="184">
        <f>F22*$G$20</f>
        <v>528.76313311560534</v>
      </c>
      <c r="I22" s="3"/>
    </row>
    <row r="23" spans="1:9">
      <c r="A23" s="3"/>
      <c r="B23" s="3"/>
      <c r="C23" s="3"/>
      <c r="D23" s="3"/>
      <c r="E23" s="3"/>
      <c r="F23" s="3"/>
      <c r="G23" s="3"/>
      <c r="H23" s="3"/>
      <c r="I23" s="3"/>
    </row>
    <row r="24" spans="1:9">
      <c r="A24" s="3"/>
      <c r="C24" s="3"/>
      <c r="D24" s="3"/>
      <c r="E24" s="3"/>
      <c r="F24" s="3"/>
      <c r="G24" s="3"/>
      <c r="H24" s="3"/>
      <c r="I24" s="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0"/>
  <sheetViews>
    <sheetView workbookViewId="0"/>
  </sheetViews>
  <sheetFormatPr baseColWidth="10" defaultRowHeight="15" x14ac:dyDescent="0"/>
  <cols>
    <col min="1" max="1" width="3.1640625" customWidth="1"/>
    <col min="2" max="2" width="13.33203125" customWidth="1"/>
    <col min="3" max="3" width="12.5" bestFit="1" customWidth="1"/>
    <col min="4" max="4" width="23.1640625" customWidth="1"/>
    <col min="5" max="5" width="7.83203125" bestFit="1" customWidth="1"/>
    <col min="6" max="6" width="16" bestFit="1" customWidth="1"/>
    <col min="7" max="7" width="19.1640625" bestFit="1" customWidth="1"/>
    <col min="8" max="8" width="19.1640625" customWidth="1"/>
    <col min="9" max="9" width="19.6640625" customWidth="1"/>
    <col min="10" max="10" width="18.5" customWidth="1"/>
  </cols>
  <sheetData>
    <row r="2" spans="2:3">
      <c r="B2" t="s">
        <v>174</v>
      </c>
      <c r="C2" t="s">
        <v>191</v>
      </c>
    </row>
    <row r="3" spans="2:3">
      <c r="B3" t="s">
        <v>175</v>
      </c>
      <c r="C3" t="s">
        <v>184</v>
      </c>
    </row>
    <row r="19" spans="1:11">
      <c r="A19" s="3"/>
      <c r="B19" s="3"/>
      <c r="C19" s="3"/>
      <c r="D19" s="3"/>
      <c r="E19" s="3"/>
      <c r="F19" s="3"/>
      <c r="G19" s="3"/>
      <c r="H19" s="3"/>
      <c r="I19" s="3"/>
      <c r="J19" s="3"/>
      <c r="K19" s="3"/>
    </row>
    <row r="20" spans="1:11">
      <c r="A20" s="3"/>
      <c r="B20" s="203" t="s">
        <v>172</v>
      </c>
      <c r="C20" s="3"/>
      <c r="D20" s="3"/>
      <c r="E20" s="3"/>
      <c r="F20" s="3"/>
      <c r="G20" s="3"/>
      <c r="H20" s="3"/>
      <c r="I20" s="3"/>
      <c r="J20" s="3"/>
      <c r="K20" s="3"/>
    </row>
    <row r="21" spans="1:11">
      <c r="A21" s="3"/>
      <c r="B21" s="3"/>
      <c r="C21" s="3"/>
      <c r="D21" s="3"/>
      <c r="E21" s="3"/>
      <c r="F21" s="3"/>
      <c r="G21" s="3"/>
      <c r="H21" s="3"/>
      <c r="I21" s="3"/>
      <c r="J21" s="3"/>
      <c r="K21" s="3"/>
    </row>
    <row r="22" spans="1:11" ht="60">
      <c r="A22" s="3"/>
      <c r="B22" s="193" t="s">
        <v>74</v>
      </c>
      <c r="C22" s="194" t="s">
        <v>75</v>
      </c>
      <c r="D22" s="194" t="s">
        <v>76</v>
      </c>
      <c r="E22" s="194" t="s">
        <v>77</v>
      </c>
      <c r="F22" s="194" t="s">
        <v>78</v>
      </c>
      <c r="G22" s="194" t="s">
        <v>79</v>
      </c>
      <c r="H22" s="196" t="s">
        <v>80</v>
      </c>
      <c r="I22" s="200" t="s">
        <v>171</v>
      </c>
      <c r="J22" s="195" t="s">
        <v>171</v>
      </c>
      <c r="K22" s="3"/>
    </row>
    <row r="23" spans="1:11">
      <c r="A23" s="3"/>
      <c r="B23" s="190" t="s">
        <v>81</v>
      </c>
      <c r="C23" s="5">
        <v>1018251</v>
      </c>
      <c r="D23" s="5">
        <v>17000</v>
      </c>
      <c r="E23" s="5">
        <v>500</v>
      </c>
      <c r="F23" s="5">
        <v>1500</v>
      </c>
      <c r="G23" s="5">
        <v>15000</v>
      </c>
      <c r="H23" s="5">
        <v>61</v>
      </c>
      <c r="I23" s="5">
        <f>(E23+F23)*H23</f>
        <v>122000</v>
      </c>
      <c r="J23" s="6">
        <f>G23*H23</f>
        <v>915000</v>
      </c>
      <c r="K23" s="3"/>
    </row>
    <row r="24" spans="1:11">
      <c r="A24" s="3"/>
      <c r="B24" s="191" t="s">
        <v>82</v>
      </c>
      <c r="C24" s="2">
        <v>861520</v>
      </c>
      <c r="D24" s="2">
        <v>26000</v>
      </c>
      <c r="E24" s="2">
        <v>2500</v>
      </c>
      <c r="F24" s="2">
        <v>2500</v>
      </c>
      <c r="G24" s="2">
        <v>21000</v>
      </c>
      <c r="H24" s="2">
        <v>39</v>
      </c>
      <c r="I24" s="2">
        <f>(E24+F24)*H24</f>
        <v>195000</v>
      </c>
      <c r="J24" s="188">
        <f t="shared" ref="J24:J26" si="0">G24*H24</f>
        <v>819000</v>
      </c>
      <c r="K24" s="3"/>
    </row>
    <row r="25" spans="1:11">
      <c r="A25" s="3"/>
      <c r="B25" s="191" t="s">
        <v>83</v>
      </c>
      <c r="C25" s="2">
        <v>3037564</v>
      </c>
      <c r="D25" s="2">
        <v>21000</v>
      </c>
      <c r="E25" s="2">
        <v>1500</v>
      </c>
      <c r="F25" s="2">
        <v>2500</v>
      </c>
      <c r="G25" s="2">
        <v>17000</v>
      </c>
      <c r="H25" s="2">
        <v>31</v>
      </c>
      <c r="I25" s="2">
        <f>(E25+F25)*H25</f>
        <v>124000</v>
      </c>
      <c r="J25" s="188">
        <f t="shared" si="0"/>
        <v>527000</v>
      </c>
      <c r="K25" s="3"/>
    </row>
    <row r="26" spans="1:11">
      <c r="A26" s="3"/>
      <c r="B26" s="191" t="s">
        <v>84</v>
      </c>
      <c r="C26" s="2">
        <v>2322665</v>
      </c>
      <c r="D26" s="2">
        <v>14000</v>
      </c>
      <c r="E26" s="2">
        <v>500</v>
      </c>
      <c r="F26" s="2">
        <v>5000</v>
      </c>
      <c r="G26" s="2">
        <v>8500</v>
      </c>
      <c r="H26" s="2">
        <v>16</v>
      </c>
      <c r="I26" s="2">
        <f>(E26+F26)*H26</f>
        <v>88000</v>
      </c>
      <c r="J26" s="188">
        <f t="shared" si="0"/>
        <v>136000</v>
      </c>
      <c r="K26" s="3"/>
    </row>
    <row r="27" spans="1:11">
      <c r="A27" s="3"/>
      <c r="B27" s="192" t="s">
        <v>85</v>
      </c>
      <c r="C27" s="26">
        <v>7240000</v>
      </c>
      <c r="D27" s="26">
        <v>78000</v>
      </c>
      <c r="E27" s="26">
        <v>5000</v>
      </c>
      <c r="F27" s="26">
        <v>11500</v>
      </c>
      <c r="G27" s="26">
        <v>61500</v>
      </c>
      <c r="H27" s="26">
        <v>38</v>
      </c>
      <c r="I27" s="26"/>
      <c r="J27" s="189"/>
      <c r="K27" s="3"/>
    </row>
    <row r="28" spans="1:11">
      <c r="A28" s="3"/>
      <c r="B28" s="3"/>
      <c r="C28" s="3"/>
      <c r="D28" s="3"/>
      <c r="E28" s="3"/>
      <c r="F28" s="3"/>
      <c r="G28" s="3"/>
      <c r="H28" s="197" t="s">
        <v>170</v>
      </c>
      <c r="I28" s="198">
        <f>SUM(I23:I26)</f>
        <v>529000</v>
      </c>
      <c r="J28" s="199">
        <f>SUM(J23:J26)</f>
        <v>2397000</v>
      </c>
      <c r="K28" s="3"/>
    </row>
    <row r="29" spans="1:11">
      <c r="A29" s="3"/>
      <c r="B29" s="3"/>
      <c r="C29" s="3"/>
      <c r="D29" s="3"/>
      <c r="E29" s="3"/>
      <c r="F29" s="3"/>
      <c r="G29" s="3"/>
      <c r="H29" s="3"/>
      <c r="I29" s="3"/>
      <c r="J29" s="3"/>
      <c r="K29" s="3"/>
    </row>
    <row r="30" spans="1:11">
      <c r="A30" s="3"/>
      <c r="B30" s="3"/>
      <c r="C30" s="3"/>
      <c r="D30" s="3"/>
      <c r="E30" s="3"/>
      <c r="F30" s="3"/>
      <c r="G30" s="3"/>
      <c r="H30" s="3"/>
      <c r="I30" s="3"/>
      <c r="J30" s="3"/>
      <c r="K30" s="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B6" sqref="B6"/>
    </sheetView>
  </sheetViews>
  <sheetFormatPr baseColWidth="10" defaultRowHeight="15" x14ac:dyDescent="0"/>
  <cols>
    <col min="1" max="1" width="3.5" customWidth="1"/>
  </cols>
  <sheetData>
    <row r="2" spans="2:3">
      <c r="B2" t="s">
        <v>174</v>
      </c>
      <c r="C2" t="s">
        <v>192</v>
      </c>
    </row>
    <row r="3" spans="2:3">
      <c r="B3" t="s">
        <v>175</v>
      </c>
      <c r="C3" t="s">
        <v>187</v>
      </c>
    </row>
    <row r="5" spans="2:3">
      <c r="B5" t="s">
        <v>193</v>
      </c>
    </row>
    <row r="6" spans="2:3">
      <c r="B6">
        <v>1909</v>
      </c>
      <c r="C6" t="s">
        <v>194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Changelog</vt:lpstr>
      <vt:lpstr>Sources and assumptions</vt:lpstr>
      <vt:lpstr>Final demand per energy carrier</vt:lpstr>
      <vt:lpstr>Electricity</vt:lpstr>
      <vt:lpstr>Cooking</vt:lpstr>
      <vt:lpstr>Heat pumps</vt:lpstr>
      <vt:lpstr>Cooling</vt:lpstr>
    </vt:vector>
  </TitlesOfParts>
  <Company>Quintel Intelligence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Joris Berkhout</cp:lastModifiedBy>
  <dcterms:created xsi:type="dcterms:W3CDTF">2015-12-01T15:18:13Z</dcterms:created>
  <dcterms:modified xsi:type="dcterms:W3CDTF">2016-01-18T21:23:05Z</dcterms:modified>
</cp:coreProperties>
</file>