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nevandervlies/Projects/etdataset/source_analyses/nl/2015/7_services/"/>
    </mc:Choice>
  </mc:AlternateContent>
  <bookViews>
    <workbookView xWindow="0" yWindow="460" windowWidth="27920" windowHeight="17540" tabRatio="500" activeTab="1"/>
  </bookViews>
  <sheets>
    <sheet name="Application split" sheetId="5" r:id="rId1"/>
    <sheet name="Electricity" sheetId="6" r:id="rId2"/>
    <sheet name="Odyssee" sheetId="1" r:id="rId3"/>
    <sheet name="Ecofys_space_heating" sheetId="2" r:id="rId4"/>
    <sheet name="Ecofys_hot_water" sheetId="3" r:id="rId5"/>
    <sheet name="Ecofys_appliances" sheetId="4" r:id="rId6"/>
  </sheets>
  <definedNames>
    <definedName name="TWh_to_TJ">Ecofys_appliances!$C$69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6" l="1"/>
  <c r="C31" i="6"/>
  <c r="C30" i="6"/>
  <c r="F40" i="6"/>
  <c r="F39" i="6"/>
  <c r="E40" i="6"/>
  <c r="E39" i="6"/>
  <c r="D15" i="6"/>
  <c r="D39" i="6"/>
  <c r="G9" i="6"/>
  <c r="C40" i="6"/>
  <c r="C39" i="6"/>
  <c r="C26" i="6"/>
  <c r="D16" i="6"/>
  <c r="D26" i="6"/>
  <c r="D25" i="6"/>
  <c r="C11" i="6"/>
  <c r="H10" i="6"/>
  <c r="G10" i="6"/>
  <c r="E10" i="6"/>
  <c r="F10" i="6"/>
  <c r="D10" i="6"/>
  <c r="C10" i="6"/>
  <c r="B10" i="6"/>
  <c r="H9" i="6"/>
  <c r="E9" i="6"/>
  <c r="F9" i="6"/>
  <c r="D9" i="6"/>
  <c r="C9" i="6"/>
  <c r="B9" i="6"/>
  <c r="H8" i="6"/>
  <c r="G8" i="6"/>
  <c r="E8" i="6"/>
  <c r="D8" i="6"/>
  <c r="C42" i="4"/>
  <c r="C40" i="4"/>
  <c r="C41" i="4"/>
  <c r="C44" i="4"/>
  <c r="C45" i="4"/>
  <c r="C46" i="4"/>
  <c r="C47" i="4"/>
  <c r="C55" i="4"/>
  <c r="C54" i="4"/>
  <c r="C60" i="4"/>
  <c r="C59" i="4"/>
  <c r="C58" i="4"/>
  <c r="C57" i="4"/>
  <c r="C53" i="4"/>
  <c r="C61" i="4"/>
  <c r="G45" i="4"/>
  <c r="G47" i="4"/>
  <c r="G34" i="4"/>
  <c r="G35" i="4"/>
  <c r="G36" i="4"/>
  <c r="G37" i="4"/>
  <c r="G40" i="4"/>
  <c r="G41" i="4"/>
  <c r="G42" i="4"/>
  <c r="G44" i="4"/>
  <c r="G48" i="4"/>
  <c r="C34" i="4"/>
  <c r="C35" i="4"/>
  <c r="C36" i="4"/>
  <c r="C37" i="4"/>
  <c r="C48" i="4"/>
  <c r="D5" i="1"/>
  <c r="G27" i="4"/>
  <c r="F24" i="4"/>
  <c r="F25" i="4"/>
  <c r="F26" i="4"/>
  <c r="F47" i="4"/>
  <c r="F21" i="4"/>
  <c r="F23" i="4"/>
  <c r="F45" i="4"/>
  <c r="F20" i="4"/>
  <c r="F44" i="4"/>
  <c r="F9" i="4"/>
  <c r="F42" i="4"/>
  <c r="F8" i="4"/>
  <c r="F41" i="4"/>
  <c r="F10" i="4"/>
  <c r="F40" i="4"/>
  <c r="F17" i="4"/>
  <c r="F37" i="4"/>
  <c r="F13" i="4"/>
  <c r="F14" i="4"/>
  <c r="F36" i="4"/>
  <c r="F11" i="4"/>
  <c r="F35" i="4"/>
  <c r="F15" i="4"/>
  <c r="F16" i="4"/>
  <c r="F34" i="4"/>
  <c r="F48" i="4"/>
  <c r="D11" i="4"/>
  <c r="D35" i="4"/>
  <c r="D17" i="4"/>
  <c r="D37" i="4"/>
  <c r="D15" i="4"/>
  <c r="D16" i="4"/>
  <c r="D34" i="4"/>
  <c r="D13" i="4"/>
  <c r="D36" i="4"/>
  <c r="D10" i="4"/>
  <c r="D40" i="4"/>
  <c r="D8" i="4"/>
  <c r="D41" i="4"/>
  <c r="D9" i="4"/>
  <c r="D42" i="4"/>
  <c r="D19" i="4"/>
  <c r="D44" i="4"/>
  <c r="D21" i="4"/>
  <c r="D22" i="4"/>
  <c r="D45" i="4"/>
  <c r="D12" i="4"/>
  <c r="D46" i="4"/>
  <c r="D18" i="4"/>
  <c r="D26" i="4"/>
  <c r="D47" i="4"/>
  <c r="D48" i="4"/>
  <c r="D27" i="4"/>
  <c r="C27" i="4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G21" i="3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26" i="2"/>
  <c r="D26" i="2"/>
  <c r="E26" i="2"/>
  <c r="F26" i="2"/>
  <c r="G26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G21" i="2"/>
  <c r="D23" i="1"/>
  <c r="D24" i="1"/>
  <c r="D25" i="1"/>
  <c r="D26" i="1"/>
  <c r="D27" i="1"/>
  <c r="D28" i="1"/>
  <c r="D29" i="1"/>
  <c r="E23" i="1"/>
  <c r="E24" i="1"/>
  <c r="D17" i="1"/>
  <c r="D16" i="1"/>
  <c r="E17" i="1"/>
  <c r="F23" i="1"/>
  <c r="D6" i="1"/>
  <c r="D7" i="1"/>
  <c r="D8" i="1"/>
  <c r="D9" i="1"/>
  <c r="D10" i="1"/>
  <c r="E25" i="1"/>
  <c r="E26" i="1"/>
  <c r="E27" i="1"/>
  <c r="E28" i="1"/>
  <c r="F25" i="1"/>
  <c r="F26" i="1"/>
  <c r="F27" i="1"/>
  <c r="F28" i="1"/>
  <c r="E29" i="1"/>
  <c r="F29" i="1"/>
  <c r="E16" i="1"/>
</calcChain>
</file>

<file path=xl/sharedStrings.xml><?xml version="1.0" encoding="utf-8"?>
<sst xmlns="http://schemas.openxmlformats.org/spreadsheetml/2006/main" count="419" uniqueCount="174">
  <si>
    <t>Small applicances</t>
  </si>
  <si>
    <t>Large applicances</t>
  </si>
  <si>
    <t>Large appliances</t>
  </si>
  <si>
    <t>Refrigerator</t>
  </si>
  <si>
    <t>Freezers</t>
  </si>
  <si>
    <t>Washing machine</t>
  </si>
  <si>
    <t>TV</t>
  </si>
  <si>
    <t>Dryers</t>
  </si>
  <si>
    <t>Total</t>
  </si>
  <si>
    <t>Dishwashers</t>
  </si>
  <si>
    <t>Source:</t>
  </si>
  <si>
    <t>http://www.odyssee-mure.eu/publications/efficiency-by-sector/household/</t>
  </si>
  <si>
    <t>Consumption (TWh)</t>
  </si>
  <si>
    <t>Split</t>
  </si>
  <si>
    <t>Length</t>
  </si>
  <si>
    <t>Scale</t>
  </si>
  <si>
    <t>Final energy demand for Residences on IEA energy balance</t>
  </si>
  <si>
    <t>Space heating</t>
  </si>
  <si>
    <t>Hot water</t>
  </si>
  <si>
    <t>Space cooling</t>
  </si>
  <si>
    <t>Lighting</t>
  </si>
  <si>
    <t>Cooking</t>
  </si>
  <si>
    <t>Electrical applicances</t>
  </si>
  <si>
    <t>Percentage</t>
  </si>
  <si>
    <t>End-use (TJ)</t>
  </si>
  <si>
    <t>Application split</t>
  </si>
  <si>
    <t>Appliances</t>
  </si>
  <si>
    <t>Germany</t>
  </si>
  <si>
    <t>France</t>
  </si>
  <si>
    <t>UK</t>
  </si>
  <si>
    <t>Spain</t>
  </si>
  <si>
    <t>Total (check)</t>
  </si>
  <si>
    <t>Solar thermal panels</t>
  </si>
  <si>
    <t>Gas-fired micro CHP</t>
  </si>
  <si>
    <t>Woodpellets (biomass) heaters</t>
  </si>
  <si>
    <t>Electric heat pump add-on</t>
  </si>
  <si>
    <t>Final demand for space heating</t>
  </si>
  <si>
    <t>EU</t>
  </si>
  <si>
    <t>Condensing combi boiler</t>
  </si>
  <si>
    <t>Gas-fired heat pump (ground)</t>
  </si>
  <si>
    <t>District heating</t>
  </si>
  <si>
    <t>Electricity-driven heat pump (air)</t>
  </si>
  <si>
    <t>Electric heaters (resistance)</t>
  </si>
  <si>
    <t>Gas-fired heaters</t>
  </si>
  <si>
    <t>Oil-fired heaters</t>
  </si>
  <si>
    <t>Coal-fired heaters</t>
  </si>
  <si>
    <t>Total (DE, FR, UK, ES)</t>
  </si>
  <si>
    <t>-</t>
  </si>
  <si>
    <t>Gas-fired hot water pump (ground)</t>
  </si>
  <si>
    <t>Woodpellets (biomass) stoves</t>
  </si>
  <si>
    <t>Fuel cells</t>
  </si>
  <si>
    <t>Application</t>
  </si>
  <si>
    <t>Cold appliances</t>
  </si>
  <si>
    <t>Washing and drying</t>
  </si>
  <si>
    <t>Electric ovens, grills and hobs</t>
  </si>
  <si>
    <t>Vacuum cleaners</t>
  </si>
  <si>
    <t>Heating systems and electric boilers</t>
  </si>
  <si>
    <t>Coffee machines</t>
  </si>
  <si>
    <t>Entertainment</t>
  </si>
  <si>
    <t>Set-top boxes</t>
  </si>
  <si>
    <t>Office equipment</t>
  </si>
  <si>
    <t>Other</t>
  </si>
  <si>
    <t>General</t>
  </si>
  <si>
    <t>Total electricity consumption in residences</t>
  </si>
  <si>
    <t>TJ</t>
  </si>
  <si>
    <t>Share (%)</t>
  </si>
  <si>
    <t>ETM category</t>
  </si>
  <si>
    <t>Appliances - Fridges/Freezers</t>
  </si>
  <si>
    <t>Appliances - Washing machines + Dyers</t>
  </si>
  <si>
    <t>Appliances - Dishwashers</t>
  </si>
  <si>
    <t>Cooking - Electric stoves</t>
  </si>
  <si>
    <t>Appliances - Vacuum cleaners</t>
  </si>
  <si>
    <t>Cooling - Air conditioning</t>
  </si>
  <si>
    <t>Appliances - Others</t>
  </si>
  <si>
    <t>Appliances - Computers/Media</t>
  </si>
  <si>
    <t>Appliances - Television + Computers/Media</t>
  </si>
  <si>
    <t>[1]</t>
  </si>
  <si>
    <t>References</t>
  </si>
  <si>
    <t>[2]</t>
  </si>
  <si>
    <t>Washing machines</t>
  </si>
  <si>
    <t>Electricity consumption (TWh)</t>
  </si>
  <si>
    <t>Air conditioning</t>
  </si>
  <si>
    <t>Ventilation</t>
  </si>
  <si>
    <t>Water heaters</t>
  </si>
  <si>
    <t>Television</t>
  </si>
  <si>
    <t>Computers</t>
  </si>
  <si>
    <t>External power supplies</t>
  </si>
  <si>
    <t>Home appliances stand-by</t>
  </si>
  <si>
    <t>Electricity consumption (TJ)</t>
  </si>
  <si>
    <t>Space heating + Hot water</t>
  </si>
  <si>
    <t>Appliances - Television</t>
  </si>
  <si>
    <t>Final energy demand for lighting</t>
  </si>
  <si>
    <t>Fridges / Freezers</t>
  </si>
  <si>
    <t>Computers / Media</t>
  </si>
  <si>
    <t>Vacuum Cleaners</t>
  </si>
  <si>
    <t>Others</t>
  </si>
  <si>
    <t>Final energy demand for cooling</t>
  </si>
  <si>
    <t>Final electricity demand for space heating and hot water</t>
  </si>
  <si>
    <t>Final electricity demand for cooking</t>
  </si>
  <si>
    <t>Conversions</t>
  </si>
  <si>
    <t>TWh_to_TJ</t>
  </si>
  <si>
    <t>TJ/TWh</t>
  </si>
  <si>
    <t>Application splits for hot water in four EU countries</t>
  </si>
  <si>
    <t>Final demand for hot water</t>
  </si>
  <si>
    <t>Final demand for hot water in four EU countries and the EU</t>
  </si>
  <si>
    <t>Application splits for space heating in four EU countries</t>
  </si>
  <si>
    <t>Final demand for space heating in four EU countries and the EU</t>
  </si>
  <si>
    <t>Calculation of weighted average application split for space heating in the EU based on the four EU countries</t>
  </si>
  <si>
    <t>Calculation of weighted average application split for hot water in the EU based on the four EU countries</t>
  </si>
  <si>
    <t>Table 1: Electricity consumption in the residential sector</t>
  </si>
  <si>
    <t>Table 2: Mapping of electricity consumption in the residential sector to ETM catagories</t>
  </si>
  <si>
    <t>Table 3: Mapping of electricity consumption in the residential sector to ETM appliances catagories</t>
  </si>
  <si>
    <t>[1] JRC (2012) Energy Efficiency Status Report 2012, http://iet.jrc.ec.europa.eu/energyefficiency/sites/energyefficiency/files/energy-efficiency-status-report-2012.pdf</t>
  </si>
  <si>
    <t xml:space="preserve">[2] JRC (2009) Electricity Consumption and Efficiency Trends in European Union, http://iet.jrc.ec.europa.eu/sites/default/files/documents/ie_energy_press_event/status_report_2009.pdf
</t>
  </si>
  <si>
    <t>Enerdata_2014_Energy efficiency trends for households in the EU (http://refman.et-model.com/publications/1868)</t>
  </si>
  <si>
    <t>Data extracted from CBS and conversion definitions</t>
  </si>
  <si>
    <t>Geleverd vermogen [MWh]</t>
  </si>
  <si>
    <t>http://statline.cbs.nl/Statweb/publication/?DM=SLNL&amp;PA=82380NED&amp;D1=a&amp;D2=a&amp;D3=a&amp;D4=16-21&amp;HDR=T&amp;STB=G2,G1,G3&amp;VW=T</t>
  </si>
  <si>
    <t>Warmtepompen</t>
  </si>
  <si>
    <t xml:space="preserve"> aantallen, thermisch vermogen en energiestromen</t>
  </si>
  <si>
    <t>Onderwerpen</t>
  </si>
  <si>
    <t>Aantal warmtepompen</t>
  </si>
  <si>
    <t>Thermisch vermogen</t>
  </si>
  <si>
    <t>Energiestromen</t>
  </si>
  <si>
    <t>Vermeden verbruik van fossiele energie</t>
  </si>
  <si>
    <t>Vermeden emissie kooldioxide (CO2)</t>
  </si>
  <si>
    <t>Conversion MWh to TJ</t>
  </si>
  <si>
    <t>MWh/TJ</t>
  </si>
  <si>
    <t>In gebruik genomen</t>
  </si>
  <si>
    <t>Uit gebruik genomen</t>
  </si>
  <si>
    <t>Opgesteld aan het einde van het jaar</t>
  </si>
  <si>
    <t>Bruto warmteproductie warmtepompen</t>
  </si>
  <si>
    <t>Verbruik van elektriciteit en aardgas</t>
  </si>
  <si>
    <t>Onttrekking warmte uit bodem of lucht</t>
  </si>
  <si>
    <t xml:space="preserve"> </t>
  </si>
  <si>
    <t>Sector</t>
  </si>
  <si>
    <t>Perioden</t>
  </si>
  <si>
    <t>aantal</t>
  </si>
  <si>
    <t>MW-thermisch</t>
  </si>
  <si>
    <t>mln kg</t>
  </si>
  <si>
    <t>Technology specifications ETM</t>
  </si>
  <si>
    <t>Totaal</t>
  </si>
  <si>
    <t>Totaal warmtepompen</t>
  </si>
  <si>
    <t>ambient_heat</t>
  </si>
  <si>
    <t>network_gas</t>
  </si>
  <si>
    <t>buildings_space_heater_collective_heatpump_water_water_ts_electricity</t>
  </si>
  <si>
    <t>agriculture_heatpump_water_water_ts_electricity</t>
  </si>
  <si>
    <t>Heat pump with TS same division as in 2013-dataset</t>
  </si>
  <si>
    <t>2013 demand in ETM</t>
  </si>
  <si>
    <t>Demand buildings_space_heater_collective_heatpump_water_water_ts_electricity</t>
  </si>
  <si>
    <t>4.19 B</t>
  </si>
  <si>
    <t>Demand agriculture_heatpump_water_water_ts_electricity</t>
  </si>
  <si>
    <t>404.62 M</t>
  </si>
  <si>
    <t>Warmtepompen met bodemwarmte</t>
  </si>
  <si>
    <t>Energy usage heat pumps with thermal storage</t>
  </si>
  <si>
    <t>Gas usage [TJ]</t>
  </si>
  <si>
    <t>Ambient heat usage [TJ]</t>
  </si>
  <si>
    <t>Warmtepompen met buitenluchtwarmte</t>
  </si>
  <si>
    <t>Electric heat pump with thermal storage</t>
  </si>
  <si>
    <t>Gas-fired heater</t>
  </si>
  <si>
    <t>Oil-fired heater</t>
  </si>
  <si>
    <t>Biomass-fired heater</t>
  </si>
  <si>
    <t>Woningen</t>
  </si>
  <si>
    <t>Geothermal</t>
  </si>
  <si>
    <t>CHP and heat network</t>
  </si>
  <si>
    <t>Technology</t>
  </si>
  <si>
    <t>Final demand converted per technology (TJ)</t>
  </si>
  <si>
    <t>Effiency per technology</t>
  </si>
  <si>
    <t>Useful demand created per technology (TJ)</t>
  </si>
  <si>
    <t>Percentage of heat delivered per technology (%)</t>
  </si>
  <si>
    <t>Utiliteitsgebouwen, kassen en stallen</t>
  </si>
  <si>
    <t>© Centraal Bureau voor de Statistiek, Den Haag/Heerlen 26-9-2017</t>
  </si>
  <si>
    <t>Paste in 7_services_analysis</t>
  </si>
  <si>
    <t xml:space="preserve">Remaining final energy demand for space heating, after solar thermal panels, biomass heaters and district heating: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</si>
</sst>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0.0"/>
    <numFmt numFmtId="167" formatCode="#,##0.00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family val="2"/>
      <scheme val="minor"/>
    </font>
    <font>
      <sz val="13"/>
      <color rgb="FF333333"/>
      <name val="Helvetica Neue"/>
    </font>
    <font>
      <sz val="13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18">
    <xf numFmtId="0" fontId="0" fillId="0" borderId="0" xfId="0"/>
    <xf numFmtId="10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Border="1"/>
    <xf numFmtId="10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10" fontId="1" fillId="0" borderId="0" xfId="0" applyNumberFormat="1" applyFont="1"/>
    <xf numFmtId="3" fontId="1" fillId="0" borderId="0" xfId="0" applyNumberFormat="1" applyFont="1"/>
    <xf numFmtId="0" fontId="1" fillId="0" borderId="2" xfId="0" applyFont="1" applyBorder="1"/>
    <xf numFmtId="0" fontId="0" fillId="0" borderId="3" xfId="0" applyBorder="1"/>
    <xf numFmtId="10" fontId="0" fillId="0" borderId="4" xfId="0" applyNumberFormat="1" applyBorder="1"/>
    <xf numFmtId="3" fontId="1" fillId="0" borderId="3" xfId="0" applyNumberFormat="1" applyFont="1" applyBorder="1"/>
    <xf numFmtId="0" fontId="0" fillId="0" borderId="5" xfId="0" applyBorder="1"/>
    <xf numFmtId="0" fontId="0" fillId="0" borderId="4" xfId="0" applyBorder="1"/>
    <xf numFmtId="2" fontId="0" fillId="0" borderId="3" xfId="0" applyNumberFormat="1" applyBorder="1"/>
    <xf numFmtId="164" fontId="2" fillId="0" borderId="0" xfId="0" applyNumberFormat="1" applyFont="1"/>
    <xf numFmtId="164" fontId="2" fillId="0" borderId="3" xfId="0" applyNumberFormat="1" applyFont="1" applyBorder="1"/>
    <xf numFmtId="10" fontId="2" fillId="0" borderId="0" xfId="0" applyNumberFormat="1" applyFont="1"/>
    <xf numFmtId="0" fontId="0" fillId="0" borderId="2" xfId="0" applyBorder="1"/>
    <xf numFmtId="0" fontId="0" fillId="0" borderId="6" xfId="0" applyBorder="1"/>
    <xf numFmtId="2" fontId="0" fillId="0" borderId="2" xfId="0" applyNumberFormat="1" applyBorder="1"/>
    <xf numFmtId="10" fontId="0" fillId="0" borderId="2" xfId="0" applyNumberForma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9" fontId="0" fillId="0" borderId="2" xfId="0" applyNumberFormat="1" applyBorder="1" applyAlignment="1">
      <alignment horizontal="right" vertical="center" wrapText="1"/>
    </xf>
    <xf numFmtId="9" fontId="0" fillId="0" borderId="0" xfId="0" applyNumberFormat="1" applyBorder="1" applyAlignment="1">
      <alignment horizontal="right" vertical="center" wrapText="1"/>
    </xf>
    <xf numFmtId="165" fontId="0" fillId="0" borderId="2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5" fontId="0" fillId="0" borderId="0" xfId="0" applyNumberFormat="1"/>
    <xf numFmtId="165" fontId="0" fillId="0" borderId="2" xfId="0" applyNumberFormat="1" applyBorder="1"/>
    <xf numFmtId="165" fontId="1" fillId="0" borderId="2" xfId="0" applyNumberFormat="1" applyFont="1" applyBorder="1"/>
    <xf numFmtId="3" fontId="0" fillId="0" borderId="0" xfId="0" applyNumberFormat="1"/>
    <xf numFmtId="3" fontId="0" fillId="0" borderId="2" xfId="0" applyNumberFormat="1" applyBorder="1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/>
    <xf numFmtId="3" fontId="0" fillId="0" borderId="0" xfId="0" applyNumberFormat="1" applyAlignment="1">
      <alignment horizontal="right" vertical="center"/>
    </xf>
    <xf numFmtId="3" fontId="0" fillId="0" borderId="0" xfId="0" applyNumberFormat="1" applyBorder="1"/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1" fillId="0" borderId="2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165" fontId="5" fillId="0" borderId="0" xfId="0" applyNumberFormat="1" applyFont="1"/>
    <xf numFmtId="165" fontId="0" fillId="0" borderId="0" xfId="0" applyNumberFormat="1" applyAlignment="1"/>
    <xf numFmtId="0" fontId="0" fillId="0" borderId="0" xfId="0" applyNumberFormat="1"/>
    <xf numFmtId="165" fontId="0" fillId="0" borderId="2" xfId="0" applyNumberFormat="1" applyFont="1" applyBorder="1"/>
    <xf numFmtId="0" fontId="0" fillId="0" borderId="2" xfId="0" applyFont="1" applyBorder="1"/>
    <xf numFmtId="165" fontId="0" fillId="0" borderId="0" xfId="0" applyNumberFormat="1" applyBorder="1"/>
    <xf numFmtId="165" fontId="0" fillId="0" borderId="0" xfId="0" applyNumberFormat="1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3" fontId="0" fillId="0" borderId="7" xfId="0" applyNumberFormat="1" applyFont="1" applyFill="1" applyBorder="1" applyAlignment="1">
      <alignment horizontal="right"/>
    </xf>
    <xf numFmtId="3" fontId="0" fillId="0" borderId="0" xfId="0" applyNumberFormat="1" applyAlignment="1">
      <alignment vertical="center"/>
    </xf>
    <xf numFmtId="10" fontId="1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10" xfId="0" applyFill="1" applyBorder="1"/>
    <xf numFmtId="0" fontId="0" fillId="2" borderId="0" xfId="0" applyFill="1"/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3" xfId="0" applyFill="1" applyBorder="1"/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16" xfId="0" applyFill="1" applyBorder="1"/>
    <xf numFmtId="10" fontId="0" fillId="0" borderId="12" xfId="0" applyNumberFormat="1" applyFill="1" applyBorder="1"/>
    <xf numFmtId="9" fontId="0" fillId="0" borderId="12" xfId="0" applyNumberFormat="1" applyFill="1" applyBorder="1"/>
    <xf numFmtId="10" fontId="7" fillId="0" borderId="12" xfId="0" applyNumberFormat="1" applyFont="1" applyBorder="1"/>
    <xf numFmtId="0" fontId="8" fillId="0" borderId="1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7" xfId="0" applyFill="1" applyBorder="1"/>
    <xf numFmtId="2" fontId="0" fillId="0" borderId="0" xfId="0" applyNumberFormat="1" applyFill="1" applyBorder="1"/>
    <xf numFmtId="2" fontId="0" fillId="0" borderId="3" xfId="0" applyNumberFormat="1" applyFill="1" applyBorder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0" xfId="0" applyFill="1" applyBorder="1" applyAlignment="1">
      <alignment horizontal="left" indent="1"/>
    </xf>
    <xf numFmtId="165" fontId="1" fillId="0" borderId="16" xfId="85" applyNumberFormat="1" applyFont="1" applyFill="1" applyBorder="1"/>
    <xf numFmtId="165" fontId="6" fillId="0" borderId="16" xfId="85" applyNumberFormat="1" applyFont="1" applyFill="1" applyBorder="1"/>
    <xf numFmtId="0" fontId="0" fillId="0" borderId="11" xfId="0" applyFill="1" applyBorder="1" applyAlignment="1">
      <alignment horizontal="left" indent="1"/>
    </xf>
    <xf numFmtId="165" fontId="6" fillId="0" borderId="17" xfId="85" applyNumberFormat="1" applyFont="1" applyFill="1" applyBorder="1"/>
    <xf numFmtId="0" fontId="1" fillId="0" borderId="8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wrapText="1"/>
    </xf>
    <xf numFmtId="4" fontId="0" fillId="0" borderId="10" xfId="86" applyNumberFormat="1" applyFont="1" applyFill="1" applyBorder="1"/>
    <xf numFmtId="166" fontId="0" fillId="0" borderId="0" xfId="86" applyNumberFormat="1" applyFont="1" applyFill="1" applyBorder="1"/>
    <xf numFmtId="4" fontId="6" fillId="0" borderId="0" xfId="86" applyNumberFormat="1" applyFont="1" applyFill="1" applyBorder="1"/>
    <xf numFmtId="165" fontId="2" fillId="0" borderId="0" xfId="86" applyNumberFormat="1" applyFont="1" applyFill="1" applyBorder="1"/>
    <xf numFmtId="3" fontId="6" fillId="2" borderId="0" xfId="85" applyNumberFormat="1" applyFont="1" applyFill="1" applyBorder="1"/>
    <xf numFmtId="0" fontId="0" fillId="2" borderId="0" xfId="0" applyFont="1" applyFill="1" applyBorder="1" applyAlignment="1">
      <alignment wrapText="1"/>
    </xf>
    <xf numFmtId="167" fontId="0" fillId="0" borderId="10" xfId="86" applyNumberFormat="1" applyFont="1" applyFill="1" applyBorder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  <cellStyle name="Percent" xfId="85" builtinId="5"/>
    <cellStyle name="Percent 2" xfId="8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3</xdr:row>
      <xdr:rowOff>25400</xdr:rowOff>
    </xdr:from>
    <xdr:to>
      <xdr:col>11</xdr:col>
      <xdr:colOff>758205</xdr:colOff>
      <xdr:row>24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8700" y="635000"/>
          <a:ext cx="7540005" cy="443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76200</xdr:rowOff>
    </xdr:from>
    <xdr:to>
      <xdr:col>5</xdr:col>
      <xdr:colOff>203200</xdr:colOff>
      <xdr:row>4</xdr:row>
      <xdr:rowOff>177800</xdr:rowOff>
    </xdr:to>
    <xdr:sp macro="" textlink="">
      <xdr:nvSpPr>
        <xdr:cNvPr id="2" name="TextBox 1"/>
        <xdr:cNvSpPr txBox="1"/>
      </xdr:nvSpPr>
      <xdr:spPr>
        <a:xfrm>
          <a:off x="723900" y="279400"/>
          <a:ext cx="1107440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CBS only provides data about installed capacity and delivered heat for agriculture and utilities sector combined</a:t>
          </a:r>
        </a:p>
        <a:p>
          <a:r>
            <a:rPr lang="en-US" sz="1100"/>
            <a:t>It is assumed that the split of heat pumps between the agriculture and the utilities sector is the same as for the 2013 dataset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W70"/>
  <sheetViews>
    <sheetView tabSelected="1" topLeftCell="A13" workbookViewId="0">
      <selection activeCell="C25" sqref="C25"/>
    </sheetView>
  </sheetViews>
  <sheetFormatPr baseColWidth="10" defaultRowHeight="16" x14ac:dyDescent="0.2"/>
  <cols>
    <col min="1" max="1" width="10.83203125" style="78"/>
    <col min="2" max="2" width="75.33203125" style="78" customWidth="1"/>
    <col min="3" max="3" width="19.83203125" style="78" bestFit="1" customWidth="1"/>
    <col min="4" max="4" width="25.6640625" style="78" bestFit="1" customWidth="1"/>
    <col min="5" max="5" width="20.5" style="78" bestFit="1" customWidth="1"/>
    <col min="6" max="6" width="23.33203125" style="78" bestFit="1" customWidth="1"/>
    <col min="7" max="7" width="48.1640625" style="78" customWidth="1"/>
    <col min="8" max="8" width="23.33203125" style="78" customWidth="1"/>
    <col min="9" max="9" width="23.33203125" style="77" customWidth="1"/>
    <col min="10" max="10" width="42.83203125" style="78" customWidth="1"/>
    <col min="11" max="11" width="42.83203125" style="78" bestFit="1" customWidth="1"/>
    <col min="12" max="12" width="12.5" style="78" bestFit="1" customWidth="1"/>
    <col min="13" max="14" width="20" style="78" bestFit="1" customWidth="1"/>
    <col min="15" max="15" width="31" style="78" bestFit="1" customWidth="1"/>
    <col min="16" max="16" width="34" style="78" bestFit="1" customWidth="1"/>
    <col min="17" max="17" width="18.1640625" style="78" bestFit="1" customWidth="1"/>
    <col min="18" max="18" width="31" style="78" bestFit="1" customWidth="1"/>
    <col min="19" max="19" width="34" style="78" bestFit="1" customWidth="1"/>
    <col min="20" max="20" width="30.5" style="78" bestFit="1" customWidth="1"/>
    <col min="21" max="21" width="33" style="78" bestFit="1" customWidth="1"/>
    <col min="22" max="22" width="33.33203125" style="78" bestFit="1" customWidth="1"/>
    <col min="23" max="23" width="31" style="78" bestFit="1" customWidth="1"/>
    <col min="24" max="16384" width="10.83203125" style="78"/>
  </cols>
  <sheetData>
    <row r="7" spans="2:23" x14ac:dyDescent="0.2">
      <c r="B7" s="74" t="s">
        <v>115</v>
      </c>
      <c r="C7" s="75"/>
      <c r="D7" s="75"/>
      <c r="E7" s="75"/>
      <c r="F7" s="75"/>
      <c r="G7" s="75"/>
      <c r="H7" s="76"/>
    </row>
    <row r="8" spans="2:23" ht="48" x14ac:dyDescent="0.2">
      <c r="B8" s="79"/>
      <c r="C8" s="80"/>
      <c r="D8" s="81" t="str">
        <f>R10&amp;" "&amp;R11&amp;" "&amp;R12</f>
        <v>Thermisch vermogen Opgesteld aan het einde van het jaar MW-thermisch</v>
      </c>
      <c r="E8" s="81" t="str">
        <f>S10&amp;" "&amp;S11&amp;" "&amp;S12</f>
        <v>Energiestromen Bruto warmteproductie warmtepompen TJ</v>
      </c>
      <c r="F8" s="80" t="s">
        <v>116</v>
      </c>
      <c r="G8" s="81" t="str">
        <f>T10&amp;" "&amp;T11&amp;" "&amp;T12</f>
        <v>Energiestromen Verbruik van elektriciteit en aardgas TJ</v>
      </c>
      <c r="H8" s="81" t="str">
        <f>U10&amp;" "&amp;U11&amp;" "&amp;U12</f>
        <v>Energiestromen Onttrekking warmte uit bodem of lucht TJ</v>
      </c>
      <c r="J8" s="78" t="s">
        <v>117</v>
      </c>
    </row>
    <row r="9" spans="2:23" x14ac:dyDescent="0.2">
      <c r="B9" s="82" t="str">
        <f>K63</f>
        <v>Warmtepompen met bodemwarmte</v>
      </c>
      <c r="C9" s="83">
        <f>L63</f>
        <v>2015</v>
      </c>
      <c r="D9" s="83">
        <f>R63</f>
        <v>883</v>
      </c>
      <c r="E9" s="83">
        <f>S63</f>
        <v>3496</v>
      </c>
      <c r="F9" s="83">
        <f>E9*$C$11</f>
        <v>971111.11111111112</v>
      </c>
      <c r="G9" s="83">
        <f>T63</f>
        <v>913</v>
      </c>
      <c r="H9" s="83">
        <f>U63</f>
        <v>2583</v>
      </c>
      <c r="J9" s="78" t="s">
        <v>118</v>
      </c>
      <c r="K9" s="78" t="s">
        <v>119</v>
      </c>
    </row>
    <row r="10" spans="2:23" ht="17" thickBot="1" x14ac:dyDescent="0.25">
      <c r="B10" s="82" t="str">
        <f>K69</f>
        <v>Warmtepompen met buitenluchtwarmte</v>
      </c>
      <c r="C10" s="83">
        <f>L69</f>
        <v>2015</v>
      </c>
      <c r="D10" s="83">
        <f>R69</f>
        <v>1583</v>
      </c>
      <c r="E10" s="83">
        <f>S69</f>
        <v>2315</v>
      </c>
      <c r="F10" s="83">
        <f>E10*$C$11</f>
        <v>643055.5555555555</v>
      </c>
      <c r="G10" s="83">
        <f>T64</f>
        <v>231</v>
      </c>
      <c r="H10" s="83">
        <f>U64</f>
        <v>333</v>
      </c>
      <c r="L10" s="78" t="s">
        <v>120</v>
      </c>
      <c r="M10" s="78" t="s">
        <v>121</v>
      </c>
      <c r="N10" s="78" t="s">
        <v>121</v>
      </c>
      <c r="O10" s="78" t="s">
        <v>121</v>
      </c>
      <c r="P10" s="78" t="s">
        <v>122</v>
      </c>
      <c r="Q10" s="78" t="s">
        <v>122</v>
      </c>
      <c r="R10" s="78" t="s">
        <v>122</v>
      </c>
      <c r="S10" s="78" t="s">
        <v>123</v>
      </c>
      <c r="T10" s="78" t="s">
        <v>123</v>
      </c>
      <c r="U10" s="78" t="s">
        <v>123</v>
      </c>
      <c r="V10" s="78" t="s">
        <v>124</v>
      </c>
      <c r="W10" s="78" t="s">
        <v>125</v>
      </c>
    </row>
    <row r="11" spans="2:23" ht="17" thickBot="1" x14ac:dyDescent="0.25">
      <c r="B11" s="84" t="s">
        <v>126</v>
      </c>
      <c r="C11" s="85">
        <f>1/0.0036</f>
        <v>277.77777777777777</v>
      </c>
      <c r="D11" s="86" t="s">
        <v>127</v>
      </c>
      <c r="E11" s="86"/>
      <c r="F11" s="86"/>
      <c r="G11" s="86"/>
      <c r="H11" s="86"/>
      <c r="L11" s="78" t="s">
        <v>120</v>
      </c>
      <c r="M11" s="78" t="s">
        <v>128</v>
      </c>
      <c r="N11" s="78" t="s">
        <v>129</v>
      </c>
      <c r="O11" s="78" t="s">
        <v>130</v>
      </c>
      <c r="P11" s="78" t="s">
        <v>128</v>
      </c>
      <c r="Q11" s="78" t="s">
        <v>129</v>
      </c>
      <c r="R11" s="78" t="s">
        <v>130</v>
      </c>
      <c r="S11" s="78" t="s">
        <v>131</v>
      </c>
      <c r="T11" s="78" t="s">
        <v>132</v>
      </c>
      <c r="U11" s="78" t="s">
        <v>133</v>
      </c>
      <c r="V11" s="78" t="s">
        <v>124</v>
      </c>
      <c r="W11" s="78" t="s">
        <v>125</v>
      </c>
    </row>
    <row r="12" spans="2:23" x14ac:dyDescent="0.2">
      <c r="E12" s="78" t="s">
        <v>134</v>
      </c>
      <c r="J12" s="78" t="s">
        <v>135</v>
      </c>
      <c r="K12" s="78" t="s">
        <v>118</v>
      </c>
      <c r="L12" s="78" t="s">
        <v>136</v>
      </c>
      <c r="M12" s="78" t="s">
        <v>137</v>
      </c>
      <c r="N12" s="78" t="s">
        <v>137</v>
      </c>
      <c r="O12" s="78" t="s">
        <v>137</v>
      </c>
      <c r="P12" s="78" t="s">
        <v>138</v>
      </c>
      <c r="Q12" s="78" t="s">
        <v>138</v>
      </c>
      <c r="R12" s="78" t="s">
        <v>138</v>
      </c>
      <c r="S12" s="78" t="s">
        <v>64</v>
      </c>
      <c r="T12" s="78" t="s">
        <v>64</v>
      </c>
      <c r="U12" s="78" t="s">
        <v>64</v>
      </c>
      <c r="V12" s="78" t="s">
        <v>64</v>
      </c>
      <c r="W12" s="78" t="s">
        <v>139</v>
      </c>
    </row>
    <row r="13" spans="2:23" x14ac:dyDescent="0.2">
      <c r="B13" s="87" t="s">
        <v>140</v>
      </c>
      <c r="C13" s="88"/>
      <c r="D13" s="89"/>
      <c r="J13" s="78" t="s">
        <v>141</v>
      </c>
      <c r="K13" s="78" t="s">
        <v>142</v>
      </c>
      <c r="L13" s="78">
        <v>2010</v>
      </c>
      <c r="M13" s="78">
        <v>17953</v>
      </c>
      <c r="N13" s="78">
        <v>67</v>
      </c>
      <c r="O13" s="78">
        <v>75044</v>
      </c>
      <c r="P13" s="78">
        <v>355</v>
      </c>
      <c r="Q13" s="78">
        <v>1</v>
      </c>
      <c r="R13" s="78">
        <v>1248</v>
      </c>
      <c r="S13" s="78">
        <v>3869</v>
      </c>
      <c r="T13" s="78">
        <v>1150</v>
      </c>
      <c r="U13" s="78">
        <v>2719</v>
      </c>
      <c r="V13" s="78">
        <v>1445</v>
      </c>
      <c r="W13" s="78">
        <v>54</v>
      </c>
    </row>
    <row r="14" spans="2:23" ht="17" thickBot="1" x14ac:dyDescent="0.25">
      <c r="B14" s="84"/>
      <c r="C14" s="83" t="s">
        <v>143</v>
      </c>
      <c r="D14" s="90" t="s">
        <v>144</v>
      </c>
      <c r="J14" s="78" t="s">
        <v>141</v>
      </c>
      <c r="K14" s="78" t="s">
        <v>142</v>
      </c>
      <c r="L14" s="78">
        <v>2011</v>
      </c>
      <c r="M14" s="78">
        <v>44372</v>
      </c>
      <c r="N14" s="78">
        <v>146</v>
      </c>
      <c r="O14" s="78">
        <v>119270</v>
      </c>
      <c r="P14" s="78">
        <v>426</v>
      </c>
      <c r="Q14" s="78">
        <v>2</v>
      </c>
      <c r="R14" s="78">
        <v>1673</v>
      </c>
      <c r="S14" s="78">
        <v>4704</v>
      </c>
      <c r="T14" s="78">
        <v>1429</v>
      </c>
      <c r="U14" s="78">
        <v>3275</v>
      </c>
      <c r="V14" s="78">
        <v>1797</v>
      </c>
      <c r="W14" s="78">
        <v>68</v>
      </c>
    </row>
    <row r="15" spans="2:23" ht="17" thickBot="1" x14ac:dyDescent="0.25">
      <c r="B15" s="82" t="s">
        <v>145</v>
      </c>
      <c r="C15" s="91">
        <v>0.88890000000000002</v>
      </c>
      <c r="D15" s="92">
        <f>1-C15</f>
        <v>0.11109999999999998</v>
      </c>
      <c r="J15" s="78" t="s">
        <v>141</v>
      </c>
      <c r="K15" s="78" t="s">
        <v>142</v>
      </c>
      <c r="L15" s="78">
        <v>2012</v>
      </c>
      <c r="M15" s="78">
        <v>42745</v>
      </c>
      <c r="N15" s="78">
        <v>1408</v>
      </c>
      <c r="O15" s="78">
        <v>160608</v>
      </c>
      <c r="P15" s="78">
        <v>387</v>
      </c>
      <c r="Q15" s="78">
        <v>8</v>
      </c>
      <c r="R15" s="78">
        <v>2052</v>
      </c>
      <c r="S15" s="78">
        <v>5508</v>
      </c>
      <c r="T15" s="78">
        <v>1696</v>
      </c>
      <c r="U15" s="78">
        <v>3813</v>
      </c>
      <c r="V15" s="78">
        <v>1932</v>
      </c>
      <c r="W15" s="78">
        <v>55</v>
      </c>
    </row>
    <row r="16" spans="2:23" ht="18" thickBot="1" x14ac:dyDescent="0.25">
      <c r="B16" s="84" t="s">
        <v>146</v>
      </c>
      <c r="C16" s="93">
        <v>0.95650000000000002</v>
      </c>
      <c r="D16" s="91">
        <f>1-C16</f>
        <v>4.3499999999999983E-2</v>
      </c>
      <c r="J16" s="78" t="s">
        <v>141</v>
      </c>
      <c r="K16" s="78" t="s">
        <v>142</v>
      </c>
      <c r="L16" s="78">
        <v>2013</v>
      </c>
      <c r="M16" s="78">
        <v>40538</v>
      </c>
      <c r="N16" s="78">
        <v>1669</v>
      </c>
      <c r="O16" s="78">
        <v>199477</v>
      </c>
      <c r="P16" s="78">
        <v>384</v>
      </c>
      <c r="Q16" s="78">
        <v>14</v>
      </c>
      <c r="R16" s="78">
        <v>2422</v>
      </c>
      <c r="S16" s="78">
        <v>6355</v>
      </c>
      <c r="T16" s="78">
        <v>1979</v>
      </c>
      <c r="U16" s="78">
        <v>4377</v>
      </c>
      <c r="V16" s="78">
        <v>2224</v>
      </c>
      <c r="W16" s="78">
        <v>52</v>
      </c>
    </row>
    <row r="17" spans="2:23" x14ac:dyDescent="0.2">
      <c r="J17" s="78" t="s">
        <v>141</v>
      </c>
      <c r="K17" s="78" t="s">
        <v>142</v>
      </c>
      <c r="L17" s="78">
        <v>2014</v>
      </c>
      <c r="M17" s="78">
        <v>46538</v>
      </c>
      <c r="N17" s="78">
        <v>880</v>
      </c>
      <c r="O17" s="78">
        <v>245134</v>
      </c>
      <c r="P17" s="78">
        <v>429</v>
      </c>
      <c r="Q17" s="78">
        <v>10</v>
      </c>
      <c r="R17" s="78">
        <v>2841</v>
      </c>
      <c r="S17" s="78">
        <v>7298</v>
      </c>
      <c r="T17" s="78">
        <v>2302</v>
      </c>
      <c r="U17" s="78">
        <v>4996</v>
      </c>
      <c r="V17" s="78">
        <v>2362</v>
      </c>
      <c r="W17" s="78">
        <v>45</v>
      </c>
    </row>
    <row r="18" spans="2:23" x14ac:dyDescent="0.2">
      <c r="B18" s="87" t="s">
        <v>147</v>
      </c>
      <c r="C18" s="88"/>
      <c r="D18" s="89"/>
    </row>
    <row r="19" spans="2:23" ht="17" thickBot="1" x14ac:dyDescent="0.25">
      <c r="B19" s="84"/>
      <c r="C19" s="83" t="s">
        <v>148</v>
      </c>
      <c r="D19" s="90" t="s">
        <v>64</v>
      </c>
    </row>
    <row r="20" spans="2:23" ht="18" thickBot="1" x14ac:dyDescent="0.25">
      <c r="B20" s="82" t="s">
        <v>149</v>
      </c>
      <c r="C20" s="94" t="s">
        <v>150</v>
      </c>
      <c r="D20" s="85">
        <v>4190000</v>
      </c>
      <c r="J20" s="78" t="s">
        <v>141</v>
      </c>
      <c r="K20" s="78" t="s">
        <v>142</v>
      </c>
      <c r="L20" s="78">
        <v>2015</v>
      </c>
      <c r="M20" s="78">
        <v>51262</v>
      </c>
      <c r="N20" s="78">
        <v>938</v>
      </c>
      <c r="O20" s="78">
        <v>295459</v>
      </c>
      <c r="P20" s="78">
        <v>445</v>
      </c>
      <c r="Q20" s="78">
        <v>14</v>
      </c>
      <c r="R20" s="78">
        <v>3272</v>
      </c>
      <c r="S20" s="78">
        <v>8314</v>
      </c>
      <c r="T20" s="78">
        <v>2660</v>
      </c>
      <c r="U20" s="78">
        <v>5653</v>
      </c>
      <c r="V20" s="78">
        <v>2577</v>
      </c>
      <c r="W20" s="78">
        <v>17</v>
      </c>
    </row>
    <row r="21" spans="2:23" ht="18" thickBot="1" x14ac:dyDescent="0.25">
      <c r="B21" s="84" t="s">
        <v>151</v>
      </c>
      <c r="C21" s="94" t="s">
        <v>152</v>
      </c>
      <c r="D21" s="85">
        <v>404620</v>
      </c>
      <c r="J21" s="78" t="s">
        <v>141</v>
      </c>
      <c r="K21" s="78" t="s">
        <v>153</v>
      </c>
      <c r="L21" s="78">
        <v>2010</v>
      </c>
      <c r="M21" s="78">
        <v>5677</v>
      </c>
      <c r="N21" s="78">
        <v>41</v>
      </c>
      <c r="O21" s="78">
        <v>30293</v>
      </c>
      <c r="P21" s="78">
        <v>117</v>
      </c>
      <c r="Q21" s="78">
        <v>1</v>
      </c>
      <c r="R21" s="78">
        <v>749</v>
      </c>
      <c r="S21" s="78">
        <v>2967</v>
      </c>
      <c r="T21" s="78">
        <v>784</v>
      </c>
      <c r="U21" s="78">
        <v>2183</v>
      </c>
      <c r="V21" s="78">
        <v>1312</v>
      </c>
      <c r="W21" s="78">
        <v>55</v>
      </c>
    </row>
    <row r="22" spans="2:23" x14ac:dyDescent="0.2">
      <c r="B22" s="95"/>
      <c r="C22" s="96"/>
      <c r="D22" s="96"/>
      <c r="J22" s="78" t="s">
        <v>141</v>
      </c>
      <c r="K22" s="78" t="s">
        <v>153</v>
      </c>
      <c r="L22" s="78">
        <v>2011</v>
      </c>
      <c r="M22" s="78">
        <v>5859</v>
      </c>
      <c r="N22" s="78">
        <v>100</v>
      </c>
      <c r="O22" s="78">
        <v>36052</v>
      </c>
      <c r="P22" s="78">
        <v>122</v>
      </c>
      <c r="Q22" s="78">
        <v>2</v>
      </c>
      <c r="R22" s="78">
        <v>869</v>
      </c>
      <c r="S22" s="78">
        <v>3441</v>
      </c>
      <c r="T22" s="78">
        <v>903</v>
      </c>
      <c r="U22" s="78">
        <v>2538</v>
      </c>
      <c r="V22" s="78">
        <v>1582</v>
      </c>
      <c r="W22" s="78">
        <v>67</v>
      </c>
    </row>
    <row r="23" spans="2:23" x14ac:dyDescent="0.2">
      <c r="B23" s="87" t="s">
        <v>154</v>
      </c>
      <c r="C23" s="88"/>
      <c r="D23" s="89"/>
      <c r="J23" s="78" t="s">
        <v>141</v>
      </c>
      <c r="K23" s="78" t="s">
        <v>153</v>
      </c>
      <c r="L23" s="78">
        <v>2012</v>
      </c>
      <c r="M23" s="78">
        <v>5786</v>
      </c>
      <c r="N23" s="78">
        <v>581</v>
      </c>
      <c r="O23" s="78">
        <v>41257</v>
      </c>
      <c r="P23" s="78">
        <v>113</v>
      </c>
      <c r="Q23" s="78">
        <v>7</v>
      </c>
      <c r="R23" s="78">
        <v>975</v>
      </c>
      <c r="S23" s="78">
        <v>3860</v>
      </c>
      <c r="T23" s="78">
        <v>1008</v>
      </c>
      <c r="U23" s="78">
        <v>2852</v>
      </c>
      <c r="V23" s="78">
        <v>1700</v>
      </c>
      <c r="W23" s="78">
        <v>62</v>
      </c>
    </row>
    <row r="24" spans="2:23" x14ac:dyDescent="0.2">
      <c r="B24" s="84"/>
      <c r="C24" s="86" t="s">
        <v>155</v>
      </c>
      <c r="D24" s="97" t="s">
        <v>156</v>
      </c>
      <c r="J24" s="78" t="s">
        <v>141</v>
      </c>
      <c r="K24" s="78" t="s">
        <v>153</v>
      </c>
      <c r="L24" s="78">
        <v>2013</v>
      </c>
      <c r="M24" s="78">
        <v>3052</v>
      </c>
      <c r="N24" s="78">
        <v>427</v>
      </c>
      <c r="O24" s="78">
        <v>43882</v>
      </c>
      <c r="P24" s="78">
        <v>111</v>
      </c>
      <c r="Q24" s="78">
        <v>12</v>
      </c>
      <c r="R24" s="78">
        <v>1074</v>
      </c>
      <c r="S24" s="78">
        <v>4253</v>
      </c>
      <c r="T24" s="78">
        <v>1107</v>
      </c>
      <c r="U24" s="78">
        <v>3147</v>
      </c>
      <c r="V24" s="78">
        <v>1908</v>
      </c>
      <c r="W24" s="78">
        <v>64</v>
      </c>
    </row>
    <row r="25" spans="2:23" x14ac:dyDescent="0.2">
      <c r="B25" s="82" t="s">
        <v>145</v>
      </c>
      <c r="C25" s="98">
        <f>G9/SUM(D20:D21)*D20</f>
        <v>832.59769034218277</v>
      </c>
      <c r="D25" s="90">
        <f>C25/D15*C15</f>
        <v>6661.530935600058</v>
      </c>
      <c r="J25" s="78" t="s">
        <v>141</v>
      </c>
      <c r="K25" s="78" t="s">
        <v>153</v>
      </c>
      <c r="L25" s="78">
        <v>2014</v>
      </c>
      <c r="M25" s="78">
        <v>2510</v>
      </c>
      <c r="N25" s="78">
        <v>406</v>
      </c>
      <c r="O25" s="78">
        <v>45986</v>
      </c>
      <c r="P25" s="78">
        <v>96</v>
      </c>
      <c r="Q25" s="78">
        <v>10</v>
      </c>
      <c r="R25" s="78">
        <v>1160</v>
      </c>
      <c r="S25" s="78">
        <v>4595</v>
      </c>
      <c r="T25" s="78">
        <v>1191</v>
      </c>
      <c r="U25" s="78">
        <v>3404</v>
      </c>
      <c r="V25" s="78">
        <v>2007</v>
      </c>
      <c r="W25" s="78">
        <v>65</v>
      </c>
    </row>
    <row r="26" spans="2:23" x14ac:dyDescent="0.2">
      <c r="B26" s="84" t="s">
        <v>146</v>
      </c>
      <c r="C26" s="99">
        <f>G9/SUM(D20:D21)*D21</f>
        <v>80.402309657817185</v>
      </c>
      <c r="D26" s="97">
        <f>C26/D16*C16</f>
        <v>1767.9266479931534</v>
      </c>
      <c r="J26" s="78" t="s">
        <v>141</v>
      </c>
      <c r="K26" s="78" t="s">
        <v>153</v>
      </c>
      <c r="L26" s="78">
        <v>2015</v>
      </c>
      <c r="M26" s="78">
        <v>2086</v>
      </c>
      <c r="N26" s="78">
        <v>665</v>
      </c>
      <c r="O26" s="78">
        <v>47407</v>
      </c>
      <c r="P26" s="78">
        <v>91</v>
      </c>
      <c r="Q26" s="78">
        <v>13</v>
      </c>
      <c r="R26" s="78">
        <v>1238</v>
      </c>
      <c r="S26" s="78">
        <v>4902</v>
      </c>
      <c r="T26" s="78">
        <v>1268</v>
      </c>
      <c r="U26" s="78">
        <v>3634</v>
      </c>
      <c r="V26" s="78">
        <v>2138</v>
      </c>
      <c r="W26" s="78">
        <v>57</v>
      </c>
    </row>
    <row r="27" spans="2:23" x14ac:dyDescent="0.2">
      <c r="J27" s="78" t="s">
        <v>141</v>
      </c>
      <c r="K27" s="78" t="s">
        <v>157</v>
      </c>
      <c r="L27" s="78">
        <v>2010</v>
      </c>
      <c r="M27" s="78">
        <v>12276</v>
      </c>
      <c r="N27" s="78">
        <v>26</v>
      </c>
      <c r="O27" s="78">
        <v>44751</v>
      </c>
      <c r="P27" s="78">
        <v>239</v>
      </c>
      <c r="Q27" s="78">
        <v>0</v>
      </c>
      <c r="R27" s="78">
        <v>499</v>
      </c>
      <c r="S27" s="78">
        <v>902</v>
      </c>
      <c r="T27" s="78">
        <v>367</v>
      </c>
      <c r="U27" s="78">
        <v>536</v>
      </c>
      <c r="V27" s="78">
        <v>133</v>
      </c>
      <c r="W27" s="78">
        <v>-1</v>
      </c>
    </row>
    <row r="28" spans="2:23" ht="96" x14ac:dyDescent="0.2">
      <c r="E28" s="116" t="s">
        <v>173</v>
      </c>
      <c r="J28" s="78" t="s">
        <v>141</v>
      </c>
      <c r="K28" s="78" t="s">
        <v>157</v>
      </c>
      <c r="L28" s="78">
        <v>2011</v>
      </c>
      <c r="M28" s="78">
        <v>38513</v>
      </c>
      <c r="N28" s="78">
        <v>46</v>
      </c>
      <c r="O28" s="78">
        <v>83218</v>
      </c>
      <c r="P28" s="78">
        <v>305</v>
      </c>
      <c r="Q28" s="78">
        <v>0</v>
      </c>
      <c r="R28" s="78">
        <v>804</v>
      </c>
      <c r="S28" s="78">
        <v>1263</v>
      </c>
      <c r="T28" s="78">
        <v>526</v>
      </c>
      <c r="U28" s="78">
        <v>737</v>
      </c>
      <c r="V28" s="78">
        <v>215</v>
      </c>
      <c r="W28" s="78">
        <v>1</v>
      </c>
    </row>
    <row r="29" spans="2:23" x14ac:dyDescent="0.2">
      <c r="B29" s="100" t="s">
        <v>172</v>
      </c>
      <c r="C29" s="101"/>
      <c r="E29" s="115">
        <v>123576.38774999999</v>
      </c>
      <c r="J29" s="78" t="s">
        <v>141</v>
      </c>
      <c r="K29" s="78" t="s">
        <v>157</v>
      </c>
      <c r="L29" s="78">
        <v>2012</v>
      </c>
      <c r="M29" s="78">
        <v>36959</v>
      </c>
      <c r="N29" s="78">
        <v>827</v>
      </c>
      <c r="O29" s="78">
        <v>119350</v>
      </c>
      <c r="P29" s="78">
        <v>274</v>
      </c>
      <c r="Q29" s="78">
        <v>1</v>
      </c>
      <c r="R29" s="78">
        <v>1077</v>
      </c>
      <c r="S29" s="78">
        <v>1648</v>
      </c>
      <c r="T29" s="78">
        <v>688</v>
      </c>
      <c r="U29" s="78">
        <v>961</v>
      </c>
      <c r="V29" s="78">
        <v>232</v>
      </c>
      <c r="W29" s="78">
        <v>-7</v>
      </c>
    </row>
    <row r="30" spans="2:23" x14ac:dyDescent="0.2">
      <c r="B30" s="102" t="s">
        <v>158</v>
      </c>
      <c r="C30" s="103">
        <f>F39</f>
        <v>6.3529194243363812E-2</v>
      </c>
      <c r="J30" s="78" t="s">
        <v>141</v>
      </c>
      <c r="K30" s="78" t="s">
        <v>157</v>
      </c>
      <c r="L30" s="78">
        <v>2013</v>
      </c>
      <c r="M30" s="78">
        <v>37486</v>
      </c>
      <c r="N30" s="78">
        <v>1242</v>
      </c>
      <c r="O30" s="78">
        <v>155594</v>
      </c>
      <c r="P30" s="78">
        <v>273</v>
      </c>
      <c r="Q30" s="78">
        <v>2</v>
      </c>
      <c r="R30" s="78">
        <v>1348</v>
      </c>
      <c r="S30" s="78">
        <v>2102</v>
      </c>
      <c r="T30" s="78">
        <v>872</v>
      </c>
      <c r="U30" s="78">
        <v>1230</v>
      </c>
      <c r="V30" s="78">
        <v>316</v>
      </c>
      <c r="W30" s="78">
        <v>-13</v>
      </c>
    </row>
    <row r="31" spans="2:23" x14ac:dyDescent="0.2">
      <c r="B31" s="102" t="s">
        <v>159</v>
      </c>
      <c r="C31" s="104">
        <f>F40</f>
        <v>0.93647080575663622</v>
      </c>
      <c r="J31" s="78" t="s">
        <v>141</v>
      </c>
      <c r="K31" s="78" t="s">
        <v>157</v>
      </c>
      <c r="L31" s="78">
        <v>2014</v>
      </c>
      <c r="M31" s="78">
        <v>44028</v>
      </c>
      <c r="N31" s="78">
        <v>474</v>
      </c>
      <c r="O31" s="78">
        <v>199148</v>
      </c>
      <c r="P31" s="78">
        <v>333</v>
      </c>
      <c r="Q31" s="78">
        <v>1</v>
      </c>
      <c r="R31" s="78">
        <v>1681</v>
      </c>
      <c r="S31" s="78">
        <v>2703</v>
      </c>
      <c r="T31" s="78">
        <v>1111</v>
      </c>
      <c r="U31" s="78">
        <v>1592</v>
      </c>
      <c r="V31" s="78">
        <v>355</v>
      </c>
      <c r="W31" s="78">
        <v>-20</v>
      </c>
    </row>
    <row r="32" spans="2:23" x14ac:dyDescent="0.2">
      <c r="B32" s="102" t="s">
        <v>160</v>
      </c>
      <c r="C32" s="104">
        <v>0</v>
      </c>
      <c r="J32" s="78" t="s">
        <v>141</v>
      </c>
      <c r="K32" s="78" t="s">
        <v>157</v>
      </c>
      <c r="L32" s="78">
        <v>2015</v>
      </c>
      <c r="M32" s="78">
        <v>49176</v>
      </c>
      <c r="N32" s="78">
        <v>273</v>
      </c>
      <c r="O32" s="78">
        <v>248051</v>
      </c>
      <c r="P32" s="78">
        <v>354</v>
      </c>
      <c r="Q32" s="78">
        <v>0</v>
      </c>
      <c r="R32" s="78">
        <v>2035</v>
      </c>
      <c r="S32" s="78">
        <v>3412</v>
      </c>
      <c r="T32" s="78">
        <v>1393</v>
      </c>
      <c r="U32" s="78">
        <v>2019</v>
      </c>
      <c r="V32" s="78">
        <v>439</v>
      </c>
      <c r="W32" s="78">
        <v>-39</v>
      </c>
    </row>
    <row r="33" spans="2:23" x14ac:dyDescent="0.2">
      <c r="B33" s="102" t="s">
        <v>161</v>
      </c>
      <c r="C33" s="104">
        <v>0</v>
      </c>
      <c r="J33" s="78" t="s">
        <v>162</v>
      </c>
      <c r="K33" s="78" t="s">
        <v>142</v>
      </c>
      <c r="L33" s="78">
        <v>2010</v>
      </c>
      <c r="M33" s="78">
        <v>8400</v>
      </c>
      <c r="N33" s="78">
        <v>43</v>
      </c>
      <c r="O33" s="78">
        <v>51058</v>
      </c>
      <c r="P33" s="78">
        <v>65</v>
      </c>
      <c r="Q33" s="78">
        <v>0</v>
      </c>
      <c r="R33" s="78">
        <v>302</v>
      </c>
      <c r="S33" s="78">
        <v>1262</v>
      </c>
      <c r="T33" s="78">
        <v>370</v>
      </c>
      <c r="U33" s="78">
        <v>892</v>
      </c>
      <c r="V33" s="78">
        <v>476</v>
      </c>
      <c r="W33" s="78">
        <v>18</v>
      </c>
    </row>
    <row r="34" spans="2:23" x14ac:dyDescent="0.2">
      <c r="B34" s="102" t="s">
        <v>163</v>
      </c>
      <c r="C34" s="104">
        <v>0</v>
      </c>
      <c r="J34" s="78" t="s">
        <v>162</v>
      </c>
      <c r="K34" s="78" t="s">
        <v>142</v>
      </c>
      <c r="L34" s="78">
        <v>2011</v>
      </c>
      <c r="M34" s="78">
        <v>18649</v>
      </c>
      <c r="N34" s="78">
        <v>109</v>
      </c>
      <c r="O34" s="78">
        <v>69598</v>
      </c>
      <c r="P34" s="78">
        <v>111</v>
      </c>
      <c r="Q34" s="78">
        <v>1</v>
      </c>
      <c r="R34" s="78">
        <v>412</v>
      </c>
      <c r="S34" s="78">
        <v>1559</v>
      </c>
      <c r="T34" s="78">
        <v>477</v>
      </c>
      <c r="U34" s="78">
        <v>1082</v>
      </c>
      <c r="V34" s="78">
        <v>602</v>
      </c>
      <c r="W34" s="78">
        <v>23</v>
      </c>
    </row>
    <row r="35" spans="2:23" x14ac:dyDescent="0.2">
      <c r="B35" s="105" t="s">
        <v>164</v>
      </c>
      <c r="C35" s="106">
        <v>0</v>
      </c>
      <c r="J35" s="78" t="s">
        <v>162</v>
      </c>
      <c r="K35" s="78" t="s">
        <v>142</v>
      </c>
      <c r="L35" s="78">
        <v>2012</v>
      </c>
      <c r="M35" s="78">
        <v>19163</v>
      </c>
      <c r="N35" s="78">
        <v>1297</v>
      </c>
      <c r="O35" s="78">
        <v>87464</v>
      </c>
      <c r="P35" s="78">
        <v>100</v>
      </c>
      <c r="Q35" s="78">
        <v>4</v>
      </c>
      <c r="R35" s="78">
        <v>507</v>
      </c>
      <c r="S35" s="78">
        <v>1795</v>
      </c>
      <c r="T35" s="78">
        <v>555</v>
      </c>
      <c r="U35" s="78">
        <v>1241</v>
      </c>
      <c r="V35" s="78">
        <v>645</v>
      </c>
      <c r="W35" s="78">
        <v>19</v>
      </c>
    </row>
    <row r="36" spans="2:23" x14ac:dyDescent="0.2">
      <c r="J36" s="78" t="s">
        <v>162</v>
      </c>
      <c r="K36" s="78" t="s">
        <v>142</v>
      </c>
      <c r="L36" s="78">
        <v>2013</v>
      </c>
      <c r="M36" s="78">
        <v>16739</v>
      </c>
      <c r="N36" s="78">
        <v>1547</v>
      </c>
      <c r="O36" s="78">
        <v>102656</v>
      </c>
      <c r="P36" s="78">
        <v>87</v>
      </c>
      <c r="Q36" s="78">
        <v>7</v>
      </c>
      <c r="R36" s="78">
        <v>587</v>
      </c>
      <c r="S36" s="78">
        <v>1999</v>
      </c>
      <c r="T36" s="78">
        <v>631</v>
      </c>
      <c r="U36" s="78">
        <v>1368</v>
      </c>
      <c r="V36" s="78">
        <v>706</v>
      </c>
      <c r="W36" s="78">
        <v>17</v>
      </c>
    </row>
    <row r="37" spans="2:23" x14ac:dyDescent="0.2">
      <c r="J37" s="78" t="s">
        <v>162</v>
      </c>
      <c r="K37" s="78" t="s">
        <v>142</v>
      </c>
      <c r="L37" s="78">
        <v>2014</v>
      </c>
      <c r="M37" s="78">
        <v>19323</v>
      </c>
      <c r="N37" s="78">
        <v>753</v>
      </c>
      <c r="O37" s="78">
        <v>121226</v>
      </c>
      <c r="P37" s="78">
        <v>106</v>
      </c>
      <c r="Q37" s="78">
        <v>3</v>
      </c>
      <c r="R37" s="78">
        <v>690</v>
      </c>
      <c r="S37" s="78">
        <v>2238</v>
      </c>
      <c r="T37" s="78">
        <v>717</v>
      </c>
      <c r="U37" s="78">
        <v>1520</v>
      </c>
      <c r="V37" s="78">
        <v>728</v>
      </c>
      <c r="W37" s="78">
        <v>14</v>
      </c>
    </row>
    <row r="38" spans="2:23" ht="48" x14ac:dyDescent="0.2">
      <c r="B38" s="107" t="s">
        <v>165</v>
      </c>
      <c r="C38" s="108" t="s">
        <v>166</v>
      </c>
      <c r="D38" s="109" t="s">
        <v>167</v>
      </c>
      <c r="E38" s="110" t="s">
        <v>168</v>
      </c>
      <c r="F38" s="110" t="s">
        <v>169</v>
      </c>
      <c r="H38" s="77"/>
      <c r="I38" s="78" t="s">
        <v>162</v>
      </c>
      <c r="J38" s="78" t="s">
        <v>142</v>
      </c>
      <c r="K38" s="78">
        <v>2015</v>
      </c>
      <c r="L38" s="78">
        <v>22926</v>
      </c>
      <c r="M38" s="78">
        <v>727</v>
      </c>
      <c r="N38" s="78">
        <v>143425</v>
      </c>
      <c r="O38" s="78">
        <v>121</v>
      </c>
      <c r="P38" s="78">
        <v>4</v>
      </c>
      <c r="Q38" s="78">
        <v>806</v>
      </c>
      <c r="R38" s="78">
        <v>2502</v>
      </c>
      <c r="S38" s="78">
        <v>812</v>
      </c>
      <c r="T38" s="78">
        <v>1690</v>
      </c>
      <c r="U38" s="78">
        <v>774</v>
      </c>
      <c r="V38" s="78">
        <v>5</v>
      </c>
    </row>
    <row r="39" spans="2:23" x14ac:dyDescent="0.2">
      <c r="B39" s="102" t="s">
        <v>158</v>
      </c>
      <c r="C39" s="111">
        <f>C25</f>
        <v>832.59769034218277</v>
      </c>
      <c r="D39" s="112">
        <f>1/D15</f>
        <v>9.0009000900090026</v>
      </c>
      <c r="E39" s="113">
        <f>C39*D39</f>
        <v>7494.1286259422404</v>
      </c>
      <c r="F39" s="114">
        <f>E39/SUM(E$39:E$40)</f>
        <v>6.3529194243363812E-2</v>
      </c>
      <c r="H39" s="77"/>
      <c r="I39" s="78" t="s">
        <v>162</v>
      </c>
      <c r="J39" s="78" t="s">
        <v>153</v>
      </c>
      <c r="K39" s="78">
        <v>2010</v>
      </c>
      <c r="L39" s="78">
        <v>5040</v>
      </c>
      <c r="M39" s="78">
        <v>18</v>
      </c>
      <c r="N39" s="78">
        <v>23481</v>
      </c>
      <c r="O39" s="78">
        <v>46</v>
      </c>
      <c r="P39" s="78">
        <v>0</v>
      </c>
      <c r="Q39" s="78">
        <v>233</v>
      </c>
      <c r="R39" s="78">
        <v>925</v>
      </c>
      <c r="S39" s="78">
        <v>234</v>
      </c>
      <c r="T39" s="78">
        <v>690</v>
      </c>
      <c r="U39" s="78">
        <v>427</v>
      </c>
      <c r="V39" s="78">
        <v>18</v>
      </c>
    </row>
    <row r="40" spans="2:23" x14ac:dyDescent="0.2">
      <c r="B40" s="82" t="s">
        <v>159</v>
      </c>
      <c r="C40" s="117">
        <f>E29-C25</f>
        <v>122743.79005965781</v>
      </c>
      <c r="D40" s="112">
        <v>0.9</v>
      </c>
      <c r="E40" s="113">
        <f>C40*D40</f>
        <v>110469.41105369203</v>
      </c>
      <c r="F40" s="114">
        <f>E40/SUM(E$39:E$40)</f>
        <v>0.93647080575663622</v>
      </c>
      <c r="H40" s="77"/>
      <c r="I40" s="78" t="s">
        <v>162</v>
      </c>
      <c r="J40" s="78" t="s">
        <v>153</v>
      </c>
      <c r="K40" s="78">
        <v>2011</v>
      </c>
      <c r="L40" s="78">
        <v>4890</v>
      </c>
      <c r="M40" s="78">
        <v>66</v>
      </c>
      <c r="N40" s="78">
        <v>28305</v>
      </c>
      <c r="O40" s="78">
        <v>44</v>
      </c>
      <c r="P40" s="78">
        <v>0</v>
      </c>
      <c r="Q40" s="78">
        <v>277</v>
      </c>
      <c r="R40" s="78">
        <v>1099</v>
      </c>
      <c r="S40" s="78">
        <v>278</v>
      </c>
      <c r="T40" s="78">
        <v>821</v>
      </c>
      <c r="U40" s="78">
        <v>523</v>
      </c>
      <c r="V40" s="78">
        <v>23</v>
      </c>
    </row>
    <row r="41" spans="2:23" x14ac:dyDescent="0.2">
      <c r="J41" s="78" t="s">
        <v>162</v>
      </c>
      <c r="K41" s="78" t="s">
        <v>157</v>
      </c>
      <c r="L41" s="78">
        <v>2010</v>
      </c>
      <c r="M41" s="78">
        <v>3360</v>
      </c>
      <c r="N41" s="78">
        <v>25</v>
      </c>
      <c r="O41" s="78">
        <v>27577</v>
      </c>
      <c r="P41" s="78">
        <v>20</v>
      </c>
      <c r="Q41" s="78">
        <v>0</v>
      </c>
      <c r="R41" s="78">
        <v>68</v>
      </c>
      <c r="S41" s="78">
        <v>338</v>
      </c>
      <c r="T41" s="78">
        <v>135</v>
      </c>
      <c r="U41" s="78">
        <v>202</v>
      </c>
      <c r="V41" s="78">
        <v>49</v>
      </c>
      <c r="W41" s="78">
        <v>0</v>
      </c>
    </row>
    <row r="42" spans="2:23" x14ac:dyDescent="0.2">
      <c r="J42" s="78" t="s">
        <v>162</v>
      </c>
      <c r="K42" s="78" t="s">
        <v>157</v>
      </c>
      <c r="L42" s="78">
        <v>2011</v>
      </c>
      <c r="M42" s="78">
        <v>13759</v>
      </c>
      <c r="N42" s="78">
        <v>43</v>
      </c>
      <c r="O42" s="78">
        <v>41293</v>
      </c>
      <c r="P42" s="78">
        <v>66</v>
      </c>
      <c r="Q42" s="78">
        <v>0</v>
      </c>
      <c r="R42" s="78">
        <v>134</v>
      </c>
      <c r="S42" s="78">
        <v>461</v>
      </c>
      <c r="T42" s="78">
        <v>199</v>
      </c>
      <c r="U42" s="78">
        <v>261</v>
      </c>
      <c r="V42" s="78">
        <v>79</v>
      </c>
      <c r="W42" s="78">
        <v>1</v>
      </c>
    </row>
    <row r="48" spans="2:23" x14ac:dyDescent="0.2">
      <c r="I48" s="78"/>
      <c r="J48" s="78" t="s">
        <v>162</v>
      </c>
      <c r="K48" s="78" t="s">
        <v>157</v>
      </c>
      <c r="L48" s="78">
        <v>2012</v>
      </c>
      <c r="M48" s="78">
        <v>14320</v>
      </c>
      <c r="N48" s="78">
        <v>805</v>
      </c>
      <c r="O48" s="78">
        <v>54808</v>
      </c>
      <c r="P48" s="78">
        <v>61</v>
      </c>
      <c r="Q48" s="78">
        <v>1</v>
      </c>
      <c r="R48" s="78">
        <v>195</v>
      </c>
      <c r="S48" s="78">
        <v>557</v>
      </c>
      <c r="T48" s="78">
        <v>242</v>
      </c>
      <c r="U48" s="78">
        <v>315</v>
      </c>
      <c r="V48" s="78">
        <v>80</v>
      </c>
      <c r="W48" s="78">
        <v>-2</v>
      </c>
    </row>
    <row r="49" spans="9:23" x14ac:dyDescent="0.2">
      <c r="I49" s="78"/>
      <c r="J49" s="78" t="s">
        <v>162</v>
      </c>
      <c r="K49" s="78" t="s">
        <v>157</v>
      </c>
      <c r="L49" s="78">
        <v>2013</v>
      </c>
      <c r="M49" s="78">
        <v>14317</v>
      </c>
      <c r="N49" s="78">
        <v>1169</v>
      </c>
      <c r="O49" s="78">
        <v>67956</v>
      </c>
      <c r="P49" s="78">
        <v>68</v>
      </c>
      <c r="Q49" s="78">
        <v>2</v>
      </c>
      <c r="R49" s="78">
        <v>261</v>
      </c>
      <c r="S49" s="78">
        <v>707</v>
      </c>
      <c r="T49" s="78">
        <v>305</v>
      </c>
      <c r="U49" s="78">
        <v>402</v>
      </c>
      <c r="V49" s="78">
        <v>108</v>
      </c>
      <c r="W49" s="78">
        <v>-4</v>
      </c>
    </row>
    <row r="50" spans="9:23" x14ac:dyDescent="0.2">
      <c r="I50" s="78"/>
      <c r="J50" s="78" t="s">
        <v>162</v>
      </c>
      <c r="K50" s="78" t="s">
        <v>157</v>
      </c>
      <c r="L50" s="78">
        <v>2014</v>
      </c>
      <c r="M50" s="78">
        <v>17313</v>
      </c>
      <c r="N50" s="78">
        <v>474</v>
      </c>
      <c r="O50" s="78">
        <v>84795</v>
      </c>
      <c r="P50" s="78">
        <v>88</v>
      </c>
      <c r="Q50" s="78">
        <v>1</v>
      </c>
      <c r="R50" s="78">
        <v>348</v>
      </c>
      <c r="S50" s="78">
        <v>883</v>
      </c>
      <c r="T50" s="78">
        <v>376</v>
      </c>
      <c r="U50" s="78">
        <v>508</v>
      </c>
      <c r="V50" s="78">
        <v>119</v>
      </c>
      <c r="W50" s="78">
        <v>-6</v>
      </c>
    </row>
    <row r="51" spans="9:23" x14ac:dyDescent="0.2">
      <c r="I51" s="78"/>
      <c r="J51" s="78" t="s">
        <v>162</v>
      </c>
      <c r="K51" s="78" t="s">
        <v>157</v>
      </c>
      <c r="L51" s="78">
        <v>2015</v>
      </c>
      <c r="M51" s="78">
        <v>21278</v>
      </c>
      <c r="N51" s="78">
        <v>273</v>
      </c>
      <c r="O51" s="78">
        <v>105800</v>
      </c>
      <c r="P51" s="78">
        <v>104</v>
      </c>
      <c r="Q51" s="78">
        <v>0</v>
      </c>
      <c r="R51" s="78">
        <v>451</v>
      </c>
      <c r="S51" s="78">
        <v>1097</v>
      </c>
      <c r="T51" s="78">
        <v>458</v>
      </c>
      <c r="U51" s="78">
        <v>639</v>
      </c>
      <c r="V51" s="78">
        <v>143</v>
      </c>
      <c r="W51" s="78">
        <v>-12</v>
      </c>
    </row>
    <row r="52" spans="9:23" x14ac:dyDescent="0.2">
      <c r="I52" s="78"/>
      <c r="J52" s="78" t="s">
        <v>170</v>
      </c>
      <c r="K52" s="78" t="s">
        <v>142</v>
      </c>
      <c r="L52" s="78">
        <v>2010</v>
      </c>
      <c r="M52" s="78">
        <v>9553</v>
      </c>
      <c r="N52" s="78">
        <v>24</v>
      </c>
      <c r="O52" s="78">
        <v>23986</v>
      </c>
      <c r="P52" s="78">
        <v>290</v>
      </c>
      <c r="Q52" s="78">
        <v>1</v>
      </c>
      <c r="R52" s="78">
        <v>947</v>
      </c>
      <c r="S52" s="78">
        <v>2607</v>
      </c>
      <c r="T52" s="78">
        <v>780</v>
      </c>
      <c r="U52" s="78">
        <v>1827</v>
      </c>
      <c r="V52" s="78">
        <v>969</v>
      </c>
      <c r="W52" s="78">
        <v>36</v>
      </c>
    </row>
    <row r="53" spans="9:23" x14ac:dyDescent="0.2">
      <c r="I53" s="78"/>
      <c r="J53" s="78" t="s">
        <v>170</v>
      </c>
      <c r="K53" s="78" t="s">
        <v>142</v>
      </c>
      <c r="L53" s="78">
        <v>2011</v>
      </c>
      <c r="M53" s="78">
        <v>25723</v>
      </c>
      <c r="N53" s="78">
        <v>37</v>
      </c>
      <c r="O53" s="78">
        <v>49673</v>
      </c>
      <c r="P53" s="78">
        <v>315</v>
      </c>
      <c r="Q53" s="78">
        <v>1</v>
      </c>
      <c r="R53" s="78">
        <v>1261</v>
      </c>
      <c r="S53" s="78">
        <v>3144</v>
      </c>
      <c r="T53" s="78">
        <v>952</v>
      </c>
      <c r="U53" s="78">
        <v>2193</v>
      </c>
      <c r="V53" s="78">
        <v>1194</v>
      </c>
      <c r="W53" s="78">
        <v>45</v>
      </c>
    </row>
    <row r="54" spans="9:23" x14ac:dyDescent="0.2">
      <c r="I54" s="78"/>
      <c r="J54" s="78" t="s">
        <v>170</v>
      </c>
      <c r="K54" s="78" t="s">
        <v>142</v>
      </c>
      <c r="L54" s="78">
        <v>2012</v>
      </c>
      <c r="M54" s="78">
        <v>23582</v>
      </c>
      <c r="N54" s="78">
        <v>111</v>
      </c>
      <c r="O54" s="78">
        <v>73144</v>
      </c>
      <c r="P54" s="78">
        <v>287</v>
      </c>
      <c r="Q54" s="78">
        <v>4</v>
      </c>
      <c r="R54" s="78">
        <v>1544</v>
      </c>
      <c r="S54" s="78">
        <v>3713</v>
      </c>
      <c r="T54" s="78">
        <v>1141</v>
      </c>
      <c r="U54" s="78">
        <v>2572</v>
      </c>
      <c r="V54" s="78">
        <v>1287</v>
      </c>
      <c r="W54" s="78">
        <v>36</v>
      </c>
    </row>
    <row r="55" spans="9:23" x14ac:dyDescent="0.2">
      <c r="I55" s="78"/>
      <c r="J55" s="78" t="s">
        <v>170</v>
      </c>
      <c r="K55" s="78" t="s">
        <v>142</v>
      </c>
      <c r="L55" s="78">
        <v>2013</v>
      </c>
      <c r="M55" s="78">
        <v>23799</v>
      </c>
      <c r="N55" s="78">
        <v>122</v>
      </c>
      <c r="O55" s="78">
        <v>96821</v>
      </c>
      <c r="P55" s="78">
        <v>297</v>
      </c>
      <c r="Q55" s="78">
        <v>6</v>
      </c>
      <c r="R55" s="78">
        <v>1835</v>
      </c>
      <c r="S55" s="78">
        <v>4356</v>
      </c>
      <c r="T55" s="78">
        <v>1347</v>
      </c>
      <c r="U55" s="78">
        <v>3008</v>
      </c>
      <c r="V55" s="78">
        <v>1518</v>
      </c>
      <c r="W55" s="78">
        <v>35</v>
      </c>
    </row>
    <row r="56" spans="9:23" x14ac:dyDescent="0.2">
      <c r="I56" s="78"/>
      <c r="J56" s="78" t="s">
        <v>170</v>
      </c>
      <c r="K56" s="78" t="s">
        <v>142</v>
      </c>
      <c r="L56" s="78">
        <v>2014</v>
      </c>
      <c r="M56" s="78">
        <v>27215</v>
      </c>
      <c r="N56" s="78">
        <v>127</v>
      </c>
      <c r="O56" s="78">
        <v>123908</v>
      </c>
      <c r="P56" s="78">
        <v>323</v>
      </c>
      <c r="Q56" s="78">
        <v>7</v>
      </c>
      <c r="R56" s="78">
        <v>2151</v>
      </c>
      <c r="S56" s="78">
        <v>5061</v>
      </c>
      <c r="T56" s="78">
        <v>1585</v>
      </c>
      <c r="U56" s="78">
        <v>3476</v>
      </c>
      <c r="V56" s="78">
        <v>1634</v>
      </c>
      <c r="W56" s="78">
        <v>31</v>
      </c>
    </row>
    <row r="57" spans="9:23" x14ac:dyDescent="0.2">
      <c r="I57" s="78"/>
      <c r="J57" s="78" t="s">
        <v>170</v>
      </c>
      <c r="K57" s="78" t="s">
        <v>142</v>
      </c>
      <c r="L57" s="78">
        <v>2015</v>
      </c>
      <c r="M57" s="78">
        <v>28336</v>
      </c>
      <c r="N57" s="78">
        <v>211</v>
      </c>
      <c r="O57" s="78">
        <v>152034</v>
      </c>
      <c r="P57" s="78">
        <v>324</v>
      </c>
      <c r="Q57" s="78">
        <v>10</v>
      </c>
      <c r="R57" s="78">
        <v>2466</v>
      </c>
      <c r="S57" s="78">
        <v>5811</v>
      </c>
      <c r="T57" s="78">
        <v>1848</v>
      </c>
      <c r="U57" s="78">
        <v>3963</v>
      </c>
      <c r="V57" s="78">
        <v>1803</v>
      </c>
      <c r="W57" s="78">
        <v>12</v>
      </c>
    </row>
    <row r="58" spans="9:23" x14ac:dyDescent="0.2">
      <c r="I58" s="78"/>
      <c r="J58" s="78" t="s">
        <v>170</v>
      </c>
      <c r="K58" s="78" t="s">
        <v>153</v>
      </c>
      <c r="L58" s="78">
        <v>2010</v>
      </c>
      <c r="M58" s="78">
        <v>637</v>
      </c>
      <c r="N58" s="78">
        <v>23</v>
      </c>
      <c r="O58" s="78">
        <v>6812</v>
      </c>
      <c r="P58" s="78">
        <v>71</v>
      </c>
      <c r="Q58" s="78">
        <v>1</v>
      </c>
      <c r="R58" s="78">
        <v>516</v>
      </c>
      <c r="S58" s="78">
        <v>2042</v>
      </c>
      <c r="T58" s="78">
        <v>549</v>
      </c>
      <c r="U58" s="78">
        <v>1493</v>
      </c>
      <c r="V58" s="78">
        <v>886</v>
      </c>
      <c r="W58" s="78">
        <v>37</v>
      </c>
    </row>
    <row r="59" spans="9:23" x14ac:dyDescent="0.2">
      <c r="I59" s="78"/>
      <c r="J59" s="78" t="s">
        <v>170</v>
      </c>
      <c r="K59" s="78" t="s">
        <v>153</v>
      </c>
      <c r="L59" s="78">
        <v>2011</v>
      </c>
      <c r="M59" s="78">
        <v>969</v>
      </c>
      <c r="N59" s="78">
        <v>34</v>
      </c>
      <c r="O59" s="78">
        <v>7747</v>
      </c>
      <c r="P59" s="78">
        <v>77</v>
      </c>
      <c r="Q59" s="78">
        <v>1</v>
      </c>
      <c r="R59" s="78">
        <v>592</v>
      </c>
      <c r="S59" s="78">
        <v>2343</v>
      </c>
      <c r="T59" s="78">
        <v>625</v>
      </c>
      <c r="U59" s="78">
        <v>1718</v>
      </c>
      <c r="V59" s="78">
        <v>1059</v>
      </c>
      <c r="W59" s="78">
        <v>45</v>
      </c>
    </row>
    <row r="60" spans="9:23" x14ac:dyDescent="0.2">
      <c r="I60" s="78"/>
      <c r="J60" s="78" t="s">
        <v>170</v>
      </c>
      <c r="K60" s="78" t="s">
        <v>153</v>
      </c>
      <c r="L60" s="78">
        <v>2012</v>
      </c>
      <c r="M60" s="78">
        <v>943</v>
      </c>
      <c r="N60" s="78">
        <v>89</v>
      </c>
      <c r="O60" s="78">
        <v>8601</v>
      </c>
      <c r="P60" s="78">
        <v>74</v>
      </c>
      <c r="Q60" s="78">
        <v>4</v>
      </c>
      <c r="R60" s="78">
        <v>662</v>
      </c>
      <c r="S60" s="78">
        <v>2622</v>
      </c>
      <c r="T60" s="78">
        <v>695</v>
      </c>
      <c r="U60" s="78">
        <v>1926</v>
      </c>
      <c r="V60" s="78">
        <v>1135</v>
      </c>
      <c r="W60" s="78">
        <v>41</v>
      </c>
    </row>
    <row r="61" spans="9:23" x14ac:dyDescent="0.2">
      <c r="I61" s="78"/>
      <c r="J61" s="78" t="s">
        <v>170</v>
      </c>
      <c r="K61" s="78" t="s">
        <v>153</v>
      </c>
      <c r="L61" s="78">
        <v>2013</v>
      </c>
      <c r="M61" s="78">
        <v>630</v>
      </c>
      <c r="N61" s="78">
        <v>49</v>
      </c>
      <c r="O61" s="78">
        <v>9182</v>
      </c>
      <c r="P61" s="78">
        <v>92</v>
      </c>
      <c r="Q61" s="78">
        <v>6</v>
      </c>
      <c r="R61" s="78">
        <v>748</v>
      </c>
      <c r="S61" s="78">
        <v>2961</v>
      </c>
      <c r="T61" s="78">
        <v>780</v>
      </c>
      <c r="U61" s="78">
        <v>2181</v>
      </c>
      <c r="V61" s="78">
        <v>1310</v>
      </c>
      <c r="W61" s="78">
        <v>44</v>
      </c>
    </row>
    <row r="62" spans="9:23" x14ac:dyDescent="0.2">
      <c r="I62" s="78"/>
      <c r="J62" s="78" t="s">
        <v>170</v>
      </c>
      <c r="K62" s="78" t="s">
        <v>153</v>
      </c>
      <c r="L62" s="78">
        <v>2014</v>
      </c>
      <c r="M62" s="78">
        <v>500</v>
      </c>
      <c r="N62" s="78">
        <v>127</v>
      </c>
      <c r="O62" s="78">
        <v>9555</v>
      </c>
      <c r="P62" s="78">
        <v>78</v>
      </c>
      <c r="Q62" s="78">
        <v>7</v>
      </c>
      <c r="R62" s="78">
        <v>818</v>
      </c>
      <c r="S62" s="78">
        <v>3241</v>
      </c>
      <c r="T62" s="78">
        <v>850</v>
      </c>
      <c r="U62" s="78">
        <v>2391</v>
      </c>
      <c r="V62" s="78">
        <v>1398</v>
      </c>
      <c r="W62" s="78">
        <v>45</v>
      </c>
    </row>
    <row r="63" spans="9:23" x14ac:dyDescent="0.2">
      <c r="I63" s="78"/>
      <c r="J63" s="78" t="s">
        <v>170</v>
      </c>
      <c r="K63" s="78" t="s">
        <v>153</v>
      </c>
      <c r="L63" s="78">
        <v>2015</v>
      </c>
      <c r="M63" s="78">
        <v>438</v>
      </c>
      <c r="N63" s="78">
        <v>211</v>
      </c>
      <c r="O63" s="78">
        <v>9782</v>
      </c>
      <c r="P63" s="78">
        <v>74</v>
      </c>
      <c r="Q63" s="78">
        <v>10</v>
      </c>
      <c r="R63" s="78">
        <v>883</v>
      </c>
      <c r="S63" s="78">
        <v>3496</v>
      </c>
      <c r="T63" s="78">
        <v>913</v>
      </c>
      <c r="U63" s="78">
        <v>2583</v>
      </c>
      <c r="V63" s="78">
        <v>1508</v>
      </c>
      <c r="W63" s="78">
        <v>39</v>
      </c>
    </row>
    <row r="64" spans="9:23" x14ac:dyDescent="0.2">
      <c r="I64" s="78"/>
      <c r="J64" s="78" t="s">
        <v>170</v>
      </c>
      <c r="K64" s="78" t="s">
        <v>157</v>
      </c>
      <c r="L64" s="78">
        <v>2010</v>
      </c>
      <c r="M64" s="78">
        <v>8916</v>
      </c>
      <c r="N64" s="78">
        <v>1</v>
      </c>
      <c r="O64" s="78">
        <v>17174</v>
      </c>
      <c r="P64" s="78">
        <v>219</v>
      </c>
      <c r="Q64" s="78">
        <v>0</v>
      </c>
      <c r="R64" s="78">
        <v>431</v>
      </c>
      <c r="S64" s="78">
        <v>565</v>
      </c>
      <c r="T64" s="78">
        <v>231</v>
      </c>
      <c r="U64" s="78">
        <v>333</v>
      </c>
      <c r="V64" s="78">
        <v>83</v>
      </c>
      <c r="W64" s="78">
        <v>-1</v>
      </c>
    </row>
    <row r="65" spans="9:23" x14ac:dyDescent="0.2">
      <c r="I65" s="78"/>
      <c r="J65" s="78" t="s">
        <v>170</v>
      </c>
      <c r="K65" s="78" t="s">
        <v>157</v>
      </c>
      <c r="L65" s="78">
        <v>2011</v>
      </c>
      <c r="M65" s="78">
        <v>24754</v>
      </c>
      <c r="N65" s="78">
        <v>3</v>
      </c>
      <c r="O65" s="78">
        <v>41925</v>
      </c>
      <c r="P65" s="78">
        <v>238</v>
      </c>
      <c r="Q65" s="78">
        <v>0</v>
      </c>
      <c r="R65" s="78">
        <v>669</v>
      </c>
      <c r="S65" s="78">
        <v>802</v>
      </c>
      <c r="T65" s="78">
        <v>327</v>
      </c>
      <c r="U65" s="78">
        <v>475</v>
      </c>
      <c r="V65" s="78">
        <v>136</v>
      </c>
      <c r="W65" s="78">
        <v>0</v>
      </c>
    </row>
    <row r="66" spans="9:23" x14ac:dyDescent="0.2">
      <c r="I66" s="78"/>
      <c r="J66" s="78" t="s">
        <v>170</v>
      </c>
      <c r="K66" s="78" t="s">
        <v>157</v>
      </c>
      <c r="L66" s="78">
        <v>2012</v>
      </c>
      <c r="M66" s="78">
        <v>22639</v>
      </c>
      <c r="N66" s="78">
        <v>22</v>
      </c>
      <c r="O66" s="78">
        <v>64542</v>
      </c>
      <c r="P66" s="78">
        <v>213</v>
      </c>
      <c r="Q66" s="78">
        <v>0</v>
      </c>
      <c r="R66" s="78">
        <v>882</v>
      </c>
      <c r="S66" s="78">
        <v>1092</v>
      </c>
      <c r="T66" s="78">
        <v>446</v>
      </c>
      <c r="U66" s="78">
        <v>646</v>
      </c>
      <c r="V66" s="78">
        <v>152</v>
      </c>
      <c r="W66" s="78">
        <v>-5</v>
      </c>
    </row>
    <row r="67" spans="9:23" x14ac:dyDescent="0.2">
      <c r="I67" s="78"/>
      <c r="J67" s="78" t="s">
        <v>170</v>
      </c>
      <c r="K67" s="78" t="s">
        <v>157</v>
      </c>
      <c r="L67" s="78">
        <v>2013</v>
      </c>
      <c r="M67" s="78">
        <v>23169</v>
      </c>
      <c r="N67" s="78">
        <v>73</v>
      </c>
      <c r="O67" s="78">
        <v>87638</v>
      </c>
      <c r="P67" s="78">
        <v>206</v>
      </c>
      <c r="Q67" s="78">
        <v>0</v>
      </c>
      <c r="R67" s="78">
        <v>1088</v>
      </c>
      <c r="S67" s="78">
        <v>1395</v>
      </c>
      <c r="T67" s="78">
        <v>567</v>
      </c>
      <c r="U67" s="78">
        <v>828</v>
      </c>
      <c r="V67" s="78">
        <v>208</v>
      </c>
      <c r="W67" s="78">
        <v>-9</v>
      </c>
    </row>
    <row r="68" spans="9:23" x14ac:dyDescent="0.2">
      <c r="I68" s="78"/>
      <c r="J68" s="78" t="s">
        <v>170</v>
      </c>
      <c r="K68" s="78" t="s">
        <v>157</v>
      </c>
      <c r="L68" s="78">
        <v>2014</v>
      </c>
      <c r="M68" s="78">
        <v>26715</v>
      </c>
      <c r="N68" s="78">
        <v>0</v>
      </c>
      <c r="O68" s="78">
        <v>114353</v>
      </c>
      <c r="P68" s="78">
        <v>245</v>
      </c>
      <c r="Q68" s="78">
        <v>0</v>
      </c>
      <c r="R68" s="78">
        <v>1333</v>
      </c>
      <c r="S68" s="78">
        <v>1820</v>
      </c>
      <c r="T68" s="78">
        <v>735</v>
      </c>
      <c r="U68" s="78">
        <v>1085</v>
      </c>
      <c r="V68" s="78">
        <v>236</v>
      </c>
      <c r="W68" s="78">
        <v>-14</v>
      </c>
    </row>
    <row r="69" spans="9:23" x14ac:dyDescent="0.2">
      <c r="I69" s="78"/>
      <c r="J69" s="78" t="s">
        <v>170</v>
      </c>
      <c r="K69" s="78" t="s">
        <v>157</v>
      </c>
      <c r="L69" s="78">
        <v>2015</v>
      </c>
      <c r="M69" s="78">
        <v>27898</v>
      </c>
      <c r="N69" s="78">
        <v>0</v>
      </c>
      <c r="O69" s="78">
        <v>142251</v>
      </c>
      <c r="P69" s="78">
        <v>250</v>
      </c>
      <c r="Q69" s="78">
        <v>0</v>
      </c>
      <c r="R69" s="78">
        <v>1583</v>
      </c>
      <c r="S69" s="78">
        <v>2315</v>
      </c>
      <c r="T69" s="78">
        <v>935</v>
      </c>
      <c r="U69" s="78">
        <v>1380</v>
      </c>
      <c r="V69" s="78">
        <v>296</v>
      </c>
      <c r="W69" s="78">
        <v>-27</v>
      </c>
    </row>
    <row r="70" spans="9:23" x14ac:dyDescent="0.2">
      <c r="I70" s="78"/>
      <c r="J70" s="78" t="s">
        <v>171</v>
      </c>
    </row>
  </sheetData>
  <mergeCells count="5">
    <mergeCell ref="B7:H7"/>
    <mergeCell ref="B13:D13"/>
    <mergeCell ref="B18:D18"/>
    <mergeCell ref="B23:D23"/>
    <mergeCell ref="B29:C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C31" sqref="C31"/>
    </sheetView>
  </sheetViews>
  <sheetFormatPr baseColWidth="10" defaultRowHeight="16" x14ac:dyDescent="0.2"/>
  <cols>
    <col min="1" max="1" width="3.83203125" customWidth="1"/>
    <col min="2" max="6" width="18.33203125" customWidth="1"/>
  </cols>
  <sheetData>
    <row r="2" spans="2:6" x14ac:dyDescent="0.2">
      <c r="B2" s="7" t="s">
        <v>25</v>
      </c>
    </row>
    <row r="3" spans="2:6" x14ac:dyDescent="0.2">
      <c r="B3" s="12"/>
      <c r="C3" s="12" t="s">
        <v>23</v>
      </c>
      <c r="D3" s="12" t="s">
        <v>24</v>
      </c>
    </row>
    <row r="4" spans="2:6" x14ac:dyDescent="0.2">
      <c r="B4" t="s">
        <v>16</v>
      </c>
      <c r="C4" s="1">
        <v>1</v>
      </c>
      <c r="D4" s="68">
        <v>11542987.4409546</v>
      </c>
    </row>
    <row r="5" spans="2:6" x14ac:dyDescent="0.2">
      <c r="B5" t="s">
        <v>17</v>
      </c>
      <c r="C5" s="5">
        <v>0.65</v>
      </c>
      <c r="D5" s="11">
        <f>$D$4*(C5/SUM($C$5:$C$10))</f>
        <v>7480500.3356136475</v>
      </c>
      <c r="F5" s="4"/>
    </row>
    <row r="6" spans="2:6" x14ac:dyDescent="0.2">
      <c r="B6" t="s">
        <v>18</v>
      </c>
      <c r="C6" s="5">
        <v>0.14000000000000001</v>
      </c>
      <c r="D6" s="11">
        <f t="shared" ref="D6:D10" si="0">$D$4*(C6/SUM($C$5:$C$10))</f>
        <v>1611184.687670632</v>
      </c>
      <c r="F6" s="4"/>
    </row>
    <row r="7" spans="2:6" x14ac:dyDescent="0.2">
      <c r="B7" t="s">
        <v>19</v>
      </c>
      <c r="C7" s="5">
        <v>3.0000000000000001E-3</v>
      </c>
      <c r="D7" s="11">
        <f t="shared" si="0"/>
        <v>34525.386164370684</v>
      </c>
      <c r="F7" s="4"/>
    </row>
    <row r="8" spans="2:6" x14ac:dyDescent="0.2">
      <c r="B8" t="s">
        <v>20</v>
      </c>
      <c r="C8" s="5">
        <v>0.03</v>
      </c>
      <c r="D8" s="11">
        <f t="shared" si="0"/>
        <v>345253.8616437068</v>
      </c>
      <c r="F8" s="4"/>
    </row>
    <row r="9" spans="2:6" x14ac:dyDescent="0.2">
      <c r="B9" t="s">
        <v>21</v>
      </c>
      <c r="C9" s="5">
        <v>0.06</v>
      </c>
      <c r="D9" s="11">
        <f t="shared" si="0"/>
        <v>690507.7232874136</v>
      </c>
      <c r="F9" s="4"/>
    </row>
    <row r="10" spans="2:6" x14ac:dyDescent="0.2">
      <c r="B10" s="13" t="s">
        <v>22</v>
      </c>
      <c r="C10" s="14">
        <v>0.12</v>
      </c>
      <c r="D10" s="15">
        <f t="shared" si="0"/>
        <v>1381015.4465748272</v>
      </c>
    </row>
    <row r="13" spans="2:6" x14ac:dyDescent="0.2">
      <c r="B13" s="7" t="s">
        <v>26</v>
      </c>
    </row>
    <row r="14" spans="2:6" x14ac:dyDescent="0.2">
      <c r="B14" s="12"/>
      <c r="C14" s="12" t="s">
        <v>14</v>
      </c>
      <c r="D14" s="12" t="s">
        <v>12</v>
      </c>
      <c r="E14" s="12" t="s">
        <v>13</v>
      </c>
    </row>
    <row r="15" spans="2:6" x14ac:dyDescent="0.2">
      <c r="B15" s="2" t="s">
        <v>15</v>
      </c>
      <c r="C15" s="16">
        <v>4.05</v>
      </c>
      <c r="D15" s="16">
        <v>250</v>
      </c>
    </row>
    <row r="16" spans="2:6" x14ac:dyDescent="0.2">
      <c r="B16" t="s">
        <v>0</v>
      </c>
      <c r="C16" s="6">
        <v>2.6</v>
      </c>
      <c r="D16" s="3">
        <f>$D$15*C16/$C$15</f>
        <v>160.49382716049382</v>
      </c>
      <c r="E16" s="19">
        <f>D16/SUM(D16:D17)</f>
        <v>0.40310077519379844</v>
      </c>
    </row>
    <row r="17" spans="2:6" x14ac:dyDescent="0.2">
      <c r="B17" s="13" t="s">
        <v>1</v>
      </c>
      <c r="C17" s="17">
        <v>3.85</v>
      </c>
      <c r="D17" s="18">
        <f>$D$15*C17/$C$15</f>
        <v>237.65432098765433</v>
      </c>
      <c r="E17" s="20">
        <f>D17/SUM(D16:D17)</f>
        <v>0.59689922480620161</v>
      </c>
    </row>
    <row r="20" spans="2:6" x14ac:dyDescent="0.2">
      <c r="B20" s="7" t="s">
        <v>2</v>
      </c>
    </row>
    <row r="21" spans="2:6" x14ac:dyDescent="0.2">
      <c r="B21" s="22"/>
      <c r="C21" s="12" t="s">
        <v>14</v>
      </c>
      <c r="D21" s="12" t="s">
        <v>12</v>
      </c>
      <c r="E21" s="12" t="s">
        <v>13</v>
      </c>
      <c r="F21" s="22"/>
    </row>
    <row r="22" spans="2:6" x14ac:dyDescent="0.2">
      <c r="B22" s="2" t="s">
        <v>15</v>
      </c>
      <c r="C22" s="16">
        <v>2.88</v>
      </c>
      <c r="D22" s="16">
        <v>80</v>
      </c>
    </row>
    <row r="23" spans="2:6" x14ac:dyDescent="0.2">
      <c r="B23" t="s">
        <v>3</v>
      </c>
      <c r="C23" s="6">
        <v>2.39</v>
      </c>
      <c r="D23" s="3">
        <f>$D$22*C23/$C$22</f>
        <v>66.3888888888889</v>
      </c>
      <c r="E23" s="21">
        <f>D23/$D$29</f>
        <v>0.28486293206197855</v>
      </c>
      <c r="F23" s="70">
        <f>(E23+E24)*$E$17</f>
        <v>0.25825318069684289</v>
      </c>
    </row>
    <row r="24" spans="2:6" x14ac:dyDescent="0.2">
      <c r="B24" t="s">
        <v>4</v>
      </c>
      <c r="C24" s="6">
        <v>1.24</v>
      </c>
      <c r="D24" s="3">
        <f t="shared" ref="D24:D28" si="1">$D$22*C24/$C$22</f>
        <v>34.44444444444445</v>
      </c>
      <c r="E24" s="21">
        <f t="shared" ref="E24:E28" si="2">D24/$D$29</f>
        <v>0.14779499404052446</v>
      </c>
      <c r="F24" s="70"/>
    </row>
    <row r="25" spans="2:6" x14ac:dyDescent="0.2">
      <c r="B25" t="s">
        <v>5</v>
      </c>
      <c r="C25" s="6">
        <v>1.54</v>
      </c>
      <c r="D25" s="3">
        <f t="shared" si="1"/>
        <v>42.777777777777779</v>
      </c>
      <c r="E25" s="21">
        <f t="shared" si="2"/>
        <v>0.1835518474374255</v>
      </c>
      <c r="F25" s="10">
        <f t="shared" ref="F25:F29" si="3">E25*$E$17</f>
        <v>0.10956195544714546</v>
      </c>
    </row>
    <row r="26" spans="2:6" x14ac:dyDescent="0.2">
      <c r="B26" t="s">
        <v>9</v>
      </c>
      <c r="C26" s="6">
        <v>0.88</v>
      </c>
      <c r="D26" s="3">
        <f t="shared" si="1"/>
        <v>24.444444444444446</v>
      </c>
      <c r="E26" s="21">
        <f t="shared" si="2"/>
        <v>0.10488676996424315</v>
      </c>
      <c r="F26" s="10">
        <f t="shared" si="3"/>
        <v>6.2606831684083125E-2</v>
      </c>
    </row>
    <row r="27" spans="2:6" x14ac:dyDescent="0.2">
      <c r="B27" t="s">
        <v>6</v>
      </c>
      <c r="C27" s="6">
        <v>1.71</v>
      </c>
      <c r="D27" s="3">
        <f t="shared" si="1"/>
        <v>47.500000000000007</v>
      </c>
      <c r="E27" s="21">
        <f t="shared" si="2"/>
        <v>0.20381406436233612</v>
      </c>
      <c r="F27" s="10">
        <f t="shared" si="3"/>
        <v>0.12165645702247971</v>
      </c>
    </row>
    <row r="28" spans="2:6" x14ac:dyDescent="0.2">
      <c r="B28" t="s">
        <v>7</v>
      </c>
      <c r="C28" s="23">
        <v>0.63</v>
      </c>
      <c r="D28" s="3">
        <f t="shared" si="1"/>
        <v>17.5</v>
      </c>
      <c r="E28" s="21">
        <f t="shared" si="2"/>
        <v>7.508939213349225E-2</v>
      </c>
      <c r="F28" s="10">
        <f t="shared" si="3"/>
        <v>4.4820799955650414E-2</v>
      </c>
    </row>
    <row r="29" spans="2:6" x14ac:dyDescent="0.2">
      <c r="B29" s="22" t="s">
        <v>8</v>
      </c>
      <c r="C29" s="22"/>
      <c r="D29" s="24">
        <f>SUM(D23:D28)</f>
        <v>233.05555555555557</v>
      </c>
      <c r="E29" s="25">
        <f>SUM(E23:E28)</f>
        <v>1</v>
      </c>
      <c r="F29" s="25">
        <f t="shared" si="3"/>
        <v>0.59689922480620161</v>
      </c>
    </row>
    <row r="31" spans="2:6" s="7" customFormat="1" x14ac:dyDescent="0.2">
      <c r="B31" s="9" t="s">
        <v>10</v>
      </c>
      <c r="C31" t="s">
        <v>114</v>
      </c>
    </row>
    <row r="32" spans="2:6" x14ac:dyDescent="0.2">
      <c r="C32" s="9" t="s">
        <v>11</v>
      </c>
    </row>
  </sheetData>
  <mergeCells count="1">
    <mergeCell ref="F23:F24"/>
  </mergeCell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workbookViewId="0">
      <selection activeCell="I31" sqref="I31"/>
    </sheetView>
  </sheetViews>
  <sheetFormatPr baseColWidth="10" defaultRowHeight="16" x14ac:dyDescent="0.2"/>
  <cols>
    <col min="1" max="1" width="3.83203125" style="8" customWidth="1"/>
    <col min="2" max="2" width="20.83203125" style="8" customWidth="1"/>
    <col min="3" max="7" width="10.83203125" style="29"/>
    <col min="8" max="8" width="3.83203125" style="42" customWidth="1"/>
    <col min="9" max="9" width="10.83203125" style="29"/>
    <col min="10" max="10" width="10.83203125" style="8"/>
  </cols>
  <sheetData>
    <row r="2" spans="2:8" x14ac:dyDescent="0.2">
      <c r="B2" s="67" t="s">
        <v>105</v>
      </c>
    </row>
    <row r="3" spans="2:8" customFormat="1" x14ac:dyDescent="0.2">
      <c r="B3" s="26"/>
      <c r="C3" s="27" t="s">
        <v>27</v>
      </c>
      <c r="D3" s="27" t="s">
        <v>28</v>
      </c>
      <c r="E3" s="27" t="s">
        <v>29</v>
      </c>
      <c r="F3" s="27" t="s">
        <v>30</v>
      </c>
      <c r="G3" s="28"/>
      <c r="H3" s="28"/>
    </row>
    <row r="4" spans="2:8" customFormat="1" x14ac:dyDescent="0.2">
      <c r="B4" s="8" t="s">
        <v>38</v>
      </c>
      <c r="C4" s="30">
        <v>0.14000000000000001</v>
      </c>
      <c r="D4" s="30">
        <v>1.0200000000000001E-2</v>
      </c>
      <c r="E4" s="30">
        <v>8.3050780146264547E-2</v>
      </c>
      <c r="F4" s="30">
        <v>2.0000000000000001E-4</v>
      </c>
      <c r="G4" s="30"/>
      <c r="H4" s="31"/>
    </row>
    <row r="5" spans="2:8" customFormat="1" x14ac:dyDescent="0.2">
      <c r="B5" s="8" t="s">
        <v>32</v>
      </c>
      <c r="C5" s="30"/>
      <c r="D5" s="30"/>
      <c r="E5" s="30"/>
      <c r="F5" s="30"/>
      <c r="G5" s="30"/>
      <c r="H5" s="31"/>
    </row>
    <row r="6" spans="2:8" customFormat="1" x14ac:dyDescent="0.2">
      <c r="B6" s="8" t="s">
        <v>39</v>
      </c>
      <c r="C6" s="30">
        <v>0</v>
      </c>
      <c r="D6" s="30">
        <v>8.9999999999999998E-4</v>
      </c>
      <c r="E6" s="30">
        <v>0</v>
      </c>
      <c r="F6" s="30">
        <v>0</v>
      </c>
      <c r="G6" s="30"/>
      <c r="H6" s="31"/>
    </row>
    <row r="7" spans="2:8" customFormat="1" x14ac:dyDescent="0.2">
      <c r="B7" s="8" t="s">
        <v>33</v>
      </c>
      <c r="C7" s="30">
        <v>0</v>
      </c>
      <c r="D7" s="30">
        <v>0</v>
      </c>
      <c r="E7" s="30">
        <v>0</v>
      </c>
      <c r="F7" s="30">
        <v>0</v>
      </c>
      <c r="G7" s="30"/>
      <c r="H7" s="31"/>
    </row>
    <row r="8" spans="2:8" customFormat="1" x14ac:dyDescent="0.2">
      <c r="B8" s="8" t="s">
        <v>40</v>
      </c>
      <c r="C8" s="30">
        <v>9.7000000000000003E-2</v>
      </c>
      <c r="D8" s="30">
        <v>0</v>
      </c>
      <c r="E8" s="30">
        <v>0</v>
      </c>
      <c r="F8" s="30">
        <v>0</v>
      </c>
      <c r="G8" s="30"/>
      <c r="H8" s="31"/>
    </row>
    <row r="9" spans="2:8" customFormat="1" x14ac:dyDescent="0.2">
      <c r="B9" s="8" t="s">
        <v>41</v>
      </c>
      <c r="C9" s="30">
        <v>2.8767981574953916E-3</v>
      </c>
      <c r="D9" s="30">
        <v>6.3999999999999994E-3</v>
      </c>
      <c r="E9" s="30">
        <v>7.5892857142857131E-4</v>
      </c>
      <c r="F9" s="30">
        <v>6.2000000000000006E-3</v>
      </c>
      <c r="G9" s="30"/>
      <c r="H9" s="31"/>
    </row>
    <row r="10" spans="2:8" customFormat="1" x14ac:dyDescent="0.2">
      <c r="B10" s="8" t="s">
        <v>34</v>
      </c>
      <c r="C10" s="30">
        <v>0.14000000000000001</v>
      </c>
      <c r="D10" s="30">
        <v>0.27500000000000002</v>
      </c>
      <c r="E10" s="30">
        <v>8.2885431400282882E-3</v>
      </c>
      <c r="F10" s="30">
        <v>0.27800000000000002</v>
      </c>
      <c r="G10" s="30"/>
      <c r="H10" s="31"/>
    </row>
    <row r="11" spans="2:8" customFormat="1" x14ac:dyDescent="0.2">
      <c r="B11" s="8" t="s">
        <v>42</v>
      </c>
      <c r="C11" s="30">
        <v>2.8000000000000001E-2</v>
      </c>
      <c r="D11" s="30">
        <v>0.12</v>
      </c>
      <c r="E11" s="30">
        <v>0.15452891717743203</v>
      </c>
      <c r="F11" s="30">
        <v>0.379</v>
      </c>
      <c r="G11" s="30"/>
      <c r="H11" s="31"/>
    </row>
    <row r="12" spans="2:8" customFormat="1" x14ac:dyDescent="0.2">
      <c r="B12" s="8" t="s">
        <v>43</v>
      </c>
      <c r="C12" s="30">
        <v>0.30499999999999999</v>
      </c>
      <c r="D12" s="30">
        <v>0.38700000000000001</v>
      </c>
      <c r="E12" s="30">
        <v>0.70893358888057845</v>
      </c>
      <c r="F12" s="30">
        <v>0.245</v>
      </c>
      <c r="G12" s="30"/>
      <c r="H12" s="31"/>
    </row>
    <row r="13" spans="2:8" customFormat="1" x14ac:dyDescent="0.2">
      <c r="B13" s="8" t="s">
        <v>44</v>
      </c>
      <c r="C13" s="30">
        <v>0.28300000000000003</v>
      </c>
      <c r="D13" s="30">
        <v>0.192</v>
      </c>
      <c r="E13" s="30">
        <v>4.3950750020776197E-2</v>
      </c>
      <c r="F13" s="30">
        <v>9.0800000000000006E-2</v>
      </c>
      <c r="G13" s="30"/>
      <c r="H13" s="31"/>
    </row>
    <row r="14" spans="2:8" customFormat="1" x14ac:dyDescent="0.2">
      <c r="B14" s="8" t="s">
        <v>45</v>
      </c>
      <c r="C14" s="30"/>
      <c r="D14" s="30"/>
      <c r="E14" s="30"/>
      <c r="F14" s="30"/>
      <c r="G14" s="30"/>
      <c r="H14" s="31"/>
    </row>
    <row r="15" spans="2:8" customFormat="1" x14ac:dyDescent="0.2">
      <c r="B15" s="8" t="s">
        <v>35</v>
      </c>
      <c r="C15" s="30">
        <v>4.3989877154497229E-3</v>
      </c>
      <c r="D15" s="30">
        <v>8.5000000000000006E-3</v>
      </c>
      <c r="E15" s="30">
        <v>4.8849206349206348E-4</v>
      </c>
      <c r="F15" s="30">
        <v>8.0000000000000004E-4</v>
      </c>
      <c r="G15" s="30"/>
      <c r="H15" s="31"/>
    </row>
    <row r="16" spans="2:8" customFormat="1" x14ac:dyDescent="0.2">
      <c r="B16" s="32" t="s">
        <v>31</v>
      </c>
      <c r="C16" s="33">
        <v>1.0002757858729452</v>
      </c>
      <c r="D16" s="33">
        <v>1</v>
      </c>
      <c r="E16" s="33">
        <v>1.0000000000000002</v>
      </c>
      <c r="F16" s="33">
        <v>1</v>
      </c>
      <c r="G16" s="31"/>
      <c r="H16" s="31"/>
    </row>
    <row r="19" spans="1:10" x14ac:dyDescent="0.2">
      <c r="B19" s="67" t="s">
        <v>106</v>
      </c>
    </row>
    <row r="20" spans="1:10" ht="32" x14ac:dyDescent="0.2">
      <c r="A20"/>
      <c r="B20" s="26"/>
      <c r="C20" s="27" t="s">
        <v>27</v>
      </c>
      <c r="D20" s="27" t="s">
        <v>28</v>
      </c>
      <c r="E20" s="27" t="s">
        <v>29</v>
      </c>
      <c r="F20" s="27" t="s">
        <v>30</v>
      </c>
      <c r="G20" s="27" t="s">
        <v>46</v>
      </c>
      <c r="H20" s="28"/>
      <c r="I20" s="27" t="s">
        <v>37</v>
      </c>
      <c r="J20"/>
    </row>
    <row r="21" spans="1:10" x14ac:dyDescent="0.2">
      <c r="A21"/>
      <c r="B21" s="32" t="s">
        <v>36</v>
      </c>
      <c r="C21" s="34">
        <v>1608000</v>
      </c>
      <c r="D21" s="34">
        <v>1150000</v>
      </c>
      <c r="E21" s="34">
        <v>1185122.63735796</v>
      </c>
      <c r="F21" s="34">
        <v>320000</v>
      </c>
      <c r="G21" s="34">
        <f>SUM(C21:F21)</f>
        <v>4263122.6373579595</v>
      </c>
      <c r="H21" s="35"/>
      <c r="I21" s="34">
        <v>7480500.3356136503</v>
      </c>
      <c r="J21"/>
    </row>
    <row r="24" spans="1:10" x14ac:dyDescent="0.2">
      <c r="B24" s="67" t="s">
        <v>107</v>
      </c>
    </row>
    <row r="25" spans="1:10" ht="32" x14ac:dyDescent="0.2">
      <c r="A25"/>
      <c r="B25" s="26"/>
      <c r="C25" s="27" t="s">
        <v>27</v>
      </c>
      <c r="D25" s="27" t="s">
        <v>28</v>
      </c>
      <c r="E25" s="27" t="s">
        <v>29</v>
      </c>
      <c r="F25" s="27" t="s">
        <v>30</v>
      </c>
      <c r="G25" s="27" t="s">
        <v>46</v>
      </c>
      <c r="H25" s="28"/>
      <c r="I25" s="36" t="s">
        <v>37</v>
      </c>
      <c r="J25"/>
    </row>
    <row r="26" spans="1:10" x14ac:dyDescent="0.2">
      <c r="A26"/>
      <c r="B26" s="8" t="s">
        <v>38</v>
      </c>
      <c r="C26" s="37">
        <f t="shared" ref="C26:C37" si="0">C4*C$21</f>
        <v>225120.00000000003</v>
      </c>
      <c r="D26" s="37">
        <f t="shared" ref="D26:F26" si="1">D4*D$21</f>
        <v>11730</v>
      </c>
      <c r="E26" s="37">
        <f t="shared" si="1"/>
        <v>98425.359601577147</v>
      </c>
      <c r="F26" s="37">
        <f t="shared" si="1"/>
        <v>64</v>
      </c>
      <c r="G26" s="37">
        <f t="shared" ref="G26:G37" si="2">SUM(C26:F26)</f>
        <v>335339.35960157716</v>
      </c>
      <c r="H26" s="35"/>
      <c r="I26" s="38">
        <f>G26/SUM(G$26:G$37)</f>
        <v>7.865231865870416E-2</v>
      </c>
      <c r="J26"/>
    </row>
    <row r="27" spans="1:10" x14ac:dyDescent="0.2">
      <c r="A27"/>
      <c r="B27" s="8" t="s">
        <v>32</v>
      </c>
      <c r="C27" s="37">
        <f t="shared" si="0"/>
        <v>0</v>
      </c>
      <c r="D27" s="37">
        <f t="shared" ref="D27:F37" si="3">D5*D$21</f>
        <v>0</v>
      </c>
      <c r="E27" s="37">
        <f t="shared" si="3"/>
        <v>0</v>
      </c>
      <c r="F27" s="37">
        <f t="shared" si="3"/>
        <v>0</v>
      </c>
      <c r="G27" s="37">
        <f t="shared" si="2"/>
        <v>0</v>
      </c>
      <c r="H27" s="35"/>
      <c r="I27" s="38">
        <f t="shared" ref="I27:I37" si="4">G27/SUM(G$26:G$37)</f>
        <v>0</v>
      </c>
      <c r="J27"/>
    </row>
    <row r="28" spans="1:10" x14ac:dyDescent="0.2">
      <c r="A28"/>
      <c r="B28" s="8" t="s">
        <v>39</v>
      </c>
      <c r="C28" s="37">
        <f t="shared" si="0"/>
        <v>0</v>
      </c>
      <c r="D28" s="37">
        <f t="shared" si="3"/>
        <v>1035</v>
      </c>
      <c r="E28" s="37">
        <f t="shared" si="3"/>
        <v>0</v>
      </c>
      <c r="F28" s="37">
        <f t="shared" si="3"/>
        <v>0</v>
      </c>
      <c r="G28" s="37">
        <f t="shared" si="2"/>
        <v>1035</v>
      </c>
      <c r="H28" s="35"/>
      <c r="I28" s="38">
        <f t="shared" si="4"/>
        <v>2.4275453352233317E-4</v>
      </c>
      <c r="J28"/>
    </row>
    <row r="29" spans="1:10" x14ac:dyDescent="0.2">
      <c r="A29"/>
      <c r="B29" s="8" t="s">
        <v>33</v>
      </c>
      <c r="C29" s="37">
        <f t="shared" si="0"/>
        <v>0</v>
      </c>
      <c r="D29" s="37">
        <f t="shared" si="3"/>
        <v>0</v>
      </c>
      <c r="E29" s="37">
        <f t="shared" si="3"/>
        <v>0</v>
      </c>
      <c r="F29" s="37">
        <f t="shared" si="3"/>
        <v>0</v>
      </c>
      <c r="G29" s="37">
        <f t="shared" si="2"/>
        <v>0</v>
      </c>
      <c r="H29" s="35"/>
      <c r="I29" s="38">
        <f t="shared" si="4"/>
        <v>0</v>
      </c>
      <c r="J29"/>
    </row>
    <row r="30" spans="1:10" x14ac:dyDescent="0.2">
      <c r="A30"/>
      <c r="B30" s="8" t="s">
        <v>40</v>
      </c>
      <c r="C30" s="37">
        <f t="shared" si="0"/>
        <v>155976</v>
      </c>
      <c r="D30" s="37">
        <f t="shared" si="3"/>
        <v>0</v>
      </c>
      <c r="E30" s="37">
        <f t="shared" si="3"/>
        <v>0</v>
      </c>
      <c r="F30" s="37">
        <f t="shared" si="3"/>
        <v>0</v>
      </c>
      <c r="G30" s="37">
        <f t="shared" si="2"/>
        <v>155976</v>
      </c>
      <c r="H30" s="35"/>
      <c r="I30" s="38">
        <f t="shared" si="4"/>
        <v>3.6583460019980134E-2</v>
      </c>
      <c r="J30"/>
    </row>
    <row r="31" spans="1:10" x14ac:dyDescent="0.2">
      <c r="A31"/>
      <c r="B31" s="8" t="s">
        <v>41</v>
      </c>
      <c r="C31" s="37">
        <f t="shared" si="0"/>
        <v>4625.8914372525896</v>
      </c>
      <c r="D31" s="37">
        <f t="shared" si="3"/>
        <v>7359.9999999999991</v>
      </c>
      <c r="E31" s="37">
        <f t="shared" si="3"/>
        <v>899.42343013773734</v>
      </c>
      <c r="F31" s="37">
        <f t="shared" si="3"/>
        <v>1984.0000000000002</v>
      </c>
      <c r="G31" s="37">
        <f t="shared" si="2"/>
        <v>14869.314867390327</v>
      </c>
      <c r="H31" s="35"/>
      <c r="I31" s="38">
        <f t="shared" si="4"/>
        <v>3.4875300429275673E-3</v>
      </c>
      <c r="J31"/>
    </row>
    <row r="32" spans="1:10" x14ac:dyDescent="0.2">
      <c r="A32"/>
      <c r="B32" s="8" t="s">
        <v>34</v>
      </c>
      <c r="C32" s="37">
        <f t="shared" si="0"/>
        <v>225120.00000000003</v>
      </c>
      <c r="D32" s="37">
        <f t="shared" si="3"/>
        <v>316250</v>
      </c>
      <c r="E32" s="37">
        <f t="shared" si="3"/>
        <v>9822.940105965552</v>
      </c>
      <c r="F32" s="37">
        <f t="shared" si="3"/>
        <v>88960.000000000015</v>
      </c>
      <c r="G32" s="37">
        <f t="shared" si="2"/>
        <v>640152.94010596559</v>
      </c>
      <c r="H32" s="35"/>
      <c r="I32" s="38">
        <f t="shared" si="4"/>
        <v>0.15014495493562682</v>
      </c>
      <c r="J32"/>
    </row>
    <row r="33" spans="1:10" x14ac:dyDescent="0.2">
      <c r="A33"/>
      <c r="B33" s="8" t="s">
        <v>42</v>
      </c>
      <c r="C33" s="37">
        <f t="shared" si="0"/>
        <v>45024</v>
      </c>
      <c r="D33" s="37">
        <f t="shared" si="3"/>
        <v>138000</v>
      </c>
      <c r="E33" s="37">
        <f t="shared" si="3"/>
        <v>183135.717873388</v>
      </c>
      <c r="F33" s="37">
        <f t="shared" si="3"/>
        <v>121280</v>
      </c>
      <c r="G33" s="37">
        <f t="shared" si="2"/>
        <v>487439.71787338797</v>
      </c>
      <c r="H33" s="35"/>
      <c r="I33" s="38">
        <f t="shared" si="4"/>
        <v>0.11432676457257196</v>
      </c>
      <c r="J33"/>
    </row>
    <row r="34" spans="1:10" x14ac:dyDescent="0.2">
      <c r="A34"/>
      <c r="B34" s="8" t="s">
        <v>43</v>
      </c>
      <c r="C34" s="37">
        <f t="shared" si="0"/>
        <v>490440</v>
      </c>
      <c r="D34" s="37">
        <f t="shared" si="3"/>
        <v>445050</v>
      </c>
      <c r="E34" s="37">
        <f t="shared" si="3"/>
        <v>840173.24456579483</v>
      </c>
      <c r="F34" s="37">
        <f t="shared" si="3"/>
        <v>78400</v>
      </c>
      <c r="G34" s="37">
        <f t="shared" si="2"/>
        <v>1854063.2445657947</v>
      </c>
      <c r="H34" s="35"/>
      <c r="I34" s="38">
        <f t="shared" si="4"/>
        <v>0.4348620850777517</v>
      </c>
      <c r="J34"/>
    </row>
    <row r="35" spans="1:10" x14ac:dyDescent="0.2">
      <c r="A35"/>
      <c r="B35" s="8" t="s">
        <v>44</v>
      </c>
      <c r="C35" s="37">
        <f t="shared" si="0"/>
        <v>455064.00000000006</v>
      </c>
      <c r="D35" s="37">
        <f t="shared" si="3"/>
        <v>220800</v>
      </c>
      <c r="E35" s="37">
        <f t="shared" si="3"/>
        <v>52087.028778482701</v>
      </c>
      <c r="F35" s="37">
        <f t="shared" si="3"/>
        <v>29056.000000000004</v>
      </c>
      <c r="G35" s="37">
        <f t="shared" si="2"/>
        <v>757007.02877848269</v>
      </c>
      <c r="H35" s="35"/>
      <c r="I35" s="38">
        <f t="shared" si="4"/>
        <v>0.17755254893164057</v>
      </c>
      <c r="J35"/>
    </row>
    <row r="36" spans="1:10" x14ac:dyDescent="0.2">
      <c r="A36"/>
      <c r="B36" s="8" t="s">
        <v>45</v>
      </c>
      <c r="C36" s="37">
        <f t="shared" si="0"/>
        <v>0</v>
      </c>
      <c r="D36" s="37">
        <f t="shared" si="3"/>
        <v>0</v>
      </c>
      <c r="E36" s="37">
        <f t="shared" si="3"/>
        <v>0</v>
      </c>
      <c r="F36" s="37">
        <f t="shared" si="3"/>
        <v>0</v>
      </c>
      <c r="G36" s="37">
        <f t="shared" si="2"/>
        <v>0</v>
      </c>
      <c r="H36" s="35"/>
      <c r="I36" s="38">
        <f t="shared" si="4"/>
        <v>0</v>
      </c>
      <c r="J36"/>
    </row>
    <row r="37" spans="1:10" x14ac:dyDescent="0.2">
      <c r="A37"/>
      <c r="B37" s="8" t="s">
        <v>35</v>
      </c>
      <c r="C37" s="37">
        <f t="shared" si="0"/>
        <v>7073.5722464431547</v>
      </c>
      <c r="D37" s="37">
        <f t="shared" si="3"/>
        <v>9775</v>
      </c>
      <c r="E37" s="37">
        <f t="shared" si="3"/>
        <v>578.9230026141463</v>
      </c>
      <c r="F37" s="37">
        <f t="shared" si="3"/>
        <v>256</v>
      </c>
      <c r="G37" s="37">
        <f t="shared" si="2"/>
        <v>17683.495249057298</v>
      </c>
      <c r="H37" s="35"/>
      <c r="I37" s="38">
        <f t="shared" si="4"/>
        <v>4.147583227274685E-3</v>
      </c>
      <c r="J37"/>
    </row>
    <row r="38" spans="1:10" x14ac:dyDescent="0.2">
      <c r="A38"/>
      <c r="B38" s="32" t="s">
        <v>31</v>
      </c>
      <c r="C38" s="39" t="s">
        <v>47</v>
      </c>
      <c r="D38" s="39" t="s">
        <v>47</v>
      </c>
      <c r="E38" s="39" t="s">
        <v>47</v>
      </c>
      <c r="F38" s="39" t="s">
        <v>47</v>
      </c>
      <c r="G38" s="39" t="s">
        <v>47</v>
      </c>
      <c r="H38" s="40"/>
      <c r="I38" s="41">
        <f>SUM(I26:I37)</f>
        <v>0.99999999999999989</v>
      </c>
      <c r="J38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E14" workbookViewId="0">
      <selection activeCell="L27" sqref="L27"/>
    </sheetView>
  </sheetViews>
  <sheetFormatPr baseColWidth="10" defaultRowHeight="16" x14ac:dyDescent="0.2"/>
  <cols>
    <col min="1" max="1" width="3.83203125" style="8" customWidth="1"/>
    <col min="2" max="2" width="20.83203125" style="8" customWidth="1"/>
    <col min="3" max="7" width="10.83203125" style="29"/>
    <col min="8" max="8" width="3.83203125" style="42" customWidth="1"/>
    <col min="9" max="9" width="10.83203125" style="29"/>
    <col min="10" max="10" width="10.83203125" style="8"/>
  </cols>
  <sheetData>
    <row r="2" spans="2:8" x14ac:dyDescent="0.2">
      <c r="B2" s="67" t="s">
        <v>102</v>
      </c>
    </row>
    <row r="3" spans="2:8" customFormat="1" x14ac:dyDescent="0.2">
      <c r="B3" s="26"/>
      <c r="C3" s="27" t="s">
        <v>27</v>
      </c>
      <c r="D3" s="27" t="s">
        <v>28</v>
      </c>
      <c r="E3" s="27" t="s">
        <v>29</v>
      </c>
      <c r="F3" s="27" t="s">
        <v>30</v>
      </c>
      <c r="G3" s="28"/>
      <c r="H3" s="28"/>
    </row>
    <row r="4" spans="2:8" customFormat="1" x14ac:dyDescent="0.2">
      <c r="B4" s="8" t="s">
        <v>38</v>
      </c>
      <c r="C4" s="30">
        <v>0.12</v>
      </c>
      <c r="D4" s="30">
        <v>0.01</v>
      </c>
      <c r="E4" s="30">
        <v>2.5000000000000001E-2</v>
      </c>
      <c r="F4" s="30">
        <v>0</v>
      </c>
      <c r="G4" s="30"/>
      <c r="H4" s="31"/>
    </row>
    <row r="5" spans="2:8" customFormat="1" x14ac:dyDescent="0.2">
      <c r="B5" s="8" t="s">
        <v>32</v>
      </c>
      <c r="C5" s="30"/>
      <c r="D5" s="30"/>
      <c r="E5" s="30"/>
      <c r="F5" s="30"/>
      <c r="G5" s="30"/>
      <c r="H5" s="31"/>
    </row>
    <row r="6" spans="2:8" customFormat="1" x14ac:dyDescent="0.2">
      <c r="B6" s="8" t="s">
        <v>48</v>
      </c>
      <c r="C6" s="30">
        <v>0</v>
      </c>
      <c r="D6" s="30">
        <v>1E-3</v>
      </c>
      <c r="E6" s="30">
        <v>0</v>
      </c>
      <c r="F6" s="30">
        <v>0</v>
      </c>
      <c r="G6" s="30"/>
      <c r="H6" s="31"/>
    </row>
    <row r="7" spans="2:8" customFormat="1" x14ac:dyDescent="0.2">
      <c r="B7" s="8" t="s">
        <v>33</v>
      </c>
      <c r="C7" s="30">
        <v>0</v>
      </c>
      <c r="D7" s="30">
        <v>0</v>
      </c>
      <c r="E7" s="30">
        <v>0</v>
      </c>
      <c r="F7" s="30">
        <v>0</v>
      </c>
      <c r="G7" s="30"/>
      <c r="H7" s="31"/>
    </row>
    <row r="8" spans="2:8" customFormat="1" x14ac:dyDescent="0.2">
      <c r="B8" s="8" t="s">
        <v>40</v>
      </c>
      <c r="C8" s="30">
        <v>4.3999999999999997E-2</v>
      </c>
      <c r="D8" s="30">
        <v>0</v>
      </c>
      <c r="E8" s="30">
        <v>0</v>
      </c>
      <c r="F8" s="30">
        <v>0</v>
      </c>
      <c r="G8" s="30"/>
      <c r="H8" s="31"/>
    </row>
    <row r="9" spans="2:8" customFormat="1" x14ac:dyDescent="0.2">
      <c r="B9" s="8" t="s">
        <v>41</v>
      </c>
      <c r="C9" s="30">
        <v>2.5999999999999999E-3</v>
      </c>
      <c r="D9" s="30">
        <v>2E-3</v>
      </c>
      <c r="E9" s="30">
        <v>1E-3</v>
      </c>
      <c r="F9" s="30">
        <v>1E-3</v>
      </c>
      <c r="G9" s="30"/>
      <c r="H9" s="31"/>
    </row>
    <row r="10" spans="2:8" customFormat="1" x14ac:dyDescent="0.2">
      <c r="B10" s="8" t="s">
        <v>49</v>
      </c>
      <c r="C10" s="30">
        <v>3.4000000000000002E-2</v>
      </c>
      <c r="D10" s="30">
        <v>9.4E-2</v>
      </c>
      <c r="E10" s="30">
        <v>5.0000000000000001E-3</v>
      </c>
      <c r="F10" s="30">
        <v>5.1999999999999998E-2</v>
      </c>
      <c r="G10" s="30"/>
      <c r="H10" s="31"/>
    </row>
    <row r="11" spans="2:8" customFormat="1" x14ac:dyDescent="0.2">
      <c r="B11" s="8" t="s">
        <v>42</v>
      </c>
      <c r="C11" s="30">
        <v>0.2956342394276984</v>
      </c>
      <c r="D11" s="30">
        <v>0.57069999999999999</v>
      </c>
      <c r="E11" s="30">
        <v>0.23200000000000001</v>
      </c>
      <c r="F11" s="30">
        <v>0.61099999999999999</v>
      </c>
      <c r="G11" s="30"/>
      <c r="H11" s="31"/>
    </row>
    <row r="12" spans="2:8" customFormat="1" x14ac:dyDescent="0.2">
      <c r="B12" s="8" t="s">
        <v>43</v>
      </c>
      <c r="C12" s="30">
        <v>0.30499999999999999</v>
      </c>
      <c r="D12" s="30">
        <v>0.20100000000000001</v>
      </c>
      <c r="E12" s="30">
        <v>0.69699999999999995</v>
      </c>
      <c r="F12" s="30">
        <v>0.245</v>
      </c>
      <c r="G12" s="30"/>
      <c r="H12" s="31"/>
    </row>
    <row r="13" spans="2:8" customFormat="1" x14ac:dyDescent="0.2">
      <c r="B13" s="8" t="s">
        <v>44</v>
      </c>
      <c r="C13" s="30">
        <v>0.19899999999999998</v>
      </c>
      <c r="D13" s="30">
        <v>0.12100000000000001</v>
      </c>
      <c r="E13" s="30">
        <v>4.0000000000000008E-2</v>
      </c>
      <c r="F13" s="30">
        <v>9.1000000000000011E-2</v>
      </c>
      <c r="G13" s="30"/>
      <c r="H13" s="31"/>
    </row>
    <row r="14" spans="2:8" customFormat="1" x14ac:dyDescent="0.2">
      <c r="B14" s="8" t="s">
        <v>45</v>
      </c>
      <c r="C14" s="30"/>
      <c r="D14" s="30"/>
      <c r="E14" s="30"/>
      <c r="F14" s="30"/>
      <c r="G14" s="30"/>
      <c r="H14" s="31"/>
    </row>
    <row r="15" spans="2:8" customFormat="1" x14ac:dyDescent="0.2">
      <c r="B15" s="8" t="s">
        <v>50</v>
      </c>
      <c r="C15" s="30"/>
      <c r="D15" s="30"/>
      <c r="E15" s="30"/>
      <c r="F15" s="30"/>
      <c r="G15" s="30"/>
      <c r="H15" s="31"/>
    </row>
    <row r="16" spans="2:8" customFormat="1" x14ac:dyDescent="0.2">
      <c r="B16" s="32" t="s">
        <v>31</v>
      </c>
      <c r="C16" s="33">
        <v>1.0002757858729452</v>
      </c>
      <c r="D16" s="33">
        <v>1</v>
      </c>
      <c r="E16" s="33">
        <v>1.0000000000000002</v>
      </c>
      <c r="F16" s="33">
        <v>1</v>
      </c>
      <c r="G16" s="31"/>
      <c r="H16" s="31"/>
    </row>
    <row r="19" spans="1:10" x14ac:dyDescent="0.2">
      <c r="B19" s="67" t="s">
        <v>104</v>
      </c>
    </row>
    <row r="20" spans="1:10" ht="32" x14ac:dyDescent="0.2">
      <c r="A20"/>
      <c r="B20" s="26"/>
      <c r="C20" s="27" t="s">
        <v>27</v>
      </c>
      <c r="D20" s="27" t="s">
        <v>28</v>
      </c>
      <c r="E20" s="27" t="s">
        <v>29</v>
      </c>
      <c r="F20" s="27" t="s">
        <v>30</v>
      </c>
      <c r="G20" s="27" t="s">
        <v>46</v>
      </c>
      <c r="H20" s="28"/>
      <c r="I20" s="27" t="s">
        <v>37</v>
      </c>
      <c r="J20"/>
    </row>
    <row r="21" spans="1:10" x14ac:dyDescent="0.2">
      <c r="A21"/>
      <c r="B21" s="32" t="s">
        <v>103</v>
      </c>
      <c r="C21" s="34">
        <v>375000</v>
      </c>
      <c r="D21" s="34">
        <v>185000</v>
      </c>
      <c r="E21" s="34">
        <v>298115.70211396</v>
      </c>
      <c r="F21" s="34">
        <v>127000</v>
      </c>
      <c r="G21" s="34">
        <f>SUM(C21:F21)</f>
        <v>985115.70211395994</v>
      </c>
      <c r="H21" s="35"/>
      <c r="I21" s="34">
        <v>1611184.6876706299</v>
      </c>
      <c r="J21"/>
    </row>
    <row r="24" spans="1:10" x14ac:dyDescent="0.2">
      <c r="B24" s="67" t="s">
        <v>108</v>
      </c>
    </row>
    <row r="25" spans="1:10" ht="32" x14ac:dyDescent="0.2">
      <c r="A25"/>
      <c r="B25" s="26"/>
      <c r="C25" s="27" t="s">
        <v>27</v>
      </c>
      <c r="D25" s="27" t="s">
        <v>28</v>
      </c>
      <c r="E25" s="27" t="s">
        <v>29</v>
      </c>
      <c r="F25" s="27" t="s">
        <v>30</v>
      </c>
      <c r="G25" s="27" t="s">
        <v>46</v>
      </c>
      <c r="H25" s="28"/>
      <c r="I25" s="36" t="s">
        <v>37</v>
      </c>
      <c r="J25"/>
    </row>
    <row r="26" spans="1:10" x14ac:dyDescent="0.2">
      <c r="A26"/>
      <c r="B26" s="8" t="s">
        <v>38</v>
      </c>
      <c r="C26" s="37">
        <f t="shared" ref="C26:C37" si="0">C4*C$21</f>
        <v>45000</v>
      </c>
      <c r="D26" s="37">
        <f t="shared" ref="D26:F26" si="1">D4*D$21</f>
        <v>1850</v>
      </c>
      <c r="E26" s="37">
        <f t="shared" si="1"/>
        <v>7452.8925528489999</v>
      </c>
      <c r="F26" s="37">
        <f t="shared" si="1"/>
        <v>0</v>
      </c>
      <c r="G26" s="37">
        <f t="shared" ref="G26:G37" si="2">SUM(C26:F26)</f>
        <v>54302.892552849</v>
      </c>
      <c r="H26" s="35"/>
      <c r="I26" s="38">
        <f>G26/SUM(G$26:G$37)</f>
        <v>5.5121555586867987E-2</v>
      </c>
      <c r="J26"/>
    </row>
    <row r="27" spans="1:10" x14ac:dyDescent="0.2">
      <c r="A27"/>
      <c r="B27" s="8" t="s">
        <v>32</v>
      </c>
      <c r="C27" s="37">
        <f t="shared" si="0"/>
        <v>0</v>
      </c>
      <c r="D27" s="37">
        <f t="shared" ref="D27:F37" si="3">D5*D$21</f>
        <v>0</v>
      </c>
      <c r="E27" s="37">
        <f t="shared" si="3"/>
        <v>0</v>
      </c>
      <c r="F27" s="37">
        <f t="shared" si="3"/>
        <v>0</v>
      </c>
      <c r="G27" s="37">
        <f t="shared" si="2"/>
        <v>0</v>
      </c>
      <c r="H27" s="35"/>
      <c r="I27" s="38">
        <f t="shared" ref="I27:I37" si="4">G27/SUM(G$26:G$37)</f>
        <v>0</v>
      </c>
      <c r="J27"/>
    </row>
    <row r="28" spans="1:10" x14ac:dyDescent="0.2">
      <c r="A28"/>
      <c r="B28" s="8" t="s">
        <v>39</v>
      </c>
      <c r="C28" s="37">
        <f t="shared" si="0"/>
        <v>0</v>
      </c>
      <c r="D28" s="37">
        <f t="shared" si="3"/>
        <v>185</v>
      </c>
      <c r="E28" s="37">
        <f t="shared" si="3"/>
        <v>0</v>
      </c>
      <c r="F28" s="37">
        <f t="shared" si="3"/>
        <v>0</v>
      </c>
      <c r="G28" s="37">
        <f t="shared" si="2"/>
        <v>185</v>
      </c>
      <c r="H28" s="35"/>
      <c r="I28" s="38">
        <f t="shared" si="4"/>
        <v>1.8778903487776669E-4</v>
      </c>
      <c r="J28"/>
    </row>
    <row r="29" spans="1:10" x14ac:dyDescent="0.2">
      <c r="A29"/>
      <c r="B29" s="8" t="s">
        <v>33</v>
      </c>
      <c r="C29" s="37">
        <f t="shared" si="0"/>
        <v>0</v>
      </c>
      <c r="D29" s="37">
        <f t="shared" si="3"/>
        <v>0</v>
      </c>
      <c r="E29" s="37">
        <f t="shared" si="3"/>
        <v>0</v>
      </c>
      <c r="F29" s="37">
        <f t="shared" si="3"/>
        <v>0</v>
      </c>
      <c r="G29" s="37">
        <f t="shared" si="2"/>
        <v>0</v>
      </c>
      <c r="H29" s="35"/>
      <c r="I29" s="38">
        <f t="shared" si="4"/>
        <v>0</v>
      </c>
      <c r="J29"/>
    </row>
    <row r="30" spans="1:10" x14ac:dyDescent="0.2">
      <c r="A30"/>
      <c r="B30" s="8" t="s">
        <v>40</v>
      </c>
      <c r="C30" s="37">
        <f t="shared" si="0"/>
        <v>16500</v>
      </c>
      <c r="D30" s="37">
        <f t="shared" si="3"/>
        <v>0</v>
      </c>
      <c r="E30" s="37">
        <f t="shared" si="3"/>
        <v>0</v>
      </c>
      <c r="F30" s="37">
        <f t="shared" si="3"/>
        <v>0</v>
      </c>
      <c r="G30" s="37">
        <f t="shared" si="2"/>
        <v>16500</v>
      </c>
      <c r="H30" s="35"/>
      <c r="I30" s="38">
        <f t="shared" si="4"/>
        <v>1.674875175936838E-2</v>
      </c>
      <c r="J30"/>
    </row>
    <row r="31" spans="1:10" x14ac:dyDescent="0.2">
      <c r="A31"/>
      <c r="B31" s="8" t="s">
        <v>41</v>
      </c>
      <c r="C31" s="37">
        <f t="shared" si="0"/>
        <v>975</v>
      </c>
      <c r="D31" s="37">
        <f t="shared" si="3"/>
        <v>370</v>
      </c>
      <c r="E31" s="37">
        <f t="shared" si="3"/>
        <v>298.11570211396003</v>
      </c>
      <c r="F31" s="37">
        <f t="shared" si="3"/>
        <v>127</v>
      </c>
      <c r="G31" s="37">
        <f t="shared" si="2"/>
        <v>1770.11570211396</v>
      </c>
      <c r="H31" s="35"/>
      <c r="I31" s="38">
        <f t="shared" si="4"/>
        <v>1.7968017260646535E-3</v>
      </c>
      <c r="J31"/>
    </row>
    <row r="32" spans="1:10" x14ac:dyDescent="0.2">
      <c r="A32"/>
      <c r="B32" s="8" t="s">
        <v>34</v>
      </c>
      <c r="C32" s="37">
        <f t="shared" si="0"/>
        <v>12750.000000000002</v>
      </c>
      <c r="D32" s="37">
        <f t="shared" si="3"/>
        <v>17390</v>
      </c>
      <c r="E32" s="37">
        <f t="shared" si="3"/>
        <v>1490.5785105698001</v>
      </c>
      <c r="F32" s="37">
        <f t="shared" si="3"/>
        <v>6604</v>
      </c>
      <c r="G32" s="37">
        <f t="shared" si="2"/>
        <v>38234.578510569801</v>
      </c>
      <c r="H32" s="35"/>
      <c r="I32" s="38">
        <f t="shared" si="4"/>
        <v>3.8810997824097845E-2</v>
      </c>
      <c r="J32"/>
    </row>
    <row r="33" spans="1:10" x14ac:dyDescent="0.2">
      <c r="A33"/>
      <c r="B33" s="8" t="s">
        <v>42</v>
      </c>
      <c r="C33" s="37">
        <f t="shared" si="0"/>
        <v>110862.8397853869</v>
      </c>
      <c r="D33" s="37">
        <f t="shared" si="3"/>
        <v>105579.5</v>
      </c>
      <c r="E33" s="37">
        <f t="shared" si="3"/>
        <v>69162.842890438726</v>
      </c>
      <c r="F33" s="37">
        <f t="shared" si="3"/>
        <v>77597</v>
      </c>
      <c r="G33" s="37">
        <f t="shared" si="2"/>
        <v>363202.18267582561</v>
      </c>
      <c r="H33" s="35"/>
      <c r="I33" s="38">
        <f t="shared" si="4"/>
        <v>0.36867776946049513</v>
      </c>
      <c r="J33"/>
    </row>
    <row r="34" spans="1:10" x14ac:dyDescent="0.2">
      <c r="A34"/>
      <c r="B34" s="8" t="s">
        <v>43</v>
      </c>
      <c r="C34" s="37">
        <f t="shared" si="0"/>
        <v>114375</v>
      </c>
      <c r="D34" s="37">
        <f t="shared" si="3"/>
        <v>37185</v>
      </c>
      <c r="E34" s="37">
        <f t="shared" si="3"/>
        <v>207786.64437343011</v>
      </c>
      <c r="F34" s="37">
        <f t="shared" si="3"/>
        <v>31115</v>
      </c>
      <c r="G34" s="37">
        <f t="shared" si="2"/>
        <v>390461.64437343011</v>
      </c>
      <c r="H34" s="35"/>
      <c r="I34" s="38">
        <f t="shared" si="4"/>
        <v>0.39634819110093078</v>
      </c>
      <c r="J34"/>
    </row>
    <row r="35" spans="1:10" x14ac:dyDescent="0.2">
      <c r="A35"/>
      <c r="B35" s="8" t="s">
        <v>44</v>
      </c>
      <c r="C35" s="37">
        <f t="shared" si="0"/>
        <v>74625</v>
      </c>
      <c r="D35" s="37">
        <f t="shared" si="3"/>
        <v>22385.000000000004</v>
      </c>
      <c r="E35" s="37">
        <f t="shared" si="3"/>
        <v>11924.628084558402</v>
      </c>
      <c r="F35" s="37">
        <f t="shared" si="3"/>
        <v>11557.000000000002</v>
      </c>
      <c r="G35" s="37">
        <f t="shared" si="2"/>
        <v>120491.6280845584</v>
      </c>
      <c r="H35" s="35"/>
      <c r="I35" s="38">
        <f t="shared" si="4"/>
        <v>0.12230814350729745</v>
      </c>
      <c r="J35"/>
    </row>
    <row r="36" spans="1:10" x14ac:dyDescent="0.2">
      <c r="A36"/>
      <c r="B36" s="8" t="s">
        <v>45</v>
      </c>
      <c r="C36" s="37">
        <f t="shared" si="0"/>
        <v>0</v>
      </c>
      <c r="D36" s="37">
        <f t="shared" si="3"/>
        <v>0</v>
      </c>
      <c r="E36" s="37">
        <f t="shared" si="3"/>
        <v>0</v>
      </c>
      <c r="F36" s="37">
        <f t="shared" si="3"/>
        <v>0</v>
      </c>
      <c r="G36" s="37">
        <f t="shared" si="2"/>
        <v>0</v>
      </c>
      <c r="H36" s="35"/>
      <c r="I36" s="38">
        <f t="shared" si="4"/>
        <v>0</v>
      </c>
      <c r="J36"/>
    </row>
    <row r="37" spans="1:10" x14ac:dyDescent="0.2">
      <c r="A37"/>
      <c r="B37" s="8" t="s">
        <v>35</v>
      </c>
      <c r="C37" s="37">
        <f t="shared" si="0"/>
        <v>0</v>
      </c>
      <c r="D37" s="37">
        <f t="shared" si="3"/>
        <v>0</v>
      </c>
      <c r="E37" s="37">
        <f t="shared" si="3"/>
        <v>0</v>
      </c>
      <c r="F37" s="37">
        <f t="shared" si="3"/>
        <v>0</v>
      </c>
      <c r="G37" s="37">
        <f t="shared" si="2"/>
        <v>0</v>
      </c>
      <c r="H37" s="35"/>
      <c r="I37" s="38">
        <f t="shared" si="4"/>
        <v>0</v>
      </c>
      <c r="J37"/>
    </row>
    <row r="38" spans="1:10" x14ac:dyDescent="0.2">
      <c r="A38"/>
      <c r="B38" s="32" t="s">
        <v>31</v>
      </c>
      <c r="C38" s="39" t="s">
        <v>47</v>
      </c>
      <c r="D38" s="39" t="s">
        <v>47</v>
      </c>
      <c r="E38" s="39" t="s">
        <v>47</v>
      </c>
      <c r="F38" s="39" t="s">
        <v>47</v>
      </c>
      <c r="G38" s="39" t="s">
        <v>47</v>
      </c>
      <c r="H38" s="40"/>
      <c r="I38" s="41">
        <f>SUM(I26:I37)</f>
        <v>1</v>
      </c>
      <c r="J38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9"/>
  <sheetViews>
    <sheetView topLeftCell="A6" workbookViewId="0">
      <selection activeCell="B65" sqref="B65"/>
    </sheetView>
  </sheetViews>
  <sheetFormatPr baseColWidth="10" defaultRowHeight="16" x14ac:dyDescent="0.2"/>
  <cols>
    <col min="1" max="1" width="3.83203125" customWidth="1"/>
    <col min="2" max="2" width="30.83203125" customWidth="1"/>
    <col min="3" max="3" width="15.83203125" style="43" customWidth="1"/>
    <col min="4" max="4" width="15.83203125" style="46" customWidth="1"/>
    <col min="5" max="5" width="3.83203125" style="46" customWidth="1"/>
    <col min="6" max="7" width="15.83203125" customWidth="1"/>
    <col min="8" max="8" width="3.83203125" customWidth="1"/>
    <col min="9" max="9" width="40.83203125" customWidth="1"/>
  </cols>
  <sheetData>
    <row r="2" spans="2:9" x14ac:dyDescent="0.2">
      <c r="B2" s="7" t="s">
        <v>62</v>
      </c>
    </row>
    <row r="3" spans="2:9" ht="32" x14ac:dyDescent="0.2">
      <c r="B3" s="48" t="s">
        <v>63</v>
      </c>
      <c r="C3" s="69">
        <v>2892533.7599999998</v>
      </c>
      <c r="D3" s="69" t="s">
        <v>64</v>
      </c>
    </row>
    <row r="6" spans="2:9" x14ac:dyDescent="0.2">
      <c r="B6" s="7" t="s">
        <v>109</v>
      </c>
    </row>
    <row r="7" spans="2:9" s="53" customFormat="1" ht="48" x14ac:dyDescent="0.2">
      <c r="B7" s="27" t="s">
        <v>51</v>
      </c>
      <c r="C7" s="57" t="s">
        <v>65</v>
      </c>
      <c r="D7" s="58" t="s">
        <v>88</v>
      </c>
      <c r="E7" s="58"/>
      <c r="F7" s="27" t="s">
        <v>65</v>
      </c>
      <c r="G7" s="27" t="s">
        <v>80</v>
      </c>
      <c r="H7" s="27"/>
      <c r="I7" s="27" t="s">
        <v>66</v>
      </c>
    </row>
    <row r="8" spans="2:9" x14ac:dyDescent="0.2">
      <c r="B8" t="s">
        <v>52</v>
      </c>
      <c r="C8" s="43">
        <v>0.14499999999999999</v>
      </c>
      <c r="D8" s="46">
        <f>C8*C$3</f>
        <v>419417.39519999991</v>
      </c>
      <c r="F8" s="43">
        <f>G8/G$27</f>
        <v>0.15236667915573873</v>
      </c>
      <c r="G8">
        <v>122</v>
      </c>
      <c r="H8" s="43"/>
      <c r="I8" t="s">
        <v>67</v>
      </c>
    </row>
    <row r="9" spans="2:9" x14ac:dyDescent="0.2">
      <c r="B9" t="s">
        <v>53</v>
      </c>
      <c r="C9" s="43">
        <v>7.1999999999999995E-2</v>
      </c>
      <c r="D9" s="46">
        <f t="shared" ref="D9:D26" si="0">C9*C$3</f>
        <v>208262.43071999997</v>
      </c>
      <c r="F9" s="43">
        <f>G9/G$27</f>
        <v>6.3694267515923567E-2</v>
      </c>
      <c r="G9">
        <v>51</v>
      </c>
      <c r="H9" s="43"/>
      <c r="I9" t="s">
        <v>68</v>
      </c>
    </row>
    <row r="10" spans="2:9" x14ac:dyDescent="0.2">
      <c r="B10" t="s">
        <v>9</v>
      </c>
      <c r="C10" s="43">
        <v>0.03</v>
      </c>
      <c r="D10" s="46">
        <f t="shared" si="0"/>
        <v>86776.012799999997</v>
      </c>
      <c r="F10" s="43">
        <f>G10/G$27</f>
        <v>2.6851504933183466E-2</v>
      </c>
      <c r="G10">
        <v>21.5</v>
      </c>
      <c r="H10" s="43"/>
      <c r="I10" t="s">
        <v>69</v>
      </c>
    </row>
    <row r="11" spans="2:9" x14ac:dyDescent="0.2">
      <c r="B11" t="s">
        <v>54</v>
      </c>
      <c r="C11" s="43">
        <v>6.6000000000000003E-2</v>
      </c>
      <c r="D11" s="46">
        <f t="shared" si="0"/>
        <v>190907.22816</v>
      </c>
      <c r="F11" s="43">
        <f>G11/G$27</f>
        <v>7.4934432371674797E-2</v>
      </c>
      <c r="G11">
        <v>60</v>
      </c>
      <c r="H11" s="43"/>
      <c r="I11" t="s">
        <v>70</v>
      </c>
    </row>
    <row r="12" spans="2:9" x14ac:dyDescent="0.2">
      <c r="B12" t="s">
        <v>55</v>
      </c>
      <c r="C12" s="43">
        <v>0.03</v>
      </c>
      <c r="D12" s="46">
        <f t="shared" si="0"/>
        <v>86776.012799999997</v>
      </c>
      <c r="F12" s="54" t="s">
        <v>47</v>
      </c>
      <c r="G12" s="56" t="s">
        <v>47</v>
      </c>
      <c r="H12" s="43"/>
      <c r="I12" t="s">
        <v>71</v>
      </c>
    </row>
    <row r="13" spans="2:9" x14ac:dyDescent="0.2">
      <c r="B13" t="s">
        <v>81</v>
      </c>
      <c r="C13" s="71">
        <v>4.7E-2</v>
      </c>
      <c r="D13" s="73">
        <f t="shared" si="0"/>
        <v>135949.08671999999</v>
      </c>
      <c r="E13" s="51"/>
      <c r="F13" s="43">
        <f>G13/G$27</f>
        <v>2.1231422505307858E-2</v>
      </c>
      <c r="G13">
        <v>17</v>
      </c>
      <c r="H13" s="43"/>
      <c r="I13" t="s">
        <v>72</v>
      </c>
    </row>
    <row r="14" spans="2:9" x14ac:dyDescent="0.2">
      <c r="B14" t="s">
        <v>82</v>
      </c>
      <c r="C14" s="71"/>
      <c r="D14" s="73"/>
      <c r="E14" s="51"/>
      <c r="F14" s="43">
        <f>G14/G$27</f>
        <v>2.7475958536280758E-2</v>
      </c>
      <c r="G14">
        <v>22</v>
      </c>
      <c r="H14" s="43"/>
      <c r="I14" t="s">
        <v>72</v>
      </c>
    </row>
    <row r="15" spans="2:9" x14ac:dyDescent="0.2">
      <c r="B15" s="50" t="s">
        <v>83</v>
      </c>
      <c r="C15" s="59">
        <v>8.7999999999999995E-2</v>
      </c>
      <c r="D15" s="46">
        <f t="shared" si="0"/>
        <v>254542.97087999998</v>
      </c>
      <c r="F15" s="43">
        <f>G15/G$27</f>
        <v>8.5924815786187089E-2</v>
      </c>
      <c r="G15">
        <v>68.8</v>
      </c>
      <c r="H15" s="43"/>
      <c r="I15" t="s">
        <v>18</v>
      </c>
    </row>
    <row r="16" spans="2:9" x14ac:dyDescent="0.2">
      <c r="B16" t="s">
        <v>56</v>
      </c>
      <c r="C16" s="43">
        <v>0.191</v>
      </c>
      <c r="D16" s="46">
        <f t="shared" si="0"/>
        <v>552473.94815999991</v>
      </c>
      <c r="F16" s="43">
        <f>G16/G$27</f>
        <v>0.18733608092918697</v>
      </c>
      <c r="G16">
        <v>150</v>
      </c>
      <c r="H16" s="43"/>
      <c r="I16" t="s">
        <v>89</v>
      </c>
    </row>
    <row r="17" spans="2:9" x14ac:dyDescent="0.2">
      <c r="B17" t="s">
        <v>20</v>
      </c>
      <c r="C17" s="43">
        <v>0.1</v>
      </c>
      <c r="D17" s="46">
        <f t="shared" si="0"/>
        <v>289253.37599999999</v>
      </c>
      <c r="F17" s="43">
        <f>G17/G$27</f>
        <v>0.10490820532034471</v>
      </c>
      <c r="G17">
        <v>84</v>
      </c>
      <c r="H17" s="43"/>
      <c r="I17" t="s">
        <v>20</v>
      </c>
    </row>
    <row r="18" spans="2:9" x14ac:dyDescent="0.2">
      <c r="B18" t="s">
        <v>57</v>
      </c>
      <c r="C18" s="43">
        <v>1.7999999999999999E-2</v>
      </c>
      <c r="D18" s="46">
        <f t="shared" si="0"/>
        <v>52065.607679999994</v>
      </c>
      <c r="F18" s="54" t="s">
        <v>47</v>
      </c>
      <c r="G18" s="56" t="s">
        <v>47</v>
      </c>
      <c r="H18" s="43"/>
      <c r="I18" t="s">
        <v>73</v>
      </c>
    </row>
    <row r="19" spans="2:9" x14ac:dyDescent="0.2">
      <c r="B19" t="s">
        <v>58</v>
      </c>
      <c r="C19" s="43">
        <v>8.3000000000000004E-2</v>
      </c>
      <c r="D19" s="46">
        <f t="shared" si="0"/>
        <v>240080.30207999999</v>
      </c>
      <c r="F19" s="54" t="s">
        <v>47</v>
      </c>
      <c r="G19" s="56" t="s">
        <v>47</v>
      </c>
      <c r="H19" s="43"/>
      <c r="I19" t="s">
        <v>75</v>
      </c>
    </row>
    <row r="20" spans="2:9" x14ac:dyDescent="0.2">
      <c r="B20" t="s">
        <v>84</v>
      </c>
      <c r="C20" s="54" t="s">
        <v>47</v>
      </c>
      <c r="D20" s="55" t="s">
        <v>47</v>
      </c>
      <c r="F20" s="43">
        <f>G20/G$27</f>
        <v>6.7440989134507315E-2</v>
      </c>
      <c r="G20">
        <v>54</v>
      </c>
      <c r="H20" s="43"/>
      <c r="I20" t="s">
        <v>90</v>
      </c>
    </row>
    <row r="21" spans="2:9" x14ac:dyDescent="0.2">
      <c r="B21" t="s">
        <v>59</v>
      </c>
      <c r="C21" s="43">
        <v>1.7000000000000001E-2</v>
      </c>
      <c r="D21" s="46">
        <f t="shared" si="0"/>
        <v>49173.073920000003</v>
      </c>
      <c r="F21" s="43">
        <f>G21/G$27</f>
        <v>1.1614837017609594E-2</v>
      </c>
      <c r="G21">
        <v>9.3000000000000007</v>
      </c>
      <c r="H21" s="43"/>
      <c r="I21" t="s">
        <v>74</v>
      </c>
    </row>
    <row r="22" spans="2:9" x14ac:dyDescent="0.2">
      <c r="B22" t="s">
        <v>60</v>
      </c>
      <c r="C22" s="43">
        <v>7.1999999999999995E-2</v>
      </c>
      <c r="D22" s="46">
        <f t="shared" si="0"/>
        <v>208262.43071999997</v>
      </c>
      <c r="F22" s="54" t="s">
        <v>47</v>
      </c>
      <c r="G22" s="56" t="s">
        <v>47</v>
      </c>
      <c r="H22" s="43"/>
      <c r="I22" t="s">
        <v>75</v>
      </c>
    </row>
    <row r="23" spans="2:9" x14ac:dyDescent="0.2">
      <c r="B23" t="s">
        <v>85</v>
      </c>
      <c r="C23" s="54" t="s">
        <v>47</v>
      </c>
      <c r="D23" s="55" t="s">
        <v>47</v>
      </c>
      <c r="F23" s="43">
        <f>G23/G$27</f>
        <v>2.7475958536280758E-2</v>
      </c>
      <c r="G23">
        <v>22</v>
      </c>
      <c r="H23" s="43"/>
      <c r="I23" t="s">
        <v>74</v>
      </c>
    </row>
    <row r="24" spans="2:9" x14ac:dyDescent="0.2">
      <c r="B24" t="s">
        <v>86</v>
      </c>
      <c r="C24" s="54" t="s">
        <v>47</v>
      </c>
      <c r="D24" s="55" t="s">
        <v>47</v>
      </c>
      <c r="F24" s="43">
        <f>G24/G$27</f>
        <v>1.9358061696015987E-2</v>
      </c>
      <c r="G24">
        <v>15.5</v>
      </c>
      <c r="H24" s="43"/>
      <c r="I24" t="s">
        <v>73</v>
      </c>
    </row>
    <row r="25" spans="2:9" x14ac:dyDescent="0.2">
      <c r="B25" t="s">
        <v>87</v>
      </c>
      <c r="C25" s="54" t="s">
        <v>47</v>
      </c>
      <c r="D25" s="55" t="s">
        <v>47</v>
      </c>
      <c r="F25" s="43">
        <f>G25/G$27</f>
        <v>5.3703009866366933E-2</v>
      </c>
      <c r="G25">
        <v>43</v>
      </c>
      <c r="H25" s="43"/>
      <c r="I25" t="s">
        <v>73</v>
      </c>
    </row>
    <row r="26" spans="2:9" x14ac:dyDescent="0.2">
      <c r="B26" t="s">
        <v>61</v>
      </c>
      <c r="C26" s="43">
        <v>4.1000000000000002E-2</v>
      </c>
      <c r="D26" s="46">
        <f t="shared" si="0"/>
        <v>118593.88416</v>
      </c>
      <c r="F26" s="43">
        <f>G26/G$27</f>
        <v>7.5683776695391544E-2</v>
      </c>
      <c r="G26">
        <v>60.6</v>
      </c>
      <c r="H26" s="43"/>
      <c r="I26" t="s">
        <v>73</v>
      </c>
    </row>
    <row r="27" spans="2:9" x14ac:dyDescent="0.2">
      <c r="B27" s="22" t="s">
        <v>31</v>
      </c>
      <c r="C27" s="44">
        <f>SUM(C8:C26)</f>
        <v>1</v>
      </c>
      <c r="D27" s="47">
        <f>SUM(D8:D26)</f>
        <v>2892533.7599999993</v>
      </c>
      <c r="E27" s="47"/>
      <c r="F27" s="22"/>
      <c r="G27" s="22">
        <f>SUM(G8:G26)</f>
        <v>800.69999999999993</v>
      </c>
      <c r="H27" s="22"/>
      <c r="I27" s="22"/>
    </row>
    <row r="29" spans="2:9" x14ac:dyDescent="0.2">
      <c r="B29" t="s">
        <v>10</v>
      </c>
      <c r="C29" s="43" t="s">
        <v>76</v>
      </c>
      <c r="G29" t="s">
        <v>78</v>
      </c>
    </row>
    <row r="32" spans="2:9" x14ac:dyDescent="0.2">
      <c r="B32" s="7" t="s">
        <v>110</v>
      </c>
    </row>
    <row r="33" spans="2:7" ht="48" x14ac:dyDescent="0.2">
      <c r="B33" s="27" t="s">
        <v>51</v>
      </c>
      <c r="C33" s="57" t="s">
        <v>65</v>
      </c>
      <c r="D33" s="58" t="s">
        <v>88</v>
      </c>
      <c r="E33" s="58"/>
      <c r="F33" s="27" t="s">
        <v>65</v>
      </c>
      <c r="G33" s="27" t="s">
        <v>80</v>
      </c>
    </row>
    <row r="34" spans="2:7" x14ac:dyDescent="0.2">
      <c r="B34" t="s">
        <v>97</v>
      </c>
      <c r="C34" s="43">
        <f>C15+C16</f>
        <v>0.27900000000000003</v>
      </c>
      <c r="D34" s="46">
        <f>D15+D16</f>
        <v>807016.91903999983</v>
      </c>
      <c r="F34" s="43">
        <f>(F15+F16)</f>
        <v>0.27326089671537407</v>
      </c>
      <c r="G34">
        <f>(G15+G16)*TWh_to_TJ</f>
        <v>787680</v>
      </c>
    </row>
    <row r="35" spans="2:7" x14ac:dyDescent="0.2">
      <c r="B35" t="s">
        <v>98</v>
      </c>
      <c r="C35" s="43">
        <f>C11</f>
        <v>6.6000000000000003E-2</v>
      </c>
      <c r="D35" s="46">
        <f>D11</f>
        <v>190907.22816</v>
      </c>
      <c r="F35" s="43">
        <f>F11</f>
        <v>7.4934432371674797E-2</v>
      </c>
      <c r="G35">
        <f>G11*TWh_to_TJ</f>
        <v>216000</v>
      </c>
    </row>
    <row r="36" spans="2:7" x14ac:dyDescent="0.2">
      <c r="B36" t="s">
        <v>96</v>
      </c>
      <c r="C36" s="43">
        <f>C13</f>
        <v>4.7E-2</v>
      </c>
      <c r="D36" s="11">
        <f>D13</f>
        <v>135949.08671999999</v>
      </c>
      <c r="F36" s="43">
        <f>(F13+F14)</f>
        <v>4.8707381041588615E-2</v>
      </c>
      <c r="G36">
        <f>(G13+G14)*TWh_to_TJ</f>
        <v>140400</v>
      </c>
    </row>
    <row r="37" spans="2:7" x14ac:dyDescent="0.2">
      <c r="B37" t="s">
        <v>91</v>
      </c>
      <c r="C37" s="43">
        <f>C17</f>
        <v>0.1</v>
      </c>
      <c r="D37" s="11">
        <f>D17</f>
        <v>289253.37599999999</v>
      </c>
      <c r="F37" s="43">
        <f>F17</f>
        <v>0.10490820532034471</v>
      </c>
      <c r="G37">
        <f>G17*TWh_to_TJ</f>
        <v>302400</v>
      </c>
    </row>
    <row r="39" spans="2:7" x14ac:dyDescent="0.2">
      <c r="B39" s="7" t="s">
        <v>26</v>
      </c>
    </row>
    <row r="40" spans="2:7" x14ac:dyDescent="0.2">
      <c r="B40" t="s">
        <v>9</v>
      </c>
      <c r="C40" s="43">
        <f>C10</f>
        <v>0.03</v>
      </c>
      <c r="D40" s="46">
        <f>D10</f>
        <v>86776.012799999997</v>
      </c>
      <c r="F40" s="43">
        <f>F10</f>
        <v>2.6851504933183466E-2</v>
      </c>
      <c r="G40">
        <f>G10*TWh_to_TJ</f>
        <v>77400</v>
      </c>
    </row>
    <row r="41" spans="2:7" x14ac:dyDescent="0.2">
      <c r="B41" t="s">
        <v>92</v>
      </c>
      <c r="C41" s="43">
        <f>C8</f>
        <v>0.14499999999999999</v>
      </c>
      <c r="D41" s="46">
        <f>D8</f>
        <v>419417.39519999991</v>
      </c>
      <c r="F41" s="43">
        <f>F8</f>
        <v>0.15236667915573873</v>
      </c>
      <c r="G41">
        <f>G8*TWh_to_TJ</f>
        <v>439200</v>
      </c>
    </row>
    <row r="42" spans="2:7" x14ac:dyDescent="0.2">
      <c r="B42" t="s">
        <v>79</v>
      </c>
      <c r="C42" s="71">
        <f>C9</f>
        <v>7.1999999999999995E-2</v>
      </c>
      <c r="D42" s="73">
        <f>D9</f>
        <v>208262.43071999997</v>
      </c>
      <c r="F42" s="71">
        <f>F9</f>
        <v>6.3694267515923567E-2</v>
      </c>
      <c r="G42" s="72">
        <f>G9*TWh_to_TJ</f>
        <v>183600</v>
      </c>
    </row>
    <row r="43" spans="2:7" x14ac:dyDescent="0.2">
      <c r="B43" t="s">
        <v>7</v>
      </c>
      <c r="C43" s="71"/>
      <c r="D43" s="73"/>
      <c r="F43" s="71"/>
      <c r="G43" s="72"/>
    </row>
    <row r="44" spans="2:7" x14ac:dyDescent="0.2">
      <c r="B44" t="s">
        <v>84</v>
      </c>
      <c r="C44" s="43">
        <f>C19</f>
        <v>8.3000000000000004E-2</v>
      </c>
      <c r="D44" s="46">
        <f>D19</f>
        <v>240080.30207999999</v>
      </c>
      <c r="F44" s="43">
        <f>F20</f>
        <v>6.7440989134507315E-2</v>
      </c>
      <c r="G44">
        <f>G20*TWh_to_TJ</f>
        <v>194400</v>
      </c>
    </row>
    <row r="45" spans="2:7" x14ac:dyDescent="0.2">
      <c r="B45" t="s">
        <v>93</v>
      </c>
      <c r="C45" s="43">
        <f>C21+C22</f>
        <v>8.8999999999999996E-2</v>
      </c>
      <c r="D45" s="46">
        <f>D21+D22</f>
        <v>257435.50463999997</v>
      </c>
      <c r="F45" s="43">
        <f>(F21+F23)</f>
        <v>3.9090795553890348E-2</v>
      </c>
      <c r="G45">
        <f>(G21+G23)*TWh_to_TJ</f>
        <v>112680</v>
      </c>
    </row>
    <row r="46" spans="2:7" x14ac:dyDescent="0.2">
      <c r="B46" t="s">
        <v>94</v>
      </c>
      <c r="C46" s="43">
        <f>C12</f>
        <v>0.03</v>
      </c>
      <c r="D46" s="46">
        <f>D12</f>
        <v>86776.012799999997</v>
      </c>
    </row>
    <row r="47" spans="2:7" x14ac:dyDescent="0.2">
      <c r="B47" t="s">
        <v>95</v>
      </c>
      <c r="C47" s="43">
        <f>C18+C26</f>
        <v>5.8999999999999997E-2</v>
      </c>
      <c r="D47" s="46">
        <f>D18+D26</f>
        <v>170659.49184</v>
      </c>
      <c r="F47" s="43">
        <f>(F24+F25+F26)</f>
        <v>0.14874484825777445</v>
      </c>
      <c r="G47">
        <f>(G24+G25+G26)*TWh_to_TJ</f>
        <v>428760</v>
      </c>
    </row>
    <row r="48" spans="2:7" x14ac:dyDescent="0.2">
      <c r="B48" s="22" t="s">
        <v>31</v>
      </c>
      <c r="C48" s="44">
        <f>SUM(C34:C47)</f>
        <v>1</v>
      </c>
      <c r="D48" s="47">
        <f>SUM(D34:D47)</f>
        <v>2892533.7599999993</v>
      </c>
      <c r="E48" s="47"/>
      <c r="F48" s="62">
        <f>SUM(F34:F47)</f>
        <v>1</v>
      </c>
      <c r="G48" s="63">
        <f>SUM(G34:G47)</f>
        <v>2882520</v>
      </c>
    </row>
    <row r="49" spans="2:7" x14ac:dyDescent="0.2">
      <c r="B49" s="4"/>
      <c r="C49" s="64"/>
      <c r="D49" s="52"/>
      <c r="E49" s="52"/>
      <c r="F49" s="65"/>
      <c r="G49" s="66"/>
    </row>
    <row r="50" spans="2:7" x14ac:dyDescent="0.2">
      <c r="B50" s="4"/>
      <c r="C50" s="64"/>
      <c r="D50" s="52"/>
      <c r="E50" s="52"/>
      <c r="F50" s="65"/>
      <c r="G50" s="66"/>
    </row>
    <row r="51" spans="2:7" x14ac:dyDescent="0.2">
      <c r="B51" s="7" t="s">
        <v>111</v>
      </c>
      <c r="C51" s="64"/>
      <c r="D51" s="52"/>
      <c r="E51" s="52"/>
      <c r="F51" s="65"/>
      <c r="G51" s="66"/>
    </row>
    <row r="52" spans="2:7" x14ac:dyDescent="0.2">
      <c r="B52" s="12" t="s">
        <v>26</v>
      </c>
      <c r="C52" s="45" t="s">
        <v>23</v>
      </c>
    </row>
    <row r="53" spans="2:7" x14ac:dyDescent="0.2">
      <c r="B53" t="s">
        <v>9</v>
      </c>
      <c r="C53" s="43">
        <f>C40/SUM(C$40:C$47)</f>
        <v>5.905511811023622E-2</v>
      </c>
      <c r="D53"/>
      <c r="E53"/>
    </row>
    <row r="54" spans="2:7" x14ac:dyDescent="0.2">
      <c r="B54" t="s">
        <v>92</v>
      </c>
      <c r="C54" s="43">
        <f>C41/SUM(C$40:C$47)</f>
        <v>0.28543307086614172</v>
      </c>
      <c r="D54"/>
      <c r="E54"/>
    </row>
    <row r="55" spans="2:7" x14ac:dyDescent="0.2">
      <c r="B55" t="s">
        <v>79</v>
      </c>
      <c r="C55" s="71">
        <f>C42/SUM(C$40:C$47)</f>
        <v>0.14173228346456693</v>
      </c>
      <c r="D55"/>
      <c r="E55"/>
    </row>
    <row r="56" spans="2:7" x14ac:dyDescent="0.2">
      <c r="B56" t="s">
        <v>7</v>
      </c>
      <c r="C56" s="71"/>
      <c r="D56"/>
      <c r="E56"/>
    </row>
    <row r="57" spans="2:7" x14ac:dyDescent="0.2">
      <c r="B57" t="s">
        <v>84</v>
      </c>
      <c r="C57" s="43">
        <f>C44/SUM(C$40:C$47)</f>
        <v>0.16338582677165356</v>
      </c>
      <c r="D57"/>
      <c r="E57"/>
    </row>
    <row r="58" spans="2:7" x14ac:dyDescent="0.2">
      <c r="B58" t="s">
        <v>93</v>
      </c>
      <c r="C58" s="43">
        <f>C45/SUM(C$40:C$47)</f>
        <v>0.17519685039370078</v>
      </c>
      <c r="D58"/>
      <c r="E58"/>
    </row>
    <row r="59" spans="2:7" x14ac:dyDescent="0.2">
      <c r="B59" t="s">
        <v>94</v>
      </c>
      <c r="C59" s="43">
        <f>C46/SUM(C$40:C$47)</f>
        <v>5.905511811023622E-2</v>
      </c>
      <c r="D59"/>
      <c r="E59"/>
    </row>
    <row r="60" spans="2:7" x14ac:dyDescent="0.2">
      <c r="B60" t="s">
        <v>95</v>
      </c>
      <c r="C60" s="43">
        <f>C47/SUM(C$40:C$47)</f>
        <v>0.11614173228346455</v>
      </c>
      <c r="D60"/>
      <c r="E60"/>
    </row>
    <row r="61" spans="2:7" x14ac:dyDescent="0.2">
      <c r="B61" s="22" t="s">
        <v>31</v>
      </c>
      <c r="C61" s="44">
        <f>SUM(C53:C60)</f>
        <v>1</v>
      </c>
      <c r="D61"/>
      <c r="E61"/>
    </row>
    <row r="62" spans="2:7" x14ac:dyDescent="0.2">
      <c r="B62" s="4"/>
      <c r="C62" s="64"/>
      <c r="D62" s="52"/>
      <c r="E62" s="52"/>
      <c r="F62" s="65"/>
      <c r="G62" s="66"/>
    </row>
    <row r="63" spans="2:7" x14ac:dyDescent="0.2">
      <c r="B63" s="4"/>
      <c r="C63" s="64"/>
      <c r="D63" s="52"/>
      <c r="E63" s="52"/>
      <c r="F63" s="65"/>
      <c r="G63" s="66"/>
    </row>
    <row r="64" spans="2:7" x14ac:dyDescent="0.2">
      <c r="B64" s="7" t="s">
        <v>77</v>
      </c>
    </row>
    <row r="65" spans="2:4" x14ac:dyDescent="0.2">
      <c r="B65" s="49" t="s">
        <v>112</v>
      </c>
    </row>
    <row r="66" spans="2:4" x14ac:dyDescent="0.2">
      <c r="B66" s="60" t="s">
        <v>113</v>
      </c>
    </row>
    <row r="68" spans="2:4" x14ac:dyDescent="0.2">
      <c r="B68" s="7" t="s">
        <v>99</v>
      </c>
    </row>
    <row r="69" spans="2:4" x14ac:dyDescent="0.2">
      <c r="B69" t="s">
        <v>100</v>
      </c>
      <c r="C69" s="61">
        <v>3600</v>
      </c>
      <c r="D69" s="46" t="s">
        <v>101</v>
      </c>
    </row>
  </sheetData>
  <mergeCells count="7">
    <mergeCell ref="F42:F43"/>
    <mergeCell ref="G42:G43"/>
    <mergeCell ref="C55:C56"/>
    <mergeCell ref="C13:C14"/>
    <mergeCell ref="D13:D14"/>
    <mergeCell ref="D42:D43"/>
    <mergeCell ref="C42:C43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 split</vt:lpstr>
      <vt:lpstr>Electricity</vt:lpstr>
      <vt:lpstr>Odyssee</vt:lpstr>
      <vt:lpstr>Ecofys_space_heating</vt:lpstr>
      <vt:lpstr>Ecofys_hot_water</vt:lpstr>
      <vt:lpstr>Ecofys_appliances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Microsoft Office User</cp:lastModifiedBy>
  <dcterms:created xsi:type="dcterms:W3CDTF">2014-06-16T12:25:15Z</dcterms:created>
  <dcterms:modified xsi:type="dcterms:W3CDTF">2017-10-09T16:11:34Z</dcterms:modified>
</cp:coreProperties>
</file>