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907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dorinevandervlies/Projects/etdataset/source_analyses/nl/2015/9_agriculture/"/>
    </mc:Choice>
  </mc:AlternateContent>
  <bookViews>
    <workbookView xWindow="0" yWindow="460" windowWidth="27800" windowHeight="17540" tabRatio="702" activeTab="2"/>
  </bookViews>
  <sheets>
    <sheet name="Overview" sheetId="3" r:id="rId1"/>
    <sheet name="Assumptions" sheetId="5" r:id="rId2"/>
    <sheet name="NL" sheetId="7" r:id="rId3"/>
    <sheet name="shares NVG" sheetId="18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6" i="7" l="1"/>
  <c r="C44" i="7"/>
  <c r="E44" i="7"/>
  <c r="F44" i="7"/>
  <c r="G9" i="7"/>
  <c r="D16" i="7"/>
  <c r="D26" i="7"/>
  <c r="C25" i="7"/>
  <c r="D15" i="7"/>
  <c r="D25" i="7"/>
  <c r="E39" i="7"/>
  <c r="E40" i="7"/>
  <c r="E41" i="7"/>
  <c r="E42" i="7"/>
  <c r="E43" i="7"/>
  <c r="F39" i="7"/>
  <c r="C31" i="7"/>
  <c r="F40" i="7"/>
  <c r="C32" i="7"/>
  <c r="F41" i="7"/>
  <c r="C33" i="7"/>
  <c r="F42" i="7"/>
  <c r="C34" i="7"/>
  <c r="F43" i="7"/>
  <c r="C35" i="7"/>
  <c r="C30" i="7"/>
  <c r="G10" i="7"/>
  <c r="C11" i="7"/>
  <c r="H10" i="7"/>
  <c r="E10" i="7"/>
  <c r="F10" i="7"/>
  <c r="D10" i="7"/>
  <c r="C10" i="7"/>
  <c r="B10" i="7"/>
  <c r="H9" i="7"/>
  <c r="E9" i="7"/>
  <c r="F9" i="7"/>
  <c r="D9" i="7"/>
  <c r="C9" i="7"/>
  <c r="B9" i="7"/>
  <c r="H8" i="7"/>
  <c r="G8" i="7"/>
  <c r="E8" i="7"/>
  <c r="D8" i="7"/>
  <c r="E18" i="18"/>
  <c r="F18" i="18"/>
  <c r="E17" i="18"/>
  <c r="F17" i="18"/>
  <c r="E16" i="18"/>
  <c r="F16" i="18"/>
  <c r="C12" i="18"/>
  <c r="E6" i="18"/>
  <c r="D12" i="18"/>
  <c r="E12" i="18"/>
  <c r="F12" i="18"/>
  <c r="C9" i="18"/>
  <c r="D9" i="18"/>
  <c r="E9" i="18"/>
  <c r="F9" i="18"/>
</calcChain>
</file>

<file path=xl/sharedStrings.xml><?xml version="1.0" encoding="utf-8"?>
<sst xmlns="http://schemas.openxmlformats.org/spreadsheetml/2006/main" count="251" uniqueCount="106">
  <si>
    <t>Country</t>
  </si>
  <si>
    <t># LNG HDVs</t>
  </si>
  <si>
    <t># NG HDVs</t>
  </si>
  <si>
    <t># CNG HDVS</t>
  </si>
  <si>
    <t># CNG LDVs</t>
  </si>
  <si>
    <t>nl</t>
  </si>
  <si>
    <t>LDV</t>
  </si>
  <si>
    <t>HDV</t>
  </si>
  <si>
    <t>annual kms</t>
  </si>
  <si>
    <t>efficiency</t>
  </si>
  <si>
    <t>energy consumed</t>
  </si>
  <si>
    <t>CNG</t>
  </si>
  <si>
    <t>LNG</t>
  </si>
  <si>
    <t>MJ</t>
  </si>
  <si>
    <t>LNG share</t>
  </si>
  <si>
    <t>CNG LD/HD shares</t>
  </si>
  <si>
    <t>LD</t>
  </si>
  <si>
    <t>HD</t>
  </si>
  <si>
    <t>LD share</t>
  </si>
  <si>
    <t>HD share</t>
  </si>
  <si>
    <t>Input shares determination</t>
  </si>
  <si>
    <t>Data for calculations from respective nodes source analyses, TNO 2013 natural gas in transport</t>
  </si>
  <si>
    <t>LNG/CNG shares</t>
  </si>
  <si>
    <t>NVGA Europe (2014): Prospects and Development Status of European NGV Market</t>
  </si>
  <si>
    <t>http://www.acer.europa.eu/Media/Events/3rd-Gas-Target-Model-Stakeholders-Workshop/Documents/10.%20Maedge%20Promoting%20gas%20in%20transport.pdf</t>
  </si>
  <si>
    <t>NGVA Europe (2013): NGVs and Fuel Consumption Worldwide</t>
  </si>
  <si>
    <t>http://www.ngvaeurope.eu/worldwide-ngv-statistics</t>
  </si>
  <si>
    <t>Sources</t>
  </si>
  <si>
    <t>vehicle</t>
  </si>
  <si>
    <t>fuel</t>
  </si>
  <si>
    <t>Assumptions</t>
  </si>
  <si>
    <t>All cars drive the same annual distance, regardless of their technology</t>
  </si>
  <si>
    <t>All trucks drive the same annual distance, regardless of their technology</t>
  </si>
  <si>
    <t>The above assumptions are already used implicity in the FD -&gt; UD conversion</t>
  </si>
  <si>
    <t>aantal</t>
  </si>
  <si>
    <t>The energy consumption of all vehicles is attributed to the country in which the vehicles are registered and in which they drive</t>
  </si>
  <si>
    <t>Average annual driving distance of cars is equal to the one determined for the Netherlands, for every country</t>
  </si>
  <si>
    <t>Average annual driving distance of trucks is equal to the one determined for the Netherlands, for every country</t>
  </si>
  <si>
    <t>Quantitative assumptions</t>
  </si>
  <si>
    <t>Definitions</t>
  </si>
  <si>
    <t>Sheets</t>
  </si>
  <si>
    <t>NL</t>
  </si>
  <si>
    <t>A CBS-based, more detailed determination of initial transport shares for the Netherlands</t>
  </si>
  <si>
    <t>Assumptions used in the determination of initial shares</t>
  </si>
  <si>
    <t>CNG share</t>
  </si>
  <si>
    <t>Data extracted from CBS and conversion definitions</t>
  </si>
  <si>
    <t>Geleverd vermogen [MWh]</t>
  </si>
  <si>
    <t>http://statline.cbs.nl/Statweb/publication/?DM=SLNL&amp;PA=82380NED&amp;D1=a&amp;D2=a&amp;D3=a&amp;D4=16-21&amp;HDR=T&amp;STB=G2,G1,G3&amp;VW=T</t>
  </si>
  <si>
    <t>Warmtepompen</t>
  </si>
  <si>
    <t xml:space="preserve"> aantallen, thermisch vermogen en energiestromen</t>
  </si>
  <si>
    <t>Onderwerpen</t>
  </si>
  <si>
    <t>Aantal warmtepompen</t>
  </si>
  <si>
    <t>Thermisch vermogen</t>
  </si>
  <si>
    <t>Energiestromen</t>
  </si>
  <si>
    <t>Vermeden verbruik van fossiele energie</t>
  </si>
  <si>
    <t>Vermeden emissie kooldioxide (CO2)</t>
  </si>
  <si>
    <t>Conversion MWh to TJ</t>
  </si>
  <si>
    <t>MWh/TJ</t>
  </si>
  <si>
    <t>In gebruik genomen</t>
  </si>
  <si>
    <t>Uit gebruik genomen</t>
  </si>
  <si>
    <t>Opgesteld aan het einde van het jaar</t>
  </si>
  <si>
    <t>Bruto warmteproductie warmtepompen</t>
  </si>
  <si>
    <t>Verbruik van elektriciteit en aardgas</t>
  </si>
  <si>
    <t>Onttrekking warmte uit bodem of lucht</t>
  </si>
  <si>
    <t xml:space="preserve"> </t>
  </si>
  <si>
    <t>Sector</t>
  </si>
  <si>
    <t>Perioden</t>
  </si>
  <si>
    <t>MW-thermisch</t>
  </si>
  <si>
    <t>TJ</t>
  </si>
  <si>
    <t>mln kg</t>
  </si>
  <si>
    <t>Technology specifications ETM</t>
  </si>
  <si>
    <t>Totaal</t>
  </si>
  <si>
    <t>Totaal warmtepompen</t>
  </si>
  <si>
    <t>ambient_heat</t>
  </si>
  <si>
    <t>network_gas</t>
  </si>
  <si>
    <t>buildings_space_heater_collective_heatpump_water_water_ts_electricity</t>
  </si>
  <si>
    <t>Warmtepompen met bodemwarmte</t>
  </si>
  <si>
    <t>Gas usage [TJ]</t>
  </si>
  <si>
    <t>Ambient heat usage [TJ]</t>
  </si>
  <si>
    <t>Heat pump with TS same division as in 2013-dataset</t>
  </si>
  <si>
    <t>2013 demand in ETM</t>
  </si>
  <si>
    <t>Warmtepompen met buitenluchtwarmte</t>
  </si>
  <si>
    <t>Demand buildings_space_heater_collective_heatpump_water_water_ts_electricity</t>
  </si>
  <si>
    <t>4.19 B</t>
  </si>
  <si>
    <t>Demand agriculture_heatpump_water_water_ts_electricity</t>
  </si>
  <si>
    <t>404.62 M</t>
  </si>
  <si>
    <t>Energy usage heat pumps with thermal storage</t>
  </si>
  <si>
    <t>Woningen</t>
  </si>
  <si>
    <t>agriculture_heatpump_water_water_ts_electricity</t>
  </si>
  <si>
    <t>Utiliteitsgebouwen, kassen en stallen</t>
  </si>
  <si>
    <t>© Centraal Bureau voor de Statistiek, Den Haag/Heerlen 26-9-2017</t>
  </si>
  <si>
    <t>Paste in 9_agriculture_analysis</t>
  </si>
  <si>
    <t>Electric heat pump with thermal storage</t>
  </si>
  <si>
    <t>Final demand converted per technology (TJ)</t>
  </si>
  <si>
    <t>Effiency per technology</t>
  </si>
  <si>
    <t>Useful demand created per technology (TJ)</t>
  </si>
  <si>
    <t>Percentage of heat delivered per technology (%)</t>
  </si>
  <si>
    <t>Technology</t>
  </si>
  <si>
    <t>Gas-fired heater</t>
  </si>
  <si>
    <t>Oil-fired heater</t>
  </si>
  <si>
    <t>Biomass-fired heater</t>
  </si>
  <si>
    <t>CHP and heat network</t>
  </si>
  <si>
    <t xml:space="preserve">Final demand is extracted from the energy balance. </t>
  </si>
  <si>
    <t>Final demand is extracted from the energy balance. Note that geothermal heaters have an electric final demand of (input of environment heat) / (COP - 1)</t>
  </si>
  <si>
    <t>Comment</t>
  </si>
  <si>
    <t>Geothermal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</si>
</sst>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0.0%"/>
    <numFmt numFmtId="166" formatCode="0.0"/>
  </numFmts>
  <fonts count="12" x14ac:knownFonts="1">
    <font>
      <sz val="12"/>
      <color theme="1"/>
      <name val="Calibri"/>
      <family val="2"/>
      <charset val="134"/>
      <scheme val="minor"/>
    </font>
    <font>
      <sz val="10"/>
      <name val="Arial"/>
      <family val="2"/>
    </font>
    <font>
      <b/>
      <sz val="12"/>
      <color theme="1"/>
      <name val="Calibri"/>
      <family val="2"/>
      <scheme val="minor"/>
    </font>
    <font>
      <b/>
      <sz val="16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name val="Arial"/>
    </font>
    <font>
      <sz val="12"/>
      <color theme="1"/>
      <name val="Calibri"/>
      <family val="2"/>
      <charset val="134"/>
      <scheme val="minor"/>
    </font>
    <font>
      <sz val="13"/>
      <color theme="1"/>
      <name val="Helvetica Neue"/>
    </font>
    <font>
      <i/>
      <sz val="12"/>
      <color theme="1"/>
      <name val="Calibri"/>
      <scheme val="minor"/>
    </font>
    <font>
      <b/>
      <i/>
      <sz val="12"/>
      <color theme="1"/>
      <name val="Calibri"/>
      <scheme val="minor"/>
    </font>
    <font>
      <sz val="13"/>
      <color rgb="FF333333"/>
      <name val="Helvetica Neue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472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/>
    <xf numFmtId="164" fontId="1" fillId="0" borderId="0" applyFont="0" applyFill="0" applyBorder="0" applyAlignment="0" applyProtection="0"/>
    <xf numFmtId="0" fontId="1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</cellStyleXfs>
  <cellXfs count="62">
    <xf numFmtId="0" fontId="0" fillId="0" borderId="0" xfId="0"/>
    <xf numFmtId="10" fontId="0" fillId="0" borderId="0" xfId="0" applyNumberFormat="1"/>
    <xf numFmtId="0" fontId="2" fillId="0" borderId="0" xfId="0" applyFont="1"/>
    <xf numFmtId="0" fontId="3" fillId="0" borderId="0" xfId="0" applyFont="1"/>
    <xf numFmtId="0" fontId="0" fillId="2" borderId="0" xfId="0" applyFont="1" applyFill="1"/>
    <xf numFmtId="0" fontId="0" fillId="2" borderId="1" xfId="0" applyFont="1" applyFill="1" applyBorder="1"/>
    <xf numFmtId="0" fontId="0" fillId="2" borderId="2" xfId="0" applyFont="1" applyFill="1" applyBorder="1"/>
    <xf numFmtId="0" fontId="2" fillId="2" borderId="0" xfId="0" applyFont="1" applyFill="1"/>
    <xf numFmtId="0" fontId="2" fillId="2" borderId="3" xfId="0" applyFont="1" applyFill="1" applyBorder="1"/>
    <xf numFmtId="0" fontId="0" fillId="2" borderId="3" xfId="0" applyFont="1" applyFill="1" applyBorder="1"/>
    <xf numFmtId="0" fontId="0" fillId="2" borderId="0" xfId="0" applyFont="1" applyFill="1"/>
    <xf numFmtId="0" fontId="0" fillId="2" borderId="3" xfId="0" applyFont="1" applyFill="1" applyBorder="1"/>
    <xf numFmtId="0" fontId="0" fillId="2" borderId="0" xfId="0" applyFill="1"/>
    <xf numFmtId="0" fontId="0" fillId="0" borderId="4" xfId="0" applyBorder="1"/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0" fillId="0" borderId="5" xfId="0" applyFill="1" applyBorder="1"/>
    <xf numFmtId="0" fontId="0" fillId="0" borderId="6" xfId="0" applyFill="1" applyBorder="1"/>
    <xf numFmtId="0" fontId="0" fillId="0" borderId="6" xfId="0" applyFill="1" applyBorder="1" applyAlignment="1">
      <alignment wrapText="1"/>
    </xf>
    <xf numFmtId="0" fontId="0" fillId="0" borderId="8" xfId="0" applyFill="1" applyBorder="1"/>
    <xf numFmtId="0" fontId="0" fillId="0" borderId="0" xfId="0" applyFill="1" applyBorder="1"/>
    <xf numFmtId="0" fontId="0" fillId="0" borderId="9" xfId="0" applyFill="1" applyBorder="1"/>
    <xf numFmtId="0" fontId="0" fillId="0" borderId="10" xfId="0" applyFill="1" applyBorder="1"/>
    <xf numFmtId="0" fontId="0" fillId="0" borderId="4" xfId="0" applyFill="1" applyBorder="1"/>
    <xf numFmtId="0" fontId="0" fillId="0" borderId="11" xfId="0" applyFill="1" applyBorder="1"/>
    <xf numFmtId="0" fontId="0" fillId="0" borderId="12" xfId="0" applyFill="1" applyBorder="1"/>
    <xf numFmtId="0" fontId="2" fillId="0" borderId="13" xfId="0" applyFont="1" applyFill="1" applyBorder="1" applyAlignment="1">
      <alignment horizontal="center"/>
    </xf>
    <xf numFmtId="0" fontId="2" fillId="0" borderId="14" xfId="0" applyFont="1" applyFill="1" applyBorder="1" applyAlignment="1">
      <alignment horizontal="center"/>
    </xf>
    <xf numFmtId="0" fontId="2" fillId="0" borderId="15" xfId="0" applyFont="1" applyFill="1" applyBorder="1" applyAlignment="1">
      <alignment horizontal="center"/>
    </xf>
    <xf numFmtId="9" fontId="0" fillId="0" borderId="4" xfId="0" applyNumberFormat="1" applyFill="1" applyBorder="1"/>
    <xf numFmtId="10" fontId="0" fillId="0" borderId="4" xfId="0" applyNumberFormat="1" applyFill="1" applyBorder="1"/>
    <xf numFmtId="0" fontId="0" fillId="2" borderId="6" xfId="0" applyFill="1" applyBorder="1"/>
    <xf numFmtId="0" fontId="8" fillId="0" borderId="4" xfId="0" applyFont="1" applyFill="1" applyBorder="1"/>
    <xf numFmtId="0" fontId="0" fillId="2" borderId="11" xfId="0" applyFill="1" applyBorder="1"/>
    <xf numFmtId="2" fontId="0" fillId="0" borderId="0" xfId="0" applyNumberFormat="1" applyFill="1" applyBorder="1"/>
    <xf numFmtId="2" fontId="0" fillId="0" borderId="11" xfId="0" applyNumberFormat="1" applyFill="1" applyBorder="1"/>
    <xf numFmtId="0" fontId="2" fillId="0" borderId="5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165" fontId="2" fillId="0" borderId="9" xfId="470" applyNumberFormat="1" applyFont="1" applyFill="1" applyBorder="1"/>
    <xf numFmtId="0" fontId="0" fillId="2" borderId="8" xfId="0" applyFill="1" applyBorder="1"/>
    <xf numFmtId="4" fontId="0" fillId="0" borderId="8" xfId="471" applyNumberFormat="1" applyFont="1" applyFill="1" applyBorder="1"/>
    <xf numFmtId="166" fontId="0" fillId="0" borderId="0" xfId="471" applyNumberFormat="1" applyFont="1" applyFill="1" applyBorder="1"/>
    <xf numFmtId="4" fontId="7" fillId="0" borderId="0" xfId="471" applyNumberFormat="1" applyFont="1" applyFill="1" applyBorder="1"/>
    <xf numFmtId="165" fontId="9" fillId="0" borderId="0" xfId="471" applyNumberFormat="1" applyFont="1" applyFill="1" applyBorder="1"/>
    <xf numFmtId="166" fontId="0" fillId="0" borderId="0" xfId="471" applyNumberFormat="1" applyFont="1" applyFill="1" applyBorder="1" applyAlignment="1">
      <alignment horizontal="right"/>
    </xf>
    <xf numFmtId="165" fontId="7" fillId="0" borderId="9" xfId="470" applyNumberFormat="1" applyFont="1" applyFill="1" applyBorder="1"/>
    <xf numFmtId="0" fontId="0" fillId="0" borderId="8" xfId="0" applyFill="1" applyBorder="1" applyAlignment="1">
      <alignment horizontal="left" indent="1"/>
    </xf>
    <xf numFmtId="0" fontId="0" fillId="0" borderId="10" xfId="0" applyFill="1" applyBorder="1" applyAlignment="1">
      <alignment horizontal="left" indent="1"/>
    </xf>
    <xf numFmtId="165" fontId="7" fillId="0" borderId="12" xfId="470" applyNumberFormat="1" applyFont="1" applyFill="1" applyBorder="1"/>
    <xf numFmtId="0" fontId="2" fillId="0" borderId="5" xfId="0" applyFont="1" applyFill="1" applyBorder="1" applyAlignment="1">
      <alignment horizontal="left" vertical="top"/>
    </xf>
    <xf numFmtId="0" fontId="2" fillId="0" borderId="5" xfId="0" applyFont="1" applyFill="1" applyBorder="1" applyAlignment="1">
      <alignment wrapText="1"/>
    </xf>
    <xf numFmtId="0" fontId="2" fillId="0" borderId="6" xfId="0" applyFont="1" applyFill="1" applyBorder="1" applyAlignment="1">
      <alignment horizontal="left" vertical="top" wrapText="1"/>
    </xf>
    <xf numFmtId="0" fontId="2" fillId="0" borderId="6" xfId="0" applyFont="1" applyFill="1" applyBorder="1" applyAlignment="1">
      <alignment wrapText="1"/>
    </xf>
    <xf numFmtId="4" fontId="9" fillId="0" borderId="10" xfId="471" applyNumberFormat="1" applyFont="1" applyFill="1" applyBorder="1"/>
    <xf numFmtId="166" fontId="0" fillId="0" borderId="11" xfId="471" applyNumberFormat="1" applyFont="1" applyFill="1" applyBorder="1"/>
    <xf numFmtId="4" fontId="7" fillId="0" borderId="11" xfId="471" applyNumberFormat="1" applyFont="1" applyFill="1" applyBorder="1"/>
    <xf numFmtId="165" fontId="10" fillId="0" borderId="11" xfId="471" applyNumberFormat="1" applyFont="1" applyFill="1" applyBorder="1"/>
    <xf numFmtId="0" fontId="0" fillId="2" borderId="12" xfId="0" applyFill="1" applyBorder="1"/>
    <xf numFmtId="0" fontId="0" fillId="2" borderId="7" xfId="0" applyFill="1" applyBorder="1"/>
    <xf numFmtId="10" fontId="11" fillId="0" borderId="4" xfId="0" applyNumberFormat="1" applyFont="1" applyBorder="1"/>
    <xf numFmtId="0" fontId="0" fillId="0" borderId="9" xfId="0" applyFill="1" applyBorder="1" applyAlignment="1">
      <alignment wrapText="1"/>
    </xf>
  </cellXfs>
  <cellStyles count="472">
    <cellStyle name="Comma 2" xfId="468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Normal" xfId="0" builtinId="0"/>
    <cellStyle name="Normal 2" xfId="467"/>
    <cellStyle name="Normal 3" xfId="469"/>
    <cellStyle name="Percent" xfId="470" builtinId="5"/>
    <cellStyle name="Percent 2" xfId="47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25400</xdr:colOff>
      <xdr:row>2</xdr:row>
      <xdr:rowOff>152400</xdr:rowOff>
    </xdr:from>
    <xdr:ext cx="4749800" cy="430887"/>
    <xdr:sp macro="" textlink="">
      <xdr:nvSpPr>
        <xdr:cNvPr id="2" name="TextBox 1"/>
        <xdr:cNvSpPr txBox="1"/>
      </xdr:nvSpPr>
      <xdr:spPr>
        <a:xfrm>
          <a:off x="1676400" y="546100"/>
          <a:ext cx="4749800" cy="430887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In this file the initial transport shares are determined for most datasets. Below you can find information on each</a:t>
          </a:r>
          <a:r>
            <a:rPr lang="en-US" sz="1100" baseline="0"/>
            <a:t> sheet in this file.</a:t>
          </a:r>
          <a:endParaRPr lang="en-US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723900</xdr:colOff>
      <xdr:row>1</xdr:row>
      <xdr:rowOff>76200</xdr:rowOff>
    </xdr:from>
    <xdr:to>
      <xdr:col>5</xdr:col>
      <xdr:colOff>203200</xdr:colOff>
      <xdr:row>4</xdr:row>
      <xdr:rowOff>177800</xdr:rowOff>
    </xdr:to>
    <xdr:sp macro="" textlink="">
      <xdr:nvSpPr>
        <xdr:cNvPr id="9" name="TextBox 8"/>
        <xdr:cNvSpPr txBox="1"/>
      </xdr:nvSpPr>
      <xdr:spPr>
        <a:xfrm>
          <a:off x="723900" y="279400"/>
          <a:ext cx="10693400" cy="711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CBS only provides data about installed capaci</a:t>
          </a:r>
          <a:r>
            <a:rPr lang="en-US" sz="1100"/>
            <a:t>ty and delivered heat for agriculture and utilities sector combined</a:t>
          </a:r>
          <a:endParaRPr lang="en-US" sz="1100"/>
        </a:p>
        <a:p>
          <a:r>
            <a:rPr lang="en-US" sz="1100"/>
            <a:t>It is assumed that the split of heat pumps between the agriculture and the utilities sector is the same as for the 2013 dataset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393700</xdr:colOff>
      <xdr:row>1</xdr:row>
      <xdr:rowOff>228600</xdr:rowOff>
    </xdr:from>
    <xdr:to>
      <xdr:col>22</xdr:col>
      <xdr:colOff>647700</xdr:colOff>
      <xdr:row>37</xdr:row>
      <xdr:rowOff>177800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431800"/>
          <a:ext cx="11811000" cy="7404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431800</xdr:colOff>
      <xdr:row>15</xdr:row>
      <xdr:rowOff>63500</xdr:rowOff>
    </xdr:from>
    <xdr:to>
      <xdr:col>22</xdr:col>
      <xdr:colOff>736600</xdr:colOff>
      <xdr:row>59</xdr:row>
      <xdr:rowOff>101600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62900" y="8293100"/>
          <a:ext cx="11861800" cy="9017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O1048567"/>
  <sheetViews>
    <sheetView workbookViewId="0">
      <selection activeCell="A11" sqref="A11:XFD19"/>
    </sheetView>
  </sheetViews>
  <sheetFormatPr baseColWidth="10" defaultRowHeight="16" x14ac:dyDescent="0.2"/>
  <cols>
    <col min="4" max="4" width="22" customWidth="1"/>
  </cols>
  <sheetData>
    <row r="1" spans="1:15" ht="17" thickBot="1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</row>
    <row r="2" spans="1:15" x14ac:dyDescent="0.2">
      <c r="A2" s="10"/>
      <c r="B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</row>
    <row r="3" spans="1:15" x14ac:dyDescent="0.2">
      <c r="A3" s="7"/>
      <c r="B3" s="8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</row>
    <row r="4" spans="1:15" x14ac:dyDescent="0.2">
      <c r="A4" s="10"/>
      <c r="B4" s="11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</row>
    <row r="5" spans="1:15" x14ac:dyDescent="0.2">
      <c r="A5" s="10"/>
      <c r="B5" s="11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</row>
    <row r="6" spans="1:15" x14ac:dyDescent="0.2">
      <c r="A6" s="10"/>
      <c r="B6" s="11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</row>
    <row r="7" spans="1:15" x14ac:dyDescent="0.2">
      <c r="A7" s="10"/>
      <c r="B7" s="11"/>
      <c r="C7" s="10" t="s">
        <v>40</v>
      </c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</row>
    <row r="8" spans="1:15" x14ac:dyDescent="0.2">
      <c r="A8" s="10"/>
      <c r="B8" s="11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</row>
    <row r="9" spans="1:15" x14ac:dyDescent="0.2">
      <c r="A9" s="10"/>
      <c r="B9" s="11"/>
      <c r="C9" s="10"/>
      <c r="D9" s="10" t="s">
        <v>30</v>
      </c>
      <c r="E9" s="10" t="s">
        <v>43</v>
      </c>
      <c r="F9" s="10"/>
      <c r="G9" s="10"/>
      <c r="H9" s="10"/>
      <c r="I9" s="10"/>
      <c r="J9" s="10"/>
      <c r="K9" s="10"/>
      <c r="L9" s="10"/>
      <c r="M9" s="10"/>
      <c r="N9" s="10"/>
      <c r="O9" s="10"/>
    </row>
    <row r="10" spans="1:15" x14ac:dyDescent="0.2">
      <c r="A10" s="10"/>
      <c r="B10" s="11"/>
      <c r="D10" s="10" t="s">
        <v>41</v>
      </c>
      <c r="E10" s="10" t="s">
        <v>42</v>
      </c>
      <c r="F10" s="10"/>
      <c r="G10" s="10"/>
      <c r="H10" s="10"/>
      <c r="I10" s="10"/>
      <c r="J10" s="10"/>
      <c r="K10" s="10"/>
      <c r="L10" s="10"/>
      <c r="M10" s="10"/>
      <c r="N10" s="10"/>
      <c r="O10" s="10"/>
    </row>
    <row r="11" spans="1:15" x14ac:dyDescent="0.2">
      <c r="A11" s="10"/>
      <c r="B11" s="11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</row>
    <row r="12" spans="1:15" x14ac:dyDescent="0.2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</row>
    <row r="13" spans="1:15" x14ac:dyDescent="0.2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</row>
    <row r="14" spans="1:15" x14ac:dyDescent="0.2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</row>
    <row r="15" spans="1:15" x14ac:dyDescent="0.2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</row>
    <row r="16" spans="1:15" x14ac:dyDescent="0.2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</row>
    <row r="17" spans="1:15" x14ac:dyDescent="0.2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</row>
    <row r="18" spans="1:15" x14ac:dyDescent="0.2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</row>
    <row r="19" spans="1:15" x14ac:dyDescent="0.2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</row>
    <row r="20" spans="1:15" x14ac:dyDescent="0.2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</row>
    <row r="21" spans="1:15" x14ac:dyDescent="0.2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</row>
    <row r="1048567" spans="5:5" x14ac:dyDescent="0.2">
      <c r="E1048567" s="10"/>
    </row>
  </sheetData>
  <pageMargins left="0.75" right="0.75" top="1" bottom="1" header="0.5" footer="0.5"/>
  <pageSetup paperSize="9" orientation="portrait" horizontalDpi="4294967292" verticalDpi="429496729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T31"/>
  <sheetViews>
    <sheetView workbookViewId="0">
      <selection activeCell="K7" sqref="K7"/>
    </sheetView>
  </sheetViews>
  <sheetFormatPr baseColWidth="10" defaultRowHeight="16" x14ac:dyDescent="0.2"/>
  <cols>
    <col min="6" max="6" width="63.6640625" customWidth="1"/>
  </cols>
  <sheetData>
    <row r="1" spans="1:20" x14ac:dyDescent="0.2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</row>
    <row r="2" spans="1:20" ht="17" thickBot="1" x14ac:dyDescent="0.2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</row>
    <row r="3" spans="1:20" x14ac:dyDescent="0.2">
      <c r="A3" s="4"/>
      <c r="B3" s="5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</row>
    <row r="4" spans="1:20" x14ac:dyDescent="0.2">
      <c r="A4" s="7"/>
      <c r="B4" s="8"/>
      <c r="C4" s="4" t="s">
        <v>39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</row>
    <row r="5" spans="1:20" x14ac:dyDescent="0.2">
      <c r="A5" s="4"/>
      <c r="B5" s="9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</row>
    <row r="6" spans="1:20" x14ac:dyDescent="0.2">
      <c r="A6" s="4"/>
      <c r="B6" s="9"/>
      <c r="D6" s="10" t="s">
        <v>35</v>
      </c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</row>
    <row r="7" spans="1:20" x14ac:dyDescent="0.2">
      <c r="A7" s="4"/>
      <c r="B7" s="9"/>
      <c r="C7" s="10"/>
      <c r="D7" s="10"/>
      <c r="E7" s="10"/>
      <c r="F7" s="10"/>
      <c r="G7" s="10"/>
      <c r="H7" s="10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</row>
    <row r="8" spans="1:20" x14ac:dyDescent="0.2">
      <c r="A8" s="4"/>
      <c r="B8" s="9"/>
      <c r="C8" s="10" t="s">
        <v>30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</row>
    <row r="9" spans="1:20" x14ac:dyDescent="0.2">
      <c r="A9" s="4"/>
      <c r="B9" s="9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</row>
    <row r="10" spans="1:20" x14ac:dyDescent="0.2">
      <c r="A10" s="4"/>
      <c r="B10" s="9"/>
      <c r="C10" s="10"/>
      <c r="D10" s="10" t="s">
        <v>31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</row>
    <row r="11" spans="1:20" x14ac:dyDescent="0.2">
      <c r="A11" s="4"/>
      <c r="B11" s="9"/>
      <c r="D11" s="10" t="s">
        <v>32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</row>
    <row r="12" spans="1:20" x14ac:dyDescent="0.2">
      <c r="A12" s="4"/>
      <c r="B12" s="9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</row>
    <row r="13" spans="1:20" x14ac:dyDescent="0.2">
      <c r="A13" s="4"/>
      <c r="B13" s="9"/>
      <c r="C13" s="4"/>
      <c r="E13" s="10" t="s">
        <v>33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</row>
    <row r="14" spans="1:20" x14ac:dyDescent="0.2">
      <c r="A14" s="4"/>
      <c r="B14" s="9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</row>
    <row r="15" spans="1:20" x14ac:dyDescent="0.2">
      <c r="A15" s="10"/>
      <c r="B15" s="11"/>
      <c r="C15" s="10" t="s">
        <v>38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</row>
    <row r="16" spans="1:20" x14ac:dyDescent="0.2">
      <c r="A16" s="10"/>
      <c r="B16" s="11"/>
      <c r="C16" s="4"/>
      <c r="D16" s="4"/>
      <c r="E16" s="4"/>
      <c r="F16" s="4"/>
      <c r="G16" s="10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</row>
    <row r="17" spans="1:20" x14ac:dyDescent="0.2">
      <c r="A17" s="10"/>
      <c r="B17" s="11"/>
      <c r="C17" s="10"/>
      <c r="D17" s="10" t="s">
        <v>36</v>
      </c>
      <c r="E17" s="4"/>
      <c r="F17" s="4"/>
      <c r="G17" s="10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</row>
    <row r="18" spans="1:20" x14ac:dyDescent="0.2">
      <c r="A18" s="10"/>
      <c r="B18" s="11"/>
      <c r="D18" s="10" t="s">
        <v>37</v>
      </c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</row>
    <row r="19" spans="1:20" x14ac:dyDescent="0.2">
      <c r="A19" s="10"/>
      <c r="B19" s="11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</row>
    <row r="20" spans="1:20" x14ac:dyDescent="0.2">
      <c r="A20" s="10"/>
      <c r="B20" s="11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</row>
    <row r="21" spans="1:20" x14ac:dyDescent="0.2">
      <c r="A21" s="10"/>
      <c r="B21" s="11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</row>
    <row r="22" spans="1:20" x14ac:dyDescent="0.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</row>
    <row r="23" spans="1:20" x14ac:dyDescent="0.2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</row>
    <row r="24" spans="1:20" x14ac:dyDescent="0.2">
      <c r="A24" s="4"/>
      <c r="B24" s="4"/>
      <c r="C24" s="10"/>
      <c r="D24" s="10"/>
      <c r="E24" s="10"/>
      <c r="F24" s="10"/>
      <c r="G24" s="10"/>
      <c r="H24" s="10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</row>
    <row r="25" spans="1:20" x14ac:dyDescent="0.2">
      <c r="A25" s="4"/>
      <c r="B25" s="4"/>
      <c r="C25" s="10"/>
      <c r="D25" s="10"/>
      <c r="E25" s="10"/>
      <c r="F25" s="10"/>
      <c r="G25" s="10"/>
      <c r="H25" s="10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</row>
    <row r="26" spans="1:20" x14ac:dyDescent="0.2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</row>
    <row r="27" spans="1:20" x14ac:dyDescent="0.2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</row>
    <row r="28" spans="1:20" x14ac:dyDescent="0.2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</row>
    <row r="29" spans="1:20" x14ac:dyDescent="0.2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</row>
    <row r="30" spans="1:20" x14ac:dyDescent="0.2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</row>
    <row r="31" spans="1:20" x14ac:dyDescent="0.2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</row>
  </sheetData>
  <pageMargins left="0.75" right="0.75" top="1" bottom="1" header="0.5" footer="0.5"/>
  <pageSetup paperSize="9"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W74"/>
  <sheetViews>
    <sheetView tabSelected="1" topLeftCell="A9" zoomScale="87" workbookViewId="0">
      <selection activeCell="C27" sqref="C27"/>
    </sheetView>
  </sheetViews>
  <sheetFormatPr baseColWidth="10" defaultRowHeight="16" x14ac:dyDescent="0.2"/>
  <cols>
    <col min="1" max="1" width="10.83203125" style="12"/>
    <col min="2" max="2" width="75.33203125" style="12" customWidth="1"/>
    <col min="3" max="3" width="19.83203125" style="12" bestFit="1" customWidth="1"/>
    <col min="4" max="4" width="25.6640625" style="12" bestFit="1" customWidth="1"/>
    <col min="5" max="5" width="20.5" style="12" bestFit="1" customWidth="1"/>
    <col min="6" max="6" width="23.33203125" style="12" bestFit="1" customWidth="1"/>
    <col min="7" max="7" width="48.1640625" style="12" customWidth="1"/>
    <col min="8" max="8" width="23.33203125" style="12" customWidth="1"/>
    <col min="9" max="9" width="23.33203125" style="40" customWidth="1"/>
    <col min="10" max="10" width="42.83203125" style="12" customWidth="1"/>
    <col min="11" max="11" width="42.83203125" style="12" bestFit="1" customWidth="1"/>
    <col min="12" max="12" width="12.5" style="12" bestFit="1" customWidth="1"/>
    <col min="13" max="14" width="20" style="12" bestFit="1" customWidth="1"/>
    <col min="15" max="15" width="31" style="12" bestFit="1" customWidth="1"/>
    <col min="16" max="16" width="34" style="12" bestFit="1" customWidth="1"/>
    <col min="17" max="17" width="18.1640625" style="12" bestFit="1" customWidth="1"/>
    <col min="18" max="18" width="31" style="12" bestFit="1" customWidth="1"/>
    <col min="19" max="19" width="34" style="12" bestFit="1" customWidth="1"/>
    <col min="20" max="20" width="30.5" style="12" bestFit="1" customWidth="1"/>
    <col min="21" max="21" width="33" style="12" bestFit="1" customWidth="1"/>
    <col min="22" max="22" width="33.33203125" style="12" bestFit="1" customWidth="1"/>
    <col min="23" max="23" width="31" style="12" bestFit="1" customWidth="1"/>
    <col min="24" max="16384" width="10.83203125" style="12"/>
  </cols>
  <sheetData>
    <row r="7" spans="2:23" x14ac:dyDescent="0.2">
      <c r="B7" s="14" t="s">
        <v>45</v>
      </c>
      <c r="C7" s="15"/>
      <c r="D7" s="15"/>
      <c r="E7" s="15"/>
      <c r="F7" s="15"/>
      <c r="G7" s="15"/>
      <c r="H7" s="16"/>
    </row>
    <row r="8" spans="2:23" ht="48" x14ac:dyDescent="0.2">
      <c r="B8" s="17"/>
      <c r="C8" s="18"/>
      <c r="D8" s="19" t="str">
        <f>R10&amp;" "&amp;R11&amp;" "&amp;R12</f>
        <v>Thermisch vermogen Opgesteld aan het einde van het jaar MW-thermisch</v>
      </c>
      <c r="E8" s="19" t="str">
        <f>S10&amp;" "&amp;S11&amp;" "&amp;S12</f>
        <v>Energiestromen Bruto warmteproductie warmtepompen TJ</v>
      </c>
      <c r="F8" s="18" t="s">
        <v>46</v>
      </c>
      <c r="G8" s="19" t="str">
        <f>T10&amp;" "&amp;T11&amp;" "&amp;T12</f>
        <v>Energiestromen Verbruik van elektriciteit en aardgas TJ</v>
      </c>
      <c r="H8" s="19" t="str">
        <f>U10&amp;" "&amp;U11&amp;" "&amp;U12</f>
        <v>Energiestromen Onttrekking warmte uit bodem of lucht TJ</v>
      </c>
      <c r="J8" s="12" t="s">
        <v>47</v>
      </c>
    </row>
    <row r="9" spans="2:23" x14ac:dyDescent="0.2">
      <c r="B9" s="20" t="str">
        <f>K67</f>
        <v>Warmtepompen met bodemwarmte</v>
      </c>
      <c r="C9" s="21">
        <f>L67</f>
        <v>2015</v>
      </c>
      <c r="D9" s="21">
        <f>R67</f>
        <v>883</v>
      </c>
      <c r="E9" s="21">
        <f>S67</f>
        <v>3496</v>
      </c>
      <c r="F9" s="21">
        <f>E9*$C$11</f>
        <v>971111.11111111112</v>
      </c>
      <c r="G9" s="21">
        <f>T67</f>
        <v>913</v>
      </c>
      <c r="H9" s="21">
        <f>U67</f>
        <v>2583</v>
      </c>
      <c r="J9" s="12" t="s">
        <v>48</v>
      </c>
      <c r="K9" s="12" t="s">
        <v>49</v>
      </c>
    </row>
    <row r="10" spans="2:23" ht="17" thickBot="1" x14ac:dyDescent="0.25">
      <c r="B10" s="20" t="str">
        <f>K73</f>
        <v>Warmtepompen met buitenluchtwarmte</v>
      </c>
      <c r="C10" s="21">
        <f>L73</f>
        <v>2015</v>
      </c>
      <c r="D10" s="21">
        <f>R73</f>
        <v>1583</v>
      </c>
      <c r="E10" s="21">
        <f>S73</f>
        <v>2315</v>
      </c>
      <c r="F10" s="21">
        <f>E10*$C$11</f>
        <v>643055.5555555555</v>
      </c>
      <c r="G10" s="21">
        <f>T68</f>
        <v>231</v>
      </c>
      <c r="H10" s="21">
        <f>U68</f>
        <v>333</v>
      </c>
      <c r="L10" s="12" t="s">
        <v>50</v>
      </c>
      <c r="M10" s="12" t="s">
        <v>51</v>
      </c>
      <c r="N10" s="12" t="s">
        <v>51</v>
      </c>
      <c r="O10" s="12" t="s">
        <v>51</v>
      </c>
      <c r="P10" s="12" t="s">
        <v>52</v>
      </c>
      <c r="Q10" s="12" t="s">
        <v>52</v>
      </c>
      <c r="R10" s="12" t="s">
        <v>52</v>
      </c>
      <c r="S10" s="12" t="s">
        <v>53</v>
      </c>
      <c r="T10" s="12" t="s">
        <v>53</v>
      </c>
      <c r="U10" s="12" t="s">
        <v>53</v>
      </c>
      <c r="V10" s="12" t="s">
        <v>54</v>
      </c>
      <c r="W10" s="12" t="s">
        <v>55</v>
      </c>
    </row>
    <row r="11" spans="2:23" ht="17" thickBot="1" x14ac:dyDescent="0.25">
      <c r="B11" s="23" t="s">
        <v>56</v>
      </c>
      <c r="C11" s="24">
        <f>1/0.0036</f>
        <v>277.77777777777777</v>
      </c>
      <c r="D11" s="25" t="s">
        <v>57</v>
      </c>
      <c r="E11" s="25"/>
      <c r="F11" s="25"/>
      <c r="G11" s="25"/>
      <c r="H11" s="25"/>
      <c r="L11" s="12" t="s">
        <v>50</v>
      </c>
      <c r="M11" s="12" t="s">
        <v>58</v>
      </c>
      <c r="N11" s="12" t="s">
        <v>59</v>
      </c>
      <c r="O11" s="12" t="s">
        <v>60</v>
      </c>
      <c r="P11" s="12" t="s">
        <v>58</v>
      </c>
      <c r="Q11" s="12" t="s">
        <v>59</v>
      </c>
      <c r="R11" s="12" t="s">
        <v>60</v>
      </c>
      <c r="S11" s="12" t="s">
        <v>61</v>
      </c>
      <c r="T11" s="12" t="s">
        <v>62</v>
      </c>
      <c r="U11" s="12" t="s">
        <v>63</v>
      </c>
      <c r="V11" s="12" t="s">
        <v>54</v>
      </c>
      <c r="W11" s="12" t="s">
        <v>55</v>
      </c>
    </row>
    <row r="12" spans="2:23" x14ac:dyDescent="0.2">
      <c r="E12" s="12" t="s">
        <v>64</v>
      </c>
      <c r="J12" s="12" t="s">
        <v>65</v>
      </c>
      <c r="K12" s="12" t="s">
        <v>48</v>
      </c>
      <c r="L12" s="12" t="s">
        <v>66</v>
      </c>
      <c r="M12" s="12" t="s">
        <v>34</v>
      </c>
      <c r="N12" s="12" t="s">
        <v>34</v>
      </c>
      <c r="O12" s="12" t="s">
        <v>34</v>
      </c>
      <c r="P12" s="12" t="s">
        <v>67</v>
      </c>
      <c r="Q12" s="12" t="s">
        <v>67</v>
      </c>
      <c r="R12" s="12" t="s">
        <v>67</v>
      </c>
      <c r="S12" s="12" t="s">
        <v>68</v>
      </c>
      <c r="T12" s="12" t="s">
        <v>68</v>
      </c>
      <c r="U12" s="12" t="s">
        <v>68</v>
      </c>
      <c r="V12" s="12" t="s">
        <v>68</v>
      </c>
      <c r="W12" s="12" t="s">
        <v>69</v>
      </c>
    </row>
    <row r="13" spans="2:23" x14ac:dyDescent="0.2">
      <c r="B13" s="27" t="s">
        <v>70</v>
      </c>
      <c r="C13" s="28"/>
      <c r="D13" s="29"/>
      <c r="J13" s="12" t="s">
        <v>71</v>
      </c>
      <c r="K13" s="12" t="s">
        <v>72</v>
      </c>
      <c r="L13" s="12">
        <v>2010</v>
      </c>
      <c r="M13" s="12">
        <v>17953</v>
      </c>
      <c r="N13" s="12">
        <v>67</v>
      </c>
      <c r="O13" s="12">
        <v>75044</v>
      </c>
      <c r="P13" s="12">
        <v>355</v>
      </c>
      <c r="Q13" s="12">
        <v>1</v>
      </c>
      <c r="R13" s="12">
        <v>1248</v>
      </c>
      <c r="S13" s="12">
        <v>3869</v>
      </c>
      <c r="T13" s="12">
        <v>1150</v>
      </c>
      <c r="U13" s="12">
        <v>2719</v>
      </c>
      <c r="V13" s="12">
        <v>1445</v>
      </c>
      <c r="W13" s="12">
        <v>54</v>
      </c>
    </row>
    <row r="14" spans="2:23" ht="17" thickBot="1" x14ac:dyDescent="0.25">
      <c r="B14" s="23"/>
      <c r="C14" s="21" t="s">
        <v>73</v>
      </c>
      <c r="D14" s="22" t="s">
        <v>74</v>
      </c>
      <c r="J14" s="12" t="s">
        <v>71</v>
      </c>
      <c r="K14" s="12" t="s">
        <v>72</v>
      </c>
      <c r="L14" s="12">
        <v>2011</v>
      </c>
      <c r="M14" s="12">
        <v>44372</v>
      </c>
      <c r="N14" s="12">
        <v>146</v>
      </c>
      <c r="O14" s="12">
        <v>119270</v>
      </c>
      <c r="P14" s="12">
        <v>426</v>
      </c>
      <c r="Q14" s="12">
        <v>2</v>
      </c>
      <c r="R14" s="12">
        <v>1673</v>
      </c>
      <c r="S14" s="12">
        <v>4704</v>
      </c>
      <c r="T14" s="12">
        <v>1429</v>
      </c>
      <c r="U14" s="12">
        <v>3275</v>
      </c>
      <c r="V14" s="12">
        <v>1797</v>
      </c>
      <c r="W14" s="12">
        <v>68</v>
      </c>
    </row>
    <row r="15" spans="2:23" ht="17" thickBot="1" x14ac:dyDescent="0.25">
      <c r="B15" s="20" t="s">
        <v>75</v>
      </c>
      <c r="C15" s="31">
        <v>0.88890000000000002</v>
      </c>
      <c r="D15" s="30">
        <f>1-C15</f>
        <v>0.11109999999999998</v>
      </c>
      <c r="J15" s="12" t="s">
        <v>71</v>
      </c>
      <c r="K15" s="12" t="s">
        <v>72</v>
      </c>
      <c r="L15" s="12">
        <v>2012</v>
      </c>
      <c r="M15" s="12">
        <v>42745</v>
      </c>
      <c r="N15" s="12">
        <v>1408</v>
      </c>
      <c r="O15" s="12">
        <v>160608</v>
      </c>
      <c r="P15" s="12">
        <v>387</v>
      </c>
      <c r="Q15" s="12">
        <v>8</v>
      </c>
      <c r="R15" s="12">
        <v>2052</v>
      </c>
      <c r="S15" s="12">
        <v>5508</v>
      </c>
      <c r="T15" s="12">
        <v>1696</v>
      </c>
      <c r="U15" s="12">
        <v>3813</v>
      </c>
      <c r="V15" s="12">
        <v>1932</v>
      </c>
      <c r="W15" s="12">
        <v>55</v>
      </c>
    </row>
    <row r="16" spans="2:23" ht="18" thickBot="1" x14ac:dyDescent="0.25">
      <c r="B16" s="23" t="s">
        <v>88</v>
      </c>
      <c r="C16" s="60">
        <v>0.95650000000000002</v>
      </c>
      <c r="D16" s="31">
        <f>1-C16</f>
        <v>4.3499999999999983E-2</v>
      </c>
      <c r="J16" s="12" t="s">
        <v>71</v>
      </c>
      <c r="K16" s="12" t="s">
        <v>72</v>
      </c>
      <c r="L16" s="12">
        <v>2013</v>
      </c>
      <c r="M16" s="12">
        <v>40538</v>
      </c>
      <c r="N16" s="12">
        <v>1669</v>
      </c>
      <c r="O16" s="12">
        <v>199477</v>
      </c>
      <c r="P16" s="12">
        <v>384</v>
      </c>
      <c r="Q16" s="12">
        <v>14</v>
      </c>
      <c r="R16" s="12">
        <v>2422</v>
      </c>
      <c r="S16" s="12">
        <v>6355</v>
      </c>
      <c r="T16" s="12">
        <v>1979</v>
      </c>
      <c r="U16" s="12">
        <v>4377</v>
      </c>
      <c r="V16" s="12">
        <v>2224</v>
      </c>
      <c r="W16" s="12">
        <v>52</v>
      </c>
    </row>
    <row r="17" spans="2:23" x14ac:dyDescent="0.2">
      <c r="J17" s="12" t="s">
        <v>71</v>
      </c>
      <c r="K17" s="12" t="s">
        <v>72</v>
      </c>
      <c r="L17" s="12">
        <v>2014</v>
      </c>
      <c r="M17" s="12">
        <v>46538</v>
      </c>
      <c r="N17" s="12">
        <v>880</v>
      </c>
      <c r="O17" s="12">
        <v>245134</v>
      </c>
      <c r="P17" s="12">
        <v>429</v>
      </c>
      <c r="Q17" s="12">
        <v>10</v>
      </c>
      <c r="R17" s="12">
        <v>2841</v>
      </c>
      <c r="S17" s="12">
        <v>7298</v>
      </c>
      <c r="T17" s="12">
        <v>2302</v>
      </c>
      <c r="U17" s="12">
        <v>4996</v>
      </c>
      <c r="V17" s="12">
        <v>2362</v>
      </c>
      <c r="W17" s="12">
        <v>45</v>
      </c>
    </row>
    <row r="18" spans="2:23" x14ac:dyDescent="0.2">
      <c r="B18" s="27" t="s">
        <v>79</v>
      </c>
      <c r="C18" s="28"/>
      <c r="D18" s="29"/>
    </row>
    <row r="19" spans="2:23" ht="17" thickBot="1" x14ac:dyDescent="0.25">
      <c r="B19" s="23"/>
      <c r="C19" s="21" t="s">
        <v>80</v>
      </c>
      <c r="D19" s="22" t="s">
        <v>68</v>
      </c>
    </row>
    <row r="20" spans="2:23" ht="18" thickBot="1" x14ac:dyDescent="0.25">
      <c r="B20" s="20" t="s">
        <v>82</v>
      </c>
      <c r="C20" s="33" t="s">
        <v>83</v>
      </c>
      <c r="D20" s="24">
        <v>4190000</v>
      </c>
      <c r="J20" s="12" t="s">
        <v>71</v>
      </c>
      <c r="K20" s="12" t="s">
        <v>72</v>
      </c>
      <c r="L20" s="12">
        <v>2015</v>
      </c>
      <c r="M20" s="12">
        <v>51262</v>
      </c>
      <c r="N20" s="12">
        <v>938</v>
      </c>
      <c r="O20" s="12">
        <v>295459</v>
      </c>
      <c r="P20" s="12">
        <v>445</v>
      </c>
      <c r="Q20" s="12">
        <v>14</v>
      </c>
      <c r="R20" s="12">
        <v>3272</v>
      </c>
      <c r="S20" s="12">
        <v>8314</v>
      </c>
      <c r="T20" s="12">
        <v>2660</v>
      </c>
      <c r="U20" s="12">
        <v>5653</v>
      </c>
      <c r="V20" s="12">
        <v>2577</v>
      </c>
      <c r="W20" s="12">
        <v>17</v>
      </c>
    </row>
    <row r="21" spans="2:23" ht="18" thickBot="1" x14ac:dyDescent="0.25">
      <c r="B21" s="23" t="s">
        <v>84</v>
      </c>
      <c r="C21" s="33" t="s">
        <v>85</v>
      </c>
      <c r="D21" s="24">
        <v>404620</v>
      </c>
      <c r="J21" s="12" t="s">
        <v>71</v>
      </c>
      <c r="K21" s="12" t="s">
        <v>76</v>
      </c>
      <c r="L21" s="12">
        <v>2010</v>
      </c>
      <c r="M21" s="12">
        <v>5677</v>
      </c>
      <c r="N21" s="12">
        <v>41</v>
      </c>
      <c r="O21" s="12">
        <v>30293</v>
      </c>
      <c r="P21" s="12">
        <v>117</v>
      </c>
      <c r="Q21" s="12">
        <v>1</v>
      </c>
      <c r="R21" s="12">
        <v>749</v>
      </c>
      <c r="S21" s="12">
        <v>2967</v>
      </c>
      <c r="T21" s="12">
        <v>784</v>
      </c>
      <c r="U21" s="12">
        <v>2183</v>
      </c>
      <c r="V21" s="12">
        <v>1312</v>
      </c>
      <c r="W21" s="12">
        <v>55</v>
      </c>
    </row>
    <row r="22" spans="2:23" x14ac:dyDescent="0.2">
      <c r="B22" s="32"/>
      <c r="C22" s="34"/>
      <c r="D22" s="34"/>
      <c r="J22" s="12" t="s">
        <v>71</v>
      </c>
      <c r="K22" s="12" t="s">
        <v>76</v>
      </c>
      <c r="L22" s="12">
        <v>2011</v>
      </c>
      <c r="M22" s="12">
        <v>5859</v>
      </c>
      <c r="N22" s="12">
        <v>100</v>
      </c>
      <c r="O22" s="12">
        <v>36052</v>
      </c>
      <c r="P22" s="12">
        <v>122</v>
      </c>
      <c r="Q22" s="12">
        <v>2</v>
      </c>
      <c r="R22" s="12">
        <v>869</v>
      </c>
      <c r="S22" s="12">
        <v>3441</v>
      </c>
      <c r="T22" s="12">
        <v>903</v>
      </c>
      <c r="U22" s="12">
        <v>2538</v>
      </c>
      <c r="V22" s="12">
        <v>1582</v>
      </c>
      <c r="W22" s="12">
        <v>67</v>
      </c>
    </row>
    <row r="23" spans="2:23" x14ac:dyDescent="0.2">
      <c r="B23" s="27" t="s">
        <v>86</v>
      </c>
      <c r="C23" s="28"/>
      <c r="D23" s="29"/>
      <c r="J23" s="12" t="s">
        <v>71</v>
      </c>
      <c r="K23" s="12" t="s">
        <v>76</v>
      </c>
      <c r="L23" s="12">
        <v>2012</v>
      </c>
      <c r="M23" s="12">
        <v>5786</v>
      </c>
      <c r="N23" s="12">
        <v>581</v>
      </c>
      <c r="O23" s="12">
        <v>41257</v>
      </c>
      <c r="P23" s="12">
        <v>113</v>
      </c>
      <c r="Q23" s="12">
        <v>7</v>
      </c>
      <c r="R23" s="12">
        <v>975</v>
      </c>
      <c r="S23" s="12">
        <v>3860</v>
      </c>
      <c r="T23" s="12">
        <v>1008</v>
      </c>
      <c r="U23" s="12">
        <v>2852</v>
      </c>
      <c r="V23" s="12">
        <v>1700</v>
      </c>
      <c r="W23" s="12">
        <v>62</v>
      </c>
    </row>
    <row r="24" spans="2:23" x14ac:dyDescent="0.2">
      <c r="B24" s="23"/>
      <c r="C24" s="25" t="s">
        <v>77</v>
      </c>
      <c r="D24" s="26" t="s">
        <v>78</v>
      </c>
      <c r="J24" s="12" t="s">
        <v>71</v>
      </c>
      <c r="K24" s="12" t="s">
        <v>76</v>
      </c>
      <c r="L24" s="12">
        <v>2013</v>
      </c>
      <c r="M24" s="12">
        <v>3052</v>
      </c>
      <c r="N24" s="12">
        <v>427</v>
      </c>
      <c r="O24" s="12">
        <v>43882</v>
      </c>
      <c r="P24" s="12">
        <v>111</v>
      </c>
      <c r="Q24" s="12">
        <v>12</v>
      </c>
      <c r="R24" s="12">
        <v>1074</v>
      </c>
      <c r="S24" s="12">
        <v>4253</v>
      </c>
      <c r="T24" s="12">
        <v>1107</v>
      </c>
      <c r="U24" s="12">
        <v>3147</v>
      </c>
      <c r="V24" s="12">
        <v>1908</v>
      </c>
      <c r="W24" s="12">
        <v>64</v>
      </c>
    </row>
    <row r="25" spans="2:23" x14ac:dyDescent="0.2">
      <c r="B25" s="20" t="s">
        <v>75</v>
      </c>
      <c r="C25" s="35">
        <f>G9/SUM(D20:D21)*D20</f>
        <v>832.59769034218277</v>
      </c>
      <c r="D25" s="22">
        <f>C25/D15*C15</f>
        <v>6661.530935600058</v>
      </c>
      <c r="J25" s="12" t="s">
        <v>71</v>
      </c>
      <c r="K25" s="12" t="s">
        <v>76</v>
      </c>
      <c r="L25" s="12">
        <v>2014</v>
      </c>
      <c r="M25" s="12">
        <v>2510</v>
      </c>
      <c r="N25" s="12">
        <v>406</v>
      </c>
      <c r="O25" s="12">
        <v>45986</v>
      </c>
      <c r="P25" s="12">
        <v>96</v>
      </c>
      <c r="Q25" s="12">
        <v>10</v>
      </c>
      <c r="R25" s="12">
        <v>1160</v>
      </c>
      <c r="S25" s="12">
        <v>4595</v>
      </c>
      <c r="T25" s="12">
        <v>1191</v>
      </c>
      <c r="U25" s="12">
        <v>3404</v>
      </c>
      <c r="V25" s="12">
        <v>2007</v>
      </c>
      <c r="W25" s="12">
        <v>65</v>
      </c>
    </row>
    <row r="26" spans="2:23" x14ac:dyDescent="0.2">
      <c r="B26" s="23" t="s">
        <v>88</v>
      </c>
      <c r="C26" s="36">
        <f>G9/SUM(D20:D21)*D21</f>
        <v>80.402309657817185</v>
      </c>
      <c r="D26" s="26">
        <f>C26/D16*C16</f>
        <v>1767.9266479931534</v>
      </c>
      <c r="J26" s="12" t="s">
        <v>71</v>
      </c>
      <c r="K26" s="12" t="s">
        <v>76</v>
      </c>
      <c r="L26" s="12">
        <v>2015</v>
      </c>
      <c r="M26" s="12">
        <v>2086</v>
      </c>
      <c r="N26" s="12">
        <v>665</v>
      </c>
      <c r="O26" s="12">
        <v>47407</v>
      </c>
      <c r="P26" s="12">
        <v>91</v>
      </c>
      <c r="Q26" s="12">
        <v>13</v>
      </c>
      <c r="R26" s="12">
        <v>1238</v>
      </c>
      <c r="S26" s="12">
        <v>4902</v>
      </c>
      <c r="T26" s="12">
        <v>1268</v>
      </c>
      <c r="U26" s="12">
        <v>3634</v>
      </c>
      <c r="V26" s="12">
        <v>2138</v>
      </c>
      <c r="W26" s="12">
        <v>57</v>
      </c>
    </row>
    <row r="27" spans="2:23" x14ac:dyDescent="0.2">
      <c r="J27" s="12" t="s">
        <v>71</v>
      </c>
      <c r="K27" s="12" t="s">
        <v>81</v>
      </c>
      <c r="L27" s="12">
        <v>2010</v>
      </c>
      <c r="M27" s="12">
        <v>12276</v>
      </c>
      <c r="N27" s="12">
        <v>26</v>
      </c>
      <c r="O27" s="12">
        <v>44751</v>
      </c>
      <c r="P27" s="12">
        <v>239</v>
      </c>
      <c r="Q27" s="12">
        <v>0</v>
      </c>
      <c r="R27" s="12">
        <v>499</v>
      </c>
      <c r="S27" s="12">
        <v>902</v>
      </c>
      <c r="T27" s="12">
        <v>367</v>
      </c>
      <c r="U27" s="12">
        <v>536</v>
      </c>
      <c r="V27" s="12">
        <v>133</v>
      </c>
      <c r="W27" s="12">
        <v>-1</v>
      </c>
    </row>
    <row r="28" spans="2:23" x14ac:dyDescent="0.2">
      <c r="J28" s="12" t="s">
        <v>71</v>
      </c>
      <c r="K28" s="12" t="s">
        <v>81</v>
      </c>
      <c r="L28" s="12">
        <v>2011</v>
      </c>
      <c r="M28" s="12">
        <v>38513</v>
      </c>
      <c r="N28" s="12">
        <v>46</v>
      </c>
      <c r="O28" s="12">
        <v>83218</v>
      </c>
      <c r="P28" s="12">
        <v>305</v>
      </c>
      <c r="Q28" s="12">
        <v>0</v>
      </c>
      <c r="R28" s="12">
        <v>804</v>
      </c>
      <c r="S28" s="12">
        <v>1263</v>
      </c>
      <c r="T28" s="12">
        <v>526</v>
      </c>
      <c r="U28" s="12">
        <v>737</v>
      </c>
      <c r="V28" s="12">
        <v>215</v>
      </c>
      <c r="W28" s="12">
        <v>1</v>
      </c>
    </row>
    <row r="29" spans="2:23" x14ac:dyDescent="0.2">
      <c r="B29" s="37" t="s">
        <v>91</v>
      </c>
      <c r="C29" s="38"/>
      <c r="J29" s="12" t="s">
        <v>71</v>
      </c>
      <c r="K29" s="12" t="s">
        <v>81</v>
      </c>
      <c r="L29" s="12">
        <v>2012</v>
      </c>
      <c r="M29" s="12">
        <v>36959</v>
      </c>
      <c r="N29" s="12">
        <v>827</v>
      </c>
      <c r="O29" s="12">
        <v>119350</v>
      </c>
      <c r="P29" s="12">
        <v>274</v>
      </c>
      <c r="Q29" s="12">
        <v>1</v>
      </c>
      <c r="R29" s="12">
        <v>1077</v>
      </c>
      <c r="S29" s="12">
        <v>1648</v>
      </c>
      <c r="T29" s="12">
        <v>688</v>
      </c>
      <c r="U29" s="12">
        <v>961</v>
      </c>
      <c r="V29" s="12">
        <v>232</v>
      </c>
      <c r="W29" s="12">
        <v>-7</v>
      </c>
    </row>
    <row r="30" spans="2:23" x14ac:dyDescent="0.2">
      <c r="B30" s="47" t="s">
        <v>92</v>
      </c>
      <c r="C30" s="39">
        <f>VLOOKUP(B30,B$39:F$44,5,FALSE)</f>
        <v>1.8023908811718326E-2</v>
      </c>
      <c r="J30" s="12" t="s">
        <v>71</v>
      </c>
      <c r="K30" s="12" t="s">
        <v>81</v>
      </c>
      <c r="L30" s="12">
        <v>2013</v>
      </c>
      <c r="M30" s="12">
        <v>37486</v>
      </c>
      <c r="N30" s="12">
        <v>1242</v>
      </c>
      <c r="O30" s="12">
        <v>155594</v>
      </c>
      <c r="P30" s="12">
        <v>273</v>
      </c>
      <c r="Q30" s="12">
        <v>2</v>
      </c>
      <c r="R30" s="12">
        <v>1348</v>
      </c>
      <c r="S30" s="12">
        <v>2102</v>
      </c>
      <c r="T30" s="12">
        <v>872</v>
      </c>
      <c r="U30" s="12">
        <v>1230</v>
      </c>
      <c r="V30" s="12">
        <v>316</v>
      </c>
      <c r="W30" s="12">
        <v>-13</v>
      </c>
    </row>
    <row r="31" spans="2:23" x14ac:dyDescent="0.2">
      <c r="B31" s="47" t="s">
        <v>98</v>
      </c>
      <c r="C31" s="46">
        <f t="shared" ref="C31:C35" si="0">VLOOKUP(B31,B$39:F$44,5,FALSE)</f>
        <v>0.31557857799593042</v>
      </c>
      <c r="J31" s="12" t="s">
        <v>71</v>
      </c>
      <c r="K31" s="12" t="s">
        <v>81</v>
      </c>
      <c r="L31" s="12">
        <v>2014</v>
      </c>
      <c r="M31" s="12">
        <v>44028</v>
      </c>
      <c r="N31" s="12">
        <v>474</v>
      </c>
      <c r="O31" s="12">
        <v>199148</v>
      </c>
      <c r="P31" s="12">
        <v>333</v>
      </c>
      <c r="Q31" s="12">
        <v>1</v>
      </c>
      <c r="R31" s="12">
        <v>1681</v>
      </c>
      <c r="S31" s="12">
        <v>2703</v>
      </c>
      <c r="T31" s="12">
        <v>1111</v>
      </c>
      <c r="U31" s="12">
        <v>1592</v>
      </c>
      <c r="V31" s="12">
        <v>355</v>
      </c>
      <c r="W31" s="12">
        <v>-20</v>
      </c>
    </row>
    <row r="32" spans="2:23" x14ac:dyDescent="0.2">
      <c r="B32" s="47" t="s">
        <v>99</v>
      </c>
      <c r="C32" s="46">
        <f t="shared" si="0"/>
        <v>0.1792627479053901</v>
      </c>
      <c r="J32" s="12" t="s">
        <v>71</v>
      </c>
      <c r="K32" s="12" t="s">
        <v>81</v>
      </c>
      <c r="L32" s="12">
        <v>2015</v>
      </c>
      <c r="M32" s="12">
        <v>49176</v>
      </c>
      <c r="N32" s="12">
        <v>273</v>
      </c>
      <c r="O32" s="12">
        <v>248051</v>
      </c>
      <c r="P32" s="12">
        <v>354</v>
      </c>
      <c r="Q32" s="12">
        <v>0</v>
      </c>
      <c r="R32" s="12">
        <v>2035</v>
      </c>
      <c r="S32" s="12">
        <v>3412</v>
      </c>
      <c r="T32" s="12">
        <v>1393</v>
      </c>
      <c r="U32" s="12">
        <v>2019</v>
      </c>
      <c r="V32" s="12">
        <v>439</v>
      </c>
      <c r="W32" s="12">
        <v>-39</v>
      </c>
    </row>
    <row r="33" spans="2:23" x14ac:dyDescent="0.2">
      <c r="B33" s="47" t="s">
        <v>100</v>
      </c>
      <c r="C33" s="46">
        <f t="shared" si="0"/>
        <v>8.6447039216407603E-3</v>
      </c>
      <c r="J33" s="12" t="s">
        <v>87</v>
      </c>
      <c r="K33" s="12" t="s">
        <v>72</v>
      </c>
      <c r="L33" s="12">
        <v>2010</v>
      </c>
      <c r="M33" s="12">
        <v>8400</v>
      </c>
      <c r="N33" s="12">
        <v>43</v>
      </c>
      <c r="O33" s="12">
        <v>51058</v>
      </c>
      <c r="P33" s="12">
        <v>65</v>
      </c>
      <c r="Q33" s="12">
        <v>0</v>
      </c>
      <c r="R33" s="12">
        <v>302</v>
      </c>
      <c r="S33" s="12">
        <v>1262</v>
      </c>
      <c r="T33" s="12">
        <v>370</v>
      </c>
      <c r="U33" s="12">
        <v>892</v>
      </c>
      <c r="V33" s="12">
        <v>476</v>
      </c>
      <c r="W33" s="12">
        <v>18</v>
      </c>
    </row>
    <row r="34" spans="2:23" x14ac:dyDescent="0.2">
      <c r="B34" s="47" t="s">
        <v>105</v>
      </c>
      <c r="C34" s="46">
        <f t="shared" si="0"/>
        <v>1.0097329856070756E-2</v>
      </c>
      <c r="J34" s="12" t="s">
        <v>87</v>
      </c>
      <c r="K34" s="12" t="s">
        <v>72</v>
      </c>
      <c r="L34" s="12">
        <v>2011</v>
      </c>
      <c r="M34" s="12">
        <v>18649</v>
      </c>
      <c r="N34" s="12">
        <v>109</v>
      </c>
      <c r="O34" s="12">
        <v>69598</v>
      </c>
      <c r="P34" s="12">
        <v>111</v>
      </c>
      <c r="Q34" s="12">
        <v>1</v>
      </c>
      <c r="R34" s="12">
        <v>412</v>
      </c>
      <c r="S34" s="12">
        <v>1559</v>
      </c>
      <c r="T34" s="12">
        <v>477</v>
      </c>
      <c r="U34" s="12">
        <v>1082</v>
      </c>
      <c r="V34" s="12">
        <v>602</v>
      </c>
      <c r="W34" s="12">
        <v>23</v>
      </c>
    </row>
    <row r="35" spans="2:23" x14ac:dyDescent="0.2">
      <c r="B35" s="48" t="s">
        <v>101</v>
      </c>
      <c r="C35" s="49">
        <f t="shared" si="0"/>
        <v>0.46839273150924959</v>
      </c>
      <c r="J35" s="12" t="s">
        <v>87</v>
      </c>
      <c r="K35" s="12" t="s">
        <v>72</v>
      </c>
      <c r="L35" s="12">
        <v>2012</v>
      </c>
      <c r="M35" s="12">
        <v>19163</v>
      </c>
      <c r="N35" s="12">
        <v>1297</v>
      </c>
      <c r="O35" s="12">
        <v>87464</v>
      </c>
      <c r="P35" s="12">
        <v>100</v>
      </c>
      <c r="Q35" s="12">
        <v>4</v>
      </c>
      <c r="R35" s="12">
        <v>507</v>
      </c>
      <c r="S35" s="12">
        <v>1795</v>
      </c>
      <c r="T35" s="12">
        <v>555</v>
      </c>
      <c r="U35" s="12">
        <v>1241</v>
      </c>
      <c r="V35" s="12">
        <v>645</v>
      </c>
      <c r="W35" s="12">
        <v>19</v>
      </c>
    </row>
    <row r="36" spans="2:23" x14ac:dyDescent="0.2">
      <c r="J36" s="12" t="s">
        <v>87</v>
      </c>
      <c r="K36" s="12" t="s">
        <v>72</v>
      </c>
      <c r="L36" s="12">
        <v>2013</v>
      </c>
      <c r="M36" s="12">
        <v>16739</v>
      </c>
      <c r="N36" s="12">
        <v>1547</v>
      </c>
      <c r="O36" s="12">
        <v>102656</v>
      </c>
      <c r="P36" s="12">
        <v>87</v>
      </c>
      <c r="Q36" s="12">
        <v>7</v>
      </c>
      <c r="R36" s="12">
        <v>587</v>
      </c>
      <c r="S36" s="12">
        <v>1999</v>
      </c>
      <c r="T36" s="12">
        <v>631</v>
      </c>
      <c r="U36" s="12">
        <v>1368</v>
      </c>
      <c r="V36" s="12">
        <v>706</v>
      </c>
      <c r="W36" s="12">
        <v>17</v>
      </c>
    </row>
    <row r="37" spans="2:23" x14ac:dyDescent="0.2">
      <c r="J37" s="12" t="s">
        <v>87</v>
      </c>
      <c r="K37" s="12" t="s">
        <v>72</v>
      </c>
      <c r="L37" s="12">
        <v>2014</v>
      </c>
      <c r="M37" s="12">
        <v>19323</v>
      </c>
      <c r="N37" s="12">
        <v>753</v>
      </c>
      <c r="O37" s="12">
        <v>121226</v>
      </c>
      <c r="P37" s="12">
        <v>106</v>
      </c>
      <c r="Q37" s="12">
        <v>3</v>
      </c>
      <c r="R37" s="12">
        <v>690</v>
      </c>
      <c r="S37" s="12">
        <v>2238</v>
      </c>
      <c r="T37" s="12">
        <v>717</v>
      </c>
      <c r="U37" s="12">
        <v>1520</v>
      </c>
      <c r="V37" s="12">
        <v>728</v>
      </c>
      <c r="W37" s="12">
        <v>14</v>
      </c>
    </row>
    <row r="38" spans="2:23" ht="48" x14ac:dyDescent="0.2">
      <c r="B38" s="50" t="s">
        <v>97</v>
      </c>
      <c r="C38" s="51" t="s">
        <v>93</v>
      </c>
      <c r="D38" s="52" t="s">
        <v>94</v>
      </c>
      <c r="E38" s="53" t="s">
        <v>95</v>
      </c>
      <c r="F38" s="53" t="s">
        <v>96</v>
      </c>
      <c r="G38" s="59" t="s">
        <v>104</v>
      </c>
      <c r="J38" s="12" t="s">
        <v>87</v>
      </c>
      <c r="K38" s="12" t="s">
        <v>72</v>
      </c>
      <c r="L38" s="12">
        <v>2015</v>
      </c>
      <c r="M38" s="12">
        <v>22926</v>
      </c>
      <c r="N38" s="12">
        <v>727</v>
      </c>
      <c r="O38" s="12">
        <v>143425</v>
      </c>
      <c r="P38" s="12">
        <v>121</v>
      </c>
      <c r="Q38" s="12">
        <v>4</v>
      </c>
      <c r="R38" s="12">
        <v>806</v>
      </c>
      <c r="S38" s="12">
        <v>2502</v>
      </c>
      <c r="T38" s="12">
        <v>812</v>
      </c>
      <c r="U38" s="12">
        <v>1690</v>
      </c>
      <c r="V38" s="12">
        <v>774</v>
      </c>
      <c r="W38" s="12">
        <v>5</v>
      </c>
    </row>
    <row r="39" spans="2:23" x14ac:dyDescent="0.2">
      <c r="B39" s="20" t="s">
        <v>98</v>
      </c>
      <c r="C39" s="41">
        <v>35975.959409896903</v>
      </c>
      <c r="D39" s="42">
        <v>0.9</v>
      </c>
      <c r="E39" s="43">
        <f>C39*D39</f>
        <v>32378.363468907213</v>
      </c>
      <c r="F39" s="44">
        <f>E39/SUM(E$39:E$44)</f>
        <v>0.31557857799593042</v>
      </c>
      <c r="G39" s="22" t="s">
        <v>102</v>
      </c>
      <c r="J39" s="12" t="s">
        <v>87</v>
      </c>
      <c r="K39" s="12" t="s">
        <v>76</v>
      </c>
      <c r="L39" s="12">
        <v>2010</v>
      </c>
      <c r="M39" s="12">
        <v>5040</v>
      </c>
      <c r="N39" s="12">
        <v>18</v>
      </c>
      <c r="O39" s="12">
        <v>23481</v>
      </c>
      <c r="P39" s="12">
        <v>46</v>
      </c>
      <c r="Q39" s="12">
        <v>0</v>
      </c>
      <c r="R39" s="12">
        <v>233</v>
      </c>
      <c r="S39" s="12">
        <v>925</v>
      </c>
      <c r="T39" s="12">
        <v>234</v>
      </c>
      <c r="U39" s="12">
        <v>690</v>
      </c>
      <c r="V39" s="12">
        <v>427</v>
      </c>
      <c r="W39" s="12">
        <v>18</v>
      </c>
    </row>
    <row r="40" spans="2:23" x14ac:dyDescent="0.2">
      <c r="B40" s="20" t="s">
        <v>99</v>
      </c>
      <c r="C40" s="41">
        <v>23321.03</v>
      </c>
      <c r="D40" s="42">
        <v>0.78865979381443296</v>
      </c>
      <c r="E40" s="43">
        <f>C40*D40</f>
        <v>18392.358711340206</v>
      </c>
      <c r="F40" s="44">
        <f t="shared" ref="F40:F44" si="1">E40/SUM(E$39:E$44)</f>
        <v>0.1792627479053901</v>
      </c>
      <c r="G40" s="22" t="s">
        <v>102</v>
      </c>
      <c r="J40" s="12" t="s">
        <v>87</v>
      </c>
      <c r="K40" s="12" t="s">
        <v>76</v>
      </c>
      <c r="L40" s="12">
        <v>2011</v>
      </c>
      <c r="M40" s="12">
        <v>4890</v>
      </c>
      <c r="N40" s="12">
        <v>66</v>
      </c>
      <c r="O40" s="12">
        <v>28305</v>
      </c>
      <c r="P40" s="12">
        <v>44</v>
      </c>
      <c r="Q40" s="12">
        <v>0</v>
      </c>
      <c r="R40" s="12">
        <v>277</v>
      </c>
      <c r="S40" s="12">
        <v>1099</v>
      </c>
      <c r="T40" s="12">
        <v>278</v>
      </c>
      <c r="U40" s="12">
        <v>821</v>
      </c>
      <c r="V40" s="12">
        <v>523</v>
      </c>
      <c r="W40" s="12">
        <v>23</v>
      </c>
    </row>
    <row r="41" spans="2:23" x14ac:dyDescent="0.2">
      <c r="B41" s="20" t="s">
        <v>100</v>
      </c>
      <c r="C41" s="41">
        <v>1165.77</v>
      </c>
      <c r="D41" s="42">
        <v>0.76082474226804098</v>
      </c>
      <c r="E41" s="43">
        <f>C41*D41</f>
        <v>886.94665979381409</v>
      </c>
      <c r="F41" s="44">
        <f t="shared" si="1"/>
        <v>8.6447039216407603E-3</v>
      </c>
      <c r="G41" s="22" t="s">
        <v>102</v>
      </c>
      <c r="J41" s="12" t="s">
        <v>87</v>
      </c>
      <c r="K41" s="12" t="s">
        <v>76</v>
      </c>
      <c r="L41" s="12">
        <v>2012</v>
      </c>
      <c r="M41" s="12">
        <v>4843</v>
      </c>
      <c r="N41" s="12">
        <v>492</v>
      </c>
      <c r="O41" s="12">
        <v>32656</v>
      </c>
      <c r="P41" s="12">
        <v>39</v>
      </c>
      <c r="Q41" s="12">
        <v>3</v>
      </c>
      <c r="R41" s="12">
        <v>313</v>
      </c>
      <c r="S41" s="12">
        <v>1239</v>
      </c>
      <c r="T41" s="12">
        <v>313</v>
      </c>
      <c r="U41" s="12">
        <v>926</v>
      </c>
      <c r="V41" s="12">
        <v>564</v>
      </c>
      <c r="W41" s="12">
        <v>21</v>
      </c>
    </row>
    <row r="42" spans="2:23" ht="48" x14ac:dyDescent="0.2">
      <c r="B42" s="20" t="s">
        <v>105</v>
      </c>
      <c r="C42" s="41">
        <v>43.166086956521774</v>
      </c>
      <c r="D42" s="42">
        <v>23.999999999999982</v>
      </c>
      <c r="E42" s="43">
        <f>C42*D42</f>
        <v>1035.9860869565218</v>
      </c>
      <c r="F42" s="44">
        <f t="shared" si="1"/>
        <v>1.0097329856070756E-2</v>
      </c>
      <c r="G42" s="61" t="s">
        <v>103</v>
      </c>
      <c r="J42" s="12" t="s">
        <v>87</v>
      </c>
      <c r="K42" s="12" t="s">
        <v>76</v>
      </c>
      <c r="L42" s="12">
        <v>2013</v>
      </c>
      <c r="M42" s="12">
        <v>2422</v>
      </c>
      <c r="N42" s="12">
        <v>378</v>
      </c>
      <c r="O42" s="12">
        <v>34700</v>
      </c>
      <c r="P42" s="12">
        <v>19</v>
      </c>
      <c r="Q42" s="12">
        <v>6</v>
      </c>
      <c r="R42" s="12">
        <v>326</v>
      </c>
      <c r="S42" s="12">
        <v>1292</v>
      </c>
      <c r="T42" s="12">
        <v>326</v>
      </c>
      <c r="U42" s="12">
        <v>966</v>
      </c>
      <c r="V42" s="12">
        <v>598</v>
      </c>
      <c r="W42" s="12">
        <v>21</v>
      </c>
    </row>
    <row r="43" spans="2:23" x14ac:dyDescent="0.2">
      <c r="B43" s="20" t="s">
        <v>101</v>
      </c>
      <c r="C43" s="41">
        <v>48057.096281092701</v>
      </c>
      <c r="D43" s="45">
        <v>1</v>
      </c>
      <c r="E43" s="43">
        <f>C43*D43</f>
        <v>48057.096281092701</v>
      </c>
      <c r="F43" s="44">
        <f t="shared" si="1"/>
        <v>0.46839273150924959</v>
      </c>
      <c r="G43" s="22" t="s">
        <v>102</v>
      </c>
      <c r="J43" s="12" t="s">
        <v>87</v>
      </c>
      <c r="K43" s="12" t="s">
        <v>76</v>
      </c>
      <c r="L43" s="12">
        <v>2014</v>
      </c>
      <c r="M43" s="12">
        <v>2010</v>
      </c>
      <c r="N43" s="12">
        <v>279</v>
      </c>
      <c r="O43" s="12">
        <v>36431</v>
      </c>
      <c r="P43" s="12">
        <v>18</v>
      </c>
      <c r="Q43" s="12">
        <v>2</v>
      </c>
      <c r="R43" s="12">
        <v>342</v>
      </c>
      <c r="S43" s="12">
        <v>1354</v>
      </c>
      <c r="T43" s="12">
        <v>342</v>
      </c>
      <c r="U43" s="12">
        <v>1013</v>
      </c>
      <c r="V43" s="12">
        <v>609</v>
      </c>
      <c r="W43" s="12">
        <v>20</v>
      </c>
    </row>
    <row r="44" spans="2:23" x14ac:dyDescent="0.2">
      <c r="B44" s="23" t="s">
        <v>92</v>
      </c>
      <c r="C44" s="54">
        <f>C26</f>
        <v>80.402309657817185</v>
      </c>
      <c r="D44" s="55">
        <v>23</v>
      </c>
      <c r="E44" s="56">
        <f>C44*D44</f>
        <v>1849.2531221297952</v>
      </c>
      <c r="F44" s="57">
        <f>E44/SUM(E$39:E$44)</f>
        <v>1.8023908811718326E-2</v>
      </c>
      <c r="G44" s="58"/>
      <c r="J44" s="12" t="s">
        <v>87</v>
      </c>
      <c r="K44" s="12" t="s">
        <v>76</v>
      </c>
      <c r="L44" s="12">
        <v>2015</v>
      </c>
      <c r="M44" s="12">
        <v>1648</v>
      </c>
      <c r="N44" s="12">
        <v>454</v>
      </c>
      <c r="O44" s="12">
        <v>37625</v>
      </c>
      <c r="P44" s="12">
        <v>17</v>
      </c>
      <c r="Q44" s="12">
        <v>4</v>
      </c>
      <c r="R44" s="12">
        <v>355</v>
      </c>
      <c r="S44" s="12">
        <v>1406</v>
      </c>
      <c r="T44" s="12">
        <v>354</v>
      </c>
      <c r="U44" s="12">
        <v>1051</v>
      </c>
      <c r="V44" s="12">
        <v>630</v>
      </c>
      <c r="W44" s="12">
        <v>18</v>
      </c>
    </row>
    <row r="45" spans="2:23" x14ac:dyDescent="0.2">
      <c r="J45" s="12" t="s">
        <v>87</v>
      </c>
      <c r="K45" s="12" t="s">
        <v>81</v>
      </c>
      <c r="L45" s="12">
        <v>2010</v>
      </c>
      <c r="M45" s="12">
        <v>3360</v>
      </c>
      <c r="N45" s="12">
        <v>25</v>
      </c>
      <c r="O45" s="12">
        <v>27577</v>
      </c>
      <c r="P45" s="12">
        <v>20</v>
      </c>
      <c r="Q45" s="12">
        <v>0</v>
      </c>
      <c r="R45" s="12">
        <v>68</v>
      </c>
      <c r="S45" s="12">
        <v>338</v>
      </c>
      <c r="T45" s="12">
        <v>135</v>
      </c>
      <c r="U45" s="12">
        <v>202</v>
      </c>
      <c r="V45" s="12">
        <v>49</v>
      </c>
      <c r="W45" s="12">
        <v>0</v>
      </c>
    </row>
    <row r="46" spans="2:23" x14ac:dyDescent="0.2">
      <c r="J46" s="12" t="s">
        <v>87</v>
      </c>
      <c r="K46" s="12" t="s">
        <v>81</v>
      </c>
      <c r="L46" s="12">
        <v>2011</v>
      </c>
      <c r="M46" s="12">
        <v>13759</v>
      </c>
      <c r="N46" s="12">
        <v>43</v>
      </c>
      <c r="O46" s="12">
        <v>41293</v>
      </c>
      <c r="P46" s="12">
        <v>66</v>
      </c>
      <c r="Q46" s="12">
        <v>0</v>
      </c>
      <c r="R46" s="12">
        <v>134</v>
      </c>
      <c r="S46" s="12">
        <v>461</v>
      </c>
      <c r="T46" s="12">
        <v>199</v>
      </c>
      <c r="U46" s="12">
        <v>261</v>
      </c>
      <c r="V46" s="12">
        <v>79</v>
      </c>
      <c r="W46" s="12">
        <v>1</v>
      </c>
    </row>
    <row r="52" spans="10:23" x14ac:dyDescent="0.2">
      <c r="J52" s="12" t="s">
        <v>87</v>
      </c>
      <c r="K52" s="12" t="s">
        <v>81</v>
      </c>
      <c r="L52" s="12">
        <v>2012</v>
      </c>
      <c r="M52" s="12">
        <v>14320</v>
      </c>
      <c r="N52" s="12">
        <v>805</v>
      </c>
      <c r="O52" s="12">
        <v>54808</v>
      </c>
      <c r="P52" s="12">
        <v>61</v>
      </c>
      <c r="Q52" s="12">
        <v>1</v>
      </c>
      <c r="R52" s="12">
        <v>195</v>
      </c>
      <c r="S52" s="12">
        <v>557</v>
      </c>
      <c r="T52" s="12">
        <v>242</v>
      </c>
      <c r="U52" s="12">
        <v>315</v>
      </c>
      <c r="V52" s="12">
        <v>80</v>
      </c>
      <c r="W52" s="12">
        <v>-2</v>
      </c>
    </row>
    <row r="53" spans="10:23" x14ac:dyDescent="0.2">
      <c r="J53" s="12" t="s">
        <v>87</v>
      </c>
      <c r="K53" s="12" t="s">
        <v>81</v>
      </c>
      <c r="L53" s="12">
        <v>2013</v>
      </c>
      <c r="M53" s="12">
        <v>14317</v>
      </c>
      <c r="N53" s="12">
        <v>1169</v>
      </c>
      <c r="O53" s="12">
        <v>67956</v>
      </c>
      <c r="P53" s="12">
        <v>68</v>
      </c>
      <c r="Q53" s="12">
        <v>2</v>
      </c>
      <c r="R53" s="12">
        <v>261</v>
      </c>
      <c r="S53" s="12">
        <v>707</v>
      </c>
      <c r="T53" s="12">
        <v>305</v>
      </c>
      <c r="U53" s="12">
        <v>402</v>
      </c>
      <c r="V53" s="12">
        <v>108</v>
      </c>
      <c r="W53" s="12">
        <v>-4</v>
      </c>
    </row>
    <row r="54" spans="10:23" x14ac:dyDescent="0.2">
      <c r="J54" s="12" t="s">
        <v>87</v>
      </c>
      <c r="K54" s="12" t="s">
        <v>81</v>
      </c>
      <c r="L54" s="12">
        <v>2014</v>
      </c>
      <c r="M54" s="12">
        <v>17313</v>
      </c>
      <c r="N54" s="12">
        <v>474</v>
      </c>
      <c r="O54" s="12">
        <v>84795</v>
      </c>
      <c r="P54" s="12">
        <v>88</v>
      </c>
      <c r="Q54" s="12">
        <v>1</v>
      </c>
      <c r="R54" s="12">
        <v>348</v>
      </c>
      <c r="S54" s="12">
        <v>883</v>
      </c>
      <c r="T54" s="12">
        <v>376</v>
      </c>
      <c r="U54" s="12">
        <v>508</v>
      </c>
      <c r="V54" s="12">
        <v>119</v>
      </c>
      <c r="W54" s="12">
        <v>-6</v>
      </c>
    </row>
    <row r="55" spans="10:23" x14ac:dyDescent="0.2">
      <c r="J55" s="12" t="s">
        <v>87</v>
      </c>
      <c r="K55" s="12" t="s">
        <v>81</v>
      </c>
      <c r="L55" s="12">
        <v>2015</v>
      </c>
      <c r="M55" s="12">
        <v>21278</v>
      </c>
      <c r="N55" s="12">
        <v>273</v>
      </c>
      <c r="O55" s="12">
        <v>105800</v>
      </c>
      <c r="P55" s="12">
        <v>104</v>
      </c>
      <c r="Q55" s="12">
        <v>0</v>
      </c>
      <c r="R55" s="12">
        <v>451</v>
      </c>
      <c r="S55" s="12">
        <v>1097</v>
      </c>
      <c r="T55" s="12">
        <v>458</v>
      </c>
      <c r="U55" s="12">
        <v>639</v>
      </c>
      <c r="V55" s="12">
        <v>143</v>
      </c>
      <c r="W55" s="12">
        <v>-12</v>
      </c>
    </row>
    <row r="56" spans="10:23" x14ac:dyDescent="0.2">
      <c r="J56" s="12" t="s">
        <v>89</v>
      </c>
      <c r="K56" s="12" t="s">
        <v>72</v>
      </c>
      <c r="L56" s="12">
        <v>2010</v>
      </c>
      <c r="M56" s="12">
        <v>9553</v>
      </c>
      <c r="N56" s="12">
        <v>24</v>
      </c>
      <c r="O56" s="12">
        <v>23986</v>
      </c>
      <c r="P56" s="12">
        <v>290</v>
      </c>
      <c r="Q56" s="12">
        <v>1</v>
      </c>
      <c r="R56" s="12">
        <v>947</v>
      </c>
      <c r="S56" s="12">
        <v>2607</v>
      </c>
      <c r="T56" s="12">
        <v>780</v>
      </c>
      <c r="U56" s="12">
        <v>1827</v>
      </c>
      <c r="V56" s="12">
        <v>969</v>
      </c>
      <c r="W56" s="12">
        <v>36</v>
      </c>
    </row>
    <row r="57" spans="10:23" x14ac:dyDescent="0.2">
      <c r="J57" s="12" t="s">
        <v>89</v>
      </c>
      <c r="K57" s="12" t="s">
        <v>72</v>
      </c>
      <c r="L57" s="12">
        <v>2011</v>
      </c>
      <c r="M57" s="12">
        <v>25723</v>
      </c>
      <c r="N57" s="12">
        <v>37</v>
      </c>
      <c r="O57" s="12">
        <v>49673</v>
      </c>
      <c r="P57" s="12">
        <v>315</v>
      </c>
      <c r="Q57" s="12">
        <v>1</v>
      </c>
      <c r="R57" s="12">
        <v>1261</v>
      </c>
      <c r="S57" s="12">
        <v>3144</v>
      </c>
      <c r="T57" s="12">
        <v>952</v>
      </c>
      <c r="U57" s="12">
        <v>2193</v>
      </c>
      <c r="V57" s="12">
        <v>1194</v>
      </c>
      <c r="W57" s="12">
        <v>45</v>
      </c>
    </row>
    <row r="58" spans="10:23" x14ac:dyDescent="0.2">
      <c r="J58" s="12" t="s">
        <v>89</v>
      </c>
      <c r="K58" s="12" t="s">
        <v>72</v>
      </c>
      <c r="L58" s="12">
        <v>2012</v>
      </c>
      <c r="M58" s="12">
        <v>23582</v>
      </c>
      <c r="N58" s="12">
        <v>111</v>
      </c>
      <c r="O58" s="12">
        <v>73144</v>
      </c>
      <c r="P58" s="12">
        <v>287</v>
      </c>
      <c r="Q58" s="12">
        <v>4</v>
      </c>
      <c r="R58" s="12">
        <v>1544</v>
      </c>
      <c r="S58" s="12">
        <v>3713</v>
      </c>
      <c r="T58" s="12">
        <v>1141</v>
      </c>
      <c r="U58" s="12">
        <v>2572</v>
      </c>
      <c r="V58" s="12">
        <v>1287</v>
      </c>
      <c r="W58" s="12">
        <v>36</v>
      </c>
    </row>
    <row r="59" spans="10:23" x14ac:dyDescent="0.2">
      <c r="J59" s="12" t="s">
        <v>89</v>
      </c>
      <c r="K59" s="12" t="s">
        <v>72</v>
      </c>
      <c r="L59" s="12">
        <v>2013</v>
      </c>
      <c r="M59" s="12">
        <v>23799</v>
      </c>
      <c r="N59" s="12">
        <v>122</v>
      </c>
      <c r="O59" s="12">
        <v>96821</v>
      </c>
      <c r="P59" s="12">
        <v>297</v>
      </c>
      <c r="Q59" s="12">
        <v>6</v>
      </c>
      <c r="R59" s="12">
        <v>1835</v>
      </c>
      <c r="S59" s="12">
        <v>4356</v>
      </c>
      <c r="T59" s="12">
        <v>1347</v>
      </c>
      <c r="U59" s="12">
        <v>3008</v>
      </c>
      <c r="V59" s="12">
        <v>1518</v>
      </c>
      <c r="W59" s="12">
        <v>35</v>
      </c>
    </row>
    <row r="60" spans="10:23" x14ac:dyDescent="0.2">
      <c r="J60" s="12" t="s">
        <v>89</v>
      </c>
      <c r="K60" s="12" t="s">
        <v>72</v>
      </c>
      <c r="L60" s="12">
        <v>2014</v>
      </c>
      <c r="M60" s="12">
        <v>27215</v>
      </c>
      <c r="N60" s="12">
        <v>127</v>
      </c>
      <c r="O60" s="12">
        <v>123908</v>
      </c>
      <c r="P60" s="12">
        <v>323</v>
      </c>
      <c r="Q60" s="12">
        <v>7</v>
      </c>
      <c r="R60" s="12">
        <v>2151</v>
      </c>
      <c r="S60" s="12">
        <v>5061</v>
      </c>
      <c r="T60" s="12">
        <v>1585</v>
      </c>
      <c r="U60" s="12">
        <v>3476</v>
      </c>
      <c r="V60" s="12">
        <v>1634</v>
      </c>
      <c r="W60" s="12">
        <v>31</v>
      </c>
    </row>
    <row r="61" spans="10:23" x14ac:dyDescent="0.2">
      <c r="J61" s="12" t="s">
        <v>89</v>
      </c>
      <c r="K61" s="12" t="s">
        <v>72</v>
      </c>
      <c r="L61" s="12">
        <v>2015</v>
      </c>
      <c r="M61" s="12">
        <v>28336</v>
      </c>
      <c r="N61" s="12">
        <v>211</v>
      </c>
      <c r="O61" s="12">
        <v>152034</v>
      </c>
      <c r="P61" s="12">
        <v>324</v>
      </c>
      <c r="Q61" s="12">
        <v>10</v>
      </c>
      <c r="R61" s="12">
        <v>2466</v>
      </c>
      <c r="S61" s="12">
        <v>5811</v>
      </c>
      <c r="T61" s="12">
        <v>1848</v>
      </c>
      <c r="U61" s="12">
        <v>3963</v>
      </c>
      <c r="V61" s="12">
        <v>1803</v>
      </c>
      <c r="W61" s="12">
        <v>12</v>
      </c>
    </row>
    <row r="62" spans="10:23" x14ac:dyDescent="0.2">
      <c r="J62" s="12" t="s">
        <v>89</v>
      </c>
      <c r="K62" s="12" t="s">
        <v>76</v>
      </c>
      <c r="L62" s="12">
        <v>2010</v>
      </c>
      <c r="M62" s="12">
        <v>637</v>
      </c>
      <c r="N62" s="12">
        <v>23</v>
      </c>
      <c r="O62" s="12">
        <v>6812</v>
      </c>
      <c r="P62" s="12">
        <v>71</v>
      </c>
      <c r="Q62" s="12">
        <v>1</v>
      </c>
      <c r="R62" s="12">
        <v>516</v>
      </c>
      <c r="S62" s="12">
        <v>2042</v>
      </c>
      <c r="T62" s="12">
        <v>549</v>
      </c>
      <c r="U62" s="12">
        <v>1493</v>
      </c>
      <c r="V62" s="12">
        <v>886</v>
      </c>
      <c r="W62" s="12">
        <v>37</v>
      </c>
    </row>
    <row r="63" spans="10:23" x14ac:dyDescent="0.2">
      <c r="J63" s="12" t="s">
        <v>89</v>
      </c>
      <c r="K63" s="12" t="s">
        <v>76</v>
      </c>
      <c r="L63" s="12">
        <v>2011</v>
      </c>
      <c r="M63" s="12">
        <v>969</v>
      </c>
      <c r="N63" s="12">
        <v>34</v>
      </c>
      <c r="O63" s="12">
        <v>7747</v>
      </c>
      <c r="P63" s="12">
        <v>77</v>
      </c>
      <c r="Q63" s="12">
        <v>1</v>
      </c>
      <c r="R63" s="12">
        <v>592</v>
      </c>
      <c r="S63" s="12">
        <v>2343</v>
      </c>
      <c r="T63" s="12">
        <v>625</v>
      </c>
      <c r="U63" s="12">
        <v>1718</v>
      </c>
      <c r="V63" s="12">
        <v>1059</v>
      </c>
      <c r="W63" s="12">
        <v>45</v>
      </c>
    </row>
    <row r="64" spans="10:23" x14ac:dyDescent="0.2">
      <c r="J64" s="12" t="s">
        <v>89</v>
      </c>
      <c r="K64" s="12" t="s">
        <v>76</v>
      </c>
      <c r="L64" s="12">
        <v>2012</v>
      </c>
      <c r="M64" s="12">
        <v>943</v>
      </c>
      <c r="N64" s="12">
        <v>89</v>
      </c>
      <c r="O64" s="12">
        <v>8601</v>
      </c>
      <c r="P64" s="12">
        <v>74</v>
      </c>
      <c r="Q64" s="12">
        <v>4</v>
      </c>
      <c r="R64" s="12">
        <v>662</v>
      </c>
      <c r="S64" s="12">
        <v>2622</v>
      </c>
      <c r="T64" s="12">
        <v>695</v>
      </c>
      <c r="U64" s="12">
        <v>1926</v>
      </c>
      <c r="V64" s="12">
        <v>1135</v>
      </c>
      <c r="W64" s="12">
        <v>41</v>
      </c>
    </row>
    <row r="65" spans="10:23" x14ac:dyDescent="0.2">
      <c r="J65" s="12" t="s">
        <v>89</v>
      </c>
      <c r="K65" s="12" t="s">
        <v>76</v>
      </c>
      <c r="L65" s="12">
        <v>2013</v>
      </c>
      <c r="M65" s="12">
        <v>630</v>
      </c>
      <c r="N65" s="12">
        <v>49</v>
      </c>
      <c r="O65" s="12">
        <v>9182</v>
      </c>
      <c r="P65" s="12">
        <v>92</v>
      </c>
      <c r="Q65" s="12">
        <v>6</v>
      </c>
      <c r="R65" s="12">
        <v>748</v>
      </c>
      <c r="S65" s="12">
        <v>2961</v>
      </c>
      <c r="T65" s="12">
        <v>780</v>
      </c>
      <c r="U65" s="12">
        <v>2181</v>
      </c>
      <c r="V65" s="12">
        <v>1310</v>
      </c>
      <c r="W65" s="12">
        <v>44</v>
      </c>
    </row>
    <row r="66" spans="10:23" x14ac:dyDescent="0.2">
      <c r="J66" s="12" t="s">
        <v>89</v>
      </c>
      <c r="K66" s="12" t="s">
        <v>76</v>
      </c>
      <c r="L66" s="12">
        <v>2014</v>
      </c>
      <c r="M66" s="12">
        <v>500</v>
      </c>
      <c r="N66" s="12">
        <v>127</v>
      </c>
      <c r="O66" s="12">
        <v>9555</v>
      </c>
      <c r="P66" s="12">
        <v>78</v>
      </c>
      <c r="Q66" s="12">
        <v>7</v>
      </c>
      <c r="R66" s="12">
        <v>818</v>
      </c>
      <c r="S66" s="12">
        <v>3241</v>
      </c>
      <c r="T66" s="12">
        <v>850</v>
      </c>
      <c r="U66" s="12">
        <v>2391</v>
      </c>
      <c r="V66" s="12">
        <v>1398</v>
      </c>
      <c r="W66" s="12">
        <v>45</v>
      </c>
    </row>
    <row r="67" spans="10:23" x14ac:dyDescent="0.2">
      <c r="J67" s="12" t="s">
        <v>89</v>
      </c>
      <c r="K67" s="12" t="s">
        <v>76</v>
      </c>
      <c r="L67" s="12">
        <v>2015</v>
      </c>
      <c r="M67" s="12">
        <v>438</v>
      </c>
      <c r="N67" s="12">
        <v>211</v>
      </c>
      <c r="O67" s="12">
        <v>9782</v>
      </c>
      <c r="P67" s="12">
        <v>74</v>
      </c>
      <c r="Q67" s="12">
        <v>10</v>
      </c>
      <c r="R67" s="12">
        <v>883</v>
      </c>
      <c r="S67" s="12">
        <v>3496</v>
      </c>
      <c r="T67" s="12">
        <v>913</v>
      </c>
      <c r="U67" s="12">
        <v>2583</v>
      </c>
      <c r="V67" s="12">
        <v>1508</v>
      </c>
      <c r="W67" s="12">
        <v>39</v>
      </c>
    </row>
    <row r="68" spans="10:23" x14ac:dyDescent="0.2">
      <c r="J68" s="12" t="s">
        <v>89</v>
      </c>
      <c r="K68" s="12" t="s">
        <v>81</v>
      </c>
      <c r="L68" s="12">
        <v>2010</v>
      </c>
      <c r="M68" s="12">
        <v>8916</v>
      </c>
      <c r="N68" s="12">
        <v>1</v>
      </c>
      <c r="O68" s="12">
        <v>17174</v>
      </c>
      <c r="P68" s="12">
        <v>219</v>
      </c>
      <c r="Q68" s="12">
        <v>0</v>
      </c>
      <c r="R68" s="12">
        <v>431</v>
      </c>
      <c r="S68" s="12">
        <v>565</v>
      </c>
      <c r="T68" s="12">
        <v>231</v>
      </c>
      <c r="U68" s="12">
        <v>333</v>
      </c>
      <c r="V68" s="12">
        <v>83</v>
      </c>
      <c r="W68" s="12">
        <v>-1</v>
      </c>
    </row>
    <row r="69" spans="10:23" x14ac:dyDescent="0.2">
      <c r="J69" s="12" t="s">
        <v>89</v>
      </c>
      <c r="K69" s="12" t="s">
        <v>81</v>
      </c>
      <c r="L69" s="12">
        <v>2011</v>
      </c>
      <c r="M69" s="12">
        <v>24754</v>
      </c>
      <c r="N69" s="12">
        <v>3</v>
      </c>
      <c r="O69" s="12">
        <v>41925</v>
      </c>
      <c r="P69" s="12">
        <v>238</v>
      </c>
      <c r="Q69" s="12">
        <v>0</v>
      </c>
      <c r="R69" s="12">
        <v>669</v>
      </c>
      <c r="S69" s="12">
        <v>802</v>
      </c>
      <c r="T69" s="12">
        <v>327</v>
      </c>
      <c r="U69" s="12">
        <v>475</v>
      </c>
      <c r="V69" s="12">
        <v>136</v>
      </c>
      <c r="W69" s="12">
        <v>0</v>
      </c>
    </row>
    <row r="70" spans="10:23" x14ac:dyDescent="0.2">
      <c r="J70" s="12" t="s">
        <v>89</v>
      </c>
      <c r="K70" s="12" t="s">
        <v>81</v>
      </c>
      <c r="L70" s="12">
        <v>2012</v>
      </c>
      <c r="M70" s="12">
        <v>22639</v>
      </c>
      <c r="N70" s="12">
        <v>22</v>
      </c>
      <c r="O70" s="12">
        <v>64542</v>
      </c>
      <c r="P70" s="12">
        <v>213</v>
      </c>
      <c r="Q70" s="12">
        <v>0</v>
      </c>
      <c r="R70" s="12">
        <v>882</v>
      </c>
      <c r="S70" s="12">
        <v>1092</v>
      </c>
      <c r="T70" s="12">
        <v>446</v>
      </c>
      <c r="U70" s="12">
        <v>646</v>
      </c>
      <c r="V70" s="12">
        <v>152</v>
      </c>
      <c r="W70" s="12">
        <v>-5</v>
      </c>
    </row>
    <row r="71" spans="10:23" x14ac:dyDescent="0.2">
      <c r="J71" s="12" t="s">
        <v>89</v>
      </c>
      <c r="K71" s="12" t="s">
        <v>81</v>
      </c>
      <c r="L71" s="12">
        <v>2013</v>
      </c>
      <c r="M71" s="12">
        <v>23169</v>
      </c>
      <c r="N71" s="12">
        <v>73</v>
      </c>
      <c r="O71" s="12">
        <v>87638</v>
      </c>
      <c r="P71" s="12">
        <v>206</v>
      </c>
      <c r="Q71" s="12">
        <v>0</v>
      </c>
      <c r="R71" s="12">
        <v>1088</v>
      </c>
      <c r="S71" s="12">
        <v>1395</v>
      </c>
      <c r="T71" s="12">
        <v>567</v>
      </c>
      <c r="U71" s="12">
        <v>828</v>
      </c>
      <c r="V71" s="12">
        <v>208</v>
      </c>
      <c r="W71" s="12">
        <v>-9</v>
      </c>
    </row>
    <row r="72" spans="10:23" x14ac:dyDescent="0.2">
      <c r="J72" s="12" t="s">
        <v>89</v>
      </c>
      <c r="K72" s="12" t="s">
        <v>81</v>
      </c>
      <c r="L72" s="12">
        <v>2014</v>
      </c>
      <c r="M72" s="12">
        <v>26715</v>
      </c>
      <c r="N72" s="12">
        <v>0</v>
      </c>
      <c r="O72" s="12">
        <v>114353</v>
      </c>
      <c r="P72" s="12">
        <v>245</v>
      </c>
      <c r="Q72" s="12">
        <v>0</v>
      </c>
      <c r="R72" s="12">
        <v>1333</v>
      </c>
      <c r="S72" s="12">
        <v>1820</v>
      </c>
      <c r="T72" s="12">
        <v>735</v>
      </c>
      <c r="U72" s="12">
        <v>1085</v>
      </c>
      <c r="V72" s="12">
        <v>236</v>
      </c>
      <c r="W72" s="12">
        <v>-14</v>
      </c>
    </row>
    <row r="73" spans="10:23" x14ac:dyDescent="0.2">
      <c r="J73" s="12" t="s">
        <v>89</v>
      </c>
      <c r="K73" s="12" t="s">
        <v>81</v>
      </c>
      <c r="L73" s="12">
        <v>2015</v>
      </c>
      <c r="M73" s="12">
        <v>27898</v>
      </c>
      <c r="N73" s="12">
        <v>0</v>
      </c>
      <c r="O73" s="12">
        <v>142251</v>
      </c>
      <c r="P73" s="12">
        <v>250</v>
      </c>
      <c r="Q73" s="12">
        <v>0</v>
      </c>
      <c r="R73" s="12">
        <v>1583</v>
      </c>
      <c r="S73" s="12">
        <v>2315</v>
      </c>
      <c r="T73" s="12">
        <v>935</v>
      </c>
      <c r="U73" s="12">
        <v>1380</v>
      </c>
      <c r="V73" s="12">
        <v>296</v>
      </c>
      <c r="W73" s="12">
        <v>-27</v>
      </c>
    </row>
    <row r="74" spans="10:23" x14ac:dyDescent="0.2">
      <c r="J74" s="12" t="s">
        <v>90</v>
      </c>
    </row>
  </sheetData>
  <mergeCells count="5">
    <mergeCell ref="B29:C29"/>
    <mergeCell ref="B7:H7"/>
    <mergeCell ref="B13:D13"/>
    <mergeCell ref="B18:D18"/>
    <mergeCell ref="B23:D23"/>
  </mergeCells>
  <pageMargins left="0.75" right="0.75" top="1" bottom="1" header="0.5" footer="0.5"/>
  <pageSetup paperSize="9" orientation="portrait" horizontalDpi="4294967292" verticalDpi="429496729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8"/>
  <sheetViews>
    <sheetView workbookViewId="0">
      <selection activeCell="B43" sqref="B43"/>
    </sheetView>
  </sheetViews>
  <sheetFormatPr baseColWidth="10" defaultRowHeight="16" x14ac:dyDescent="0.2"/>
  <cols>
    <col min="1" max="1" width="20.33203125" customWidth="1"/>
    <col min="3" max="4" width="12.1640625" bestFit="1" customWidth="1"/>
  </cols>
  <sheetData>
    <row r="2" spans="1:7" ht="21" x14ac:dyDescent="0.25">
      <c r="B2" s="3" t="s">
        <v>20</v>
      </c>
    </row>
    <row r="5" spans="1:7" ht="17" thickBot="1" x14ac:dyDescent="0.25">
      <c r="B5" t="s">
        <v>0</v>
      </c>
      <c r="C5" t="s">
        <v>1</v>
      </c>
      <c r="D5" t="s">
        <v>2</v>
      </c>
      <c r="E5" t="s">
        <v>3</v>
      </c>
      <c r="F5" t="s">
        <v>4</v>
      </c>
    </row>
    <row r="6" spans="1:7" ht="17" thickBot="1" x14ac:dyDescent="0.25">
      <c r="B6" t="s">
        <v>5</v>
      </c>
      <c r="C6" s="13">
        <v>291</v>
      </c>
      <c r="D6" s="13">
        <v>1100</v>
      </c>
      <c r="E6">
        <f>D6-C6</f>
        <v>809</v>
      </c>
      <c r="F6" s="13">
        <v>5650</v>
      </c>
    </row>
    <row r="8" spans="1:7" x14ac:dyDescent="0.2">
      <c r="A8" s="2" t="s">
        <v>22</v>
      </c>
      <c r="B8" t="s">
        <v>0</v>
      </c>
      <c r="C8" t="s">
        <v>12</v>
      </c>
      <c r="D8" t="s">
        <v>11</v>
      </c>
      <c r="E8" t="s">
        <v>14</v>
      </c>
      <c r="F8" t="s">
        <v>44</v>
      </c>
    </row>
    <row r="9" spans="1:7" x14ac:dyDescent="0.2">
      <c r="B9" t="s">
        <v>5</v>
      </c>
      <c r="C9">
        <f>C6*F18</f>
        <v>147711600.00000003</v>
      </c>
      <c r="D9">
        <f>E6*F17+F6*F16</f>
        <v>638064750</v>
      </c>
      <c r="E9" s="1">
        <f t="shared" ref="E9" si="0">C9/(C9+D9)</f>
        <v>0.18798173297020204</v>
      </c>
      <c r="F9" s="1">
        <f t="shared" ref="F9" si="1">1-E9</f>
        <v>0.81201826702979796</v>
      </c>
    </row>
    <row r="10" spans="1:7" x14ac:dyDescent="0.2">
      <c r="E10" s="1"/>
      <c r="F10" s="1"/>
    </row>
    <row r="11" spans="1:7" x14ac:dyDescent="0.2">
      <c r="A11" s="2" t="s">
        <v>15</v>
      </c>
      <c r="B11" t="s">
        <v>0</v>
      </c>
      <c r="C11" t="s">
        <v>16</v>
      </c>
      <c r="D11" t="s">
        <v>17</v>
      </c>
      <c r="E11" t="s">
        <v>18</v>
      </c>
      <c r="F11" t="s">
        <v>19</v>
      </c>
    </row>
    <row r="12" spans="1:7" x14ac:dyDescent="0.2">
      <c r="B12" t="s">
        <v>5</v>
      </c>
      <c r="C12">
        <f>F6*F16</f>
        <v>181788750</v>
      </c>
      <c r="D12">
        <f>E6*F17</f>
        <v>456276000</v>
      </c>
      <c r="E12" s="1">
        <f t="shared" ref="E12" si="2">C12/(C12+D12)</f>
        <v>0.28490642995087884</v>
      </c>
      <c r="F12" s="1">
        <f t="shared" ref="F12" si="3">1-E12</f>
        <v>0.71509357004912122</v>
      </c>
    </row>
    <row r="13" spans="1:7" x14ac:dyDescent="0.2">
      <c r="B13" t="s">
        <v>21</v>
      </c>
    </row>
    <row r="15" spans="1:7" ht="17" thickBot="1" x14ac:dyDescent="0.25">
      <c r="B15" t="s">
        <v>29</v>
      </c>
      <c r="C15" t="s">
        <v>28</v>
      </c>
      <c r="D15" t="s">
        <v>8</v>
      </c>
      <c r="E15" t="s">
        <v>9</v>
      </c>
      <c r="F15" t="s">
        <v>10</v>
      </c>
    </row>
    <row r="16" spans="1:7" ht="17" thickBot="1" x14ac:dyDescent="0.25">
      <c r="B16" t="s">
        <v>11</v>
      </c>
      <c r="C16" t="s">
        <v>6</v>
      </c>
      <c r="D16" s="13">
        <v>15000</v>
      </c>
      <c r="E16">
        <f>1/2.145</f>
        <v>0.46620046620046618</v>
      </c>
      <c r="F16">
        <f>D16/E16</f>
        <v>32175</v>
      </c>
      <c r="G16" t="s">
        <v>13</v>
      </c>
    </row>
    <row r="17" spans="2:7" ht="17" thickBot="1" x14ac:dyDescent="0.25">
      <c r="B17" t="s">
        <v>11</v>
      </c>
      <c r="C17" t="s">
        <v>7</v>
      </c>
      <c r="D17" s="13">
        <v>60000</v>
      </c>
      <c r="E17">
        <f>1/9.4</f>
        <v>0.10638297872340426</v>
      </c>
      <c r="F17">
        <f>D17/E17</f>
        <v>564000</v>
      </c>
      <c r="G17" t="s">
        <v>13</v>
      </c>
    </row>
    <row r="18" spans="2:7" ht="17" thickBot="1" x14ac:dyDescent="0.25">
      <c r="B18" t="s">
        <v>12</v>
      </c>
      <c r="C18" t="s">
        <v>7</v>
      </c>
      <c r="D18" s="13">
        <v>60000</v>
      </c>
      <c r="E18">
        <f>1/8.46</f>
        <v>0.11820330969267138</v>
      </c>
      <c r="F18">
        <f>D18/E18</f>
        <v>507600.00000000006</v>
      </c>
      <c r="G18" t="s">
        <v>13</v>
      </c>
    </row>
    <row r="22" spans="2:7" x14ac:dyDescent="0.2">
      <c r="B22" s="2" t="s">
        <v>27</v>
      </c>
    </row>
    <row r="24" spans="2:7" x14ac:dyDescent="0.2">
      <c r="B24" t="s">
        <v>23</v>
      </c>
    </row>
    <row r="25" spans="2:7" x14ac:dyDescent="0.2">
      <c r="B25" t="s">
        <v>24</v>
      </c>
    </row>
    <row r="27" spans="2:7" x14ac:dyDescent="0.2">
      <c r="B27" t="s">
        <v>25</v>
      </c>
    </row>
    <row r="28" spans="2:7" x14ac:dyDescent="0.2">
      <c r="B28" t="s">
        <v>26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Overview</vt:lpstr>
      <vt:lpstr>Assumptions</vt:lpstr>
      <vt:lpstr>NL</vt:lpstr>
      <vt:lpstr>shares NVG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</dc:creator>
  <cp:lastModifiedBy>Microsoft Office User</cp:lastModifiedBy>
  <dcterms:created xsi:type="dcterms:W3CDTF">2015-10-26T10:03:38Z</dcterms:created>
  <dcterms:modified xsi:type="dcterms:W3CDTF">2017-09-29T15:05:57Z</dcterms:modified>
</cp:coreProperties>
</file>