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erend/Dropbox (Quintel)/Quintel/Projects/201707_Flevoland/Dataset/"/>
    </mc:Choice>
  </mc:AlternateContent>
  <bookViews>
    <workbookView xWindow="0" yWindow="460" windowWidth="28800" windowHeight="16460" tabRatio="500" activeTab="1"/>
  </bookViews>
  <sheets>
    <sheet name="Cover Sheet" sheetId="4" r:id="rId1"/>
    <sheet name="Dashboard" sheetId="3" r:id="rId2"/>
    <sheet name="Analyse" sheetId="5" r:id="rId3"/>
    <sheet name=".ad" sheetId="2" r:id="rId4"/>
  </sheets>
  <externalReferences>
    <externalReference r:id="rId5"/>
  </externalReferences>
  <definedNames>
    <definedName name="Eff_cooking_biomass">[1]technical_specs!$P$51</definedName>
    <definedName name="Eff_cooking_electric">[1]technical_specs!$P$48</definedName>
    <definedName name="Eff_cooking_gas">[1]technical_specs!$P$47</definedName>
    <definedName name="Eff_cooking_halogen">[1]technical_specs!$P$49</definedName>
    <definedName name="Eff_cooking_induction">[1]technical_specs!$P$50</definedName>
    <definedName name="Eff_cooling_airco">[1]technical_specs!$P$44</definedName>
    <definedName name="Eff_cooling_pump_air">[1]technical_specs!$P$43</definedName>
    <definedName name="Eff_cooling_pump_ground">[1]technical_specs!$P$42</definedName>
    <definedName name="Eff_hot_water_coal">[1]technical_specs!$P$36</definedName>
    <definedName name="Eff_hot_water_combi_boiler">[1]technical_specs!$P$26</definedName>
    <definedName name="Eff_hot_water_district">[1]technical_specs!$P$30</definedName>
    <definedName name="Eff_hot_water_electric">[1]technical_specs!$P$33</definedName>
    <definedName name="Eff_hot_water_fuel_cell">[1]technical_specs!$P$37</definedName>
    <definedName name="Eff_hot_water_gas">[1]technical_specs!$P$34</definedName>
    <definedName name="Eff_hot_water_hhp_gas">[1]technical_specs!$P$39</definedName>
    <definedName name="Eff_hot_water_hhp_heatpump">[1]technical_specs!$P$38</definedName>
    <definedName name="Eff_hot_water_micro_CHP">[1]technical_specs!$P$29</definedName>
    <definedName name="Eff_hot_water_oil">[1]technical_specs!$P$35</definedName>
    <definedName name="Eff_hot_water_pump_air">[1]technical_specs!$P$31</definedName>
    <definedName name="Eff_hot_water_pump_ground">[1]technical_specs!$P$28</definedName>
    <definedName name="Eff_hot_water_solar_thermal_panel">[1]technical_specs!$P$27</definedName>
    <definedName name="Eff_hot_water_woodpellets">[1]technical_specs!$P$32</definedName>
    <definedName name="Eff_lighting_fluorescent">[1]technical_specs!$P$55</definedName>
    <definedName name="Eff_lighting_incandescent">[1]technical_specs!$P$54</definedName>
    <definedName name="Eff_lighting_led">[1]technical_specs!$P$56</definedName>
    <definedName name="Eff_space_heating_coal">[1]technical_specs!$P$21</definedName>
    <definedName name="Eff_space_heating_combi_boiler">[1]technical_specs!$P$11</definedName>
    <definedName name="Eff_space_heating_district">[1]technical_specs!$P$15</definedName>
    <definedName name="Eff_space_heating_electric">[1]technical_specs!$P$18</definedName>
    <definedName name="Eff_space_heating_gas">[1]technical_specs!$P$19</definedName>
    <definedName name="Eff_space_heating_hhp_gas">[1]technical_specs!$P$23</definedName>
    <definedName name="Eff_space_heating_hhp_heatpump">[1]technical_specs!$P$22</definedName>
    <definedName name="Eff_space_heating_micro_CHP">[1]technical_specs!$P$14</definedName>
    <definedName name="Eff_space_heating_oil">[1]technical_specs!$P$20</definedName>
    <definedName name="Eff_space_heating_pump_air">[1]technical_specs!$P$16</definedName>
    <definedName name="Eff_space_heating_pump_ground">[1]technical_specs!$P$13</definedName>
    <definedName name="Eff_space_heating_solar_thermal">[1]technical_specs!$P$12</definedName>
    <definedName name="Eff_space_heating_woodpellets">[1]technical_specs!$P$17</definedName>
    <definedName name="Final_demand_appliances">[1]Dashboard!$E$25</definedName>
    <definedName name="Final_demand_coal">'[1]Fuel aggregation'!$C$11</definedName>
    <definedName name="Final_demand_cooking">[1]Dashboard!$E$24</definedName>
    <definedName name="Final_demand_cooling">[1]Dashboard!$E$22</definedName>
    <definedName name="Final_demand_electricity">'[1]Fuel aggregation'!$I$11</definedName>
    <definedName name="Final_demand_gas">'[1]Fuel aggregation'!$D$11</definedName>
    <definedName name="Final_demand_heat">'[1]Fuel aggregation'!$J$11</definedName>
    <definedName name="Final_demand_hot_water">[1]Dashboard!$E$21</definedName>
    <definedName name="Final_demand_lighting">[1]Dashboard!$E$23</definedName>
    <definedName name="Final_demand_oil">'[1]Fuel aggregation'!$E$11</definedName>
    <definedName name="Final_demand_residences">'[1]Fuel aggregation'!$L$11</definedName>
    <definedName name="Final_demand_solar_thermal">'[1]Fuel aggregation'!$G$11</definedName>
    <definedName name="Final_demand_space_heating">[1]Dashboard!$E$20</definedName>
    <definedName name="Final_demand_woodpellets">'[1]Fuel aggregation'!$F$11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3" l="1"/>
  <c r="F67" i="3"/>
  <c r="F13" i="3"/>
  <c r="F11" i="5"/>
  <c r="D11" i="2"/>
  <c r="D10" i="2"/>
  <c r="E11" i="5"/>
  <c r="D11" i="5"/>
  <c r="D14" i="5"/>
  <c r="F33" i="3"/>
  <c r="F14" i="5"/>
  <c r="H11" i="5"/>
  <c r="F46" i="3"/>
  <c r="H14" i="5"/>
  <c r="E16" i="5"/>
  <c r="E21" i="5"/>
  <c r="F39" i="3"/>
  <c r="E37" i="5"/>
  <c r="E39" i="5"/>
  <c r="M39" i="5"/>
  <c r="M37" i="5"/>
  <c r="B10" i="2"/>
  <c r="C10" i="2"/>
  <c r="D21" i="5"/>
  <c r="D25" i="5"/>
  <c r="D29" i="5"/>
  <c r="M29" i="5"/>
  <c r="G11" i="5"/>
  <c r="G21" i="5"/>
  <c r="G25" i="5"/>
  <c r="G28" i="5"/>
  <c r="M28" i="5"/>
  <c r="H21" i="5"/>
  <c r="H25" i="5"/>
  <c r="H30" i="5"/>
  <c r="M30" i="5"/>
  <c r="J11" i="5"/>
  <c r="J16" i="5"/>
  <c r="J21" i="5"/>
  <c r="J25" i="5"/>
  <c r="J31" i="5"/>
  <c r="M31" i="5"/>
  <c r="I11" i="5"/>
  <c r="I21" i="5"/>
  <c r="I25" i="5"/>
  <c r="I32" i="5"/>
  <c r="M32" i="5"/>
  <c r="F38" i="3"/>
  <c r="E25" i="5"/>
  <c r="E33" i="5"/>
  <c r="M33" i="5"/>
  <c r="N29" i="5"/>
  <c r="B5" i="2"/>
  <c r="C5" i="2"/>
  <c r="N30" i="5"/>
  <c r="B6" i="2"/>
  <c r="C6" i="2"/>
  <c r="N31" i="5"/>
  <c r="B7" i="2"/>
  <c r="C7" i="2"/>
  <c r="N32" i="5"/>
  <c r="B8" i="2"/>
  <c r="C8" i="2"/>
  <c r="N33" i="5"/>
  <c r="B9" i="2"/>
  <c r="C9" i="2"/>
  <c r="M25" i="5"/>
  <c r="B11" i="2"/>
  <c r="C11" i="2"/>
  <c r="F19" i="5"/>
  <c r="B12" i="2"/>
  <c r="C12" i="2"/>
  <c r="F59" i="3"/>
  <c r="D19" i="5"/>
  <c r="B13" i="2"/>
  <c r="C13" i="2"/>
  <c r="F75" i="3"/>
  <c r="H19" i="5"/>
  <c r="B14" i="2"/>
  <c r="C14" i="2"/>
  <c r="N28" i="5"/>
  <c r="B4" i="2"/>
  <c r="C4" i="2"/>
  <c r="N39" i="5"/>
  <c r="O39" i="5"/>
  <c r="K39" i="5"/>
  <c r="J37" i="5"/>
  <c r="I37" i="5"/>
  <c r="H37" i="5"/>
  <c r="G37" i="5"/>
  <c r="D37" i="5"/>
  <c r="F21" i="5"/>
  <c r="I42" i="5"/>
  <c r="I43" i="5"/>
  <c r="K28" i="5"/>
  <c r="O28" i="5"/>
  <c r="K29" i="5"/>
  <c r="O29" i="5"/>
  <c r="K30" i="5"/>
  <c r="O30" i="5"/>
  <c r="K31" i="5"/>
  <c r="O31" i="5"/>
  <c r="K32" i="5"/>
  <c r="O32" i="5"/>
  <c r="K33" i="5"/>
  <c r="O33" i="5"/>
  <c r="D42" i="5"/>
  <c r="E42" i="5"/>
  <c r="F42" i="5"/>
  <c r="G42" i="5"/>
  <c r="H42" i="5"/>
  <c r="J42" i="5"/>
  <c r="D43" i="5"/>
  <c r="E43" i="5"/>
  <c r="F43" i="5"/>
  <c r="G43" i="5"/>
  <c r="H43" i="5"/>
  <c r="J43" i="5"/>
  <c r="E40" i="3"/>
  <c r="F40" i="3"/>
  <c r="F45" i="3"/>
  <c r="C4" i="4"/>
</calcChain>
</file>

<file path=xl/sharedStrings.xml><?xml version="1.0" encoding="utf-8"?>
<sst xmlns="http://schemas.openxmlformats.org/spreadsheetml/2006/main" count="194" uniqueCount="130">
  <si>
    <t>TJ</t>
  </si>
  <si>
    <t>./agriculture:</t>
  </si>
  <si>
    <t>agriculture_burner_crude_oil_share.ad</t>
  </si>
  <si>
    <t>agriculture_burner_network_gas_share.ad</t>
  </si>
  <si>
    <t>agriculture_burner_wood_pellets_share.ad</t>
  </si>
  <si>
    <t>agriculture_final_demand_steam_hot_water_share.ad</t>
  </si>
  <si>
    <t>agriculture_geothermal_share.ad</t>
  </si>
  <si>
    <t>agriculture_heatpump_water_water_ts_electricity_share.ad</t>
  </si>
  <si>
    <t>agriculture_useful_demand_electricity.ad</t>
  </si>
  <si>
    <t>agriculture_useful_demand_useable_heat.ad</t>
  </si>
  <si>
    <t>number_of_agriculture_chp_engine_biogas.ad</t>
  </si>
  <si>
    <t>number_of_agriculture_chp_engine_network_gas.ad</t>
  </si>
  <si>
    <t>number_of_agriculture_chp_supercritical_wood_pellets.ad</t>
  </si>
  <si>
    <t xml:space="preserve">Data </t>
  </si>
  <si>
    <t>Sector</t>
  </si>
  <si>
    <t>Unit</t>
  </si>
  <si>
    <t>National UD</t>
  </si>
  <si>
    <t>Value</t>
  </si>
  <si>
    <t>Source</t>
  </si>
  <si>
    <t>Data</t>
  </si>
  <si>
    <t>Klimaatmonitor: https://klimaatmonitor.databank.nl/Jive</t>
  </si>
  <si>
    <t xml:space="preserve">Energy demand </t>
  </si>
  <si>
    <t>Electricity</t>
  </si>
  <si>
    <t>kWh</t>
  </si>
  <si>
    <t>m3</t>
  </si>
  <si>
    <t>Biomass</t>
  </si>
  <si>
    <t>Heat</t>
  </si>
  <si>
    <t>Volgens ECN, geloven we dat??</t>
  </si>
  <si>
    <t>Biogas</t>
  </si>
  <si>
    <t>Olieproducten</t>
  </si>
  <si>
    <t>Geothermal</t>
  </si>
  <si>
    <t>Distribution of final demand</t>
  </si>
  <si>
    <t>Distribution of natural gas</t>
  </si>
  <si>
    <t>Burner</t>
  </si>
  <si>
    <t>CHP</t>
  </si>
  <si>
    <t>Distribution of biogas</t>
  </si>
  <si>
    <t>Distribution of electricity</t>
  </si>
  <si>
    <t>Division of biogas demand:</t>
  </si>
  <si>
    <t>Heatpump</t>
  </si>
  <si>
    <t>Comments</t>
  </si>
  <si>
    <t>ad files</t>
  </si>
  <si>
    <t>Additional calculations</t>
  </si>
  <si>
    <t>Main calculations</t>
  </si>
  <si>
    <t>Results</t>
  </si>
  <si>
    <t>Dashboard</t>
  </si>
  <si>
    <t>Sources</t>
  </si>
  <si>
    <t>Research data</t>
  </si>
  <si>
    <t>Introductory</t>
  </si>
  <si>
    <t>Sheets</t>
  </si>
  <si>
    <t>Reference to manual input or data input</t>
  </si>
  <si>
    <t>Manual input</t>
  </si>
  <si>
    <t>Result</t>
  </si>
  <si>
    <t>Intermediate (calculation)</t>
  </si>
  <si>
    <t>Cells</t>
  </si>
  <si>
    <t>Legend</t>
  </si>
  <si>
    <t>Quintel Intelligence</t>
  </si>
  <si>
    <t>Organization</t>
  </si>
  <si>
    <t>Berend Smits</t>
  </si>
  <si>
    <t>Author</t>
  </si>
  <si>
    <t>July 21, 2017</t>
  </si>
  <si>
    <t>Date</t>
  </si>
  <si>
    <t>Year data</t>
  </si>
  <si>
    <t>flevoland</t>
  </si>
  <si>
    <t>Region</t>
  </si>
  <si>
    <t>Version #</t>
  </si>
  <si>
    <t>Document</t>
  </si>
  <si>
    <t>Cover Sheet</t>
  </si>
  <si>
    <t>Electricity use</t>
  </si>
  <si>
    <t>Natural gas</t>
  </si>
  <si>
    <t>Distribution of biomass</t>
  </si>
  <si>
    <t>Uit emissieregistratie: 73.39% van uitstoot landbouw uit niet-WKK</t>
  </si>
  <si>
    <t>Uit emissieregistratie: 26.61% van uitstoot landbouw uit WKK</t>
  </si>
  <si>
    <t>Division of electricity demand:</t>
  </si>
  <si>
    <t>Division of (primary) natural gas demand:</t>
  </si>
  <si>
    <t>Division of biomass demand:</t>
  </si>
  <si>
    <t>National dataset</t>
  </si>
  <si>
    <t>Diiference between Carrier demand in analysis and Carrier demand in IEA data (TJ)</t>
  </si>
  <si>
    <t xml:space="preserve">Total FD from </t>
  </si>
  <si>
    <t>District heat</t>
  </si>
  <si>
    <t>Woodpellets</t>
  </si>
  <si>
    <t>Oil</t>
  </si>
  <si>
    <t>Coal</t>
  </si>
  <si>
    <t>Network gas</t>
  </si>
  <si>
    <t>Checks</t>
  </si>
  <si>
    <t xml:space="preserve">Total </t>
  </si>
  <si>
    <t>Percentage of total final demand</t>
  </si>
  <si>
    <t>Share of useful demand within application</t>
  </si>
  <si>
    <t>Useful demand (TJ)</t>
  </si>
  <si>
    <t>Effective efficiency</t>
  </si>
  <si>
    <t>Total final demand (TJ)</t>
  </si>
  <si>
    <t>Final demand for district heat (TJ)</t>
  </si>
  <si>
    <t>Final demand for oil (TJ)</t>
  </si>
  <si>
    <t>Final demand for electricity (TJ)</t>
  </si>
  <si>
    <t>Final demand for network gas (TJ)</t>
  </si>
  <si>
    <t>Technology used</t>
  </si>
  <si>
    <t>Application</t>
  </si>
  <si>
    <t>Final demand per energy carrier</t>
  </si>
  <si>
    <t xml:space="preserve">In this sheet an overview is presented of the allocation of energy carriers over the different technologies and applications. In the next sheet, the initializer inputs are determined. </t>
  </si>
  <si>
    <t>Notes</t>
  </si>
  <si>
    <t>Final demand for biogas (TJ)</t>
  </si>
  <si>
    <t>Final demand for biomass (TJ)</t>
  </si>
  <si>
    <t>Final demand for geothermal (TJ)</t>
  </si>
  <si>
    <t>CHP correction</t>
  </si>
  <si>
    <t xml:space="preserve">In </t>
  </si>
  <si>
    <t>After CHP</t>
  </si>
  <si>
    <t>CHP characterization</t>
  </si>
  <si>
    <t>Type</t>
  </si>
  <si>
    <t>Electricity production per unit input</t>
  </si>
  <si>
    <t>Heat prodution per unit input</t>
  </si>
  <si>
    <t>Electric capacity</t>
  </si>
  <si>
    <t>FLH</t>
  </si>
  <si>
    <t>h</t>
  </si>
  <si>
    <t>MW</t>
  </si>
  <si>
    <t>ETM value</t>
  </si>
  <si>
    <t>Burner crude oil</t>
  </si>
  <si>
    <t>Burner network gas</t>
  </si>
  <si>
    <t>Burner wood pellets</t>
  </si>
  <si>
    <t>Heatpump ground water</t>
  </si>
  <si>
    <t>Out</t>
  </si>
  <si>
    <t>Useful heat</t>
  </si>
  <si>
    <t>Other</t>
  </si>
  <si>
    <t>Useful demand electricity</t>
  </si>
  <si>
    <t>Number of CHP</t>
  </si>
  <si>
    <t>Yearly input demand per unit</t>
  </si>
  <si>
    <t>Initializer input</t>
  </si>
  <si>
    <t>Factor voor II</t>
  </si>
  <si>
    <t>9.22 MWe volgens bioregistratie, dat is een verbruik van 632 TJ in de ETM CHP's</t>
  </si>
  <si>
    <t>Geen geothermal in Flevoland</t>
  </si>
  <si>
    <t>Central heat</t>
  </si>
  <si>
    <t>Vermogen uit kaart bio-installaties: 12.63 MW. Per MW gebruikt de ETM burner 10.4 TJ biomassa, dus 131.35 TJ verbruik ingezet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</si>
</sst>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[$-409]mmmm\ d\,\ yyyy;@"/>
    <numFmt numFmtId="167" formatCode="0.000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"/>
      <name val="Calibri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sz val="12"/>
      <color theme="0" tint="-0.14999847407452621"/>
      <name val="Calibri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3"/>
      <name val="Calibri"/>
      <scheme val="minor"/>
    </font>
    <font>
      <sz val="11"/>
      <name val="Calibri"/>
      <family val="2"/>
      <scheme val="minor"/>
    </font>
    <font>
      <sz val="10"/>
      <name val="Arial"/>
    </font>
    <font>
      <sz val="11"/>
      <color indexed="10"/>
      <name val="Calibri"/>
      <family val="2"/>
    </font>
    <font>
      <sz val="12"/>
      <color rgb="FF006100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name val="Calibri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4" fillId="2" borderId="1" applyNumberFormat="0" applyAlignment="0" applyProtection="0"/>
    <xf numFmtId="0" fontId="3" fillId="3" borderId="0" applyNumberFormat="0" applyBorder="0" applyAlignment="0" applyProtection="0"/>
    <xf numFmtId="9" fontId="2" fillId="0" borderId="0" applyFont="0" applyFill="0" applyBorder="0" applyAlignment="0" applyProtection="0"/>
    <xf numFmtId="164" fontId="14" fillId="15" borderId="9">
      <alignment horizontal="right" vertical="center"/>
    </xf>
    <xf numFmtId="0" fontId="15" fillId="0" borderId="0" applyNumberFormat="0" applyFont="0" applyFill="0" applyBorder="0" applyAlignment="0" applyProtection="0"/>
    <xf numFmtId="9" fontId="15" fillId="0" borderId="0" applyNumberFormat="0" applyFont="0" applyFill="0" applyBorder="0" applyAlignment="0" applyProtection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16" borderId="0" applyNumberFormat="0" applyBorder="0" applyAlignment="0" applyProtection="0"/>
    <xf numFmtId="0" fontId="18" fillId="0" borderId="25" applyNumberFormat="0" applyFill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2" fontId="0" fillId="0" borderId="0" xfId="0" applyNumberFormat="1"/>
    <xf numFmtId="0" fontId="0" fillId="4" borderId="0" xfId="0" applyFill="1"/>
    <xf numFmtId="0" fontId="0" fillId="4" borderId="0" xfId="0" applyFill="1" applyAlignment="1">
      <alignment horizontal="left"/>
    </xf>
    <xf numFmtId="0" fontId="5" fillId="4" borderId="12" xfId="0" applyFont="1" applyFill="1" applyBorder="1"/>
    <xf numFmtId="0" fontId="0" fillId="4" borderId="13" xfId="0" applyFont="1" applyFill="1" applyBorder="1"/>
    <xf numFmtId="0" fontId="0" fillId="4" borderId="13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left"/>
    </xf>
    <xf numFmtId="0" fontId="0" fillId="4" borderId="13" xfId="0" applyFont="1" applyFill="1" applyBorder="1" applyAlignment="1">
      <alignment horizontal="right"/>
    </xf>
    <xf numFmtId="0" fontId="0" fillId="4" borderId="13" xfId="0" applyFill="1" applyBorder="1"/>
    <xf numFmtId="0" fontId="0" fillId="4" borderId="14" xfId="0" applyFill="1" applyBorder="1"/>
    <xf numFmtId="0" fontId="0" fillId="4" borderId="15" xfId="0" applyFont="1" applyFill="1" applyBorder="1"/>
    <xf numFmtId="0" fontId="0" fillId="4" borderId="0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4" borderId="0" xfId="0" applyFill="1" applyBorder="1"/>
    <xf numFmtId="0" fontId="0" fillId="4" borderId="11" xfId="0" applyFill="1" applyBorder="1"/>
    <xf numFmtId="0" fontId="6" fillId="6" borderId="16" xfId="0" applyFont="1" applyFill="1" applyBorder="1"/>
    <xf numFmtId="0" fontId="6" fillId="4" borderId="6" xfId="0" applyFont="1" applyFill="1" applyBorder="1"/>
    <xf numFmtId="0" fontId="6" fillId="4" borderId="6" xfId="0" applyFont="1" applyFill="1" applyBorder="1" applyAlignment="1">
      <alignment horizontal="left"/>
    </xf>
    <xf numFmtId="0" fontId="6" fillId="4" borderId="17" xfId="0" applyFont="1" applyFill="1" applyBorder="1"/>
    <xf numFmtId="0" fontId="7" fillId="4" borderId="15" xfId="0" applyFont="1" applyFill="1" applyBorder="1"/>
    <xf numFmtId="0" fontId="5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right"/>
    </xf>
    <xf numFmtId="0" fontId="5" fillId="4" borderId="11" xfId="0" applyFont="1" applyFill="1" applyBorder="1"/>
    <xf numFmtId="3" fontId="0" fillId="4" borderId="18" xfId="0" applyNumberFormat="1" applyFont="1" applyFill="1" applyBorder="1" applyAlignment="1">
      <alignment horizontal="right"/>
    </xf>
    <xf numFmtId="0" fontId="0" fillId="4" borderId="18" xfId="0" applyFill="1" applyBorder="1"/>
    <xf numFmtId="0" fontId="0" fillId="4" borderId="0" xfId="0" applyFill="1" applyBorder="1" applyAlignment="1">
      <alignment horizontal="left"/>
    </xf>
    <xf numFmtId="0" fontId="0" fillId="4" borderId="19" xfId="0" applyFont="1" applyFill="1" applyBorder="1" applyAlignment="1">
      <alignment horizontal="center"/>
    </xf>
    <xf numFmtId="9" fontId="2" fillId="4" borderId="0" xfId="3" applyFont="1" applyFill="1" applyBorder="1" applyAlignment="1">
      <alignment horizontal="right"/>
    </xf>
    <xf numFmtId="0" fontId="8" fillId="4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indent="2"/>
    </xf>
    <xf numFmtId="3" fontId="0" fillId="4" borderId="0" xfId="0" applyNumberFormat="1" applyFont="1" applyFill="1" applyBorder="1" applyAlignment="1">
      <alignment horizontal="center"/>
    </xf>
    <xf numFmtId="3" fontId="0" fillId="4" borderId="11" xfId="0" applyNumberFormat="1" applyFont="1" applyFill="1" applyBorder="1" applyAlignment="1">
      <alignment horizontal="left"/>
    </xf>
    <xf numFmtId="3" fontId="0" fillId="4" borderId="0" xfId="0" applyNumberFormat="1" applyFont="1" applyFill="1" applyBorder="1" applyAlignment="1">
      <alignment horizontal="left"/>
    </xf>
    <xf numFmtId="3" fontId="0" fillId="4" borderId="19" xfId="0" applyNumberFormat="1" applyFont="1" applyFill="1" applyBorder="1" applyAlignment="1">
      <alignment horizontal="center"/>
    </xf>
    <xf numFmtId="0" fontId="7" fillId="4" borderId="20" xfId="0" applyFont="1" applyFill="1" applyBorder="1"/>
    <xf numFmtId="0" fontId="0" fillId="4" borderId="8" xfId="0" applyFont="1" applyFill="1" applyBorder="1"/>
    <xf numFmtId="0" fontId="0" fillId="4" borderId="21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left"/>
    </xf>
    <xf numFmtId="164" fontId="9" fillId="4" borderId="8" xfId="3" applyNumberFormat="1" applyFont="1" applyFill="1" applyBorder="1" applyAlignment="1">
      <alignment horizontal="right"/>
    </xf>
    <xf numFmtId="0" fontId="0" fillId="4" borderId="8" xfId="0" applyFill="1" applyBorder="1" applyAlignment="1">
      <alignment horizontal="left"/>
    </xf>
    <xf numFmtId="0" fontId="0" fillId="4" borderId="8" xfId="0" applyFill="1" applyBorder="1"/>
    <xf numFmtId="0" fontId="0" fillId="4" borderId="22" xfId="0" applyFill="1" applyBorder="1"/>
    <xf numFmtId="0" fontId="7" fillId="4" borderId="0" xfId="0" applyFont="1" applyFill="1" applyBorder="1"/>
    <xf numFmtId="0" fontId="0" fillId="4" borderId="0" xfId="0" applyFill="1" applyAlignment="1">
      <alignment horizontal="left" indent="2"/>
    </xf>
    <xf numFmtId="9" fontId="0" fillId="4" borderId="0" xfId="3" applyFont="1" applyFill="1" applyBorder="1" applyAlignment="1">
      <alignment horizontal="right"/>
    </xf>
    <xf numFmtId="10" fontId="0" fillId="4" borderId="0" xfId="0" applyNumberFormat="1" applyFill="1" applyBorder="1" applyAlignment="1">
      <alignment horizontal="left"/>
    </xf>
    <xf numFmtId="10" fontId="0" fillId="4" borderId="18" xfId="3" applyNumberFormat="1" applyFont="1" applyFill="1" applyBorder="1"/>
    <xf numFmtId="0" fontId="7" fillId="4" borderId="16" xfId="0" applyFont="1" applyFill="1" applyBorder="1"/>
    <xf numFmtId="0" fontId="0" fillId="4" borderId="6" xfId="0" applyFont="1" applyFill="1" applyBorder="1"/>
    <xf numFmtId="0" fontId="0" fillId="4" borderId="23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left"/>
    </xf>
    <xf numFmtId="10" fontId="8" fillId="4" borderId="6" xfId="3" applyNumberFormat="1" applyFont="1" applyFill="1" applyBorder="1" applyAlignment="1">
      <alignment horizontal="right"/>
    </xf>
    <xf numFmtId="0" fontId="8" fillId="4" borderId="6" xfId="0" applyFont="1" applyFill="1" applyBorder="1" applyAlignment="1">
      <alignment horizontal="left"/>
    </xf>
    <xf numFmtId="0" fontId="0" fillId="4" borderId="6" xfId="0" applyFill="1" applyBorder="1"/>
    <xf numFmtId="0" fontId="0" fillId="4" borderId="17" xfId="0" applyFill="1" applyBorder="1"/>
    <xf numFmtId="0" fontId="0" fillId="4" borderId="7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24" xfId="0" applyFill="1" applyBorder="1"/>
    <xf numFmtId="0" fontId="0" fillId="4" borderId="0" xfId="0" applyNumberFormat="1" applyFill="1" applyBorder="1" applyAlignment="1">
      <alignment wrapText="1"/>
    </xf>
    <xf numFmtId="0" fontId="0" fillId="4" borderId="4" xfId="0" applyFill="1" applyBorder="1"/>
    <xf numFmtId="0" fontId="0" fillId="4" borderId="3" xfId="0" applyFill="1" applyBorder="1"/>
    <xf numFmtId="0" fontId="5" fillId="4" borderId="2" xfId="0" applyFont="1" applyFill="1" applyBorder="1"/>
    <xf numFmtId="0" fontId="10" fillId="4" borderId="6" xfId="0" applyFont="1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5" fillId="4" borderId="24" xfId="0" applyFont="1" applyFill="1" applyBorder="1"/>
    <xf numFmtId="0" fontId="0" fillId="12" borderId="0" xfId="0" applyFill="1" applyBorder="1"/>
    <xf numFmtId="0" fontId="0" fillId="13" borderId="0" xfId="0" applyFill="1" applyBorder="1"/>
    <xf numFmtId="0" fontId="0" fillId="14" borderId="0" xfId="0" applyFill="1" applyBorder="1"/>
    <xf numFmtId="0" fontId="8" fillId="4" borderId="0" xfId="0" applyFont="1" applyFill="1" applyBorder="1"/>
    <xf numFmtId="0" fontId="11" fillId="6" borderId="5" xfId="0" applyFont="1" applyFill="1" applyBorder="1" applyAlignment="1">
      <alignment vertical="center"/>
    </xf>
    <xf numFmtId="0" fontId="11" fillId="6" borderId="24" xfId="0" applyFont="1" applyFill="1" applyBorder="1" applyAlignment="1">
      <alignment vertical="center"/>
    </xf>
    <xf numFmtId="166" fontId="0" fillId="0" borderId="0" xfId="0" applyNumberFormat="1" applyFill="1" applyBorder="1" applyAlignment="1">
      <alignment horizontal="left"/>
    </xf>
    <xf numFmtId="1" fontId="12" fillId="5" borderId="0" xfId="0" applyNumberFormat="1" applyFont="1" applyFill="1" applyAlignment="1">
      <alignment horizontal="left"/>
    </xf>
    <xf numFmtId="0" fontId="11" fillId="5" borderId="24" xfId="0" applyFont="1" applyFill="1" applyBorder="1" applyAlignment="1">
      <alignment vertical="center"/>
    </xf>
    <xf numFmtId="2" fontId="12" fillId="5" borderId="0" xfId="0" applyNumberFormat="1" applyFont="1" applyFill="1" applyAlignment="1">
      <alignment horizontal="left"/>
    </xf>
    <xf numFmtId="2" fontId="0" fillId="4" borderId="0" xfId="0" applyNumberFormat="1" applyFill="1" applyBorder="1" applyAlignment="1">
      <alignment horizontal="left"/>
    </xf>
    <xf numFmtId="0" fontId="13" fillId="4" borderId="0" xfId="0" applyFont="1" applyFill="1"/>
    <xf numFmtId="10" fontId="0" fillId="4" borderId="0" xfId="3" applyNumberFormat="1" applyFont="1" applyFill="1" applyBorder="1"/>
    <xf numFmtId="0" fontId="7" fillId="4" borderId="26" xfId="0" applyFont="1" applyFill="1" applyBorder="1"/>
    <xf numFmtId="0" fontId="0" fillId="4" borderId="3" xfId="0" applyFont="1" applyFill="1" applyBorder="1"/>
    <xf numFmtId="0" fontId="0" fillId="4" borderId="27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/>
    </xf>
    <xf numFmtId="0" fontId="0" fillId="4" borderId="3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28" xfId="0" applyFill="1" applyBorder="1"/>
    <xf numFmtId="0" fontId="0" fillId="4" borderId="20" xfId="0" applyFill="1" applyBorder="1"/>
    <xf numFmtId="0" fontId="5" fillId="4" borderId="0" xfId="0" applyFont="1" applyFill="1" applyBorder="1" applyAlignment="1"/>
    <xf numFmtId="9" fontId="5" fillId="4" borderId="0" xfId="11" applyNumberFormat="1" applyFont="1" applyFill="1" applyBorder="1"/>
    <xf numFmtId="0" fontId="5" fillId="4" borderId="15" xfId="0" applyFont="1" applyFill="1" applyBorder="1"/>
    <xf numFmtId="0" fontId="5" fillId="4" borderId="0" xfId="0" applyFont="1" applyFill="1" applyBorder="1" applyAlignment="1">
      <alignment wrapText="1"/>
    </xf>
    <xf numFmtId="4" fontId="5" fillId="4" borderId="24" xfId="0" applyNumberFormat="1" applyFont="1" applyFill="1" applyBorder="1"/>
    <xf numFmtId="0" fontId="5" fillId="4" borderId="3" xfId="0" applyFont="1" applyFill="1" applyBorder="1" applyAlignment="1"/>
    <xf numFmtId="4" fontId="5" fillId="4" borderId="29" xfId="0" applyNumberFormat="1" applyFont="1" applyFill="1" applyBorder="1"/>
    <xf numFmtId="4" fontId="5" fillId="4" borderId="30" xfId="0" applyNumberFormat="1" applyFont="1" applyFill="1" applyBorder="1"/>
    <xf numFmtId="0" fontId="5" fillId="4" borderId="30" xfId="0" applyFont="1" applyFill="1" applyBorder="1"/>
    <xf numFmtId="0" fontId="20" fillId="4" borderId="26" xfId="0" applyFont="1" applyFill="1" applyBorder="1"/>
    <xf numFmtId="4" fontId="5" fillId="4" borderId="0" xfId="0" applyNumberFormat="1" applyFont="1" applyFill="1" applyBorder="1"/>
    <xf numFmtId="0" fontId="9" fillId="4" borderId="0" xfId="0" applyFont="1" applyFill="1" applyBorder="1"/>
    <xf numFmtId="0" fontId="21" fillId="4" borderId="15" xfId="0" applyFont="1" applyFill="1" applyBorder="1"/>
    <xf numFmtId="0" fontId="7" fillId="4" borderId="15" xfId="0" applyFont="1" applyFill="1" applyBorder="1" applyAlignment="1">
      <alignment vertical="top" wrapText="1"/>
    </xf>
    <xf numFmtId="0" fontId="21" fillId="4" borderId="16" xfId="0" applyFont="1" applyFill="1" applyBorder="1"/>
    <xf numFmtId="0" fontId="21" fillId="4" borderId="0" xfId="0" applyFont="1" applyFill="1" applyBorder="1"/>
    <xf numFmtId="4" fontId="17" fillId="4" borderId="24" xfId="9" applyNumberFormat="1" applyFill="1" applyBorder="1"/>
    <xf numFmtId="10" fontId="17" fillId="4" borderId="0" xfId="9" applyNumberFormat="1" applyFill="1" applyBorder="1"/>
    <xf numFmtId="165" fontId="1" fillId="4" borderId="11" xfId="11" applyNumberFormat="1" applyFont="1" applyFill="1" applyBorder="1"/>
    <xf numFmtId="0" fontId="19" fillId="4" borderId="15" xfId="0" applyFont="1" applyFill="1" applyBorder="1"/>
    <xf numFmtId="10" fontId="21" fillId="4" borderId="0" xfId="0" applyNumberFormat="1" applyFont="1" applyFill="1" applyBorder="1"/>
    <xf numFmtId="0" fontId="1" fillId="4" borderId="11" xfId="0" applyFont="1" applyFill="1" applyBorder="1"/>
    <xf numFmtId="0" fontId="0" fillId="4" borderId="0" xfId="0" applyFont="1" applyFill="1"/>
    <xf numFmtId="0" fontId="9" fillId="4" borderId="6" xfId="0" applyFont="1" applyFill="1" applyBorder="1"/>
    <xf numFmtId="0" fontId="0" fillId="4" borderId="15" xfId="0" applyFont="1" applyFill="1" applyBorder="1" applyAlignment="1">
      <alignment horizontal="left" indent="2"/>
    </xf>
    <xf numFmtId="4" fontId="5" fillId="4" borderId="6" xfId="0" applyNumberFormat="1" applyFont="1" applyFill="1" applyBorder="1"/>
    <xf numFmtId="4" fontId="5" fillId="4" borderId="3" xfId="0" applyNumberFormat="1" applyFont="1" applyFill="1" applyBorder="1"/>
    <xf numFmtId="11" fontId="0" fillId="4" borderId="0" xfId="0" applyNumberFormat="1" applyFill="1"/>
    <xf numFmtId="11" fontId="0" fillId="4" borderId="0" xfId="0" applyNumberFormat="1" applyFill="1" applyBorder="1"/>
    <xf numFmtId="0" fontId="4" fillId="4" borderId="0" xfId="1" applyFill="1" applyBorder="1"/>
    <xf numFmtId="4" fontId="5" fillId="4" borderId="2" xfId="0" applyNumberFormat="1" applyFont="1" applyFill="1" applyBorder="1"/>
    <xf numFmtId="0" fontId="21" fillId="4" borderId="30" xfId="0" applyFont="1" applyFill="1" applyBorder="1"/>
    <xf numFmtId="0" fontId="21" fillId="4" borderId="26" xfId="0" applyFont="1" applyFill="1" applyBorder="1"/>
    <xf numFmtId="0" fontId="5" fillId="4" borderId="16" xfId="0" applyFont="1" applyFill="1" applyBorder="1" applyAlignment="1">
      <alignment vertical="top" wrapText="1"/>
    </xf>
    <xf numFmtId="0" fontId="5" fillId="4" borderId="0" xfId="0" applyFont="1" applyFill="1" applyBorder="1" applyAlignment="1">
      <alignment vertical="top" wrapText="1"/>
    </xf>
    <xf numFmtId="4" fontId="5" fillId="4" borderId="24" xfId="0" applyNumberFormat="1" applyFont="1" applyFill="1" applyBorder="1" applyAlignment="1">
      <alignment vertical="top" wrapText="1"/>
    </xf>
    <xf numFmtId="1" fontId="5" fillId="4" borderId="0" xfId="11" applyNumberFormat="1" applyFont="1" applyFill="1" applyBorder="1" applyAlignment="1">
      <alignment vertical="top" wrapText="1"/>
    </xf>
    <xf numFmtId="0" fontId="0" fillId="4" borderId="11" xfId="0" applyFont="1" applyFill="1" applyBorder="1"/>
    <xf numFmtId="4" fontId="0" fillId="4" borderId="24" xfId="0" applyNumberFormat="1" applyFont="1" applyFill="1" applyBorder="1" applyAlignment="1">
      <alignment vertical="top" wrapText="1"/>
    </xf>
    <xf numFmtId="3" fontId="5" fillId="4" borderId="24" xfId="0" applyNumberFormat="1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167" fontId="18" fillId="4" borderId="0" xfId="10" applyNumberFormat="1" applyFill="1" applyBorder="1"/>
    <xf numFmtId="0" fontId="5" fillId="4" borderId="17" xfId="0" applyFont="1" applyFill="1" applyBorder="1" applyAlignment="1">
      <alignment vertical="top" wrapText="1"/>
    </xf>
    <xf numFmtId="0" fontId="5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0" fillId="4" borderId="15" xfId="0" applyFill="1" applyBorder="1"/>
    <xf numFmtId="0" fontId="0" fillId="4" borderId="0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13" fillId="4" borderId="0" xfId="0" applyFont="1" applyFill="1" applyBorder="1"/>
    <xf numFmtId="1" fontId="0" fillId="4" borderId="0" xfId="0" applyNumberFormat="1" applyFill="1" applyBorder="1" applyAlignment="1">
      <alignment horizontal="left"/>
    </xf>
    <xf numFmtId="10" fontId="0" fillId="4" borderId="18" xfId="0" applyNumberFormat="1" applyFill="1" applyBorder="1" applyAlignment="1">
      <alignment horizontal="left"/>
    </xf>
    <xf numFmtId="1" fontId="0" fillId="4" borderId="18" xfId="0" applyNumberFormat="1" applyFill="1" applyBorder="1" applyAlignment="1">
      <alignment horizontal="left"/>
    </xf>
    <xf numFmtId="164" fontId="0" fillId="4" borderId="18" xfId="0" applyNumberFormat="1" applyFill="1" applyBorder="1" applyAlignment="1">
      <alignment horizontal="left"/>
    </xf>
    <xf numFmtId="4" fontId="17" fillId="17" borderId="3" xfId="9" applyNumberFormat="1" applyFill="1" applyBorder="1"/>
    <xf numFmtId="4" fontId="17" fillId="17" borderId="0" xfId="9" applyNumberFormat="1" applyFill="1" applyBorder="1"/>
    <xf numFmtId="4" fontId="17" fillId="17" borderId="6" xfId="9" applyNumberFormat="1" applyFill="1" applyBorder="1"/>
    <xf numFmtId="4" fontId="0" fillId="17" borderId="3" xfId="0" applyNumberFormat="1" applyFont="1" applyFill="1" applyBorder="1"/>
    <xf numFmtId="4" fontId="0" fillId="17" borderId="4" xfId="0" applyNumberFormat="1" applyFont="1" applyFill="1" applyBorder="1"/>
    <xf numFmtId="4" fontId="0" fillId="4" borderId="0" xfId="0" applyNumberFormat="1" applyFont="1" applyFill="1" applyBorder="1"/>
    <xf numFmtId="4" fontId="0" fillId="4" borderId="10" xfId="0" applyNumberFormat="1" applyFont="1" applyFill="1" applyBorder="1"/>
    <xf numFmtId="4" fontId="0" fillId="17" borderId="6" xfId="0" applyNumberFormat="1" applyFont="1" applyFill="1" applyBorder="1"/>
    <xf numFmtId="4" fontId="0" fillId="17" borderId="7" xfId="0" applyNumberFormat="1" applyFont="1" applyFill="1" applyBorder="1"/>
    <xf numFmtId="2" fontId="5" fillId="4" borderId="3" xfId="0" applyNumberFormat="1" applyFont="1" applyFill="1" applyBorder="1"/>
    <xf numFmtId="4" fontId="5" fillId="17" borderId="30" xfId="0" applyNumberFormat="1" applyFont="1" applyFill="1" applyBorder="1"/>
    <xf numFmtId="4" fontId="5" fillId="17" borderId="29" xfId="0" applyNumberFormat="1" applyFont="1" applyFill="1" applyBorder="1"/>
    <xf numFmtId="2" fontId="5" fillId="4" borderId="0" xfId="11" applyNumberFormat="1" applyFont="1" applyFill="1" applyBorder="1" applyAlignment="1">
      <alignment vertical="top" wrapText="1"/>
    </xf>
    <xf numFmtId="2" fontId="0" fillId="4" borderId="18" xfId="0" applyNumberFormat="1" applyFill="1" applyBorder="1" applyAlignment="1">
      <alignment horizontal="left"/>
    </xf>
    <xf numFmtId="1" fontId="0" fillId="0" borderId="0" xfId="0" applyNumberFormat="1"/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2">
    <cellStyle name="40% - Accent2 2" xfId="2"/>
    <cellStyle name="Good" xfId="9" builtinId="26"/>
    <cellStyle name="Input" xfId="1" builtinId="20"/>
    <cellStyle name="Input cel" xfId="4"/>
    <cellStyle name="Linked Cell" xfId="10" builtinId="24"/>
    <cellStyle name="Normal" xfId="0" builtinId="0"/>
    <cellStyle name="Normal 2" xfId="5"/>
    <cellStyle name="Percent" xfId="3" builtinId="5"/>
    <cellStyle name="Percent 2" xfId="6"/>
    <cellStyle name="Percent 3" xfId="7"/>
    <cellStyle name="Percent 4" xfId="11"/>
    <cellStyle name="Warning Text 3" xfId="8"/>
  </cellStyles>
  <dxfs count="1">
    <dxf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rend/etdataset/analyses/6_residences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Changelog"/>
      <sheetName val="Contents"/>
      <sheetName val="Introduction"/>
      <sheetName val="Dataflow"/>
      <sheetName val="Assumptions"/>
      <sheetName val="Dashboard"/>
      <sheetName val="Corrected energy balance step 2"/>
      <sheetName val="technical_specs"/>
      <sheetName val="Application Shares"/>
      <sheetName val="Technology Shares"/>
      <sheetName val="Houses Shares"/>
      <sheetName val="Final demand per energy carrier"/>
      <sheetName val="Technology split final demand"/>
      <sheetName val="Electricity producer Shares"/>
      <sheetName val="Fuel aggregation"/>
      <sheetName val="Useful-final demand percentage"/>
      <sheetName val="csv_final_demand_coal"/>
      <sheetName val="csv_final_demand_crude_oil"/>
      <sheetName val="csv_final_demand_network_gas"/>
      <sheetName val="csv_final_demand_woodpellets"/>
      <sheetName val="csv_final_demand_electricity"/>
      <sheetName val="csv_final_demand_steam"/>
      <sheetName val="csv_cooling_electricity"/>
      <sheetName val="csv_heating_network_gas"/>
      <sheetName val="csv_heating_electricity"/>
      <sheetName val="csv_water_network_gas"/>
      <sheetName val="csv_water_electricity"/>
      <sheetName val="csv_cooking_electricity"/>
      <sheetName val="csv_lighting_electricity"/>
      <sheetName val="csv_appliances_electricity"/>
      <sheetName val="csv_solar_thermal_heater"/>
      <sheetName val="csv_cooling_old-new"/>
      <sheetName val="csv_heating_old-new"/>
      <sheetName val="csv_cooling_insulation_old"/>
      <sheetName val="csv_cooling_insulation_new"/>
      <sheetName val="csv_heating_insulation_new"/>
      <sheetName val="csv_heating_insulation_old"/>
      <sheetName val="csv_heating_micro_chp_gas"/>
      <sheetName val="csv_water_micro_chp_gas"/>
      <sheetName val="csv_water_fuell_cell_gas"/>
      <sheetName val="csv_solar_space_heating_chld"/>
      <sheetName val="csv_solar_hot_water_chld"/>
      <sheetName val="csv_solar_heater_and_p2h_parent"/>
      <sheetName val="csv_hot_water_p2h_child"/>
      <sheetName val="csv_export_to_area_analysis"/>
    </sheetNames>
    <sheetDataSet>
      <sheetData sheetId="0"/>
      <sheetData sheetId="1"/>
      <sheetData sheetId="2"/>
      <sheetData sheetId="3"/>
      <sheetData sheetId="4"/>
      <sheetData sheetId="5"/>
      <sheetData sheetId="6">
        <row r="20">
          <cell r="E20">
            <v>292481.03262334003</v>
          </cell>
        </row>
        <row r="21">
          <cell r="E21">
            <v>71970.539521814397</v>
          </cell>
        </row>
        <row r="22">
          <cell r="E22">
            <v>6530.3137113401999</v>
          </cell>
        </row>
        <row r="23">
          <cell r="E23">
            <v>12127.725463917501</v>
          </cell>
        </row>
        <row r="24">
          <cell r="E24">
            <v>9890.7872362886592</v>
          </cell>
        </row>
        <row r="25">
          <cell r="E25">
            <v>57833.111258999998</v>
          </cell>
        </row>
      </sheetData>
      <sheetData sheetId="7"/>
      <sheetData sheetId="8">
        <row r="11">
          <cell r="P11">
            <v>1.0669999999999999</v>
          </cell>
        </row>
        <row r="12">
          <cell r="P12">
            <v>1</v>
          </cell>
        </row>
        <row r="13">
          <cell r="P13">
            <v>4.8000000000000078</v>
          </cell>
        </row>
        <row r="14">
          <cell r="P14">
            <v>0.88</v>
          </cell>
        </row>
        <row r="15">
          <cell r="P15">
            <v>1</v>
          </cell>
        </row>
        <row r="16">
          <cell r="P16">
            <v>4.5000000000000044</v>
          </cell>
        </row>
        <row r="17">
          <cell r="P17">
            <v>0.82</v>
          </cell>
        </row>
        <row r="18">
          <cell r="P18">
            <v>1</v>
          </cell>
        </row>
        <row r="19">
          <cell r="P19">
            <v>0.8</v>
          </cell>
        </row>
        <row r="20">
          <cell r="P20">
            <v>0.85</v>
          </cell>
        </row>
        <row r="21">
          <cell r="P21">
            <v>0.8</v>
          </cell>
        </row>
        <row r="22">
          <cell r="P22">
            <v>4.4999999999999885</v>
          </cell>
        </row>
        <row r="23">
          <cell r="P23">
            <v>1.0669999999999999</v>
          </cell>
        </row>
        <row r="26">
          <cell r="P26">
            <v>0.9</v>
          </cell>
        </row>
        <row r="27">
          <cell r="P27">
            <v>1</v>
          </cell>
        </row>
        <row r="28">
          <cell r="P28">
            <v>3.0000000000000031</v>
          </cell>
        </row>
        <row r="29">
          <cell r="P29">
            <v>0.88</v>
          </cell>
        </row>
        <row r="30">
          <cell r="P30">
            <v>1</v>
          </cell>
        </row>
        <row r="31">
          <cell r="P31">
            <v>3.0000000000000031</v>
          </cell>
        </row>
        <row r="32">
          <cell r="P32">
            <v>0.82</v>
          </cell>
        </row>
        <row r="33">
          <cell r="P33">
            <v>0.95</v>
          </cell>
        </row>
        <row r="34">
          <cell r="P34">
            <v>0.67</v>
          </cell>
        </row>
        <row r="35">
          <cell r="P35">
            <v>0.85</v>
          </cell>
        </row>
        <row r="36">
          <cell r="P36">
            <v>0.8</v>
          </cell>
        </row>
        <row r="37">
          <cell r="P37">
            <v>0.2</v>
          </cell>
        </row>
        <row r="38">
          <cell r="P38">
            <v>3.0000000000000044</v>
          </cell>
        </row>
        <row r="39">
          <cell r="P39">
            <v>0.9</v>
          </cell>
        </row>
        <row r="42">
          <cell r="P42">
            <v>18.999999999050001</v>
          </cell>
        </row>
        <row r="43">
          <cell r="P43">
            <v>4.5000000000000044</v>
          </cell>
        </row>
        <row r="44">
          <cell r="P44">
            <v>4</v>
          </cell>
        </row>
        <row r="47">
          <cell r="P47">
            <v>0.4</v>
          </cell>
        </row>
        <row r="48">
          <cell r="P48">
            <v>0.55000000000000004</v>
          </cell>
        </row>
        <row r="49">
          <cell r="P49">
            <v>0.6</v>
          </cell>
        </row>
        <row r="50">
          <cell r="P50">
            <v>0.85</v>
          </cell>
        </row>
        <row r="51">
          <cell r="P51">
            <v>0.3</v>
          </cell>
        </row>
        <row r="54">
          <cell r="P54">
            <v>0.05</v>
          </cell>
        </row>
        <row r="55">
          <cell r="P55">
            <v>0.25</v>
          </cell>
        </row>
        <row r="56">
          <cell r="P56">
            <v>0.5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11">
          <cell r="C11">
            <v>205.11</v>
          </cell>
          <cell r="D11">
            <v>331545.53000000003</v>
          </cell>
          <cell r="E11">
            <v>3700.96</v>
          </cell>
          <cell r="F11">
            <v>12820.53</v>
          </cell>
          <cell r="G11">
            <v>934.83</v>
          </cell>
          <cell r="I11">
            <v>90491.49</v>
          </cell>
          <cell r="J11">
            <v>11141.87</v>
          </cell>
          <cell r="L11">
            <v>451110.33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2" tint="-9.9978637043366805E-2"/>
  </sheetPr>
  <dimension ref="B2:D39"/>
  <sheetViews>
    <sheetView workbookViewId="0">
      <selection activeCell="C4" sqref="C4"/>
    </sheetView>
  </sheetViews>
  <sheetFormatPr baseColWidth="10" defaultRowHeight="16" x14ac:dyDescent="0.2"/>
  <cols>
    <col min="1" max="1" width="10.83203125" style="2"/>
    <col min="2" max="2" width="14" style="2" customWidth="1"/>
    <col min="3" max="3" width="44" style="2" customWidth="1"/>
    <col min="4" max="4" width="9.33203125" style="2" customWidth="1"/>
    <col min="5" max="16384" width="10.83203125" style="2"/>
  </cols>
  <sheetData>
    <row r="2" spans="2:4" ht="21" x14ac:dyDescent="0.25">
      <c r="B2" s="86" t="s">
        <v>66</v>
      </c>
    </row>
    <row r="4" spans="2:4" x14ac:dyDescent="0.2">
      <c r="B4" s="67" t="s">
        <v>65</v>
      </c>
      <c r="C4" s="66" t="str">
        <f>"Agriculture analysis "&amp;C6&amp;" "&amp;C7</f>
        <v>Agriculture analysis flevoland 2015</v>
      </c>
      <c r="D4" s="65"/>
    </row>
    <row r="5" spans="2:4" x14ac:dyDescent="0.2">
      <c r="B5" s="80" t="s">
        <v>64</v>
      </c>
      <c r="C5" s="85">
        <v>1</v>
      </c>
      <c r="D5" s="62"/>
    </row>
    <row r="6" spans="2:4" x14ac:dyDescent="0.2">
      <c r="B6" s="83" t="s">
        <v>63</v>
      </c>
      <c r="C6" s="84" t="s">
        <v>62</v>
      </c>
      <c r="D6" s="62"/>
    </row>
    <row r="7" spans="2:4" x14ac:dyDescent="0.2">
      <c r="B7" s="83" t="s">
        <v>61</v>
      </c>
      <c r="C7" s="82">
        <v>2015</v>
      </c>
      <c r="D7" s="62"/>
    </row>
    <row r="8" spans="2:4" x14ac:dyDescent="0.2">
      <c r="B8" s="80" t="s">
        <v>60</v>
      </c>
      <c r="C8" s="81" t="s">
        <v>59</v>
      </c>
      <c r="D8" s="62"/>
    </row>
    <row r="9" spans="2:4" x14ac:dyDescent="0.2">
      <c r="B9" s="80" t="s">
        <v>58</v>
      </c>
      <c r="C9" s="16" t="s">
        <v>57</v>
      </c>
      <c r="D9" s="62"/>
    </row>
    <row r="10" spans="2:4" x14ac:dyDescent="0.2">
      <c r="B10" s="79" t="s">
        <v>56</v>
      </c>
      <c r="C10" s="58" t="s">
        <v>55</v>
      </c>
      <c r="D10" s="60"/>
    </row>
    <row r="12" spans="2:4" x14ac:dyDescent="0.2">
      <c r="B12" s="67" t="s">
        <v>54</v>
      </c>
      <c r="C12" s="66"/>
      <c r="D12" s="65"/>
    </row>
    <row r="13" spans="2:4" x14ac:dyDescent="0.2">
      <c r="B13" s="74"/>
      <c r="C13" s="16"/>
      <c r="D13" s="62"/>
    </row>
    <row r="14" spans="2:4" x14ac:dyDescent="0.2">
      <c r="B14" s="74" t="s">
        <v>53</v>
      </c>
      <c r="C14" s="78" t="s">
        <v>52</v>
      </c>
      <c r="D14" s="62"/>
    </row>
    <row r="15" spans="2:4" ht="17" thickBot="1" x14ac:dyDescent="0.25">
      <c r="B15" s="74"/>
      <c r="C15" s="23" t="s">
        <v>51</v>
      </c>
      <c r="D15" s="62"/>
    </row>
    <row r="16" spans="2:4" ht="17" thickBot="1" x14ac:dyDescent="0.25">
      <c r="B16" s="74"/>
      <c r="C16" s="29" t="s">
        <v>50</v>
      </c>
      <c r="D16" s="62"/>
    </row>
    <row r="17" spans="2:4" x14ac:dyDescent="0.2">
      <c r="B17" s="74"/>
      <c r="C17" s="16" t="s">
        <v>49</v>
      </c>
      <c r="D17" s="62"/>
    </row>
    <row r="18" spans="2:4" x14ac:dyDescent="0.2">
      <c r="B18" s="74"/>
      <c r="C18" s="16"/>
      <c r="D18" s="62"/>
    </row>
    <row r="19" spans="2:4" x14ac:dyDescent="0.2">
      <c r="B19" s="74" t="s">
        <v>48</v>
      </c>
      <c r="C19" s="77" t="s">
        <v>47</v>
      </c>
      <c r="D19" s="62"/>
    </row>
    <row r="20" spans="2:4" x14ac:dyDescent="0.2">
      <c r="B20" s="74"/>
      <c r="C20" s="76" t="s">
        <v>46</v>
      </c>
      <c r="D20" s="62"/>
    </row>
    <row r="21" spans="2:4" x14ac:dyDescent="0.2">
      <c r="B21" s="74"/>
      <c r="C21" s="75" t="s">
        <v>45</v>
      </c>
      <c r="D21" s="62"/>
    </row>
    <row r="22" spans="2:4" x14ac:dyDescent="0.2">
      <c r="B22" s="74"/>
      <c r="C22" s="73" t="s">
        <v>44</v>
      </c>
      <c r="D22" s="62"/>
    </row>
    <row r="23" spans="2:4" x14ac:dyDescent="0.2">
      <c r="B23" s="63"/>
      <c r="C23" s="72" t="s">
        <v>43</v>
      </c>
      <c r="D23" s="62"/>
    </row>
    <row r="24" spans="2:4" x14ac:dyDescent="0.2">
      <c r="B24" s="63"/>
      <c r="C24" s="71" t="s">
        <v>42</v>
      </c>
      <c r="D24" s="62"/>
    </row>
    <row r="25" spans="2:4" x14ac:dyDescent="0.2">
      <c r="B25" s="63"/>
      <c r="C25" s="70" t="s">
        <v>41</v>
      </c>
      <c r="D25" s="62"/>
    </row>
    <row r="26" spans="2:4" x14ac:dyDescent="0.2">
      <c r="B26" s="63"/>
      <c r="C26" s="69" t="s">
        <v>40</v>
      </c>
      <c r="D26" s="62"/>
    </row>
    <row r="27" spans="2:4" x14ac:dyDescent="0.2">
      <c r="B27" s="61"/>
      <c r="C27" s="68"/>
      <c r="D27" s="60"/>
    </row>
    <row r="29" spans="2:4" x14ac:dyDescent="0.2">
      <c r="B29" s="67" t="s">
        <v>39</v>
      </c>
      <c r="C29" s="66"/>
      <c r="D29" s="65"/>
    </row>
    <row r="30" spans="2:4" x14ac:dyDescent="0.2">
      <c r="B30" s="63"/>
      <c r="C30" s="64"/>
      <c r="D30" s="62"/>
    </row>
    <row r="31" spans="2:4" x14ac:dyDescent="0.2">
      <c r="B31" s="63"/>
      <c r="C31" s="16"/>
      <c r="D31" s="62"/>
    </row>
    <row r="32" spans="2:4" x14ac:dyDescent="0.2">
      <c r="B32" s="63"/>
      <c r="C32" s="16"/>
      <c r="D32" s="62"/>
    </row>
    <row r="33" spans="2:4" x14ac:dyDescent="0.2">
      <c r="B33" s="63"/>
      <c r="C33" s="16"/>
      <c r="D33" s="62"/>
    </row>
    <row r="34" spans="2:4" x14ac:dyDescent="0.2">
      <c r="B34" s="63"/>
      <c r="C34" s="16"/>
      <c r="D34" s="62"/>
    </row>
    <row r="35" spans="2:4" x14ac:dyDescent="0.2">
      <c r="B35" s="63"/>
      <c r="C35" s="16"/>
      <c r="D35" s="62"/>
    </row>
    <row r="36" spans="2:4" x14ac:dyDescent="0.2">
      <c r="B36" s="63"/>
      <c r="C36" s="16"/>
      <c r="D36" s="62"/>
    </row>
    <row r="37" spans="2:4" x14ac:dyDescent="0.2">
      <c r="B37" s="63"/>
      <c r="C37" s="16"/>
      <c r="D37" s="62"/>
    </row>
    <row r="38" spans="2:4" x14ac:dyDescent="0.2">
      <c r="B38" s="63"/>
      <c r="C38" s="16"/>
      <c r="D38" s="62"/>
    </row>
    <row r="39" spans="2:4" x14ac:dyDescent="0.2">
      <c r="B39" s="61"/>
      <c r="C39" s="58"/>
      <c r="D39" s="60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J82"/>
  <sheetViews>
    <sheetView tabSelected="1" workbookViewId="0">
      <selection activeCell="F73" sqref="F73"/>
    </sheetView>
  </sheetViews>
  <sheetFormatPr baseColWidth="10" defaultRowHeight="16" x14ac:dyDescent="0.2"/>
  <cols>
    <col min="2" max="2" width="6.33203125" bestFit="1" customWidth="1"/>
    <col min="3" max="3" width="47.83203125" bestFit="1" customWidth="1"/>
    <col min="4" max="4" width="10.6640625" customWidth="1"/>
    <col min="5" max="5" width="12.33203125" customWidth="1"/>
    <col min="6" max="6" width="22.33203125" bestFit="1" customWidth="1"/>
    <col min="8" max="8" width="113.33203125" bestFit="1" customWidth="1"/>
  </cols>
  <sheetData>
    <row r="1" spans="1:10" x14ac:dyDescent="0.2">
      <c r="A1" s="2"/>
      <c r="B1" s="2"/>
      <c r="C1" s="2"/>
      <c r="D1" s="2"/>
      <c r="E1" s="3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3"/>
      <c r="F2" s="2"/>
      <c r="G2" s="2"/>
      <c r="H2" s="2"/>
      <c r="I2" s="2"/>
      <c r="J2" s="2"/>
    </row>
    <row r="3" spans="1:10" x14ac:dyDescent="0.2">
      <c r="A3" s="2"/>
      <c r="B3" s="2"/>
      <c r="C3" s="2"/>
      <c r="D3" s="2"/>
      <c r="E3" s="3"/>
      <c r="F3" s="2"/>
      <c r="G3" s="2"/>
      <c r="H3" s="2"/>
      <c r="I3" s="2"/>
      <c r="J3" s="2"/>
    </row>
    <row r="4" spans="1:10" ht="17" thickBot="1" x14ac:dyDescent="0.25">
      <c r="A4" s="2"/>
      <c r="B4" s="2"/>
      <c r="C4" s="2"/>
      <c r="D4" s="2"/>
      <c r="E4" s="3"/>
      <c r="F4" s="2"/>
      <c r="G4" s="2"/>
      <c r="H4" s="2"/>
      <c r="I4" s="2"/>
      <c r="J4" s="2"/>
    </row>
    <row r="5" spans="1:10" x14ac:dyDescent="0.2">
      <c r="A5" s="2"/>
      <c r="B5" s="4" t="s">
        <v>13</v>
      </c>
      <c r="C5" s="5"/>
      <c r="D5" s="6"/>
      <c r="E5" s="7"/>
      <c r="F5" s="8"/>
      <c r="G5" s="9"/>
      <c r="H5" s="9"/>
      <c r="I5" s="10"/>
      <c r="J5" s="2"/>
    </row>
    <row r="6" spans="1:10" x14ac:dyDescent="0.2">
      <c r="A6" s="2"/>
      <c r="B6" s="11"/>
      <c r="C6" s="12"/>
      <c r="D6" s="13"/>
      <c r="E6" s="14"/>
      <c r="F6" s="15"/>
      <c r="G6" s="16"/>
      <c r="H6" s="16"/>
      <c r="I6" s="17"/>
      <c r="J6" s="2"/>
    </row>
    <row r="7" spans="1:10" x14ac:dyDescent="0.2">
      <c r="A7" s="2"/>
      <c r="B7" s="18" t="s">
        <v>14</v>
      </c>
      <c r="C7" s="19"/>
      <c r="D7" s="19" t="s">
        <v>15</v>
      </c>
      <c r="E7" s="20" t="s">
        <v>16</v>
      </c>
      <c r="F7" s="19" t="s">
        <v>17</v>
      </c>
      <c r="G7" s="19"/>
      <c r="H7" s="19" t="s">
        <v>18</v>
      </c>
      <c r="I7" s="21"/>
      <c r="J7" s="2"/>
    </row>
    <row r="8" spans="1:10" x14ac:dyDescent="0.2">
      <c r="A8" s="2"/>
      <c r="B8" s="22" t="s">
        <v>19</v>
      </c>
      <c r="C8" s="23"/>
      <c r="D8" s="24"/>
      <c r="E8" s="25"/>
      <c r="F8" s="26"/>
      <c r="G8" s="23"/>
      <c r="H8" s="23"/>
      <c r="I8" s="27"/>
      <c r="J8" s="2"/>
    </row>
    <row r="9" spans="1:10" x14ac:dyDescent="0.2">
      <c r="A9" s="2"/>
      <c r="B9" s="22"/>
      <c r="C9" s="23"/>
      <c r="D9" s="24"/>
      <c r="E9" s="25"/>
      <c r="F9" s="26"/>
      <c r="G9" s="23"/>
      <c r="H9" s="23"/>
      <c r="I9" s="27"/>
      <c r="J9" s="2"/>
    </row>
    <row r="10" spans="1:10" ht="17" thickBot="1" x14ac:dyDescent="0.25">
      <c r="A10" s="2"/>
      <c r="B10" s="22"/>
      <c r="C10" s="14" t="s">
        <v>21</v>
      </c>
      <c r="D10" s="31"/>
      <c r="E10" s="14"/>
      <c r="F10" s="32"/>
      <c r="G10" s="33"/>
      <c r="H10" s="16"/>
      <c r="I10" s="17"/>
      <c r="J10" s="2"/>
    </row>
    <row r="11" spans="1:10" ht="17" thickBot="1" x14ac:dyDescent="0.25">
      <c r="A11" s="2"/>
      <c r="B11" s="22"/>
      <c r="C11" s="34" t="s">
        <v>22</v>
      </c>
      <c r="D11" s="35" t="s">
        <v>23</v>
      </c>
      <c r="E11" s="36"/>
      <c r="F11" s="28">
        <v>208909000</v>
      </c>
      <c r="G11" s="33"/>
      <c r="H11" s="29" t="s">
        <v>20</v>
      </c>
      <c r="I11" s="17"/>
      <c r="J11" s="2"/>
    </row>
    <row r="12" spans="1:10" ht="17" thickBot="1" x14ac:dyDescent="0.25">
      <c r="A12" s="2"/>
      <c r="B12" s="22"/>
      <c r="C12" s="34" t="s">
        <v>68</v>
      </c>
      <c r="D12" s="35" t="s">
        <v>24</v>
      </c>
      <c r="E12" s="36"/>
      <c r="F12" s="28">
        <v>125608000</v>
      </c>
      <c r="G12" s="33"/>
      <c r="H12" s="29" t="s">
        <v>20</v>
      </c>
      <c r="I12" s="17"/>
      <c r="J12" s="2"/>
    </row>
    <row r="13" spans="1:10" ht="17" thickBot="1" x14ac:dyDescent="0.25">
      <c r="A13" s="2"/>
      <c r="B13" s="22"/>
      <c r="C13" s="48" t="s">
        <v>28</v>
      </c>
      <c r="D13" s="35" t="s">
        <v>0</v>
      </c>
      <c r="E13" s="36"/>
      <c r="F13" s="28">
        <f>9.22*F67/F65</f>
        <v>632.2285714285714</v>
      </c>
      <c r="G13" s="33"/>
      <c r="H13" s="29" t="s">
        <v>126</v>
      </c>
      <c r="I13" s="17"/>
      <c r="J13" s="2"/>
    </row>
    <row r="14" spans="1:10" ht="17" thickBot="1" x14ac:dyDescent="0.25">
      <c r="A14" s="2"/>
      <c r="B14" s="22"/>
      <c r="C14" s="48" t="s">
        <v>29</v>
      </c>
      <c r="D14" s="35" t="s">
        <v>0</v>
      </c>
      <c r="E14" s="36"/>
      <c r="F14" s="28">
        <v>0</v>
      </c>
      <c r="G14" s="33"/>
      <c r="H14" s="29" t="s">
        <v>27</v>
      </c>
      <c r="I14" s="17"/>
      <c r="J14" s="2"/>
    </row>
    <row r="15" spans="1:10" ht="17" thickBot="1" x14ac:dyDescent="0.25">
      <c r="A15" s="2"/>
      <c r="B15" s="22"/>
      <c r="C15" s="34" t="s">
        <v>25</v>
      </c>
      <c r="D15" s="35" t="s">
        <v>0</v>
      </c>
      <c r="E15" s="37"/>
      <c r="F15" s="29">
        <f>12.63*10.4</f>
        <v>131.352</v>
      </c>
      <c r="G15" s="33"/>
      <c r="H15" s="29" t="s">
        <v>129</v>
      </c>
      <c r="I15" s="17"/>
      <c r="J15" s="2"/>
    </row>
    <row r="16" spans="1:10" ht="17" thickBot="1" x14ac:dyDescent="0.25">
      <c r="A16" s="2"/>
      <c r="B16" s="22"/>
      <c r="C16" s="34" t="s">
        <v>30</v>
      </c>
      <c r="D16" s="35" t="s">
        <v>0</v>
      </c>
      <c r="E16" s="37"/>
      <c r="F16" s="29">
        <v>0</v>
      </c>
      <c r="G16" s="33"/>
      <c r="H16" s="29" t="s">
        <v>127</v>
      </c>
      <c r="I16" s="17"/>
      <c r="J16" s="2"/>
    </row>
    <row r="17" spans="1:10" ht="17" thickBot="1" x14ac:dyDescent="0.25">
      <c r="A17" s="2"/>
      <c r="B17" s="22"/>
      <c r="C17" s="34" t="s">
        <v>128</v>
      </c>
      <c r="D17" s="38" t="s">
        <v>0</v>
      </c>
      <c r="E17" s="37"/>
      <c r="F17" s="28">
        <v>0</v>
      </c>
      <c r="G17" s="33"/>
      <c r="H17" s="29" t="s">
        <v>27</v>
      </c>
      <c r="I17" s="17"/>
      <c r="J17" s="2"/>
    </row>
    <row r="18" spans="1:10" ht="17" thickBot="1" x14ac:dyDescent="0.25">
      <c r="A18" s="2"/>
      <c r="B18" s="39"/>
      <c r="C18" s="40"/>
      <c r="D18" s="41"/>
      <c r="E18" s="42"/>
      <c r="F18" s="43"/>
      <c r="G18" s="44"/>
      <c r="H18" s="45"/>
      <c r="I18" s="46"/>
      <c r="J18" s="2"/>
    </row>
    <row r="19" spans="1:10" x14ac:dyDescent="0.2">
      <c r="A19" s="2"/>
      <c r="B19" s="47"/>
      <c r="C19" s="12"/>
      <c r="D19" s="13"/>
      <c r="E19" s="14"/>
      <c r="F19" s="15"/>
      <c r="G19" s="30"/>
      <c r="H19" s="16"/>
      <c r="I19" s="16"/>
      <c r="J19" s="2"/>
    </row>
    <row r="20" spans="1:10" ht="17" thickBo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4" t="s">
        <v>31</v>
      </c>
      <c r="C21" s="5"/>
      <c r="D21" s="6"/>
      <c r="E21" s="7"/>
      <c r="F21" s="8"/>
      <c r="G21" s="9"/>
      <c r="H21" s="9"/>
      <c r="I21" s="10"/>
      <c r="J21" s="2"/>
    </row>
    <row r="22" spans="1:10" x14ac:dyDescent="0.2">
      <c r="A22" s="2"/>
      <c r="B22" s="11"/>
      <c r="C22" s="12"/>
      <c r="D22" s="13"/>
      <c r="E22" s="14"/>
      <c r="F22" s="15"/>
      <c r="G22" s="16"/>
      <c r="H22" s="16"/>
      <c r="I22" s="17"/>
      <c r="J22" s="2"/>
    </row>
    <row r="23" spans="1:10" x14ac:dyDescent="0.2">
      <c r="A23" s="2"/>
      <c r="B23" s="18" t="s">
        <v>14</v>
      </c>
      <c r="C23" s="19"/>
      <c r="D23" s="19" t="s">
        <v>15</v>
      </c>
      <c r="E23" s="20" t="s">
        <v>16</v>
      </c>
      <c r="F23" s="19" t="s">
        <v>17</v>
      </c>
      <c r="G23" s="19"/>
      <c r="H23" s="19" t="s">
        <v>18</v>
      </c>
      <c r="I23" s="21"/>
      <c r="J23" s="2"/>
    </row>
    <row r="24" spans="1:10" x14ac:dyDescent="0.2">
      <c r="A24" s="2"/>
      <c r="B24" s="22"/>
      <c r="C24" s="12"/>
      <c r="D24" s="31"/>
      <c r="E24" s="14"/>
      <c r="F24" s="15"/>
      <c r="G24" s="30"/>
      <c r="H24" s="16"/>
      <c r="I24" s="17"/>
      <c r="J24" s="2"/>
    </row>
    <row r="25" spans="1:10" x14ac:dyDescent="0.2">
      <c r="A25" s="2"/>
      <c r="B25" s="22" t="s">
        <v>32</v>
      </c>
      <c r="C25" s="12"/>
      <c r="D25" s="31"/>
      <c r="E25" s="14"/>
      <c r="F25" s="49"/>
      <c r="G25" s="30"/>
      <c r="H25" s="16"/>
      <c r="I25" s="17"/>
      <c r="J25" s="2"/>
    </row>
    <row r="26" spans="1:10" ht="17" thickBot="1" x14ac:dyDescent="0.25">
      <c r="A26" s="2"/>
      <c r="B26" s="22"/>
      <c r="C26" s="14" t="s">
        <v>73</v>
      </c>
      <c r="D26" s="31"/>
      <c r="E26" s="14"/>
      <c r="F26" s="49"/>
      <c r="G26" s="30"/>
      <c r="H26" s="16"/>
      <c r="I26" s="17"/>
      <c r="J26" s="2"/>
    </row>
    <row r="27" spans="1:10" ht="17" thickBot="1" x14ac:dyDescent="0.25">
      <c r="A27" s="2"/>
      <c r="B27" s="22"/>
      <c r="C27" s="34" t="s">
        <v>33</v>
      </c>
      <c r="D27" s="16"/>
      <c r="E27" s="50">
        <v>6.0100000000000001E-2</v>
      </c>
      <c r="F27" s="51">
        <v>0.73393039562815521</v>
      </c>
      <c r="G27" s="30"/>
      <c r="H27" s="29" t="s">
        <v>70</v>
      </c>
      <c r="I27" s="17"/>
      <c r="J27" s="2"/>
    </row>
    <row r="28" spans="1:10" ht="17" thickBot="1" x14ac:dyDescent="0.25">
      <c r="A28" s="2"/>
      <c r="B28" s="22"/>
      <c r="C28" s="34" t="s">
        <v>34</v>
      </c>
      <c r="D28" s="16"/>
      <c r="E28" s="50">
        <v>2.4E-2</v>
      </c>
      <c r="F28" s="51">
        <v>0.26606960437184485</v>
      </c>
      <c r="G28" s="30"/>
      <c r="H28" s="29" t="s">
        <v>71</v>
      </c>
      <c r="I28" s="17"/>
      <c r="J28" s="2"/>
    </row>
    <row r="29" spans="1:10" x14ac:dyDescent="0.2">
      <c r="A29" s="2"/>
      <c r="B29" s="52"/>
      <c r="C29" s="53"/>
      <c r="D29" s="54"/>
      <c r="E29" s="55"/>
      <c r="F29" s="56"/>
      <c r="G29" s="57"/>
      <c r="H29" s="58"/>
      <c r="I29" s="59"/>
      <c r="J29" s="2"/>
    </row>
    <row r="30" spans="1:10" x14ac:dyDescent="0.2">
      <c r="A30" s="2"/>
      <c r="B30" s="88"/>
      <c r="C30" s="89"/>
      <c r="D30" s="90"/>
      <c r="E30" s="91"/>
      <c r="F30" s="92"/>
      <c r="G30" s="93"/>
      <c r="H30" s="66"/>
      <c r="I30" s="94"/>
      <c r="J30" s="2"/>
    </row>
    <row r="31" spans="1:10" x14ac:dyDescent="0.2">
      <c r="A31" s="2"/>
      <c r="B31" s="22" t="s">
        <v>35</v>
      </c>
      <c r="C31" s="12"/>
      <c r="D31" s="31"/>
      <c r="E31" s="14"/>
      <c r="F31" s="49"/>
      <c r="G31" s="30"/>
      <c r="H31" s="16"/>
      <c r="I31" s="17"/>
      <c r="J31" s="2"/>
    </row>
    <row r="32" spans="1:10" ht="17" thickBot="1" x14ac:dyDescent="0.25">
      <c r="A32" s="2"/>
      <c r="B32" s="22"/>
      <c r="C32" s="14" t="s">
        <v>37</v>
      </c>
      <c r="D32" s="31"/>
      <c r="E32" s="14"/>
      <c r="F32" s="49"/>
      <c r="G32" s="30"/>
      <c r="H32" s="16"/>
      <c r="I32" s="17"/>
      <c r="J32" s="2"/>
    </row>
    <row r="33" spans="1:10" ht="17" thickBot="1" x14ac:dyDescent="0.25">
      <c r="A33" s="2"/>
      <c r="B33" s="22"/>
      <c r="C33" s="34" t="s">
        <v>34</v>
      </c>
      <c r="D33" s="16"/>
      <c r="E33" s="50">
        <v>1</v>
      </c>
      <c r="F33" s="51">
        <f t="shared" ref="F33" si="0">E33</f>
        <v>1</v>
      </c>
      <c r="G33" s="30"/>
      <c r="H33" s="29" t="s">
        <v>75</v>
      </c>
      <c r="I33" s="17"/>
      <c r="J33" s="2"/>
    </row>
    <row r="34" spans="1:10" x14ac:dyDescent="0.2">
      <c r="A34" s="2"/>
      <c r="B34" s="52"/>
      <c r="C34" s="53"/>
      <c r="D34" s="54"/>
      <c r="E34" s="55"/>
      <c r="F34" s="56"/>
      <c r="G34" s="57"/>
      <c r="H34" s="58"/>
      <c r="I34" s="59"/>
      <c r="J34" s="2"/>
    </row>
    <row r="35" spans="1:10" x14ac:dyDescent="0.2">
      <c r="A35" s="2"/>
      <c r="B35" s="22"/>
      <c r="C35" s="12"/>
      <c r="D35" s="31"/>
      <c r="E35" s="14"/>
      <c r="F35" s="15"/>
      <c r="G35" s="30"/>
      <c r="H35" s="16"/>
      <c r="I35" s="17"/>
      <c r="J35" s="2"/>
    </row>
    <row r="36" spans="1:10" x14ac:dyDescent="0.2">
      <c r="A36" s="2"/>
      <c r="B36" s="22" t="s">
        <v>36</v>
      </c>
      <c r="C36" s="12"/>
      <c r="D36" s="31"/>
      <c r="E36" s="14"/>
      <c r="F36" s="49"/>
      <c r="G36" s="30"/>
      <c r="H36" s="16"/>
      <c r="I36" s="17"/>
      <c r="J36" s="2"/>
    </row>
    <row r="37" spans="1:10" ht="17" thickBot="1" x14ac:dyDescent="0.25">
      <c r="A37" s="2"/>
      <c r="B37" s="22"/>
      <c r="C37" s="14" t="s">
        <v>72</v>
      </c>
      <c r="D37" s="31"/>
      <c r="E37" s="14"/>
      <c r="F37" s="49"/>
      <c r="G37" s="30"/>
      <c r="H37" s="16"/>
      <c r="I37" s="17"/>
      <c r="J37" s="2"/>
    </row>
    <row r="38" spans="1:10" ht="17" thickBot="1" x14ac:dyDescent="0.25">
      <c r="A38" s="2"/>
      <c r="B38" s="22"/>
      <c r="C38" s="34" t="s">
        <v>38</v>
      </c>
      <c r="D38" s="16"/>
      <c r="E38" s="50">
        <v>5.9999999999999995E-4</v>
      </c>
      <c r="F38" s="51">
        <f>E38/SUM(E$38:E$39)</f>
        <v>6.0090135202804196E-4</v>
      </c>
      <c r="G38" s="30"/>
      <c r="H38" s="29" t="s">
        <v>75</v>
      </c>
      <c r="I38" s="17"/>
      <c r="J38" s="2"/>
    </row>
    <row r="39" spans="1:10" ht="17" thickBot="1" x14ac:dyDescent="0.25">
      <c r="A39" s="2"/>
      <c r="B39" s="22"/>
      <c r="C39" s="34" t="s">
        <v>67</v>
      </c>
      <c r="D39" s="16"/>
      <c r="E39" s="50">
        <v>0.99790000000000001</v>
      </c>
      <c r="F39" s="51">
        <f>E39/SUM(E$38:E$39)</f>
        <v>0.99939909864797194</v>
      </c>
      <c r="G39" s="30"/>
      <c r="H39" s="29" t="s">
        <v>75</v>
      </c>
      <c r="I39" s="17"/>
      <c r="J39" s="2"/>
    </row>
    <row r="40" spans="1:10" ht="17" thickBot="1" x14ac:dyDescent="0.25">
      <c r="A40" s="2"/>
      <c r="B40" s="22"/>
      <c r="C40" s="34" t="s">
        <v>30</v>
      </c>
      <c r="D40" s="16"/>
      <c r="E40" s="50">
        <f>1-E38-E39</f>
        <v>1.4999999999999458E-3</v>
      </c>
      <c r="F40" s="51">
        <f>E40/SUM(E$38:E$39)</f>
        <v>1.5022533800700508E-3</v>
      </c>
      <c r="G40" s="30"/>
      <c r="H40" s="29" t="s">
        <v>75</v>
      </c>
      <c r="I40" s="17"/>
      <c r="J40" s="2"/>
    </row>
    <row r="41" spans="1:10" x14ac:dyDescent="0.2">
      <c r="A41" s="2"/>
      <c r="B41" s="22"/>
      <c r="C41" s="2"/>
      <c r="D41" s="16"/>
      <c r="E41" s="50"/>
      <c r="F41" s="87"/>
      <c r="G41" s="30"/>
      <c r="H41" s="16"/>
      <c r="I41" s="17"/>
      <c r="J41" s="2"/>
    </row>
    <row r="42" spans="1:10" x14ac:dyDescent="0.2">
      <c r="A42" s="2"/>
      <c r="B42" s="88"/>
      <c r="C42" s="89"/>
      <c r="D42" s="90"/>
      <c r="E42" s="91"/>
      <c r="F42" s="92"/>
      <c r="G42" s="93"/>
      <c r="H42" s="66"/>
      <c r="I42" s="94"/>
      <c r="J42" s="2"/>
    </row>
    <row r="43" spans="1:10" x14ac:dyDescent="0.2">
      <c r="A43" s="2"/>
      <c r="B43" s="22" t="s">
        <v>69</v>
      </c>
      <c r="C43" s="12"/>
      <c r="D43" s="31"/>
      <c r="E43" s="14"/>
      <c r="F43" s="49"/>
      <c r="G43" s="30"/>
      <c r="H43" s="16"/>
      <c r="I43" s="17"/>
      <c r="J43" s="2"/>
    </row>
    <row r="44" spans="1:10" ht="17" thickBot="1" x14ac:dyDescent="0.25">
      <c r="A44" s="2"/>
      <c r="B44" s="22"/>
      <c r="C44" s="14" t="s">
        <v>74</v>
      </c>
      <c r="D44" s="31"/>
      <c r="E44" s="14"/>
      <c r="F44" s="49"/>
      <c r="G44" s="30"/>
      <c r="H44" s="16"/>
      <c r="I44" s="17"/>
      <c r="J44" s="2"/>
    </row>
    <row r="45" spans="1:10" ht="17" thickBot="1" x14ac:dyDescent="0.25">
      <c r="A45" s="2"/>
      <c r="B45" s="22"/>
      <c r="C45" s="34" t="s">
        <v>33</v>
      </c>
      <c r="D45" s="16"/>
      <c r="E45" s="50">
        <v>1</v>
      </c>
      <c r="F45" s="51">
        <f>E45</f>
        <v>1</v>
      </c>
      <c r="G45" s="30"/>
      <c r="H45" s="29" t="s">
        <v>75</v>
      </c>
      <c r="I45" s="17"/>
      <c r="J45" s="2"/>
    </row>
    <row r="46" spans="1:10" ht="17" thickBot="1" x14ac:dyDescent="0.25">
      <c r="A46" s="2"/>
      <c r="B46" s="22"/>
      <c r="C46" s="34" t="s">
        <v>34</v>
      </c>
      <c r="D46" s="16"/>
      <c r="E46" s="50">
        <v>0</v>
      </c>
      <c r="F46" s="51">
        <f t="shared" ref="F46" si="1">E46</f>
        <v>0</v>
      </c>
      <c r="G46" s="30"/>
      <c r="H46" s="29" t="s">
        <v>75</v>
      </c>
      <c r="I46" s="17"/>
      <c r="J46" s="2"/>
    </row>
    <row r="47" spans="1:10" x14ac:dyDescent="0.2">
      <c r="A47" s="2"/>
      <c r="B47" s="52"/>
      <c r="C47" s="53"/>
      <c r="D47" s="54"/>
      <c r="E47" s="55"/>
      <c r="F47" s="56"/>
      <c r="G47" s="57"/>
      <c r="H47" s="58"/>
      <c r="I47" s="59"/>
      <c r="J47" s="2"/>
    </row>
    <row r="48" spans="1:1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7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4" t="s">
        <v>105</v>
      </c>
      <c r="C50" s="5"/>
      <c r="D50" s="6"/>
      <c r="E50" s="7"/>
      <c r="F50" s="8"/>
      <c r="G50" s="9"/>
      <c r="H50" s="9"/>
      <c r="I50" s="10"/>
      <c r="J50" s="2"/>
    </row>
    <row r="51" spans="1:10" x14ac:dyDescent="0.2">
      <c r="A51" s="2"/>
      <c r="B51" s="11"/>
      <c r="C51" s="12"/>
      <c r="D51" s="13"/>
      <c r="E51" s="14"/>
      <c r="F51" s="15"/>
      <c r="G51" s="16"/>
      <c r="H51" s="16"/>
      <c r="I51" s="17"/>
      <c r="J51" s="2"/>
    </row>
    <row r="52" spans="1:10" x14ac:dyDescent="0.2">
      <c r="A52" s="2"/>
      <c r="B52" s="18" t="s">
        <v>106</v>
      </c>
      <c r="C52" s="19"/>
      <c r="D52" s="19" t="s">
        <v>15</v>
      </c>
      <c r="E52" s="20" t="s">
        <v>16</v>
      </c>
      <c r="F52" s="19" t="s">
        <v>17</v>
      </c>
      <c r="G52" s="19"/>
      <c r="H52" s="19" t="s">
        <v>18</v>
      </c>
      <c r="I52" s="21"/>
      <c r="J52" s="2"/>
    </row>
    <row r="53" spans="1:10" x14ac:dyDescent="0.2">
      <c r="A53" s="2"/>
      <c r="B53" s="22"/>
      <c r="C53" s="12"/>
      <c r="D53" s="31"/>
      <c r="E53" s="14"/>
      <c r="F53" s="15"/>
      <c r="G53" s="30"/>
      <c r="H53" s="16"/>
      <c r="I53" s="17"/>
      <c r="J53" s="2"/>
    </row>
    <row r="54" spans="1:10" ht="17" thickBot="1" x14ac:dyDescent="0.25">
      <c r="A54" s="2"/>
      <c r="B54" s="22" t="s">
        <v>68</v>
      </c>
      <c r="C54" s="12"/>
      <c r="D54" s="31"/>
      <c r="E54" s="14"/>
      <c r="F54" s="49"/>
      <c r="G54" s="30"/>
      <c r="H54" s="16"/>
      <c r="I54" s="17"/>
      <c r="J54" s="2"/>
    </row>
    <row r="55" spans="1:10" ht="17" thickBot="1" x14ac:dyDescent="0.25">
      <c r="A55" s="2"/>
      <c r="B55" s="22"/>
      <c r="C55" s="34" t="s">
        <v>107</v>
      </c>
      <c r="D55" s="31"/>
      <c r="E55" s="50"/>
      <c r="F55" s="147">
        <v>0.43</v>
      </c>
      <c r="G55" s="30"/>
      <c r="H55" s="29" t="s">
        <v>113</v>
      </c>
      <c r="I55" s="17"/>
      <c r="J55" s="2"/>
    </row>
    <row r="56" spans="1:10" ht="17" thickBot="1" x14ac:dyDescent="0.25">
      <c r="A56" s="2"/>
      <c r="B56" s="22"/>
      <c r="C56" s="34" t="s">
        <v>108</v>
      </c>
      <c r="D56" s="16"/>
      <c r="E56" s="50"/>
      <c r="F56" s="147">
        <v>0.47</v>
      </c>
      <c r="G56" s="30"/>
      <c r="H56" s="29" t="s">
        <v>113</v>
      </c>
      <c r="I56" s="17"/>
      <c r="J56" s="2"/>
    </row>
    <row r="57" spans="1:10" ht="17" thickBot="1" x14ac:dyDescent="0.25">
      <c r="A57" s="2"/>
      <c r="B57" s="22"/>
      <c r="C57" s="34" t="s">
        <v>109</v>
      </c>
      <c r="D57" s="16" t="s">
        <v>112</v>
      </c>
      <c r="E57" s="146"/>
      <c r="F57" s="148">
        <v>2</v>
      </c>
      <c r="G57" s="30"/>
      <c r="H57" s="29" t="s">
        <v>113</v>
      </c>
      <c r="I57" s="17"/>
      <c r="J57" s="2"/>
    </row>
    <row r="58" spans="1:10" ht="17" thickBot="1" x14ac:dyDescent="0.25">
      <c r="A58" s="2"/>
      <c r="B58" s="22"/>
      <c r="C58" s="34" t="s">
        <v>110</v>
      </c>
      <c r="D58" s="16" t="s">
        <v>111</v>
      </c>
      <c r="E58" s="146"/>
      <c r="F58" s="148">
        <v>3600</v>
      </c>
      <c r="G58" s="30"/>
      <c r="H58" s="29" t="s">
        <v>113</v>
      </c>
      <c r="I58" s="17"/>
      <c r="J58" s="2"/>
    </row>
    <row r="59" spans="1:10" ht="17" thickBot="1" x14ac:dyDescent="0.25">
      <c r="A59" s="2"/>
      <c r="B59" s="22"/>
      <c r="C59" s="34" t="s">
        <v>123</v>
      </c>
      <c r="D59" s="16" t="s">
        <v>0</v>
      </c>
      <c r="E59" s="146"/>
      <c r="F59" s="163">
        <f>F57/F55*3600*F58*10^-6</f>
        <v>60.279069767441868</v>
      </c>
      <c r="G59" s="30"/>
      <c r="H59" s="29" t="s">
        <v>113</v>
      </c>
      <c r="I59" s="17"/>
      <c r="J59" s="2"/>
    </row>
    <row r="60" spans="1:10" x14ac:dyDescent="0.2">
      <c r="A60" s="2"/>
      <c r="B60" s="52"/>
      <c r="C60" s="53"/>
      <c r="D60" s="54"/>
      <c r="E60" s="55"/>
      <c r="F60" s="56"/>
      <c r="G60" s="57"/>
      <c r="H60" s="58"/>
      <c r="I60" s="59"/>
      <c r="J60" s="2"/>
    </row>
    <row r="61" spans="1:10" x14ac:dyDescent="0.2">
      <c r="A61" s="2"/>
      <c r="B61" s="22"/>
      <c r="C61" s="12"/>
      <c r="D61" s="31"/>
      <c r="E61" s="14"/>
      <c r="F61" s="15"/>
      <c r="G61" s="30"/>
      <c r="H61" s="16"/>
      <c r="I61" s="17"/>
      <c r="J61" s="2"/>
    </row>
    <row r="62" spans="1:10" ht="17" thickBot="1" x14ac:dyDescent="0.25">
      <c r="A62" s="2"/>
      <c r="B62" s="22" t="s">
        <v>28</v>
      </c>
      <c r="C62" s="12"/>
      <c r="D62" s="31"/>
      <c r="E62" s="14"/>
      <c r="F62" s="49"/>
      <c r="G62" s="30"/>
      <c r="H62" s="16"/>
      <c r="I62" s="17"/>
      <c r="J62" s="2"/>
    </row>
    <row r="63" spans="1:10" ht="17" thickBot="1" x14ac:dyDescent="0.25">
      <c r="A63" s="2"/>
      <c r="B63" s="22"/>
      <c r="C63" s="34" t="s">
        <v>107</v>
      </c>
      <c r="D63" s="31"/>
      <c r="E63" s="50"/>
      <c r="F63" s="147">
        <v>0.42</v>
      </c>
      <c r="G63" s="30"/>
      <c r="H63" s="29" t="s">
        <v>113</v>
      </c>
      <c r="I63" s="17"/>
      <c r="J63" s="2"/>
    </row>
    <row r="64" spans="1:10" ht="17" thickBot="1" x14ac:dyDescent="0.25">
      <c r="A64" s="2"/>
      <c r="B64" s="22"/>
      <c r="C64" s="34" t="s">
        <v>108</v>
      </c>
      <c r="D64" s="16"/>
      <c r="E64" s="50"/>
      <c r="F64" s="147">
        <v>0.35</v>
      </c>
      <c r="G64" s="30"/>
      <c r="H64" s="29" t="s">
        <v>113</v>
      </c>
      <c r="I64" s="17"/>
      <c r="J64" s="2"/>
    </row>
    <row r="65" spans="1:10" ht="17" thickBot="1" x14ac:dyDescent="0.25">
      <c r="A65" s="2"/>
      <c r="B65" s="22"/>
      <c r="C65" s="34" t="s">
        <v>109</v>
      </c>
      <c r="D65" s="16" t="s">
        <v>112</v>
      </c>
      <c r="E65" s="146"/>
      <c r="F65" s="148">
        <v>1</v>
      </c>
      <c r="G65" s="30"/>
      <c r="H65" s="29" t="s">
        <v>113</v>
      </c>
      <c r="I65" s="17"/>
      <c r="J65" s="2"/>
    </row>
    <row r="66" spans="1:10" ht="17" thickBot="1" x14ac:dyDescent="0.25">
      <c r="A66" s="2"/>
      <c r="B66" s="22"/>
      <c r="C66" s="34" t="s">
        <v>110</v>
      </c>
      <c r="D66" s="16" t="s">
        <v>111</v>
      </c>
      <c r="E66" s="146"/>
      <c r="F66" s="148">
        <v>8000</v>
      </c>
      <c r="G66" s="30"/>
      <c r="H66" s="29" t="s">
        <v>113</v>
      </c>
      <c r="I66" s="17"/>
      <c r="J66" s="2"/>
    </row>
    <row r="67" spans="1:10" ht="17" thickBot="1" x14ac:dyDescent="0.25">
      <c r="A67" s="2"/>
      <c r="B67" s="22"/>
      <c r="C67" s="34" t="s">
        <v>123</v>
      </c>
      <c r="D67" s="16" t="s">
        <v>0</v>
      </c>
      <c r="E67" s="146"/>
      <c r="F67" s="163">
        <f>F65/F63*3600*F66*10^-6</f>
        <v>68.571428571428569</v>
      </c>
      <c r="G67" s="30"/>
      <c r="H67" s="29" t="s">
        <v>113</v>
      </c>
      <c r="I67" s="17"/>
      <c r="J67" s="2"/>
    </row>
    <row r="68" spans="1:10" x14ac:dyDescent="0.2">
      <c r="A68" s="2"/>
      <c r="B68" s="52"/>
      <c r="C68" s="53"/>
      <c r="D68" s="54"/>
      <c r="E68" s="55"/>
      <c r="F68" s="56"/>
      <c r="G68" s="57"/>
      <c r="H68" s="58"/>
      <c r="I68" s="59"/>
      <c r="J68" s="2"/>
    </row>
    <row r="69" spans="1:10" x14ac:dyDescent="0.2">
      <c r="A69" s="2"/>
      <c r="B69" s="22"/>
      <c r="C69" s="12"/>
      <c r="D69" s="31"/>
      <c r="E69" s="14"/>
      <c r="F69" s="15"/>
      <c r="G69" s="30"/>
      <c r="H69" s="16"/>
      <c r="I69" s="17"/>
      <c r="J69" s="2"/>
    </row>
    <row r="70" spans="1:10" ht="17" thickBot="1" x14ac:dyDescent="0.25">
      <c r="A70" s="2"/>
      <c r="B70" s="22" t="s">
        <v>25</v>
      </c>
      <c r="C70" s="12"/>
      <c r="D70" s="31"/>
      <c r="E70" s="14"/>
      <c r="F70" s="49"/>
      <c r="G70" s="30"/>
      <c r="H70" s="16"/>
      <c r="I70" s="17"/>
      <c r="J70" s="2"/>
    </row>
    <row r="71" spans="1:10" ht="17" thickBot="1" x14ac:dyDescent="0.25">
      <c r="A71" s="2"/>
      <c r="B71" s="22"/>
      <c r="C71" s="34" t="s">
        <v>107</v>
      </c>
      <c r="D71" s="31"/>
      <c r="E71" s="50"/>
      <c r="F71" s="147">
        <v>0.2</v>
      </c>
      <c r="G71" s="30"/>
      <c r="H71" s="29" t="s">
        <v>113</v>
      </c>
      <c r="I71" s="17"/>
      <c r="J71" s="2"/>
    </row>
    <row r="72" spans="1:10" ht="17" thickBot="1" x14ac:dyDescent="0.25">
      <c r="A72" s="2"/>
      <c r="B72" s="22"/>
      <c r="C72" s="34" t="s">
        <v>108</v>
      </c>
      <c r="D72" s="16"/>
      <c r="E72" s="50"/>
      <c r="F72" s="147">
        <v>0.85</v>
      </c>
      <c r="G72" s="30"/>
      <c r="H72" s="29" t="s">
        <v>113</v>
      </c>
      <c r="I72" s="17"/>
      <c r="J72" s="2"/>
    </row>
    <row r="73" spans="1:10" ht="17" thickBot="1" x14ac:dyDescent="0.25">
      <c r="A73" s="2"/>
      <c r="B73" s="22"/>
      <c r="C73" s="34" t="s">
        <v>109</v>
      </c>
      <c r="D73" s="16" t="s">
        <v>112</v>
      </c>
      <c r="E73" s="146"/>
      <c r="F73" s="149">
        <v>1.5</v>
      </c>
      <c r="G73" s="30"/>
      <c r="H73" s="29" t="s">
        <v>113</v>
      </c>
      <c r="I73" s="17"/>
      <c r="J73" s="2"/>
    </row>
    <row r="74" spans="1:10" ht="17" thickBot="1" x14ac:dyDescent="0.25">
      <c r="A74" s="2"/>
      <c r="B74" s="22"/>
      <c r="C74" s="34" t="s">
        <v>110</v>
      </c>
      <c r="D74" s="16" t="s">
        <v>111</v>
      </c>
      <c r="E74" s="146"/>
      <c r="F74" s="148">
        <v>6000</v>
      </c>
      <c r="G74" s="30"/>
      <c r="H74" s="29" t="s">
        <v>113</v>
      </c>
      <c r="I74" s="17"/>
      <c r="J74" s="2"/>
    </row>
    <row r="75" spans="1:10" ht="17" thickBot="1" x14ac:dyDescent="0.25">
      <c r="A75" s="2"/>
      <c r="B75" s="22"/>
      <c r="C75" s="34" t="s">
        <v>123</v>
      </c>
      <c r="D75" s="16" t="s">
        <v>0</v>
      </c>
      <c r="E75" s="146"/>
      <c r="F75" s="163">
        <f>F73/F71*3600*F74*10^-6</f>
        <v>162</v>
      </c>
      <c r="G75" s="30"/>
      <c r="H75" s="29" t="s">
        <v>113</v>
      </c>
      <c r="I75" s="17"/>
      <c r="J75" s="2"/>
    </row>
    <row r="76" spans="1:10" x14ac:dyDescent="0.2">
      <c r="A76" s="2"/>
      <c r="B76" s="52"/>
      <c r="C76" s="53"/>
      <c r="D76" s="54"/>
      <c r="E76" s="55"/>
      <c r="F76" s="56"/>
      <c r="G76" s="57"/>
      <c r="H76" s="58"/>
      <c r="I76" s="59"/>
      <c r="J76" s="2"/>
    </row>
    <row r="77" spans="1:10" ht="17" thickBot="1" x14ac:dyDescent="0.25">
      <c r="A77" s="2"/>
      <c r="B77" s="95"/>
      <c r="C77" s="45"/>
      <c r="D77" s="45"/>
      <c r="E77" s="45"/>
      <c r="F77" s="45"/>
      <c r="G77" s="45"/>
      <c r="H77" s="45"/>
      <c r="I77" s="46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</sheetData>
  <dataValidations count="2">
    <dataValidation type="decimal" operator="greaterThanOrEqual" allowBlank="1" showInputMessage="1" showErrorMessage="1" errorTitle="Number Range" error="You may only enter positive numbers here. " sqref="F11:F17">
      <formula1>0</formula1>
    </dataValidation>
    <dataValidation type="decimal" operator="greaterThanOrEqual" showInputMessage="1" showErrorMessage="1" errorTitle="Number Range" error="You may only add positive numbers. _x000d_" sqref="F45:F47 F60 F38:F41 F27:F29 F68 F76 F33:F3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39997558519241921"/>
  </sheetPr>
  <dimension ref="A1:T49"/>
  <sheetViews>
    <sheetView topLeftCell="D2" workbookViewId="0">
      <selection activeCell="O32" sqref="O32"/>
    </sheetView>
  </sheetViews>
  <sheetFormatPr baseColWidth="10" defaultRowHeight="16" x14ac:dyDescent="0.2"/>
  <cols>
    <col min="2" max="2" width="24.1640625" customWidth="1"/>
    <col min="3" max="3" width="63" customWidth="1"/>
    <col min="4" max="4" width="20.1640625" customWidth="1"/>
    <col min="5" max="5" width="22.5" customWidth="1"/>
    <col min="6" max="10" width="20.1640625" customWidth="1"/>
    <col min="11" max="11" width="11.6640625" customWidth="1"/>
    <col min="12" max="12" width="13" customWidth="1"/>
    <col min="13" max="13" width="17" bestFit="1" customWidth="1"/>
    <col min="14" max="14" width="15.1640625" customWidth="1"/>
    <col min="15" max="15" width="24" bestFit="1" customWidth="1"/>
    <col min="16" max="16" width="53.83203125" bestFit="1" customWidth="1"/>
    <col min="17" max="17" width="21.1640625" bestFit="1" customWidth="1"/>
    <col min="18" max="18" width="8.1640625" bestFit="1" customWidth="1"/>
    <col min="19" max="19" width="11.1640625" bestFit="1" customWidth="1"/>
    <col min="20" max="20" width="7.1640625" bestFit="1" customWidth="1"/>
  </cols>
  <sheetData>
    <row r="1" spans="1:20" ht="21" x14ac:dyDescent="0.25">
      <c r="A1" s="2"/>
      <c r="B1" s="145" t="s">
        <v>96</v>
      </c>
      <c r="C1" s="16"/>
      <c r="D1" s="16"/>
      <c r="E1" s="16"/>
      <c r="F1" s="16"/>
      <c r="G1" s="16"/>
      <c r="H1" s="16"/>
      <c r="I1" s="16"/>
      <c r="J1" s="16"/>
      <c r="K1" s="16"/>
      <c r="L1" s="2"/>
      <c r="M1" s="2"/>
      <c r="N1" s="2"/>
      <c r="O1" s="16"/>
      <c r="P1" s="2"/>
      <c r="Q1" s="2"/>
      <c r="R1" s="2"/>
      <c r="S1" s="2"/>
      <c r="T1" s="2"/>
    </row>
    <row r="2" spans="1:20" x14ac:dyDescent="0.2">
      <c r="A2" s="2"/>
      <c r="B2" s="2"/>
      <c r="C2" s="2"/>
      <c r="D2" s="16"/>
      <c r="E2" s="16"/>
      <c r="F2" s="16"/>
      <c r="G2" s="16"/>
      <c r="H2" s="16"/>
      <c r="I2" s="16"/>
      <c r="J2" s="16"/>
      <c r="K2" s="16"/>
      <c r="L2" s="2"/>
      <c r="M2" s="2"/>
      <c r="N2" s="2"/>
      <c r="O2" s="16"/>
      <c r="P2" s="2"/>
      <c r="Q2" s="2"/>
      <c r="R2" s="2"/>
      <c r="S2" s="2"/>
      <c r="T2" s="2"/>
    </row>
    <row r="3" spans="1:20" x14ac:dyDescent="0.2">
      <c r="A3" s="2"/>
      <c r="B3" s="67" t="s">
        <v>98</v>
      </c>
      <c r="C3" s="66"/>
      <c r="D3" s="66"/>
      <c r="E3" s="66"/>
      <c r="F3" s="16"/>
      <c r="G3" s="16"/>
      <c r="H3" s="16"/>
      <c r="I3" s="16"/>
      <c r="J3" s="16"/>
      <c r="K3" s="16"/>
      <c r="L3" s="2"/>
      <c r="M3" s="2"/>
      <c r="N3" s="2"/>
      <c r="O3" s="16"/>
      <c r="P3" s="2"/>
      <c r="Q3" s="2"/>
      <c r="R3" s="2"/>
      <c r="S3" s="2"/>
      <c r="T3" s="2"/>
    </row>
    <row r="4" spans="1:20" ht="78" customHeight="1" x14ac:dyDescent="0.2">
      <c r="A4" s="2"/>
      <c r="B4" s="165" t="s">
        <v>97</v>
      </c>
      <c r="C4" s="166"/>
      <c r="D4" s="144"/>
      <c r="E4" s="144"/>
      <c r="F4" s="16"/>
      <c r="G4" s="16"/>
      <c r="H4" s="16"/>
      <c r="I4" s="16"/>
      <c r="J4" s="16"/>
      <c r="K4" s="16"/>
      <c r="L4" s="2"/>
      <c r="M4" s="2"/>
      <c r="N4" s="2"/>
      <c r="O4" s="143"/>
      <c r="P4" s="2"/>
      <c r="Q4" s="2"/>
      <c r="R4" s="16"/>
      <c r="S4" s="2"/>
      <c r="T4" s="2"/>
    </row>
    <row r="5" spans="1:20" ht="17" thickBot="1" x14ac:dyDescent="0.25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2"/>
      <c r="M5" s="2"/>
      <c r="N5" s="2"/>
      <c r="O5" s="16"/>
      <c r="P5" s="2"/>
      <c r="Q5" s="2"/>
      <c r="R5" s="16"/>
      <c r="S5" s="2"/>
      <c r="T5" s="2"/>
    </row>
    <row r="6" spans="1:20" x14ac:dyDescent="0.2">
      <c r="A6" s="2"/>
      <c r="B6" s="4" t="s">
        <v>96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/>
      <c r="O6" s="16"/>
      <c r="P6" s="2"/>
      <c r="Q6" s="2"/>
      <c r="R6" s="125"/>
      <c r="S6" s="2"/>
      <c r="T6" s="2"/>
    </row>
    <row r="7" spans="1:20" x14ac:dyDescent="0.2">
      <c r="A7" s="2"/>
      <c r="B7" s="142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  <c r="O7" s="16"/>
      <c r="P7" s="2"/>
      <c r="Q7" s="2"/>
      <c r="R7" s="125"/>
      <c r="S7" s="2"/>
      <c r="T7" s="2"/>
    </row>
    <row r="8" spans="1:20" ht="48" x14ac:dyDescent="0.2">
      <c r="A8" s="2"/>
      <c r="B8" s="129" t="s">
        <v>95</v>
      </c>
      <c r="C8" s="140" t="s">
        <v>94</v>
      </c>
      <c r="D8" s="140" t="s">
        <v>93</v>
      </c>
      <c r="E8" s="140" t="s">
        <v>92</v>
      </c>
      <c r="F8" s="140" t="s">
        <v>99</v>
      </c>
      <c r="G8" s="140" t="s">
        <v>91</v>
      </c>
      <c r="H8" s="140" t="s">
        <v>100</v>
      </c>
      <c r="I8" s="140" t="s">
        <v>101</v>
      </c>
      <c r="J8" s="140" t="s">
        <v>90</v>
      </c>
      <c r="K8" s="141" t="s">
        <v>89</v>
      </c>
      <c r="L8" s="140" t="s">
        <v>88</v>
      </c>
      <c r="M8" s="139" t="s">
        <v>87</v>
      </c>
      <c r="N8" s="138" t="s">
        <v>86</v>
      </c>
      <c r="O8" s="140" t="s">
        <v>85</v>
      </c>
      <c r="P8" s="2"/>
      <c r="Q8" s="2"/>
      <c r="R8" s="137"/>
      <c r="S8" s="2"/>
      <c r="T8" s="2"/>
    </row>
    <row r="9" spans="1:20" x14ac:dyDescent="0.2">
      <c r="A9" s="2"/>
      <c r="B9" s="108"/>
      <c r="C9" s="136"/>
      <c r="D9" s="16"/>
      <c r="E9" s="16"/>
      <c r="F9" s="16"/>
      <c r="G9" s="16"/>
      <c r="H9" s="16"/>
      <c r="I9" s="16"/>
      <c r="J9" s="16"/>
      <c r="K9" s="135"/>
      <c r="L9" s="16"/>
      <c r="M9" s="16"/>
      <c r="N9" s="17"/>
      <c r="O9" s="16"/>
      <c r="P9" s="2"/>
      <c r="Q9" s="2"/>
      <c r="R9" s="16"/>
      <c r="S9" s="2"/>
      <c r="T9" s="2"/>
    </row>
    <row r="10" spans="1:20" x14ac:dyDescent="0.2">
      <c r="A10" s="2"/>
      <c r="B10" s="11"/>
      <c r="C10" s="16"/>
      <c r="D10" s="16"/>
      <c r="E10" s="16"/>
      <c r="F10" s="16"/>
      <c r="G10" s="16"/>
      <c r="H10" s="16"/>
      <c r="I10" s="16"/>
      <c r="J10" s="16"/>
      <c r="K10" s="134"/>
      <c r="L10" s="12"/>
      <c r="M10" s="12"/>
      <c r="N10" s="133"/>
      <c r="O10" s="16"/>
      <c r="P10" s="118"/>
      <c r="Q10" s="12"/>
      <c r="R10" s="12"/>
      <c r="S10" s="118"/>
      <c r="T10" s="118"/>
    </row>
    <row r="11" spans="1:20" x14ac:dyDescent="0.2">
      <c r="A11" s="2"/>
      <c r="B11" s="115"/>
      <c r="C11" s="130"/>
      <c r="D11" s="132">
        <f>Dashboard!F12*31.65/10^6</f>
        <v>3975.4931999999999</v>
      </c>
      <c r="E11" s="132">
        <f>Dashboard!F11*0.0000036</f>
        <v>752.07240000000002</v>
      </c>
      <c r="F11" s="132">
        <f>Dashboard!F13</f>
        <v>632.2285714285714</v>
      </c>
      <c r="G11" s="132">
        <f>Dashboard!F14</f>
        <v>0</v>
      </c>
      <c r="H11" s="132">
        <f>Dashboard!F15</f>
        <v>131.352</v>
      </c>
      <c r="I11" s="132">
        <f>Dashboard!F16</f>
        <v>0</v>
      </c>
      <c r="J11" s="132">
        <f>Dashboard!F17</f>
        <v>0</v>
      </c>
      <c r="K11" s="131"/>
      <c r="L11" s="16"/>
      <c r="M11" s="16"/>
      <c r="N11" s="17"/>
      <c r="O11" s="130"/>
      <c r="P11" s="2"/>
      <c r="Q11" s="16"/>
      <c r="R11" s="16"/>
      <c r="S11" s="2"/>
      <c r="T11" s="2"/>
    </row>
    <row r="12" spans="1:20" x14ac:dyDescent="0.2">
      <c r="A12" s="2"/>
      <c r="B12" s="129"/>
      <c r="C12" s="58"/>
      <c r="D12" s="121"/>
      <c r="E12" s="121"/>
      <c r="F12" s="121"/>
      <c r="G12" s="121"/>
      <c r="H12" s="121"/>
      <c r="I12" s="121"/>
      <c r="J12" s="121"/>
      <c r="K12" s="100"/>
      <c r="L12" s="16"/>
      <c r="M12" s="16"/>
      <c r="N12" s="17"/>
      <c r="O12" s="58"/>
      <c r="P12" s="2"/>
      <c r="Q12" s="16"/>
      <c r="R12" s="16"/>
      <c r="S12" s="2"/>
      <c r="T12" s="2"/>
    </row>
    <row r="13" spans="1:20" x14ac:dyDescent="0.2">
      <c r="A13" s="2"/>
      <c r="B13" s="109" t="s">
        <v>102</v>
      </c>
      <c r="C13" s="16"/>
      <c r="D13" s="106"/>
      <c r="E13" s="106"/>
      <c r="F13" s="106"/>
      <c r="G13" s="106"/>
      <c r="H13" s="106"/>
      <c r="I13" s="106"/>
      <c r="J13" s="106"/>
      <c r="K13" s="100"/>
      <c r="L13" s="16"/>
      <c r="M13" s="16"/>
      <c r="N13" s="17"/>
      <c r="O13" s="16"/>
      <c r="P13" s="2"/>
      <c r="Q13" s="16"/>
      <c r="R13" s="16"/>
      <c r="S13" s="2"/>
      <c r="T13" s="2"/>
    </row>
    <row r="14" spans="1:20" x14ac:dyDescent="0.2">
      <c r="A14" s="2"/>
      <c r="B14" s="108"/>
      <c r="C14" s="107" t="s">
        <v>103</v>
      </c>
      <c r="D14" s="153">
        <f>D11*Dashboard!F28</f>
        <v>1057.7579029069595</v>
      </c>
      <c r="E14" s="153"/>
      <c r="F14" s="153">
        <f>F11*Dashboard!F33</f>
        <v>632.2285714285714</v>
      </c>
      <c r="G14" s="153"/>
      <c r="H14" s="153">
        <f>H11*Dashboard!F46</f>
        <v>0</v>
      </c>
      <c r="I14" s="153"/>
      <c r="J14" s="154"/>
      <c r="K14" s="100"/>
      <c r="L14" s="16"/>
      <c r="M14" s="16"/>
      <c r="N14" s="17"/>
      <c r="O14" s="16"/>
      <c r="P14" s="2"/>
      <c r="Q14" s="16"/>
      <c r="R14" s="16"/>
      <c r="S14" s="2"/>
      <c r="T14" s="2"/>
    </row>
    <row r="15" spans="1:20" x14ac:dyDescent="0.2">
      <c r="A15" s="2"/>
      <c r="B15" s="108"/>
      <c r="C15" s="107"/>
      <c r="D15" s="155"/>
      <c r="E15" s="155"/>
      <c r="F15" s="155"/>
      <c r="G15" s="155"/>
      <c r="H15" s="155"/>
      <c r="I15" s="155"/>
      <c r="J15" s="156"/>
      <c r="K15" s="100"/>
      <c r="L15" s="16"/>
      <c r="M15" s="16"/>
      <c r="N15" s="17"/>
      <c r="O15" s="16"/>
      <c r="P15" s="2"/>
      <c r="Q15" s="16"/>
      <c r="R15" s="16"/>
      <c r="S15" s="2"/>
      <c r="T15" s="2"/>
    </row>
    <row r="16" spans="1:20" x14ac:dyDescent="0.2">
      <c r="A16" s="2"/>
      <c r="B16" s="108"/>
      <c r="C16" s="107" t="s">
        <v>118</v>
      </c>
      <c r="D16" s="157"/>
      <c r="E16" s="157">
        <f>D14*Dashboard!F55+F14*Dashboard!F63+H14*Dashboard!F71</f>
        <v>720.37189824999268</v>
      </c>
      <c r="F16" s="157"/>
      <c r="G16" s="157"/>
      <c r="H16" s="157"/>
      <c r="I16" s="157"/>
      <c r="J16" s="158">
        <f>D14*Dashboard!F56+F14*Dashboard!F64+H14*Dashboard!F72</f>
        <v>718.42621436627087</v>
      </c>
      <c r="K16" s="100"/>
      <c r="L16" s="16"/>
      <c r="M16" s="16"/>
      <c r="N16" s="17"/>
      <c r="O16" s="16"/>
      <c r="P16" s="2"/>
      <c r="Q16" s="16"/>
      <c r="R16" s="16"/>
      <c r="S16" s="2"/>
      <c r="T16" s="2"/>
    </row>
    <row r="17" spans="1:20" x14ac:dyDescent="0.2">
      <c r="A17" s="2"/>
      <c r="B17" s="108"/>
      <c r="C17" s="130"/>
      <c r="D17" s="16"/>
      <c r="E17" s="16"/>
      <c r="F17" s="16"/>
      <c r="G17" s="16"/>
      <c r="H17" s="16"/>
      <c r="I17" s="16"/>
      <c r="J17" s="16"/>
      <c r="K17" s="135"/>
      <c r="L17" s="16"/>
      <c r="M17" s="16"/>
      <c r="N17" s="17"/>
      <c r="O17" s="16"/>
      <c r="P17" s="2"/>
      <c r="Q17" s="2"/>
      <c r="R17" s="16"/>
      <c r="S17" s="2"/>
      <c r="T17" s="2"/>
    </row>
    <row r="18" spans="1:20" x14ac:dyDescent="0.2">
      <c r="A18" s="2"/>
      <c r="B18" s="88" t="s">
        <v>122</v>
      </c>
      <c r="C18" s="66"/>
      <c r="D18" s="159"/>
      <c r="E18" s="159"/>
      <c r="F18" s="159"/>
      <c r="G18" s="159"/>
      <c r="H18" s="159"/>
      <c r="I18" s="159"/>
      <c r="J18" s="159"/>
      <c r="K18" s="134"/>
      <c r="L18" s="12"/>
      <c r="M18" s="12"/>
      <c r="N18" s="133"/>
      <c r="O18" s="16"/>
      <c r="P18" s="118"/>
      <c r="Q18" s="12"/>
      <c r="R18" s="12"/>
      <c r="S18" s="118"/>
      <c r="T18" s="118"/>
    </row>
    <row r="19" spans="1:20" x14ac:dyDescent="0.2">
      <c r="A19" s="2"/>
      <c r="B19" s="115"/>
      <c r="C19" s="130"/>
      <c r="D19" s="162">
        <f>D14/Dashboard!F59</f>
        <v>17.547681259644776</v>
      </c>
      <c r="E19" s="132"/>
      <c r="F19" s="132">
        <f>F14/Dashboard!F67</f>
        <v>9.2200000000000006</v>
      </c>
      <c r="G19" s="132"/>
      <c r="H19" s="132">
        <f>H14/Dashboard!F75</f>
        <v>0</v>
      </c>
      <c r="I19" s="132"/>
      <c r="J19" s="132"/>
      <c r="K19" s="131"/>
      <c r="L19" s="16"/>
      <c r="M19" s="16"/>
      <c r="N19" s="17"/>
      <c r="O19" s="130"/>
      <c r="P19" s="2"/>
      <c r="Q19" s="16"/>
      <c r="R19" s="16"/>
      <c r="S19" s="2"/>
      <c r="T19" s="2"/>
    </row>
    <row r="20" spans="1:20" x14ac:dyDescent="0.2">
      <c r="A20" s="2"/>
      <c r="B20" s="129"/>
      <c r="C20" s="58"/>
      <c r="D20" s="121"/>
      <c r="E20" s="121"/>
      <c r="F20" s="121"/>
      <c r="G20" s="121"/>
      <c r="H20" s="121"/>
      <c r="I20" s="121"/>
      <c r="J20" s="121"/>
      <c r="K20" s="100"/>
      <c r="L20" s="16"/>
      <c r="M20" s="16"/>
      <c r="N20" s="17"/>
      <c r="O20" s="58"/>
      <c r="P20" s="2"/>
      <c r="Q20" s="16"/>
      <c r="R20" s="16"/>
      <c r="S20" s="2"/>
      <c r="T20" s="2"/>
    </row>
    <row r="21" spans="1:20" x14ac:dyDescent="0.2">
      <c r="A21" s="2"/>
      <c r="B21" s="88" t="s">
        <v>104</v>
      </c>
      <c r="C21" s="66"/>
      <c r="D21" s="159">
        <f t="shared" ref="D21:J21" si="0">D11-D14+D16</f>
        <v>2917.7352970930406</v>
      </c>
      <c r="E21" s="159">
        <f t="shared" si="0"/>
        <v>1472.4442982499927</v>
      </c>
      <c r="F21" s="159">
        <f t="shared" si="0"/>
        <v>0</v>
      </c>
      <c r="G21" s="159">
        <f t="shared" si="0"/>
        <v>0</v>
      </c>
      <c r="H21" s="159">
        <f t="shared" si="0"/>
        <v>131.352</v>
      </c>
      <c r="I21" s="159">
        <f t="shared" si="0"/>
        <v>0</v>
      </c>
      <c r="J21" s="159">
        <f t="shared" si="0"/>
        <v>718.42621436627087</v>
      </c>
      <c r="K21" s="134"/>
      <c r="L21" s="12"/>
      <c r="M21" s="12"/>
      <c r="N21" s="133"/>
      <c r="O21" s="16"/>
      <c r="P21" s="118"/>
      <c r="Q21" s="12"/>
      <c r="R21" s="12"/>
      <c r="S21" s="118"/>
      <c r="T21" s="118"/>
    </row>
    <row r="22" spans="1:20" x14ac:dyDescent="0.2">
      <c r="A22" s="2"/>
      <c r="B22" s="115"/>
      <c r="C22" s="130"/>
      <c r="D22" s="132"/>
      <c r="E22" s="132"/>
      <c r="F22" s="132"/>
      <c r="G22" s="132"/>
      <c r="H22" s="132"/>
      <c r="I22" s="132"/>
      <c r="J22" s="132"/>
      <c r="K22" s="131"/>
      <c r="L22" s="16"/>
      <c r="M22" s="16"/>
      <c r="N22" s="17"/>
      <c r="O22" s="130"/>
      <c r="P22" s="2"/>
      <c r="Q22" s="16"/>
      <c r="R22" s="16"/>
      <c r="S22" s="2"/>
      <c r="T22" s="2"/>
    </row>
    <row r="23" spans="1:20" x14ac:dyDescent="0.2">
      <c r="A23" s="2"/>
      <c r="B23" s="129"/>
      <c r="C23" s="58"/>
      <c r="D23" s="121"/>
      <c r="E23" s="121"/>
      <c r="F23" s="121"/>
      <c r="G23" s="121"/>
      <c r="H23" s="121"/>
      <c r="I23" s="121"/>
      <c r="J23" s="121"/>
      <c r="K23" s="100"/>
      <c r="L23" s="16"/>
      <c r="M23" s="16"/>
      <c r="N23" s="17"/>
      <c r="O23" s="58"/>
      <c r="P23" s="2"/>
      <c r="Q23" s="16"/>
      <c r="R23" s="16"/>
      <c r="S23" s="2"/>
      <c r="T23" s="2"/>
    </row>
    <row r="24" spans="1:20" x14ac:dyDescent="0.2">
      <c r="A24" s="2"/>
      <c r="B24" s="128" t="s">
        <v>119</v>
      </c>
      <c r="C24" s="127"/>
      <c r="D24" s="103"/>
      <c r="E24" s="103"/>
      <c r="F24" s="103"/>
      <c r="G24" s="103"/>
      <c r="H24" s="103"/>
      <c r="I24" s="103"/>
      <c r="J24" s="103"/>
      <c r="K24" s="100"/>
      <c r="L24" s="16"/>
      <c r="M24" s="16"/>
      <c r="N24" s="17"/>
      <c r="O24" s="16"/>
      <c r="P24" s="2"/>
      <c r="Q24" s="16"/>
      <c r="R24" s="16"/>
      <c r="S24" s="2"/>
      <c r="T24" s="2"/>
    </row>
    <row r="25" spans="1:20" x14ac:dyDescent="0.2">
      <c r="A25" s="2"/>
      <c r="B25" s="108"/>
      <c r="C25" s="107" t="s">
        <v>84</v>
      </c>
      <c r="D25" s="106">
        <f>D21</f>
        <v>2917.7352970930406</v>
      </c>
      <c r="E25" s="106">
        <f>E21*Dashboard!F38</f>
        <v>0.88479376960440204</v>
      </c>
      <c r="F25" s="106"/>
      <c r="G25" s="106">
        <f>G21</f>
        <v>0</v>
      </c>
      <c r="H25" s="106">
        <f>H21</f>
        <v>131.352</v>
      </c>
      <c r="I25" s="106">
        <f>I21</f>
        <v>0</v>
      </c>
      <c r="J25" s="106">
        <f>J21</f>
        <v>718.42621436627087</v>
      </c>
      <c r="K25" s="126"/>
      <c r="L25" s="66"/>
      <c r="M25" s="66">
        <f>SUM(M28:M33)</f>
        <v>3464.6708400509087</v>
      </c>
      <c r="N25" s="94"/>
      <c r="O25" s="16"/>
      <c r="P25" s="2"/>
      <c r="Q25" s="16"/>
      <c r="R25" s="16"/>
      <c r="S25" s="2"/>
      <c r="T25" s="2"/>
    </row>
    <row r="26" spans="1:20" x14ac:dyDescent="0.2">
      <c r="A26" s="2"/>
      <c r="B26" s="108"/>
      <c r="C26" s="107"/>
      <c r="D26" s="106"/>
      <c r="E26" s="106"/>
      <c r="F26" s="106"/>
      <c r="G26" s="106"/>
      <c r="H26" s="106"/>
      <c r="I26" s="106"/>
      <c r="J26" s="106"/>
      <c r="K26" s="100"/>
      <c r="L26" s="16"/>
      <c r="M26" s="16"/>
      <c r="N26" s="17"/>
      <c r="O26" s="16"/>
      <c r="P26" s="2"/>
      <c r="Q26" s="16"/>
      <c r="R26" s="16"/>
      <c r="S26" s="2"/>
      <c r="T26" s="2"/>
    </row>
    <row r="27" spans="1:20" x14ac:dyDescent="0.2">
      <c r="A27" s="2"/>
      <c r="B27" s="108"/>
      <c r="C27" s="111"/>
      <c r="D27" s="106"/>
      <c r="E27" s="106"/>
      <c r="F27" s="106"/>
      <c r="G27" s="106"/>
      <c r="H27" s="106"/>
      <c r="I27" s="106"/>
      <c r="J27" s="106"/>
      <c r="K27" s="100"/>
      <c r="L27" s="16"/>
      <c r="M27" s="16"/>
      <c r="N27" s="17"/>
      <c r="O27" s="16"/>
      <c r="P27" s="2"/>
      <c r="Q27" s="16"/>
      <c r="R27" s="16"/>
      <c r="S27" s="2"/>
      <c r="T27" s="2"/>
    </row>
    <row r="28" spans="1:20" x14ac:dyDescent="0.2">
      <c r="A28" s="2"/>
      <c r="B28" s="120"/>
      <c r="C28" s="16" t="s">
        <v>114</v>
      </c>
      <c r="D28" s="150"/>
      <c r="E28" s="150"/>
      <c r="F28" s="150"/>
      <c r="G28" s="150">
        <f>G25</f>
        <v>0</v>
      </c>
      <c r="H28" s="150"/>
      <c r="I28" s="150"/>
      <c r="J28" s="150"/>
      <c r="K28" s="112">
        <f t="shared" ref="K28:K33" si="1">SUM(D28:J28)</f>
        <v>0</v>
      </c>
      <c r="L28" s="16">
        <v>0.78869999999999996</v>
      </c>
      <c r="M28" s="16">
        <f t="shared" ref="M28:M33" si="2">L28*SUM(D28:J28)</f>
        <v>0</v>
      </c>
      <c r="N28" s="114">
        <f t="shared" ref="N28:N33" si="3">M28/SUM($M$28:$M$33)</f>
        <v>0</v>
      </c>
      <c r="O28" s="113">
        <f t="shared" ref="O28:O33" si="4">SUM(D28:J28)/SUM($D$28:$J$33)</f>
        <v>0</v>
      </c>
      <c r="P28" s="2"/>
      <c r="Q28" s="16"/>
      <c r="R28" s="16"/>
      <c r="S28" s="2"/>
      <c r="T28" s="2"/>
    </row>
    <row r="29" spans="1:20" x14ac:dyDescent="0.2">
      <c r="A29" s="2"/>
      <c r="B29" s="120"/>
      <c r="C29" s="16" t="s">
        <v>115</v>
      </c>
      <c r="D29" s="151">
        <f>D25</f>
        <v>2917.7352970930406</v>
      </c>
      <c r="E29" s="151"/>
      <c r="F29" s="151"/>
      <c r="G29" s="151"/>
      <c r="H29" s="151"/>
      <c r="I29" s="151"/>
      <c r="J29" s="151"/>
      <c r="K29" s="112">
        <f t="shared" si="1"/>
        <v>2917.7352970930406</v>
      </c>
      <c r="L29" s="16">
        <v>0.9</v>
      </c>
      <c r="M29" s="16">
        <f t="shared" si="2"/>
        <v>2625.9617673837365</v>
      </c>
      <c r="N29" s="114">
        <f t="shared" si="3"/>
        <v>0.75792532353380837</v>
      </c>
      <c r="O29" s="113">
        <f t="shared" si="4"/>
        <v>0.77426404025404616</v>
      </c>
      <c r="P29" s="2"/>
      <c r="Q29" s="16"/>
      <c r="R29" s="16"/>
      <c r="S29" s="2"/>
      <c r="T29" s="2"/>
    </row>
    <row r="30" spans="1:20" x14ac:dyDescent="0.2">
      <c r="A30" s="2"/>
      <c r="B30" s="120"/>
      <c r="C30" s="16" t="s">
        <v>116</v>
      </c>
      <c r="D30" s="151"/>
      <c r="E30" s="151"/>
      <c r="F30" s="151"/>
      <c r="G30" s="151"/>
      <c r="H30" s="151">
        <f>H25</f>
        <v>131.352</v>
      </c>
      <c r="I30" s="151"/>
      <c r="J30" s="151"/>
      <c r="K30" s="112">
        <f t="shared" si="1"/>
        <v>131.352</v>
      </c>
      <c r="L30" s="125">
        <v>0.76080000000000003</v>
      </c>
      <c r="M30" s="16">
        <f t="shared" si="2"/>
        <v>99.932601600000012</v>
      </c>
      <c r="N30" s="114">
        <f t="shared" si="3"/>
        <v>2.8843317652228008E-2</v>
      </c>
      <c r="O30" s="113">
        <f t="shared" si="4"/>
        <v>3.485618805680385E-2</v>
      </c>
      <c r="P30" s="2"/>
      <c r="Q30" s="125"/>
      <c r="R30" s="16"/>
      <c r="S30" s="2"/>
      <c r="T30" s="2"/>
    </row>
    <row r="31" spans="1:20" x14ac:dyDescent="0.2">
      <c r="A31" s="2"/>
      <c r="B31" s="120"/>
      <c r="C31" s="16" t="s">
        <v>26</v>
      </c>
      <c r="D31" s="151"/>
      <c r="E31" s="151"/>
      <c r="F31" s="151"/>
      <c r="G31" s="151"/>
      <c r="H31" s="151"/>
      <c r="I31" s="151"/>
      <c r="J31" s="151">
        <f>J25</f>
        <v>718.42621436627087</v>
      </c>
      <c r="K31" s="112">
        <f t="shared" si="1"/>
        <v>718.42621436627087</v>
      </c>
      <c r="L31" s="124">
        <v>1</v>
      </c>
      <c r="M31" s="16">
        <f t="shared" si="2"/>
        <v>718.42621436627087</v>
      </c>
      <c r="N31" s="114">
        <f t="shared" si="3"/>
        <v>0.20735771088595376</v>
      </c>
      <c r="O31" s="113">
        <f t="shared" si="4"/>
        <v>0.19064497862909138</v>
      </c>
      <c r="P31" s="2"/>
      <c r="Q31" s="124"/>
      <c r="R31" s="2"/>
      <c r="S31" s="123"/>
      <c r="T31" s="2"/>
    </row>
    <row r="32" spans="1:20" x14ac:dyDescent="0.2">
      <c r="A32" s="2"/>
      <c r="B32" s="120"/>
      <c r="C32" s="16" t="s">
        <v>30</v>
      </c>
      <c r="D32" s="151"/>
      <c r="E32" s="151"/>
      <c r="F32" s="151"/>
      <c r="G32" s="151"/>
      <c r="H32" s="151"/>
      <c r="I32" s="151">
        <f>I25</f>
        <v>0</v>
      </c>
      <c r="J32" s="151"/>
      <c r="K32" s="112">
        <f t="shared" si="1"/>
        <v>0</v>
      </c>
      <c r="L32" s="16">
        <v>24</v>
      </c>
      <c r="M32" s="16">
        <f t="shared" si="2"/>
        <v>0</v>
      </c>
      <c r="N32" s="114">
        <f t="shared" si="3"/>
        <v>0</v>
      </c>
      <c r="O32" s="113">
        <f t="shared" si="4"/>
        <v>0</v>
      </c>
      <c r="P32" s="2"/>
      <c r="Q32" s="16"/>
      <c r="R32" s="2"/>
      <c r="S32" s="2"/>
      <c r="T32" s="2"/>
    </row>
    <row r="33" spans="1:20" x14ac:dyDescent="0.2">
      <c r="A33" s="2"/>
      <c r="B33" s="120"/>
      <c r="C33" s="16" t="s">
        <v>117</v>
      </c>
      <c r="D33" s="151"/>
      <c r="E33" s="152">
        <f>E25</f>
        <v>0.88479376960440204</v>
      </c>
      <c r="F33" s="151"/>
      <c r="G33" s="151"/>
      <c r="H33" s="151"/>
      <c r="I33" s="151"/>
      <c r="J33" s="151"/>
      <c r="K33" s="112">
        <f t="shared" si="1"/>
        <v>0.88479376960440204</v>
      </c>
      <c r="L33" s="125">
        <v>23</v>
      </c>
      <c r="M33" s="16">
        <f t="shared" si="2"/>
        <v>20.350256700901248</v>
      </c>
      <c r="N33" s="114">
        <f t="shared" si="3"/>
        <v>5.8736479280098739E-3</v>
      </c>
      <c r="O33" s="113">
        <f t="shared" si="4"/>
        <v>2.3479306005861665E-4</v>
      </c>
      <c r="P33" s="2"/>
      <c r="Q33" s="125"/>
      <c r="R33" s="2"/>
      <c r="S33" s="2"/>
      <c r="T33" s="2"/>
    </row>
    <row r="34" spans="1:20" x14ac:dyDescent="0.2">
      <c r="A34" s="2"/>
      <c r="B34" s="108"/>
      <c r="C34" s="107"/>
      <c r="D34" s="122"/>
      <c r="E34" s="106"/>
      <c r="F34" s="122"/>
      <c r="G34" s="122"/>
      <c r="H34" s="122"/>
      <c r="I34" s="122"/>
      <c r="J34" s="122"/>
      <c r="K34" s="112"/>
      <c r="L34" s="16"/>
      <c r="M34" s="16"/>
      <c r="N34" s="117"/>
      <c r="O34" s="116"/>
      <c r="P34" s="2"/>
      <c r="Q34" s="16"/>
      <c r="R34" s="2"/>
      <c r="S34" s="2"/>
      <c r="T34" s="2"/>
    </row>
    <row r="35" spans="1:20" x14ac:dyDescent="0.2">
      <c r="A35" s="2"/>
      <c r="B35" s="110"/>
      <c r="C35" s="119"/>
      <c r="D35" s="121"/>
      <c r="E35" s="121"/>
      <c r="F35" s="121"/>
      <c r="G35" s="121"/>
      <c r="H35" s="121"/>
      <c r="I35" s="121"/>
      <c r="J35" s="121"/>
      <c r="K35" s="112"/>
      <c r="L35" s="16"/>
      <c r="M35" s="16"/>
      <c r="N35" s="117"/>
      <c r="O35" s="116"/>
      <c r="P35" s="2"/>
      <c r="Q35" s="2"/>
      <c r="R35" s="2"/>
      <c r="S35" s="2"/>
      <c r="T35" s="2"/>
    </row>
    <row r="36" spans="1:20" x14ac:dyDescent="0.2">
      <c r="A36" s="2"/>
      <c r="B36" s="128" t="s">
        <v>120</v>
      </c>
      <c r="C36" s="127"/>
      <c r="D36" s="103"/>
      <c r="E36" s="103"/>
      <c r="F36" s="103"/>
      <c r="G36" s="103"/>
      <c r="H36" s="103"/>
      <c r="I36" s="103"/>
      <c r="J36" s="103"/>
      <c r="K36" s="100"/>
      <c r="L36" s="16"/>
      <c r="M36" s="16"/>
      <c r="N36" s="17"/>
      <c r="O36" s="16"/>
      <c r="P36" s="2"/>
      <c r="Q36" s="16"/>
      <c r="R36" s="16"/>
      <c r="S36" s="2"/>
      <c r="T36" s="2"/>
    </row>
    <row r="37" spans="1:20" x14ac:dyDescent="0.2">
      <c r="A37" s="2"/>
      <c r="B37" s="108"/>
      <c r="C37" s="107" t="s">
        <v>84</v>
      </c>
      <c r="D37" s="106">
        <f>D33</f>
        <v>0</v>
      </c>
      <c r="E37" s="106">
        <f>E21*Dashboard!F39</f>
        <v>1471.5595044803883</v>
      </c>
      <c r="F37" s="106"/>
      <c r="G37" s="106">
        <f>G33</f>
        <v>0</v>
      </c>
      <c r="H37" s="106">
        <f>H33</f>
        <v>0</v>
      </c>
      <c r="I37" s="106">
        <f>I33</f>
        <v>0</v>
      </c>
      <c r="J37" s="106">
        <f>J33</f>
        <v>0</v>
      </c>
      <c r="K37" s="126"/>
      <c r="L37" s="66"/>
      <c r="M37" s="66">
        <f>SUM(M39)</f>
        <v>1471.5595044803883</v>
      </c>
      <c r="N37" s="94"/>
      <c r="O37" s="16"/>
      <c r="P37" s="2"/>
      <c r="Q37" s="16"/>
      <c r="R37" s="16"/>
      <c r="S37" s="2"/>
      <c r="T37" s="2"/>
    </row>
    <row r="38" spans="1:20" x14ac:dyDescent="0.2">
      <c r="A38" s="2"/>
      <c r="B38" s="108"/>
      <c r="C38" s="107"/>
      <c r="D38" s="106"/>
      <c r="E38" s="106"/>
      <c r="F38" s="106"/>
      <c r="G38" s="106"/>
      <c r="H38" s="106"/>
      <c r="I38" s="106"/>
      <c r="J38" s="106"/>
      <c r="K38" s="100"/>
      <c r="L38" s="16"/>
      <c r="M38" s="16"/>
      <c r="N38" s="17"/>
      <c r="O38" s="16"/>
      <c r="P38" s="2"/>
      <c r="Q38" s="16"/>
      <c r="R38" s="16"/>
      <c r="S38" s="2"/>
      <c r="T38" s="2"/>
    </row>
    <row r="39" spans="1:20" x14ac:dyDescent="0.2">
      <c r="A39" s="2"/>
      <c r="B39" s="108"/>
      <c r="C39" s="107" t="s">
        <v>121</v>
      </c>
      <c r="D39" s="160"/>
      <c r="E39" s="160">
        <f>E37</f>
        <v>1471.5595044803883</v>
      </c>
      <c r="F39" s="160"/>
      <c r="G39" s="160"/>
      <c r="H39" s="160"/>
      <c r="I39" s="160"/>
      <c r="J39" s="161"/>
      <c r="K39" s="112">
        <f t="shared" ref="K39" si="5">SUM(D39:J39)</f>
        <v>1471.5595044803883</v>
      </c>
      <c r="L39" s="125">
        <v>1</v>
      </c>
      <c r="M39" s="16">
        <f t="shared" ref="M39" si="6">L39*SUM(D39:J39)</f>
        <v>1471.5595044803883</v>
      </c>
      <c r="N39" s="114">
        <f>M39/SUM($M$39)</f>
        <v>1</v>
      </c>
      <c r="O39" s="113">
        <f>SUM(D39:J39)/SUM($D$28:$J$33)</f>
        <v>0.390499991054156</v>
      </c>
      <c r="P39" s="2"/>
      <c r="Q39" s="16"/>
      <c r="R39" s="16"/>
      <c r="S39" s="2"/>
      <c r="T39" s="2"/>
    </row>
    <row r="40" spans="1:20" x14ac:dyDescent="0.2">
      <c r="A40" s="2"/>
      <c r="B40" s="108"/>
      <c r="C40" s="111"/>
      <c r="D40" s="106"/>
      <c r="E40" s="106"/>
      <c r="F40" s="106"/>
      <c r="G40" s="106"/>
      <c r="H40" s="106"/>
      <c r="I40" s="106"/>
      <c r="J40" s="106"/>
      <c r="K40" s="100"/>
      <c r="L40" s="16"/>
      <c r="M40" s="16"/>
      <c r="N40" s="17"/>
      <c r="O40" s="16"/>
      <c r="P40" s="2"/>
      <c r="Q40" s="16"/>
      <c r="R40" s="16"/>
      <c r="S40" s="2"/>
      <c r="T40" s="2"/>
    </row>
    <row r="41" spans="1:20" x14ac:dyDescent="0.2">
      <c r="A41" s="2"/>
      <c r="B41" s="105" t="s">
        <v>83</v>
      </c>
      <c r="C41" s="104"/>
      <c r="D41" s="103" t="s">
        <v>82</v>
      </c>
      <c r="E41" s="103" t="s">
        <v>22</v>
      </c>
      <c r="F41" s="103" t="s">
        <v>81</v>
      </c>
      <c r="G41" s="103" t="s">
        <v>80</v>
      </c>
      <c r="H41" s="103" t="s">
        <v>79</v>
      </c>
      <c r="I41" s="102" t="s">
        <v>78</v>
      </c>
      <c r="J41" s="102" t="s">
        <v>78</v>
      </c>
      <c r="K41" s="100"/>
      <c r="L41" s="16"/>
      <c r="M41" s="16"/>
      <c r="N41" s="17"/>
      <c r="O41" s="23"/>
      <c r="P41" s="2"/>
      <c r="Q41" s="2"/>
      <c r="R41" s="2"/>
      <c r="S41" s="2"/>
      <c r="T41" s="2"/>
    </row>
    <row r="42" spans="1:20" x14ac:dyDescent="0.2">
      <c r="A42" s="2"/>
      <c r="B42" s="98"/>
      <c r="C42" s="101" t="s">
        <v>77</v>
      </c>
      <c r="D42" s="100">
        <f>SUM(E28)</f>
        <v>0</v>
      </c>
      <c r="E42" s="106">
        <f t="shared" ref="E42:J42" si="7">SUM(E28:E35)</f>
        <v>0.88479376960440204</v>
      </c>
      <c r="F42" s="106">
        <f t="shared" si="7"/>
        <v>0</v>
      </c>
      <c r="G42" s="106">
        <f t="shared" si="7"/>
        <v>0</v>
      </c>
      <c r="H42" s="106">
        <f t="shared" si="7"/>
        <v>131.352</v>
      </c>
      <c r="I42" s="106">
        <f t="shared" si="7"/>
        <v>0</v>
      </c>
      <c r="J42" s="106">
        <f t="shared" si="7"/>
        <v>718.42621436627087</v>
      </c>
      <c r="K42" s="100"/>
      <c r="L42" s="16"/>
      <c r="M42" s="16"/>
      <c r="N42" s="17"/>
      <c r="O42" s="96"/>
      <c r="P42" s="2"/>
      <c r="Q42" s="2"/>
      <c r="R42" s="2"/>
      <c r="S42" s="2"/>
      <c r="T42" s="2"/>
    </row>
    <row r="43" spans="1:20" x14ac:dyDescent="0.2">
      <c r="A43" s="2"/>
      <c r="B43" s="98"/>
      <c r="C43" s="96" t="s">
        <v>76</v>
      </c>
      <c r="D43" s="100">
        <f t="shared" ref="D43:J43" si="8">D10-D42</f>
        <v>0</v>
      </c>
      <c r="E43" s="106">
        <f t="shared" si="8"/>
        <v>-0.88479376960440204</v>
      </c>
      <c r="F43" s="106">
        <f t="shared" si="8"/>
        <v>0</v>
      </c>
      <c r="G43" s="106">
        <f t="shared" si="8"/>
        <v>0</v>
      </c>
      <c r="H43" s="106">
        <f t="shared" si="8"/>
        <v>-131.352</v>
      </c>
      <c r="I43" s="106">
        <f t="shared" si="8"/>
        <v>0</v>
      </c>
      <c r="J43" s="106">
        <f t="shared" si="8"/>
        <v>-718.42621436627087</v>
      </c>
      <c r="K43" s="100"/>
      <c r="L43" s="16"/>
      <c r="M43" s="16"/>
      <c r="N43" s="17"/>
      <c r="O43" s="99"/>
      <c r="P43" s="2"/>
      <c r="Q43" s="2"/>
      <c r="R43" s="2"/>
      <c r="S43" s="2"/>
      <c r="T43" s="2"/>
    </row>
    <row r="44" spans="1:20" x14ac:dyDescent="0.2">
      <c r="A44" s="2"/>
      <c r="B44" s="98"/>
      <c r="C44" s="96"/>
      <c r="D44" s="97"/>
      <c r="E44" s="97"/>
      <c r="F44" s="97"/>
      <c r="G44" s="97"/>
      <c r="H44" s="97"/>
      <c r="I44" s="97"/>
      <c r="J44" s="97"/>
      <c r="K44" s="97"/>
      <c r="L44" s="16"/>
      <c r="M44" s="16"/>
      <c r="N44" s="17"/>
      <c r="O44" s="96"/>
      <c r="P44" s="2"/>
      <c r="Q44" s="2"/>
      <c r="R44" s="2"/>
      <c r="S44" s="2"/>
      <c r="T44" s="2"/>
    </row>
    <row r="45" spans="1:20" ht="17" thickBot="1" x14ac:dyDescent="0.25">
      <c r="A45" s="2"/>
      <c r="B45" s="9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6"/>
      <c r="O45" s="16"/>
      <c r="P45" s="2"/>
      <c r="Q45" s="2"/>
      <c r="R45" s="2"/>
      <c r="S45" s="2"/>
      <c r="T45" s="2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</sheetData>
  <mergeCells count="1">
    <mergeCell ref="B4:C4"/>
  </mergeCells>
  <conditionalFormatting sqref="H4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C4" sqref="C4:C14"/>
    </sheetView>
  </sheetViews>
  <sheetFormatPr baseColWidth="10" defaultRowHeight="16" x14ac:dyDescent="0.2"/>
  <cols>
    <col min="1" max="1" width="53.5" customWidth="1"/>
    <col min="3" max="3" width="77.33203125" customWidth="1"/>
    <col min="4" max="4" width="15.33203125" customWidth="1"/>
  </cols>
  <sheetData>
    <row r="2" spans="1:4" x14ac:dyDescent="0.2">
      <c r="B2" t="s">
        <v>17</v>
      </c>
      <c r="C2" t="s">
        <v>124</v>
      </c>
      <c r="D2" t="s">
        <v>125</v>
      </c>
    </row>
    <row r="3" spans="1:4" x14ac:dyDescent="0.2">
      <c r="A3" t="s">
        <v>1</v>
      </c>
    </row>
    <row r="4" spans="1:4" x14ac:dyDescent="0.2">
      <c r="A4" t="s">
        <v>2</v>
      </c>
      <c r="B4">
        <f>Analyse!N28</f>
        <v>0</v>
      </c>
      <c r="C4" t="str">
        <f>"- init." &amp; LEFT(A4, LEN(A4)-3)&amp; " " &amp; "=" &amp;" " &amp; B4*D4</f>
        <v>- init.agriculture_burner_crude_oil_share = 0</v>
      </c>
      <c r="D4">
        <v>100</v>
      </c>
    </row>
    <row r="5" spans="1:4" x14ac:dyDescent="0.2">
      <c r="A5" t="s">
        <v>3</v>
      </c>
      <c r="B5">
        <f>Analyse!N29</f>
        <v>0.75792532353380837</v>
      </c>
      <c r="C5" t="str">
        <f t="shared" ref="C5:C14" si="0">"- init." &amp; LEFT(A5, LEN(A5)-3)&amp; " " &amp; "=" &amp;" " &amp; B5*D5</f>
        <v>- init.agriculture_burner_network_gas_share = 75.7925323533808</v>
      </c>
      <c r="D5">
        <v>100</v>
      </c>
    </row>
    <row r="6" spans="1:4" x14ac:dyDescent="0.2">
      <c r="A6" t="s">
        <v>4</v>
      </c>
      <c r="B6">
        <f>Analyse!N30</f>
        <v>2.8843317652228008E-2</v>
      </c>
      <c r="C6" t="str">
        <f t="shared" si="0"/>
        <v>- init.agriculture_burner_wood_pellets_share = 2.8843317652228</v>
      </c>
      <c r="D6">
        <v>100</v>
      </c>
    </row>
    <row r="7" spans="1:4" x14ac:dyDescent="0.2">
      <c r="A7" t="s">
        <v>5</v>
      </c>
      <c r="B7">
        <f>Analyse!N31</f>
        <v>0.20735771088595376</v>
      </c>
      <c r="C7" t="str">
        <f t="shared" si="0"/>
        <v>- init.agriculture_final_demand_steam_hot_water_share = 20.7357710885954</v>
      </c>
      <c r="D7">
        <v>100</v>
      </c>
    </row>
    <row r="8" spans="1:4" x14ac:dyDescent="0.2">
      <c r="A8" t="s">
        <v>6</v>
      </c>
      <c r="B8">
        <f>Analyse!N32</f>
        <v>0</v>
      </c>
      <c r="C8" t="str">
        <f t="shared" si="0"/>
        <v>- init.agriculture_geothermal_share = 0</v>
      </c>
      <c r="D8">
        <v>100</v>
      </c>
    </row>
    <row r="9" spans="1:4" x14ac:dyDescent="0.2">
      <c r="A9" t="s">
        <v>7</v>
      </c>
      <c r="B9">
        <f>Analyse!N33</f>
        <v>5.8736479280098739E-3</v>
      </c>
      <c r="C9" t="str">
        <f t="shared" si="0"/>
        <v>- init.agriculture_heatpump_water_water_ts_electricity_share = 0.587364792800987</v>
      </c>
      <c r="D9">
        <v>100</v>
      </c>
    </row>
    <row r="10" spans="1:4" x14ac:dyDescent="0.2">
      <c r="A10" t="s">
        <v>8</v>
      </c>
      <c r="B10">
        <f>Analyse!M37</f>
        <v>1471.5595044803883</v>
      </c>
      <c r="C10" t="str">
        <f>"- init." &amp; LEFT(A10, LEN(A10)-3)&amp; " " &amp; "=" &amp;" " &amp; B10*D10</f>
        <v>- init.agriculture_useful_demand_electricity = 1471559504.48039</v>
      </c>
      <c r="D10">
        <f>10^6</f>
        <v>1000000</v>
      </c>
    </row>
    <row r="11" spans="1:4" x14ac:dyDescent="0.2">
      <c r="A11" t="s">
        <v>9</v>
      </c>
      <c r="B11">
        <f>Analyse!M25</f>
        <v>3464.6708400509087</v>
      </c>
      <c r="C11" t="str">
        <f t="shared" si="0"/>
        <v>- init.agriculture_useful_demand_useable_heat = 3464670840.05091</v>
      </c>
      <c r="D11">
        <f>10^6</f>
        <v>1000000</v>
      </c>
    </row>
    <row r="12" spans="1:4" x14ac:dyDescent="0.2">
      <c r="A12" t="s">
        <v>10</v>
      </c>
      <c r="B12" s="164">
        <f>Analyse!F19</f>
        <v>9.2200000000000006</v>
      </c>
      <c r="C12" t="str">
        <f t="shared" si="0"/>
        <v>- init.number_of_agriculture_chp_engine_biogas = 9.22</v>
      </c>
      <c r="D12">
        <v>1</v>
      </c>
    </row>
    <row r="13" spans="1:4" x14ac:dyDescent="0.2">
      <c r="A13" t="s">
        <v>11</v>
      </c>
      <c r="B13" s="1">
        <f>Analyse!D19</f>
        <v>17.547681259644776</v>
      </c>
      <c r="C13" t="str">
        <f t="shared" si="0"/>
        <v>- init.number_of_agriculture_chp_engine_network_gas = 17.5476812596448</v>
      </c>
      <c r="D13">
        <v>1</v>
      </c>
    </row>
    <row r="14" spans="1:4" x14ac:dyDescent="0.2">
      <c r="A14" t="s">
        <v>12</v>
      </c>
      <c r="B14" s="164">
        <f>Analyse!H19</f>
        <v>0</v>
      </c>
      <c r="C14" t="str">
        <f t="shared" si="0"/>
        <v>- init.number_of_agriculture_chp_supercritical_wood_pellets = 0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Dashboard</vt:lpstr>
      <vt:lpstr>Analyse</vt:lpstr>
      <vt:lpstr>.ad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2017-07-20T08:10:24Z</dcterms:created>
  <dcterms:modified xsi:type="dcterms:W3CDTF">2017-08-29T09:23:37Z</dcterms:modified>
</cp:coreProperties>
</file>