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erend/Dropbox (Quintel)/Quintel/Projects/201707_Flevoland/Dataset/"/>
    </mc:Choice>
  </mc:AlternateContent>
  <bookViews>
    <workbookView xWindow="15580" yWindow="460" windowWidth="22820" windowHeight="20060" tabRatio="500" activeTab="2"/>
  </bookViews>
  <sheets>
    <sheet name="Dashboard" sheetId="1" r:id="rId1"/>
    <sheet name="Analyse" sheetId="6" r:id="rId2"/>
    <sheet name=".ad" sheetId="2" r:id="rId3"/>
  </sheets>
  <externalReferences>
    <externalReference r:id="rId4"/>
  </externalReferences>
  <definedNames>
    <definedName name="Eff_cooking_biomass">[1]technical_specs!$P$51</definedName>
    <definedName name="Eff_cooking_electric">[1]technical_specs!$P$48</definedName>
    <definedName name="Eff_cooking_gas">[1]technical_specs!$P$47</definedName>
    <definedName name="Eff_cooking_halogen">[1]technical_specs!$P$49</definedName>
    <definedName name="Eff_cooking_induction">[1]technical_specs!$P$50</definedName>
    <definedName name="Eff_cooling_airco">[1]technical_specs!$P$44</definedName>
    <definedName name="Eff_cooling_pump_air">[1]technical_specs!$P$43</definedName>
    <definedName name="Eff_cooling_pump_ground">[1]technical_specs!$P$42</definedName>
    <definedName name="Eff_hot_water_coal">[1]technical_specs!$P$36</definedName>
    <definedName name="Eff_hot_water_combi_boiler">[1]technical_specs!$P$26</definedName>
    <definedName name="Eff_hot_water_district">[1]technical_specs!$P$30</definedName>
    <definedName name="Eff_hot_water_electric">[1]technical_specs!$P$33</definedName>
    <definedName name="Eff_hot_water_fuel_cell">[1]technical_specs!$P$37</definedName>
    <definedName name="Eff_hot_water_gas">[1]technical_specs!$P$34</definedName>
    <definedName name="Eff_hot_water_hhp_gas">[1]technical_specs!$P$39</definedName>
    <definedName name="Eff_hot_water_hhp_heatpump">[1]technical_specs!$P$38</definedName>
    <definedName name="Eff_hot_water_micro_CHP">[1]technical_specs!$P$29</definedName>
    <definedName name="Eff_hot_water_oil">[1]technical_specs!$P$35</definedName>
    <definedName name="Eff_hot_water_pump_air">[1]technical_specs!$P$31</definedName>
    <definedName name="Eff_hot_water_pump_ground">[1]technical_specs!$P$28</definedName>
    <definedName name="Eff_hot_water_solar_thermal_panel">[1]technical_specs!$P$27</definedName>
    <definedName name="Eff_hot_water_woodpellets">[1]technical_specs!$P$32</definedName>
    <definedName name="Eff_lighting_fluorescent">[1]technical_specs!$P$55</definedName>
    <definedName name="Eff_lighting_incandescent">[1]technical_specs!$P$54</definedName>
    <definedName name="Eff_lighting_led">[1]technical_specs!$P$56</definedName>
    <definedName name="Eff_space_heating_coal">[1]technical_specs!$P$21</definedName>
    <definedName name="Eff_space_heating_combi_boiler">[1]technical_specs!$P$11</definedName>
    <definedName name="Eff_space_heating_district">[1]technical_specs!$P$15</definedName>
    <definedName name="Eff_space_heating_electric">[1]technical_specs!$P$18</definedName>
    <definedName name="Eff_space_heating_gas">[1]technical_specs!$P$19</definedName>
    <definedName name="Eff_space_heating_hhp_gas">[1]technical_specs!$P$23</definedName>
    <definedName name="Eff_space_heating_hhp_heatpump">[1]technical_specs!$P$22</definedName>
    <definedName name="Eff_space_heating_micro_CHP">[1]technical_specs!$P$14</definedName>
    <definedName name="Eff_space_heating_oil">[1]technical_specs!$P$20</definedName>
    <definedName name="Eff_space_heating_pump_air">[1]technical_specs!$P$16</definedName>
    <definedName name="Eff_space_heating_pump_ground">[1]technical_specs!$P$13</definedName>
    <definedName name="Eff_space_heating_solar_thermal">[1]technical_specs!$P$12</definedName>
    <definedName name="Eff_space_heating_woodpellets">[1]technical_specs!$P$17</definedName>
    <definedName name="Final_demand_appliances">[1]Dashboard!$E$25</definedName>
    <definedName name="Final_demand_coal">'[1]Fuel aggregation'!$C$11</definedName>
    <definedName name="Final_demand_cooking">[1]Dashboard!$E$24</definedName>
    <definedName name="Final_demand_cooling">[1]Dashboard!$E$22</definedName>
    <definedName name="Final_demand_electricity">'[1]Fuel aggregation'!$I$11</definedName>
    <definedName name="Final_demand_gas">'[1]Fuel aggregation'!$D$11</definedName>
    <definedName name="Final_demand_heat">'[1]Fuel aggregation'!$J$11</definedName>
    <definedName name="Final_demand_hot_water">[1]Dashboard!$E$21</definedName>
    <definedName name="Final_demand_lighting">[1]Dashboard!$E$23</definedName>
    <definedName name="Final_demand_oil">'[1]Fuel aggregation'!$E$11</definedName>
    <definedName name="Final_demand_residences">'[1]Fuel aggregation'!$L$11</definedName>
    <definedName name="Final_demand_solar_thermal">'[1]Fuel aggregation'!$G$11</definedName>
    <definedName name="Final_demand_space_heating">[1]Dashboard!$E$20</definedName>
    <definedName name="Final_demand_woodpellets">'[1]Fuel aggregation'!$F$11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6" i="1" l="1"/>
  <c r="F68" i="1"/>
  <c r="F96" i="1"/>
  <c r="F97" i="1"/>
  <c r="F98" i="1"/>
  <c r="F99" i="1"/>
  <c r="F100" i="1"/>
  <c r="D11" i="6"/>
  <c r="F34" i="1"/>
  <c r="D35" i="6"/>
  <c r="D37" i="6"/>
  <c r="L37" i="6"/>
  <c r="F102" i="1"/>
  <c r="F103" i="1"/>
  <c r="F104" i="1"/>
  <c r="E11" i="6"/>
  <c r="F40" i="1"/>
  <c r="E35" i="6"/>
  <c r="D48" i="6"/>
  <c r="E154" i="1"/>
  <c r="F154" i="1"/>
  <c r="E48" i="6"/>
  <c r="E38" i="6"/>
  <c r="L38" i="6"/>
  <c r="D39" i="6"/>
  <c r="L39" i="6"/>
  <c r="I11" i="6"/>
  <c r="F49" i="1"/>
  <c r="I35" i="6"/>
  <c r="I40" i="6"/>
  <c r="L40" i="6"/>
  <c r="E41" i="6"/>
  <c r="L41" i="6"/>
  <c r="H42" i="6"/>
  <c r="L42" i="6"/>
  <c r="E43" i="6"/>
  <c r="L43" i="6"/>
  <c r="D44" i="6"/>
  <c r="L44" i="6"/>
  <c r="G45" i="6"/>
  <c r="L45" i="6"/>
  <c r="F46" i="6"/>
  <c r="L46" i="6"/>
  <c r="D47" i="6"/>
  <c r="L47" i="6"/>
  <c r="L48" i="6"/>
  <c r="F152" i="1"/>
  <c r="L35" i="6"/>
  <c r="F79" i="1"/>
  <c r="F80" i="1"/>
  <c r="F81" i="1"/>
  <c r="F82" i="1"/>
  <c r="F33" i="1"/>
  <c r="D17" i="6"/>
  <c r="D20" i="6"/>
  <c r="L20" i="6"/>
  <c r="L21" i="6"/>
  <c r="F84" i="1"/>
  <c r="F85" i="1"/>
  <c r="F86" i="1"/>
  <c r="F39" i="1"/>
  <c r="E17" i="6"/>
  <c r="D31" i="6"/>
  <c r="E153" i="1"/>
  <c r="E31" i="6"/>
  <c r="E22" i="6"/>
  <c r="L22" i="6"/>
  <c r="D23" i="6"/>
  <c r="L23" i="6"/>
  <c r="F48" i="1"/>
  <c r="I17" i="6"/>
  <c r="I24" i="6"/>
  <c r="L24" i="6"/>
  <c r="E25" i="6"/>
  <c r="L25" i="6"/>
  <c r="H11" i="6"/>
  <c r="H17" i="6"/>
  <c r="H26" i="6"/>
  <c r="L26" i="6"/>
  <c r="E27" i="6"/>
  <c r="L27" i="6"/>
  <c r="D28" i="6"/>
  <c r="L28" i="6"/>
  <c r="G29" i="6"/>
  <c r="L29" i="6"/>
  <c r="F30" i="6"/>
  <c r="L30" i="6"/>
  <c r="L31" i="6"/>
  <c r="F151" i="1"/>
  <c r="L17" i="6"/>
  <c r="F44" i="1"/>
  <c r="E78" i="6"/>
  <c r="F139" i="1"/>
  <c r="E83" i="6"/>
  <c r="L83" i="6"/>
  <c r="B17" i="2"/>
  <c r="C17" i="2"/>
  <c r="F157" i="1"/>
  <c r="F160" i="1"/>
  <c r="F158" i="1"/>
  <c r="F161" i="1"/>
  <c r="L14" i="6"/>
  <c r="N37" i="6"/>
  <c r="M37" i="6"/>
  <c r="F123" i="1"/>
  <c r="F124" i="1"/>
  <c r="F122" i="1"/>
  <c r="F16" i="1"/>
  <c r="F153" i="1"/>
  <c r="B64" i="2"/>
  <c r="B73" i="2"/>
  <c r="L15" i="6"/>
  <c r="F55" i="1"/>
  <c r="F60" i="1"/>
  <c r="F59" i="1"/>
  <c r="F54" i="1"/>
  <c r="F53" i="1"/>
  <c r="F43" i="1"/>
  <c r="E70" i="6"/>
  <c r="F132" i="1"/>
  <c r="F130" i="1"/>
  <c r="F131" i="1"/>
  <c r="E74" i="6"/>
  <c r="F41" i="1"/>
  <c r="E60" i="6"/>
  <c r="E64" i="6"/>
  <c r="L64" i="6"/>
  <c r="F35" i="1"/>
  <c r="D60" i="6"/>
  <c r="D62" i="6"/>
  <c r="L62" i="6"/>
  <c r="E63" i="6"/>
  <c r="L63" i="6"/>
  <c r="E65" i="6"/>
  <c r="L65" i="6"/>
  <c r="L66" i="6"/>
  <c r="M64" i="6"/>
  <c r="B4" i="2"/>
  <c r="C4" i="2"/>
  <c r="F42" i="1"/>
  <c r="E52" i="6"/>
  <c r="F114" i="1"/>
  <c r="F115" i="1"/>
  <c r="F116" i="1"/>
  <c r="E54" i="6"/>
  <c r="E55" i="6"/>
  <c r="E56" i="6"/>
  <c r="E72" i="6"/>
  <c r="E73" i="6"/>
  <c r="F136" i="1"/>
  <c r="E80" i="6"/>
  <c r="F137" i="1"/>
  <c r="E81" i="6"/>
  <c r="F138" i="1"/>
  <c r="E82" i="6"/>
  <c r="F140" i="1"/>
  <c r="E84" i="6"/>
  <c r="F141" i="1"/>
  <c r="E85" i="6"/>
  <c r="F142" i="1"/>
  <c r="E86" i="6"/>
  <c r="F143" i="1"/>
  <c r="E87" i="6"/>
  <c r="E94" i="6"/>
  <c r="D94" i="6"/>
  <c r="L85" i="6"/>
  <c r="B18" i="2"/>
  <c r="C18" i="2"/>
  <c r="L80" i="6"/>
  <c r="B19" i="2"/>
  <c r="C19" i="2"/>
  <c r="L81" i="6"/>
  <c r="B20" i="2"/>
  <c r="C20" i="2"/>
  <c r="L87" i="6"/>
  <c r="B21" i="2"/>
  <c r="C21" i="2"/>
  <c r="L84" i="6"/>
  <c r="B22" i="2"/>
  <c r="C22" i="2"/>
  <c r="L86" i="6"/>
  <c r="B23" i="2"/>
  <c r="C23" i="2"/>
  <c r="L82" i="6"/>
  <c r="B24" i="2"/>
  <c r="C24" i="2"/>
  <c r="L54" i="6"/>
  <c r="L55" i="6"/>
  <c r="L56" i="6"/>
  <c r="L52" i="6"/>
  <c r="B25" i="2"/>
  <c r="C25" i="2"/>
  <c r="B26" i="2"/>
  <c r="C26" i="2"/>
  <c r="B27" i="2"/>
  <c r="C27" i="2"/>
  <c r="L72" i="6"/>
  <c r="L73" i="6"/>
  <c r="L74" i="6"/>
  <c r="L70" i="6"/>
  <c r="B28" i="2"/>
  <c r="C28" i="2"/>
  <c r="B29" i="2"/>
  <c r="C29" i="2"/>
  <c r="B30" i="2"/>
  <c r="C30" i="2"/>
  <c r="L60" i="6"/>
  <c r="B16" i="2"/>
  <c r="C16" i="2"/>
  <c r="M54" i="6"/>
  <c r="B13" i="2"/>
  <c r="C13" i="2"/>
  <c r="M65" i="6"/>
  <c r="B5" i="2"/>
  <c r="C5" i="2"/>
  <c r="M62" i="6"/>
  <c r="B6" i="2"/>
  <c r="C6" i="2"/>
  <c r="M63" i="6"/>
  <c r="B7" i="2"/>
  <c r="C7" i="2"/>
  <c r="M66" i="6"/>
  <c r="B8" i="2"/>
  <c r="C8" i="2"/>
  <c r="M56" i="6"/>
  <c r="B11" i="2"/>
  <c r="C11" i="2"/>
  <c r="M55" i="6"/>
  <c r="B12" i="2"/>
  <c r="C12" i="2"/>
  <c r="B33" i="2"/>
  <c r="C33" i="2"/>
  <c r="B34" i="2"/>
  <c r="C34" i="2"/>
  <c r="B35" i="2"/>
  <c r="C35" i="2"/>
  <c r="B36" i="2"/>
  <c r="C36" i="2"/>
  <c r="B37" i="2"/>
  <c r="C37" i="2"/>
  <c r="M30" i="6"/>
  <c r="B40" i="2"/>
  <c r="C40" i="2"/>
  <c r="M20" i="6"/>
  <c r="B41" i="2"/>
  <c r="C41" i="2"/>
  <c r="M29" i="6"/>
  <c r="B42" i="2"/>
  <c r="C42" i="2"/>
  <c r="M24" i="6"/>
  <c r="B43" i="2"/>
  <c r="C43" i="2"/>
  <c r="M27" i="6"/>
  <c r="B44" i="2"/>
  <c r="C44" i="2"/>
  <c r="M25" i="6"/>
  <c r="B45" i="2"/>
  <c r="C45" i="2"/>
  <c r="M22" i="6"/>
  <c r="B46" i="2"/>
  <c r="C46" i="2"/>
  <c r="M31" i="6"/>
  <c r="B47" i="2"/>
  <c r="C47" i="2"/>
  <c r="M23" i="6"/>
  <c r="B48" i="2"/>
  <c r="C48" i="2"/>
  <c r="M28" i="6"/>
  <c r="B49" i="2"/>
  <c r="C49" i="2"/>
  <c r="M26" i="6"/>
  <c r="B50" i="2"/>
  <c r="C50" i="2"/>
  <c r="M46" i="6"/>
  <c r="B53" i="2"/>
  <c r="C53" i="2"/>
  <c r="B54" i="2"/>
  <c r="C54" i="2"/>
  <c r="M45" i="6"/>
  <c r="B55" i="2"/>
  <c r="C55" i="2"/>
  <c r="M40" i="6"/>
  <c r="B56" i="2"/>
  <c r="C56" i="2"/>
  <c r="M48" i="6"/>
  <c r="B57" i="2"/>
  <c r="C57" i="2"/>
  <c r="M41" i="6"/>
  <c r="B58" i="2"/>
  <c r="C58" i="2"/>
  <c r="M38" i="6"/>
  <c r="B59" i="2"/>
  <c r="C59" i="2"/>
  <c r="M47" i="6"/>
  <c r="B60" i="2"/>
  <c r="C60" i="2"/>
  <c r="M39" i="6"/>
  <c r="B61" i="2"/>
  <c r="C61" i="2"/>
  <c r="M44" i="6"/>
  <c r="B62" i="2"/>
  <c r="C62" i="2"/>
  <c r="M43" i="6"/>
  <c r="B63" i="2"/>
  <c r="C63" i="2"/>
  <c r="C64" i="2"/>
  <c r="M42" i="6"/>
  <c r="B65" i="2"/>
  <c r="C65" i="2"/>
  <c r="M73" i="6"/>
  <c r="B68" i="2"/>
  <c r="C68" i="2"/>
  <c r="M72" i="6"/>
  <c r="B69" i="2"/>
  <c r="C69" i="2"/>
  <c r="M74" i="6"/>
  <c r="B70" i="2"/>
  <c r="C70" i="2"/>
  <c r="C73" i="2"/>
  <c r="M21" i="6"/>
  <c r="N80" i="6"/>
  <c r="N82" i="6"/>
  <c r="N83" i="6"/>
  <c r="N84" i="6"/>
  <c r="N85" i="6"/>
  <c r="N86" i="6"/>
  <c r="N87" i="6"/>
  <c r="N81" i="6"/>
  <c r="N73" i="6"/>
  <c r="N74" i="6"/>
  <c r="N72" i="6"/>
  <c r="M81" i="6"/>
  <c r="M82" i="6"/>
  <c r="M83" i="6"/>
  <c r="M84" i="6"/>
  <c r="M85" i="6"/>
  <c r="M86" i="6"/>
  <c r="M87" i="6"/>
  <c r="M80" i="6"/>
  <c r="J47" i="6"/>
  <c r="N47" i="6"/>
  <c r="L78" i="6"/>
  <c r="N38" i="6"/>
  <c r="N39" i="6"/>
  <c r="N40" i="6"/>
  <c r="N41" i="6"/>
  <c r="N42" i="6"/>
  <c r="N43" i="6"/>
  <c r="N44" i="6"/>
  <c r="N45" i="6"/>
  <c r="N46" i="6"/>
  <c r="N48" i="6"/>
  <c r="N55" i="6"/>
  <c r="N56" i="6"/>
  <c r="N54" i="6"/>
  <c r="N63" i="6"/>
  <c r="N64" i="6"/>
  <c r="N65" i="6"/>
  <c r="N66" i="6"/>
  <c r="N62" i="6"/>
  <c r="I94" i="6"/>
  <c r="I95" i="6"/>
  <c r="H94" i="6"/>
  <c r="H95" i="6"/>
  <c r="G94" i="6"/>
  <c r="G95" i="6"/>
  <c r="F94" i="6"/>
  <c r="F95" i="6"/>
  <c r="D95" i="6"/>
  <c r="J87" i="6"/>
  <c r="J81" i="6"/>
  <c r="J82" i="6"/>
  <c r="J83" i="6"/>
  <c r="J84" i="6"/>
  <c r="J85" i="6"/>
  <c r="J86" i="6"/>
  <c r="J80" i="6"/>
  <c r="J74" i="6"/>
  <c r="J73" i="6"/>
  <c r="J72" i="6"/>
  <c r="J66" i="6"/>
  <c r="J63" i="6"/>
  <c r="J64" i="6"/>
  <c r="J65" i="6"/>
  <c r="J62" i="6"/>
  <c r="J56" i="6"/>
  <c r="J55" i="6"/>
  <c r="J54" i="6"/>
  <c r="J48" i="6"/>
  <c r="J38" i="6"/>
  <c r="J39" i="6"/>
  <c r="J40" i="6"/>
  <c r="J41" i="6"/>
  <c r="J42" i="6"/>
  <c r="J43" i="6"/>
  <c r="J44" i="6"/>
  <c r="J45" i="6"/>
  <c r="J46" i="6"/>
  <c r="J37" i="6"/>
  <c r="J20" i="6"/>
  <c r="J21" i="6"/>
  <c r="J22" i="6"/>
  <c r="J24" i="6"/>
  <c r="J23" i="6"/>
  <c r="J25" i="6"/>
  <c r="J26" i="6"/>
  <c r="J27" i="6"/>
  <c r="J28" i="6"/>
  <c r="J29" i="6"/>
  <c r="J31" i="6"/>
  <c r="J30" i="6"/>
  <c r="E95" i="6"/>
  <c r="N20" i="6"/>
  <c r="N31" i="6"/>
  <c r="N30" i="6"/>
  <c r="N29" i="6"/>
  <c r="N28" i="6"/>
  <c r="N27" i="6"/>
  <c r="N26" i="6"/>
  <c r="N25" i="6"/>
  <c r="N24" i="6"/>
  <c r="N23" i="6"/>
  <c r="N22" i="6"/>
  <c r="N21" i="6"/>
</calcChain>
</file>

<file path=xl/sharedStrings.xml><?xml version="1.0" encoding="utf-8"?>
<sst xmlns="http://schemas.openxmlformats.org/spreadsheetml/2006/main" count="392" uniqueCount="266">
  <si>
    <t>Electric heat pump ground</t>
  </si>
  <si>
    <t>Electric heat pump air</t>
  </si>
  <si>
    <t>Conventional electric airconditioning</t>
  </si>
  <si>
    <t>Computers / Media</t>
  </si>
  <si>
    <t>./households/households_cooking:</t>
  </si>
  <si>
    <t>households_cooker_halogen_electricity_share.ad</t>
  </si>
  <si>
    <t>households_cooker_induction_electricity_share.ad</t>
  </si>
  <si>
    <t>households_cooker_network_gas_share.ad</t>
  </si>
  <si>
    <t>households_cooker_resistive_electricity_share.ad</t>
  </si>
  <si>
    <t>households_cooker_wood_pellets_share.ad</t>
  </si>
  <si>
    <t>./households/households_cooling:</t>
  </si>
  <si>
    <t>households_cooling_airconditioning_electricity_share.ad</t>
  </si>
  <si>
    <t>households_cooling_heatpump_air_water_electricity_share.ad</t>
  </si>
  <si>
    <t>households_cooling_heatpump_ground_water_electricity_share.ad</t>
  </si>
  <si>
    <t>./households/households_demand:</t>
  </si>
  <si>
    <t>households_useful_demand_cooking_per_person.ad</t>
  </si>
  <si>
    <t>households_useful_demand_electric_appliances_clothes_dryer.ad</t>
  </si>
  <si>
    <t>households_useful_demand_electric_appliances_computer_media.ad</t>
  </si>
  <si>
    <t>households_useful_demand_electric_appliances_dishwasher.ad</t>
  </si>
  <si>
    <t>households_useful_demand_electric_appliances_fridge_freezer.ad</t>
  </si>
  <si>
    <t>households_useful_demand_electric_appliances_other.ad</t>
  </si>
  <si>
    <t>households_useful_demand_electric_appliances_television.ad</t>
  </si>
  <si>
    <t>households_useful_demand_electric_appliances_vacuum_cleaner.ad</t>
  </si>
  <si>
    <t>households_useful_demand_electric_appliances_washing_machine.ad</t>
  </si>
  <si>
    <t>households_useful_demand_for_cooling_new_houses.ad</t>
  </si>
  <si>
    <t>households_useful_demand_for_cooling_old_houses.ad</t>
  </si>
  <si>
    <t>households_useful_demand_hot_water.ad</t>
  </si>
  <si>
    <t>households_useful_demand_lighting.ad</t>
  </si>
  <si>
    <t>households_useful_demand_new_houses_heat_per_person.ad</t>
  </si>
  <si>
    <t>households_useful_demand_old_houses_heat_per_person.ad</t>
  </si>
  <si>
    <t>./households/households_district_heating:</t>
  </si>
  <si>
    <t>households_collective_chp_biogas_share.ad</t>
  </si>
  <si>
    <t>households_collective_chp_network_gas_share.ad</t>
  </si>
  <si>
    <t>households_collective_chp_wood_pellets_share.ad</t>
  </si>
  <si>
    <t>households_collective_geothermal_share.ad</t>
  </si>
  <si>
    <t>households_heat_network_connection_steam_hot_water_share.ad</t>
  </si>
  <si>
    <t>./households/households_heating:</t>
  </si>
  <si>
    <t>households_space_heater_coal_share.ad</t>
  </si>
  <si>
    <t>households_space_heater_combined_network_gas_share.ad</t>
  </si>
  <si>
    <t>households_space_heater_crude_oil_share.ad</t>
  </si>
  <si>
    <t>households_space_heater_district_heating_steam_hot_water_share.ad</t>
  </si>
  <si>
    <t>households_space_heater_electricity_share.ad</t>
  </si>
  <si>
    <t>households_space_heater_heatpump_air_water_electricity_share.ad</t>
  </si>
  <si>
    <t>households_space_heater_heatpump_ground_water_electricity_share.ad</t>
  </si>
  <si>
    <t>households_space_heater_hybrid_heatpump_air_water_electricity_share.ad</t>
  </si>
  <si>
    <t>households_space_heater_micro_chp_network_gas_share.ad</t>
  </si>
  <si>
    <t>households_space_heater_network_gas_share.ad</t>
  </si>
  <si>
    <t>households_space_heater_wood_pellets_share.ad</t>
  </si>
  <si>
    <t>./households/households_hot_water:</t>
  </si>
  <si>
    <t>households_water_heater_coal_share.ad</t>
  </si>
  <si>
    <t>households_water_heater_combined_network_gas_share.ad</t>
  </si>
  <si>
    <t>households_water_heater_crude_oil_share.ad</t>
  </si>
  <si>
    <t>households_water_heater_district_heating_steam_hot_water_share.ad</t>
  </si>
  <si>
    <t>households_water_heater_fuel_cell_chp_network_gas_share.ad</t>
  </si>
  <si>
    <t>households_water_heater_heatpump_air_water_electricity_share.ad</t>
  </si>
  <si>
    <t>households_water_heater_heatpump_ground_water_electricity_share.ad</t>
  </si>
  <si>
    <t>households_water_heater_hybrid_heatpump_air_water_electricity_share.ad</t>
  </si>
  <si>
    <t>households_water_heater_micro_chp_network_gas_share.ad</t>
  </si>
  <si>
    <t>households_water_heater_network_gas_share.ad</t>
  </si>
  <si>
    <t>households_water_heater_resistive_electricity_share.ad</t>
  </si>
  <si>
    <t>households_water_heater_solar_thermal_share.ad</t>
  </si>
  <si>
    <t>households_water_heater_wood_pellets_share.ad</t>
  </si>
  <si>
    <t>./households/households_lighting:</t>
  </si>
  <si>
    <t>households_lighting_efficient_fluorescent_electricity_share.ad</t>
  </si>
  <si>
    <t>households_lighting_incandescent_electricity_share.ad</t>
  </si>
  <si>
    <t>households_lighting_led_electricity_share.ad</t>
  </si>
  <si>
    <t>./households/households_misc:</t>
  </si>
  <si>
    <t>households_solar_pv_solar_radiation_market_penetration.ad</t>
  </si>
  <si>
    <t>Sector</t>
  </si>
  <si>
    <t>Unit</t>
  </si>
  <si>
    <t>Value</t>
  </si>
  <si>
    <t>Source</t>
  </si>
  <si>
    <t>Space Heating</t>
  </si>
  <si>
    <t>Hot Water</t>
  </si>
  <si>
    <t>Space Cooling</t>
  </si>
  <si>
    <t>Lighting</t>
  </si>
  <si>
    <t>Cooking</t>
  </si>
  <si>
    <t>Electrical Appliances</t>
  </si>
  <si>
    <t>LED lamps</t>
  </si>
  <si>
    <t>Heater characterization (solar thermal, el. add-on)</t>
  </si>
  <si>
    <t>Percentage of useful heat in space heating delivered by solar thermal panel (if household is equipped)</t>
  </si>
  <si>
    <t>Percentage of useful heat in hot water delivered by solar thermal panel (if household is equipped)</t>
  </si>
  <si>
    <t>Old / New Houses Split</t>
  </si>
  <si>
    <t>Percentage of old houses (built before 1992)</t>
  </si>
  <si>
    <t>Percentage of new houses (built after 1991)</t>
  </si>
  <si>
    <t xml:space="preserve">Gas </t>
  </si>
  <si>
    <t>Final demand per energy carrier</t>
  </si>
  <si>
    <t>Notes</t>
  </si>
  <si>
    <t>Application</t>
  </si>
  <si>
    <t>Technology used</t>
  </si>
  <si>
    <t>Final demand for network gas (TJ)</t>
  </si>
  <si>
    <t>Final demand for electricity (TJ)</t>
  </si>
  <si>
    <t>Final demand for coal (TJ)</t>
  </si>
  <si>
    <t>Final demand for oil (TJ)</t>
  </si>
  <si>
    <t>Final demand for woodpellets (TJ)</t>
  </si>
  <si>
    <t>Final demand for district heat (TJ)</t>
  </si>
  <si>
    <t>Useful demand (TJ)</t>
  </si>
  <si>
    <t>Share of useful demand within application</t>
  </si>
  <si>
    <t>Condensing Combi Boiler (space heating)</t>
  </si>
  <si>
    <t>Solar thermal panel (space heating)</t>
  </si>
  <si>
    <t>Electric Heat Pump (ground) (space heating)</t>
  </si>
  <si>
    <t>kWh</t>
  </si>
  <si>
    <t>Micro CHP (gas-fired)) (space heating)</t>
  </si>
  <si>
    <t>District Heating (space heating)</t>
  </si>
  <si>
    <t>electricity-driven Heat pump (air) (space heating)</t>
  </si>
  <si>
    <t>m3</t>
  </si>
  <si>
    <t>woodpellets (biomass) heaters (space heating)</t>
  </si>
  <si>
    <t>Electric Heaters (resistance) (space heating)</t>
  </si>
  <si>
    <t>Gas-fired Heaters (space heating)</t>
  </si>
  <si>
    <t>Oil-fired Heaters (space heating)</t>
  </si>
  <si>
    <t>Coal-fired Heaters (space heating)</t>
  </si>
  <si>
    <t>Condensing Combi Boiler (hot water)</t>
  </si>
  <si>
    <t>Electric Heat Pump (ground) (hot water)</t>
  </si>
  <si>
    <t>Micro CHP (gas-fired)) (hot water)</t>
  </si>
  <si>
    <t>District Heating (hot water)</t>
  </si>
  <si>
    <t>electricity-driven Heat pump (air) (hot water)</t>
  </si>
  <si>
    <t>woodpellets (biomass) heaters (hot water)</t>
  </si>
  <si>
    <t>Electric Heaters (resistance) (hot water)</t>
  </si>
  <si>
    <t>Gas-fired Heaters (hot water)</t>
  </si>
  <si>
    <t>Oil-fired Heaters (hot water)</t>
  </si>
  <si>
    <t>Coal-fired Heaters (hot water)</t>
  </si>
  <si>
    <t>Fuel Cell (hot water)</t>
  </si>
  <si>
    <t>Gas stoves</t>
  </si>
  <si>
    <t>Electric stoves (resistance)</t>
  </si>
  <si>
    <t>Electric halogen stoves</t>
  </si>
  <si>
    <t>Electric induction stoves</t>
  </si>
  <si>
    <t>Biomass stoves</t>
  </si>
  <si>
    <t>Incandescent lamps</t>
  </si>
  <si>
    <t>Low energy light bulbs / fluorescent lighting</t>
  </si>
  <si>
    <t>Dishwashers</t>
  </si>
  <si>
    <t>Fridges / Freezers</t>
  </si>
  <si>
    <t>Washing Machines</t>
  </si>
  <si>
    <t>Dryers</t>
  </si>
  <si>
    <t>Television</t>
  </si>
  <si>
    <t>Vacuum Cleaners</t>
  </si>
  <si>
    <t>Others</t>
  </si>
  <si>
    <t>Network gas</t>
  </si>
  <si>
    <t>Electricity</t>
  </si>
  <si>
    <t>Coal</t>
  </si>
  <si>
    <t>Oil</t>
  </si>
  <si>
    <t>Woodpellets</t>
  </si>
  <si>
    <t>District heat</t>
  </si>
  <si>
    <t>Diiference between Carrier demand in analysis and Carrier demand in IEA data (TJ)</t>
  </si>
  <si>
    <t>Data</t>
  </si>
  <si>
    <t>File input</t>
  </si>
  <si>
    <t>Number of residences</t>
  </si>
  <si>
    <t>Number of inhabitants</t>
  </si>
  <si>
    <t>Distribution of natural gas</t>
  </si>
  <si>
    <t>Distribution of electricity</t>
  </si>
  <si>
    <t>Space heating</t>
  </si>
  <si>
    <t>Hot water</t>
  </si>
  <si>
    <t>Cooling</t>
  </si>
  <si>
    <t>Appliances</t>
  </si>
  <si>
    <t>Biomass</t>
  </si>
  <si>
    <t>Heat</t>
  </si>
  <si>
    <t>Percentage of electricity used by:</t>
  </si>
  <si>
    <t>Dish washer</t>
  </si>
  <si>
    <t>Washing machine</t>
  </si>
  <si>
    <t>Dryer</t>
  </si>
  <si>
    <t>Computer and other media</t>
  </si>
  <si>
    <t>Vaccuum cleaner</t>
  </si>
  <si>
    <t>Refrigerator and freezer</t>
  </si>
  <si>
    <t>Condensing Combi Boiler</t>
  </si>
  <si>
    <t>solar thermal panels</t>
  </si>
  <si>
    <t>District Heating</t>
  </si>
  <si>
    <t>woodpellets (biomass) heaters</t>
  </si>
  <si>
    <t>Electric Heaters (resistance)</t>
  </si>
  <si>
    <t>Gas-fired Heaters</t>
  </si>
  <si>
    <t>Oil-fired Heaters</t>
  </si>
  <si>
    <t>Coal-fired Heaters</t>
  </si>
  <si>
    <t>Hybrid heatpump</t>
  </si>
  <si>
    <t xml:space="preserve"> UD shares cooking</t>
  </si>
  <si>
    <t>UD shares hot water</t>
  </si>
  <si>
    <t xml:space="preserve"> UD shares space heating</t>
  </si>
  <si>
    <t>Hybrid heat pump (space heating)</t>
  </si>
  <si>
    <t>Hybrid heat pump (hot water)</t>
  </si>
  <si>
    <t>District heating sources</t>
  </si>
  <si>
    <t>Zie bestand DOCUVITP-#2104193-v1-Annemarie_Rook_-_data_over_woningen_Flevoland_2015.xlsx</t>
  </si>
  <si>
    <t>Collective CHP biogas</t>
  </si>
  <si>
    <t>Collective CHP networkgas</t>
  </si>
  <si>
    <t>Collective CHP wood pellets</t>
  </si>
  <si>
    <t xml:space="preserve">Collective geothermal </t>
  </si>
  <si>
    <t>Central heat network</t>
  </si>
  <si>
    <t>Sources for district heating in households</t>
  </si>
  <si>
    <t>Klimaatmonitor: https://klimaatmonitor.databank.nl/Jive</t>
  </si>
  <si>
    <t xml:space="preserve">Energy demand </t>
  </si>
  <si>
    <t>TJ</t>
  </si>
  <si>
    <t>Division of (final) natural gas demand:</t>
  </si>
  <si>
    <t xml:space="preserve">Division of (final) electricity demand </t>
  </si>
  <si>
    <t>#</t>
  </si>
  <si>
    <t>Overgenomen uit nationaal. Door hoge percentage warmtenet, zou het kunnen dat we met koken aan de lage kant zitten</t>
  </si>
  <si>
    <t xml:space="preserve"> UD shares cooling</t>
  </si>
  <si>
    <t>Percentage of useful cooling energy delivered by</t>
  </si>
  <si>
    <t>heat pumps (ground)</t>
  </si>
  <si>
    <t>heat pumps (air)</t>
  </si>
  <si>
    <t>airconditioning</t>
  </si>
  <si>
    <t>No geothermal (klimaatmonitor)</t>
  </si>
  <si>
    <t>Working assumption: all district heating from central heat network. Will discuss with province</t>
  </si>
  <si>
    <t>National shares corrected with klimaatmonitor data for heat network connections</t>
  </si>
  <si>
    <t>From national data</t>
  </si>
  <si>
    <t>Application of district heat</t>
  </si>
  <si>
    <t>From national assumption</t>
  </si>
  <si>
    <t xml:space="preserve">Total </t>
  </si>
  <si>
    <t>Total</t>
  </si>
  <si>
    <t>National UD</t>
  </si>
  <si>
    <t>Gas-fired micro CHP</t>
  </si>
  <si>
    <t xml:space="preserve">UD division per carrier: </t>
  </si>
  <si>
    <t>Electricity-driven Heat pump (air)</t>
  </si>
  <si>
    <t>Electricity-driven Heat pump (ground)</t>
  </si>
  <si>
    <t>Fuel cell</t>
  </si>
  <si>
    <t>All oil goes in oil heater</t>
  </si>
  <si>
    <t>All coal goes in coal heater</t>
  </si>
  <si>
    <t>All woodpellets go in biomass heater</t>
  </si>
  <si>
    <t>All district space heating</t>
  </si>
  <si>
    <t xml:space="preserve">All solar thermal space heating </t>
  </si>
  <si>
    <t>Gas</t>
  </si>
  <si>
    <t>Other</t>
  </si>
  <si>
    <t xml:space="preserve">Electricity </t>
  </si>
  <si>
    <t>All cooking biomass goes here</t>
  </si>
  <si>
    <t>National gas technnology split</t>
  </si>
  <si>
    <t>National electricity technology split</t>
  </si>
  <si>
    <t>Klimaatmonitor: https://klimaatmonitor.databank.nl/Jive. Let op, deze gaat nu allemaal in space heating</t>
  </si>
  <si>
    <t>Percentage of light (useful energy) delivered by</t>
  </si>
  <si>
    <t>incandescent lamps</t>
  </si>
  <si>
    <t>low energy light bulbs (efficiient fluorescent lighting)</t>
  </si>
  <si>
    <t xml:space="preserve">R-value old houses </t>
  </si>
  <si>
    <t>R-value new houses</t>
  </si>
  <si>
    <t>Careful: this is only to split UD into old and new houses, it does not set the default R value. That must be done in the area analysis</t>
  </si>
  <si>
    <t>All cooking gas goes in the gas stove</t>
  </si>
  <si>
    <t>Old houses</t>
  </si>
  <si>
    <t>New houses</t>
  </si>
  <si>
    <t>Old/new split</t>
  </si>
  <si>
    <t>Total final demand (TJ)</t>
  </si>
  <si>
    <t>Percentage of total final demand</t>
  </si>
  <si>
    <t>Effective efficiency</t>
  </si>
  <si>
    <t>Checks</t>
  </si>
  <si>
    <t xml:space="preserve">Total FD from </t>
  </si>
  <si>
    <t>km2</t>
  </si>
  <si>
    <t>POSAD_Eindrapport-Ruimte_voor_energie_in_Flevoland-web_PASS-XS: 1570 ha geprojecteerd oppervlak, 50% geschikt, 30 graden helling</t>
  </si>
  <si>
    <t>Solar PV</t>
  </si>
  <si>
    <t>Wp/m2</t>
  </si>
  <si>
    <t>Capacity per unit surface</t>
  </si>
  <si>
    <t>Percentage of houses equipped with solar thermal panels</t>
  </si>
  <si>
    <t>%</t>
  </si>
  <si>
    <t xml:space="preserve">Installed solar PV capacity </t>
  </si>
  <si>
    <t>Wp</t>
  </si>
  <si>
    <t>Percentage of houses built before 1992</t>
  </si>
  <si>
    <t>Roof surface available</t>
  </si>
  <si>
    <t>Distribution of final demand</t>
  </si>
  <si>
    <t xml:space="preserve">Data </t>
  </si>
  <si>
    <t>Distribution of biomass</t>
  </si>
  <si>
    <t>Distribution of heat</t>
  </si>
  <si>
    <t>Market shares technologies</t>
  </si>
  <si>
    <t>ETM value: used for calculating market penetration, is not set into ETM</t>
  </si>
  <si>
    <t>Used constants</t>
  </si>
  <si>
    <t>National dataset</t>
  </si>
  <si>
    <t>Application of biomass</t>
  </si>
  <si>
    <t xml:space="preserve">Ratio gas usage to electricity usage is fixed, </t>
  </si>
  <si>
    <t xml:space="preserve">Careful: Hybrid heatpumps also use a part of electricity for heating. These percentages distribute what is left </t>
  </si>
  <si>
    <t xml:space="preserve">Careful: Hybrid heatpumps also use a part of electricity for hot water. These percentages distribute what is left </t>
  </si>
  <si>
    <t>Ratio electricity:gas usage hybrid heat pump space heating</t>
  </si>
  <si>
    <t>Ratio electricity:gas usage hybrid heat pump hot water</t>
  </si>
  <si>
    <t xml:space="preserve">In this sheet an overview is presented of the allocation of energy carriers over the different technologies and applications. In the next sheet, the initializer inputs are determined. </t>
  </si>
  <si>
    <t>Klimaatmonitor: https://klimaatmonitor.databank.nl/Jive (2/3 toegekend aan residences, 1/3 aan services)</t>
  </si>
  <si>
    <t>Lelystad bio CHP: 121.66 TJ heat per unit of 5.63 MW. 6 MW in Lelystad, dus 1.07 units neergezet, productie van 130.18 TJ</t>
  </si>
  <si>
    <t>Leftover from bio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</si>
</sst>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0.0000"/>
    <numFmt numFmtId="167" formatCode="#,##0.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6"/>
      <color theme="3"/>
      <name val="Calibri"/>
      <scheme val="minor"/>
    </font>
    <font>
      <sz val="11"/>
      <name val="Calibri"/>
      <family val="2"/>
      <scheme val="minor"/>
    </font>
    <font>
      <sz val="10"/>
      <name val="Arial"/>
    </font>
    <font>
      <sz val="11"/>
      <color indexed="10"/>
      <name val="Calibri"/>
      <family val="2"/>
    </font>
    <font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  <font>
      <sz val="12"/>
      <name val="Calibri"/>
      <scheme val="minor"/>
    </font>
    <font>
      <b/>
      <sz val="12"/>
      <name val="Calibri"/>
      <family val="2"/>
      <scheme val="minor"/>
    </font>
    <font>
      <u/>
      <sz val="12"/>
      <name val="Calibri"/>
      <scheme val="minor"/>
    </font>
    <font>
      <sz val="12"/>
      <color theme="3" tint="0.39997558519241921"/>
      <name val="Calibri"/>
      <scheme val="minor"/>
    </font>
    <font>
      <b/>
      <u/>
      <sz val="12"/>
      <color theme="1"/>
      <name val="Calibri"/>
      <scheme val="minor"/>
    </font>
    <font>
      <b/>
      <u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 style="medium">
        <color auto="1"/>
      </bottom>
      <diagonal/>
    </border>
    <border>
      <left style="thin">
        <color theme="0"/>
      </left>
      <right/>
      <top style="medium">
        <color auto="1"/>
      </top>
      <bottom/>
      <diagonal/>
    </border>
  </borders>
  <cellStyleXfs count="10">
    <xf numFmtId="0" fontId="0" fillId="0" borderId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1" applyNumberFormat="0" applyAlignment="0" applyProtection="0"/>
    <xf numFmtId="164" fontId="10" fillId="6" borderId="8">
      <alignment horizontal="right" vertical="center"/>
    </xf>
    <xf numFmtId="0" fontId="11" fillId="0" borderId="0" applyNumberFormat="0" applyFont="0" applyFill="0" applyBorder="0" applyAlignment="0" applyProtection="0"/>
    <xf numFmtId="9" fontId="11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</cellStyleXfs>
  <cellXfs count="209">
    <xf numFmtId="0" fontId="0" fillId="0" borderId="0" xfId="0"/>
    <xf numFmtId="0" fontId="0" fillId="4" borderId="0" xfId="0" applyFill="1"/>
    <xf numFmtId="0" fontId="0" fillId="4" borderId="5" xfId="0" applyFill="1" applyBorder="1"/>
    <xf numFmtId="0" fontId="0" fillId="4" borderId="0" xfId="0" applyFill="1" applyBorder="1"/>
    <xf numFmtId="0" fontId="0" fillId="4" borderId="3" xfId="0" applyFill="1" applyBorder="1"/>
    <xf numFmtId="0" fontId="6" fillId="4" borderId="2" xfId="0" applyFont="1" applyFill="1" applyBorder="1"/>
    <xf numFmtId="0" fontId="0" fillId="4" borderId="9" xfId="0" applyFill="1" applyBorder="1"/>
    <xf numFmtId="0" fontId="6" fillId="4" borderId="0" xfId="0" applyFont="1" applyFill="1" applyBorder="1"/>
    <xf numFmtId="2" fontId="0" fillId="4" borderId="0" xfId="0" applyNumberFormat="1" applyFill="1" applyBorder="1" applyAlignment="1">
      <alignment horizontal="left"/>
    </xf>
    <xf numFmtId="0" fontId="6" fillId="4" borderId="11" xfId="0" applyFont="1" applyFill="1" applyBorder="1"/>
    <xf numFmtId="0" fontId="0" fillId="4" borderId="12" xfId="0" applyFont="1" applyFill="1" applyBorder="1"/>
    <xf numFmtId="0" fontId="0" fillId="4" borderId="12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right"/>
    </xf>
    <xf numFmtId="0" fontId="0" fillId="4" borderId="12" xfId="0" applyFill="1" applyBorder="1"/>
    <xf numFmtId="0" fontId="0" fillId="4" borderId="13" xfId="0" applyFont="1" applyFill="1" applyBorder="1"/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13" xfId="0" applyFont="1" applyFill="1" applyBorder="1"/>
    <xf numFmtId="0" fontId="0" fillId="0" borderId="0" xfId="0" applyFont="1" applyFill="1" applyBorder="1"/>
    <xf numFmtId="0" fontId="16" fillId="4" borderId="13" xfId="0" applyFont="1" applyFill="1" applyBorder="1"/>
    <xf numFmtId="0" fontId="0" fillId="4" borderId="13" xfId="0" applyFill="1" applyBorder="1"/>
    <xf numFmtId="0" fontId="0" fillId="4" borderId="15" xfId="0" applyFont="1" applyFill="1" applyBorder="1" applyAlignment="1">
      <alignment horizontal="center"/>
    </xf>
    <xf numFmtId="9" fontId="1" fillId="4" borderId="0" xfId="1" applyFont="1" applyFill="1" applyBorder="1" applyAlignment="1">
      <alignment horizontal="right"/>
    </xf>
    <xf numFmtId="0" fontId="7" fillId="4" borderId="0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16" fillId="4" borderId="14" xfId="0" applyFont="1" applyFill="1" applyBorder="1"/>
    <xf numFmtId="0" fontId="0" fillId="4" borderId="5" xfId="0" applyFont="1" applyFill="1" applyBorder="1"/>
    <xf numFmtId="0" fontId="0" fillId="4" borderId="16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9" fontId="0" fillId="4" borderId="0" xfId="1" applyFont="1" applyFill="1" applyBorder="1" applyAlignment="1">
      <alignment horizontal="right"/>
    </xf>
    <xf numFmtId="10" fontId="7" fillId="4" borderId="5" xfId="1" applyNumberFormat="1" applyFont="1" applyFill="1" applyBorder="1" applyAlignment="1">
      <alignment horizontal="right"/>
    </xf>
    <xf numFmtId="0" fontId="7" fillId="4" borderId="5" xfId="0" applyFont="1" applyFill="1" applyBorder="1" applyAlignment="1">
      <alignment horizontal="left"/>
    </xf>
    <xf numFmtId="10" fontId="7" fillId="4" borderId="0" xfId="1" applyNumberFormat="1" applyFont="1" applyFill="1" applyBorder="1" applyAlignment="1">
      <alignment horizontal="right"/>
    </xf>
    <xf numFmtId="10" fontId="0" fillId="4" borderId="5" xfId="1" applyNumberFormat="1" applyFont="1" applyFill="1" applyBorder="1" applyAlignment="1">
      <alignment horizontal="right"/>
    </xf>
    <xf numFmtId="10" fontId="0" fillId="4" borderId="0" xfId="1" applyNumberFormat="1" applyFont="1" applyFill="1" applyBorder="1" applyAlignment="1">
      <alignment horizontal="right"/>
    </xf>
    <xf numFmtId="0" fontId="16" fillId="4" borderId="18" xfId="0" applyFont="1" applyFill="1" applyBorder="1"/>
    <xf numFmtId="0" fontId="0" fillId="4" borderId="3" xfId="0" applyFont="1" applyFill="1" applyBorder="1"/>
    <xf numFmtId="0" fontId="0" fillId="4" borderId="3" xfId="0" applyFill="1" applyBorder="1" applyAlignment="1">
      <alignment horizontal="left"/>
    </xf>
    <xf numFmtId="0" fontId="0" fillId="4" borderId="5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10" fontId="0" fillId="4" borderId="3" xfId="1" applyNumberFormat="1" applyFont="1" applyFill="1" applyBorder="1" applyAlignment="1">
      <alignment horizontal="right"/>
    </xf>
    <xf numFmtId="0" fontId="0" fillId="4" borderId="21" xfId="0" applyFont="1" applyFill="1" applyBorder="1"/>
    <xf numFmtId="0" fontId="0" fillId="4" borderId="6" xfId="0" applyFont="1" applyFill="1" applyBorder="1"/>
    <xf numFmtId="0" fontId="0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6" xfId="0" applyFill="1" applyBorder="1"/>
    <xf numFmtId="0" fontId="15" fillId="5" borderId="14" xfId="0" applyFont="1" applyFill="1" applyBorder="1"/>
    <xf numFmtId="0" fontId="15" fillId="4" borderId="5" xfId="0" applyFont="1" applyFill="1" applyBorder="1"/>
    <xf numFmtId="0" fontId="0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indent="2"/>
    </xf>
    <xf numFmtId="3" fontId="0" fillId="4" borderId="9" xfId="0" applyNumberFormat="1" applyFont="1" applyFill="1" applyBorder="1" applyAlignment="1">
      <alignment horizontal="right"/>
    </xf>
    <xf numFmtId="0" fontId="0" fillId="4" borderId="15" xfId="0" applyFill="1" applyBorder="1"/>
    <xf numFmtId="10" fontId="0" fillId="4" borderId="9" xfId="1" applyNumberFormat="1" applyFont="1" applyFill="1" applyBorder="1"/>
    <xf numFmtId="10" fontId="0" fillId="4" borderId="0" xfId="1" applyNumberFormat="1" applyFont="1" applyFill="1" applyBorder="1"/>
    <xf numFmtId="0" fontId="8" fillId="4" borderId="17" xfId="0" applyFont="1" applyFill="1" applyBorder="1"/>
    <xf numFmtId="0" fontId="8" fillId="4" borderId="9" xfId="0" applyFont="1" applyFill="1" applyBorder="1"/>
    <xf numFmtId="0" fontId="8" fillId="4" borderId="0" xfId="0" applyFont="1" applyFill="1" applyBorder="1" applyAlignment="1">
      <alignment horizontal="left"/>
    </xf>
    <xf numFmtId="0" fontId="0" fillId="4" borderId="20" xfId="0" applyFill="1" applyBorder="1"/>
    <xf numFmtId="0" fontId="0" fillId="4" borderId="22" xfId="0" applyFill="1" applyBorder="1"/>
    <xf numFmtId="0" fontId="0" fillId="4" borderId="23" xfId="0" applyFill="1" applyBorder="1"/>
    <xf numFmtId="0" fontId="15" fillId="4" borderId="24" xfId="0" applyFont="1" applyFill="1" applyBorder="1"/>
    <xf numFmtId="0" fontId="6" fillId="4" borderId="23" xfId="0" applyFont="1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9" fillId="4" borderId="0" xfId="0" applyFont="1" applyFill="1" applyBorder="1"/>
    <xf numFmtId="0" fontId="6" fillId="4" borderId="14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6" fillId="4" borderId="0" xfId="0" applyFont="1" applyFill="1" applyBorder="1" applyAlignment="1">
      <alignment vertical="top" wrapText="1"/>
    </xf>
    <xf numFmtId="0" fontId="19" fillId="4" borderId="13" xfId="0" applyFont="1" applyFill="1" applyBorder="1"/>
    <xf numFmtId="0" fontId="6" fillId="4" borderId="3" xfId="0" applyFont="1" applyFill="1" applyBorder="1" applyAlignment="1">
      <alignment vertical="top" wrapText="1"/>
    </xf>
    <xf numFmtId="0" fontId="0" fillId="4" borderId="23" xfId="0" applyFont="1" applyFill="1" applyBorder="1"/>
    <xf numFmtId="0" fontId="0" fillId="4" borderId="0" xfId="0" applyFont="1" applyFill="1"/>
    <xf numFmtId="0" fontId="14" fillId="4" borderId="13" xfId="0" applyFont="1" applyFill="1" applyBorder="1"/>
    <xf numFmtId="4" fontId="6" fillId="4" borderId="5" xfId="0" applyNumberFormat="1" applyFont="1" applyFill="1" applyBorder="1"/>
    <xf numFmtId="4" fontId="6" fillId="4" borderId="0" xfId="0" applyNumberFormat="1" applyFont="1" applyFill="1" applyBorder="1"/>
    <xf numFmtId="0" fontId="19" fillId="4" borderId="5" xfId="0" applyFont="1" applyFill="1" applyBorder="1"/>
    <xf numFmtId="0" fontId="17" fillId="0" borderId="0" xfId="0" applyFont="1" applyFill="1" applyBorder="1"/>
    <xf numFmtId="4" fontId="14" fillId="4" borderId="13" xfId="0" applyNumberFormat="1" applyFont="1" applyFill="1" applyBorder="1" applyAlignment="1">
      <alignment horizontal="left"/>
    </xf>
    <xf numFmtId="11" fontId="0" fillId="4" borderId="0" xfId="0" applyNumberFormat="1" applyFill="1"/>
    <xf numFmtId="0" fontId="17" fillId="0" borderId="5" xfId="0" applyFont="1" applyFill="1" applyBorder="1"/>
    <xf numFmtId="0" fontId="17" fillId="4" borderId="0" xfId="0" applyFont="1" applyFill="1" applyBorder="1"/>
    <xf numFmtId="10" fontId="19" fillId="4" borderId="0" xfId="0" applyNumberFormat="1" applyFont="1" applyFill="1" applyBorder="1"/>
    <xf numFmtId="4" fontId="6" fillId="4" borderId="3" xfId="0" applyNumberFormat="1" applyFont="1" applyFill="1" applyBorder="1"/>
    <xf numFmtId="0" fontId="19" fillId="4" borderId="14" xfId="0" applyFont="1" applyFill="1" applyBorder="1"/>
    <xf numFmtId="0" fontId="17" fillId="4" borderId="5" xfId="0" applyFont="1" applyFill="1" applyBorder="1"/>
    <xf numFmtId="4" fontId="0" fillId="4" borderId="5" xfId="0" applyNumberFormat="1" applyFont="1" applyFill="1" applyBorder="1"/>
    <xf numFmtId="4" fontId="0" fillId="4" borderId="27" xfId="0" applyNumberFormat="1" applyFont="1" applyFill="1" applyBorder="1"/>
    <xf numFmtId="4" fontId="0" fillId="4" borderId="0" xfId="0" applyNumberFormat="1" applyFont="1" applyFill="1" applyBorder="1"/>
    <xf numFmtId="2" fontId="0" fillId="4" borderId="0" xfId="0" applyNumberFormat="1" applyFill="1" applyBorder="1"/>
    <xf numFmtId="0" fontId="20" fillId="4" borderId="0" xfId="0" applyFont="1" applyFill="1" applyBorder="1"/>
    <xf numFmtId="0" fontId="20" fillId="4" borderId="0" xfId="0" applyFont="1" applyFill="1"/>
    <xf numFmtId="0" fontId="19" fillId="4" borderId="0" xfId="0" applyFont="1" applyFill="1" applyBorder="1"/>
    <xf numFmtId="4" fontId="19" fillId="4" borderId="0" xfId="0" applyNumberFormat="1" applyFont="1" applyFill="1" applyBorder="1"/>
    <xf numFmtId="4" fontId="19" fillId="4" borderId="5" xfId="0" applyNumberFormat="1" applyFont="1" applyFill="1" applyBorder="1"/>
    <xf numFmtId="0" fontId="0" fillId="0" borderId="5" xfId="0" applyFont="1" applyFill="1" applyBorder="1"/>
    <xf numFmtId="4" fontId="0" fillId="4" borderId="27" xfId="0" applyNumberFormat="1" applyFill="1" applyBorder="1"/>
    <xf numFmtId="4" fontId="0" fillId="4" borderId="5" xfId="0" applyNumberFormat="1" applyFill="1" applyBorder="1"/>
    <xf numFmtId="0" fontId="6" fillId="4" borderId="3" xfId="0" applyFont="1" applyFill="1" applyBorder="1" applyAlignment="1"/>
    <xf numFmtId="4" fontId="6" fillId="0" borderId="7" xfId="0" applyNumberFormat="1" applyFont="1" applyFill="1" applyBorder="1"/>
    <xf numFmtId="4" fontId="6" fillId="0" borderId="0" xfId="0" applyNumberFormat="1" applyFont="1" applyFill="1" applyBorder="1"/>
    <xf numFmtId="0" fontId="6" fillId="4" borderId="0" xfId="0" applyFont="1" applyFill="1" applyBorder="1" applyAlignment="1"/>
    <xf numFmtId="9" fontId="6" fillId="0" borderId="0" xfId="1" applyNumberFormat="1" applyFont="1" applyFill="1" applyBorder="1"/>
    <xf numFmtId="0" fontId="0" fillId="4" borderId="21" xfId="0" applyFill="1" applyBorder="1"/>
    <xf numFmtId="0" fontId="5" fillId="4" borderId="1" xfId="3" applyFill="1"/>
    <xf numFmtId="0" fontId="5" fillId="4" borderId="0" xfId="3" applyFill="1" applyBorder="1"/>
    <xf numFmtId="11" fontId="0" fillId="4" borderId="0" xfId="0" applyNumberFormat="1" applyFill="1" applyBorder="1"/>
    <xf numFmtId="166" fontId="13" fillId="4" borderId="0" xfId="9" applyNumberFormat="1" applyFill="1" applyBorder="1"/>
    <xf numFmtId="165" fontId="1" fillId="4" borderId="23" xfId="1" applyNumberFormat="1" applyFont="1" applyFill="1" applyBorder="1"/>
    <xf numFmtId="0" fontId="1" fillId="4" borderId="23" xfId="0" applyFont="1" applyFill="1" applyBorder="1"/>
    <xf numFmtId="9" fontId="6" fillId="4" borderId="0" xfId="1" applyNumberFormat="1" applyFont="1" applyFill="1" applyBorder="1"/>
    <xf numFmtId="0" fontId="0" fillId="0" borderId="0" xfId="0" applyBorder="1"/>
    <xf numFmtId="0" fontId="0" fillId="4" borderId="0" xfId="0" applyFill="1" applyBorder="1" applyAlignment="1">
      <alignment horizontal="left" indent="2"/>
    </xf>
    <xf numFmtId="0" fontId="0" fillId="4" borderId="29" xfId="0" applyFont="1" applyFill="1" applyBorder="1" applyAlignment="1">
      <alignment horizontal="left" indent="2"/>
    </xf>
    <xf numFmtId="0" fontId="0" fillId="4" borderId="28" xfId="0" applyFill="1" applyBorder="1"/>
    <xf numFmtId="2" fontId="0" fillId="0" borderId="0" xfId="0" applyNumberFormat="1"/>
    <xf numFmtId="0" fontId="17" fillId="4" borderId="0" xfId="0" applyFont="1" applyFill="1" applyBorder="1" applyAlignment="1">
      <alignment horizontal="left" indent="2"/>
    </xf>
    <xf numFmtId="3" fontId="0" fillId="4" borderId="15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10" fontId="0" fillId="4" borderId="0" xfId="0" applyNumberFormat="1" applyFill="1" applyBorder="1"/>
    <xf numFmtId="0" fontId="0" fillId="4" borderId="0" xfId="0" applyFill="1" applyAlignment="1">
      <alignment horizontal="left"/>
    </xf>
    <xf numFmtId="0" fontId="0" fillId="4" borderId="12" xfId="0" applyFont="1" applyFill="1" applyBorder="1" applyAlignment="1">
      <alignment horizontal="left"/>
    </xf>
    <xf numFmtId="0" fontId="15" fillId="4" borderId="5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" fontId="0" fillId="4" borderId="23" xfId="0" applyNumberFormat="1" applyFont="1" applyFill="1" applyBorder="1" applyAlignment="1">
      <alignment horizontal="left"/>
    </xf>
    <xf numFmtId="3" fontId="0" fillId="4" borderId="0" xfId="0" applyNumberFormat="1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10" fontId="0" fillId="4" borderId="0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10" fontId="0" fillId="4" borderId="0" xfId="1" applyNumberFormat="1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0" borderId="0" xfId="0" applyAlignment="1">
      <alignment horizontal="left"/>
    </xf>
    <xf numFmtId="10" fontId="0" fillId="4" borderId="9" xfId="1" applyNumberFormat="1" applyFont="1" applyFill="1" applyBorder="1" applyAlignment="1">
      <alignment horizontal="right"/>
    </xf>
    <xf numFmtId="0" fontId="8" fillId="4" borderId="0" xfId="0" applyFont="1" applyFill="1" applyBorder="1"/>
    <xf numFmtId="1" fontId="6" fillId="4" borderId="0" xfId="1" applyNumberFormat="1" applyFont="1" applyFill="1" applyBorder="1" applyAlignment="1">
      <alignment vertical="top" wrapText="1"/>
    </xf>
    <xf numFmtId="4" fontId="22" fillId="4" borderId="0" xfId="0" applyNumberFormat="1" applyFont="1" applyFill="1" applyBorder="1"/>
    <xf numFmtId="10" fontId="0" fillId="4" borderId="5" xfId="0" applyNumberFormat="1" applyFont="1" applyFill="1" applyBorder="1" applyAlignment="1">
      <alignment horizontal="right"/>
    </xf>
    <xf numFmtId="10" fontId="0" fillId="4" borderId="0" xfId="0" applyNumberFormat="1" applyFont="1" applyFill="1" applyBorder="1" applyAlignment="1">
      <alignment horizontal="right"/>
    </xf>
    <xf numFmtId="10" fontId="0" fillId="4" borderId="6" xfId="0" applyNumberFormat="1" applyFont="1" applyFill="1" applyBorder="1" applyAlignment="1">
      <alignment horizontal="right"/>
    </xf>
    <xf numFmtId="0" fontId="0" fillId="4" borderId="17" xfId="0" applyFill="1" applyBorder="1"/>
    <xf numFmtId="0" fontId="8" fillId="4" borderId="30" xfId="0" applyFont="1" applyFill="1" applyBorder="1"/>
    <xf numFmtId="4" fontId="18" fillId="4" borderId="0" xfId="0" applyNumberFormat="1" applyFont="1" applyFill="1" applyBorder="1"/>
    <xf numFmtId="0" fontId="0" fillId="4" borderId="5" xfId="0" applyFont="1" applyFill="1" applyBorder="1" applyAlignment="1">
      <alignment horizontal="left" indent="2"/>
    </xf>
    <xf numFmtId="10" fontId="0" fillId="4" borderId="5" xfId="1" applyNumberFormat="1" applyFont="1" applyFill="1" applyBorder="1" applyAlignment="1">
      <alignment horizontal="left"/>
    </xf>
    <xf numFmtId="0" fontId="8" fillId="4" borderId="5" xfId="0" applyFont="1" applyFill="1" applyBorder="1"/>
    <xf numFmtId="0" fontId="0" fillId="0" borderId="0" xfId="0" applyNumberFormat="1"/>
    <xf numFmtId="0" fontId="0" fillId="4" borderId="0" xfId="0" applyNumberFormat="1" applyFill="1" applyBorder="1" applyAlignment="1">
      <alignment horizontal="left"/>
    </xf>
    <xf numFmtId="0" fontId="0" fillId="4" borderId="20" xfId="1" applyNumberFormat="1" applyFont="1" applyFill="1" applyBorder="1" applyAlignment="1">
      <alignment horizontal="right"/>
    </xf>
    <xf numFmtId="0" fontId="0" fillId="4" borderId="9" xfId="1" applyNumberFormat="1" applyFont="1" applyFill="1" applyBorder="1" applyAlignment="1">
      <alignment horizontal="right"/>
    </xf>
    <xf numFmtId="0" fontId="19" fillId="4" borderId="18" xfId="0" applyFont="1" applyFill="1" applyBorder="1"/>
    <xf numFmtId="0" fontId="19" fillId="4" borderId="31" xfId="0" applyFont="1" applyFill="1" applyBorder="1"/>
    <xf numFmtId="4" fontId="6" fillId="4" borderId="31" xfId="0" applyNumberFormat="1" applyFont="1" applyFill="1" applyBorder="1"/>
    <xf numFmtId="0" fontId="16" fillId="4" borderId="13" xfId="0" applyFont="1" applyFill="1" applyBorder="1" applyAlignment="1">
      <alignment vertical="top" wrapText="1"/>
    </xf>
    <xf numFmtId="0" fontId="0" fillId="4" borderId="13" xfId="0" applyFont="1" applyFill="1" applyBorder="1" applyAlignment="1">
      <alignment horizontal="left" indent="2"/>
    </xf>
    <xf numFmtId="0" fontId="0" fillId="4" borderId="32" xfId="0" applyFont="1" applyFill="1" applyBorder="1" applyAlignment="1">
      <alignment horizontal="left" indent="2"/>
    </xf>
    <xf numFmtId="3" fontId="6" fillId="4" borderId="7" xfId="0" applyNumberFormat="1" applyFont="1" applyFill="1" applyBorder="1" applyAlignment="1">
      <alignment vertical="top" wrapText="1"/>
    </xf>
    <xf numFmtId="4" fontId="0" fillId="4" borderId="7" xfId="0" applyNumberFormat="1" applyFont="1" applyFill="1" applyBorder="1" applyAlignment="1">
      <alignment vertical="top" wrapText="1"/>
    </xf>
    <xf numFmtId="4" fontId="6" fillId="4" borderId="7" xfId="0" applyNumberFormat="1" applyFont="1" applyFill="1" applyBorder="1" applyAlignment="1">
      <alignment vertical="top" wrapText="1"/>
    </xf>
    <xf numFmtId="4" fontId="6" fillId="4" borderId="7" xfId="0" applyNumberFormat="1" applyFont="1" applyFill="1" applyBorder="1"/>
    <xf numFmtId="4" fontId="4" fillId="4" borderId="7" xfId="2" applyNumberFormat="1" applyFill="1" applyBorder="1"/>
    <xf numFmtId="4" fontId="0" fillId="4" borderId="7" xfId="0" applyNumberFormat="1" applyFill="1" applyBorder="1"/>
    <xf numFmtId="0" fontId="0" fillId="4" borderId="5" xfId="0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/>
    </xf>
    <xf numFmtId="0" fontId="6" fillId="4" borderId="24" xfId="0" applyFont="1" applyFill="1" applyBorder="1" applyAlignment="1">
      <alignment vertical="top" wrapText="1"/>
    </xf>
    <xf numFmtId="10" fontId="4" fillId="4" borderId="0" xfId="2" applyNumberFormat="1" applyFill="1" applyBorder="1"/>
    <xf numFmtId="10" fontId="4" fillId="4" borderId="0" xfId="2" applyNumberFormat="1" applyFont="1" applyFill="1" applyBorder="1"/>
    <xf numFmtId="0" fontId="6" fillId="4" borderId="0" xfId="0" applyFont="1" applyFill="1" applyBorder="1" applyAlignment="1">
      <alignment wrapText="1"/>
    </xf>
    <xf numFmtId="0" fontId="0" fillId="4" borderId="0" xfId="0" applyFill="1" applyBorder="1" applyAlignment="1">
      <alignment vertical="top" wrapText="1"/>
    </xf>
    <xf numFmtId="4" fontId="4" fillId="7" borderId="2" xfId="2" applyNumberFormat="1" applyFill="1" applyBorder="1"/>
    <xf numFmtId="4" fontId="4" fillId="7" borderId="3" xfId="2" applyNumberFormat="1" applyFill="1" applyBorder="1"/>
    <xf numFmtId="4" fontId="4" fillId="7" borderId="0" xfId="2" applyNumberFormat="1" applyFill="1" applyBorder="1"/>
    <xf numFmtId="4" fontId="4" fillId="7" borderId="7" xfId="2" applyNumberFormat="1" applyFill="1" applyBorder="1"/>
    <xf numFmtId="4" fontId="4" fillId="7" borderId="5" xfId="2" applyNumberFormat="1" applyFill="1" applyBorder="1"/>
    <xf numFmtId="4" fontId="4" fillId="7" borderId="4" xfId="2" applyNumberFormat="1" applyFill="1" applyBorder="1"/>
    <xf numFmtId="4" fontId="6" fillId="4" borderId="2" xfId="0" applyNumberFormat="1" applyFont="1" applyFill="1" applyBorder="1"/>
    <xf numFmtId="4" fontId="4" fillId="4" borderId="2" xfId="2" applyNumberFormat="1" applyFill="1" applyBorder="1"/>
    <xf numFmtId="0" fontId="1" fillId="4" borderId="25" xfId="0" applyFont="1" applyFill="1" applyBorder="1"/>
    <xf numFmtId="2" fontId="0" fillId="4" borderId="3" xfId="0" applyNumberFormat="1" applyFill="1" applyBorder="1"/>
    <xf numFmtId="165" fontId="1" fillId="4" borderId="25" xfId="1" applyNumberFormat="1" applyFont="1" applyFill="1" applyBorder="1"/>
    <xf numFmtId="167" fontId="0" fillId="4" borderId="9" xfId="0" applyNumberFormat="1" applyFont="1" applyFill="1" applyBorder="1" applyAlignment="1">
      <alignment horizontal="right"/>
    </xf>
    <xf numFmtId="0" fontId="0" fillId="0" borderId="9" xfId="0" applyFill="1" applyBorder="1"/>
    <xf numFmtId="0" fontId="21" fillId="4" borderId="18" xfId="0" applyFont="1" applyFill="1" applyBorder="1"/>
    <xf numFmtId="0" fontId="6" fillId="4" borderId="31" xfId="0" applyFont="1" applyFill="1" applyBorder="1"/>
    <xf numFmtId="4" fontId="6" fillId="4" borderId="33" xfId="0" applyNumberFormat="1" applyFont="1" applyFill="1" applyBorder="1"/>
    <xf numFmtId="0" fontId="6" fillId="4" borderId="25" xfId="0" applyFont="1" applyFill="1" applyBorder="1"/>
    <xf numFmtId="10" fontId="0" fillId="4" borderId="9" xfId="0" applyNumberFormat="1" applyFill="1" applyBorder="1"/>
    <xf numFmtId="10" fontId="0" fillId="4" borderId="9" xfId="0" applyNumberFormat="1" applyFont="1" applyFill="1" applyBorder="1" applyAlignment="1">
      <alignment horizontal="right"/>
    </xf>
    <xf numFmtId="0" fontId="16" fillId="4" borderId="0" xfId="0" applyFont="1" applyFill="1" applyBorder="1"/>
    <xf numFmtId="0" fontId="16" fillId="4" borderId="21" xfId="0" applyFont="1" applyFill="1" applyBorder="1"/>
    <xf numFmtId="0" fontId="0" fillId="4" borderId="34" xfId="0" applyFont="1" applyFill="1" applyBorder="1" applyAlignment="1">
      <alignment horizontal="center"/>
    </xf>
    <xf numFmtId="164" fontId="17" fillId="4" borderId="6" xfId="1" applyNumberFormat="1" applyFont="1" applyFill="1" applyBorder="1" applyAlignment="1">
      <alignment horizontal="right"/>
    </xf>
    <xf numFmtId="10" fontId="0" fillId="4" borderId="6" xfId="1" applyNumberFormat="1" applyFont="1" applyFill="1" applyBorder="1" applyAlignment="1">
      <alignment horizontal="right"/>
    </xf>
    <xf numFmtId="0" fontId="16" fillId="4" borderId="11" xfId="0" applyFont="1" applyFill="1" applyBorder="1"/>
    <xf numFmtId="0" fontId="0" fillId="4" borderId="35" xfId="0" applyFont="1" applyFill="1" applyBorder="1" applyAlignment="1">
      <alignment horizontal="center"/>
    </xf>
    <xf numFmtId="10" fontId="0" fillId="4" borderId="12" xfId="0" applyNumberFormat="1" applyFont="1" applyFill="1" applyBorder="1" applyAlignment="1">
      <alignment horizontal="right"/>
    </xf>
    <xf numFmtId="0" fontId="0" fillId="4" borderId="12" xfId="0" applyFill="1" applyBorder="1" applyAlignment="1">
      <alignment horizontal="left"/>
    </xf>
    <xf numFmtId="10" fontId="0" fillId="4" borderId="5" xfId="0" applyNumberFormat="1" applyFill="1" applyBorder="1"/>
    <xf numFmtId="10" fontId="0" fillId="0" borderId="0" xfId="0" applyNumberFormat="1"/>
    <xf numFmtId="2" fontId="0" fillId="4" borderId="9" xfId="0" applyNumberFormat="1" applyFill="1" applyBorder="1"/>
    <xf numFmtId="2" fontId="0" fillId="0" borderId="9" xfId="0" applyNumberFormat="1" applyBorder="1"/>
    <xf numFmtId="9" fontId="0" fillId="4" borderId="0" xfId="0" applyNumberFormat="1" applyFill="1" applyBorder="1" applyAlignment="1">
      <alignment horizontal="left"/>
    </xf>
    <xf numFmtId="0" fontId="0" fillId="4" borderId="1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0">
    <cellStyle name="Good" xfId="2" builtinId="26"/>
    <cellStyle name="Input" xfId="3" builtinId="20"/>
    <cellStyle name="Input cel" xfId="4"/>
    <cellStyle name="Linked Cell" xfId="9" builtinId="24"/>
    <cellStyle name="Normal" xfId="0" builtinId="0"/>
    <cellStyle name="Normal 2" xfId="5"/>
    <cellStyle name="Percent" xfId="1" builtinId="5"/>
    <cellStyle name="Percent 2" xfId="6"/>
    <cellStyle name="Percent 3" xfId="7"/>
    <cellStyle name="Warning Text 3" xfId="8"/>
  </cellStyles>
  <dxfs count="1">
    <dxf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rend/etdataset/analyses/6_residences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Corrected energy balance step 2"/>
      <sheetName val="technical_specs"/>
      <sheetName val="Application Shares"/>
      <sheetName val="Technology Shares"/>
      <sheetName val="Houses Shares"/>
      <sheetName val="Final demand per energy carrier"/>
      <sheetName val="Technology split final demand"/>
      <sheetName val="Electricity producer Shares"/>
      <sheetName val="Fuel aggregation"/>
      <sheetName val="Useful-final demand percentage"/>
      <sheetName val="csv_final_demand_coal"/>
      <sheetName val="csv_final_demand_crude_oil"/>
      <sheetName val="csv_final_demand_network_gas"/>
      <sheetName val="csv_final_demand_woodpellets"/>
      <sheetName val="csv_final_demand_electricity"/>
      <sheetName val="csv_final_demand_steam"/>
      <sheetName val="csv_cooling_electricity"/>
      <sheetName val="csv_heating_network_gas"/>
      <sheetName val="csv_heating_electricity"/>
      <sheetName val="csv_water_network_gas"/>
      <sheetName val="csv_water_electricity"/>
      <sheetName val="csv_cooking_electricity"/>
      <sheetName val="csv_lighting_electricity"/>
      <sheetName val="csv_appliances_electricity"/>
      <sheetName val="csv_solar_thermal_heater"/>
      <sheetName val="csv_cooling_old-new"/>
      <sheetName val="csv_heating_old-new"/>
      <sheetName val="csv_cooling_insulation_old"/>
      <sheetName val="csv_cooling_insulation_new"/>
      <sheetName val="csv_heating_insulation_new"/>
      <sheetName val="csv_heating_insulation_old"/>
      <sheetName val="csv_heating_micro_chp_gas"/>
      <sheetName val="csv_water_micro_chp_gas"/>
      <sheetName val="csv_water_fuell_cell_gas"/>
      <sheetName val="csv_solar_space_heating_chld"/>
      <sheetName val="csv_solar_hot_water_chld"/>
      <sheetName val="csv_solar_heater_and_p2h_parent"/>
      <sheetName val="csv_hot_water_p2h_child"/>
      <sheetName val="csv_export_to_area_analysis"/>
    </sheetNames>
    <sheetDataSet>
      <sheetData sheetId="0"/>
      <sheetData sheetId="1"/>
      <sheetData sheetId="2"/>
      <sheetData sheetId="3"/>
      <sheetData sheetId="4"/>
      <sheetData sheetId="5"/>
      <sheetData sheetId="6">
        <row r="20">
          <cell r="E20">
            <v>292481.03262334003</v>
          </cell>
        </row>
        <row r="21">
          <cell r="E21">
            <v>71970.539521814397</v>
          </cell>
        </row>
        <row r="22">
          <cell r="E22">
            <v>6530.3137113401999</v>
          </cell>
        </row>
        <row r="23">
          <cell r="E23">
            <v>12127.725463917501</v>
          </cell>
        </row>
        <row r="24">
          <cell r="E24">
            <v>9890.7872362886592</v>
          </cell>
        </row>
        <row r="25">
          <cell r="E25">
            <v>57833.111258999998</v>
          </cell>
        </row>
      </sheetData>
      <sheetData sheetId="7"/>
      <sheetData sheetId="8">
        <row r="11">
          <cell r="P11">
            <v>1.0669999999999999</v>
          </cell>
        </row>
        <row r="12">
          <cell r="P12">
            <v>1</v>
          </cell>
        </row>
        <row r="13">
          <cell r="P13">
            <v>4.8000000000000078</v>
          </cell>
        </row>
        <row r="14">
          <cell r="P14">
            <v>0.88</v>
          </cell>
        </row>
        <row r="15">
          <cell r="P15">
            <v>1</v>
          </cell>
        </row>
        <row r="16">
          <cell r="P16">
            <v>4.5000000000000044</v>
          </cell>
        </row>
        <row r="17">
          <cell r="P17">
            <v>0.82</v>
          </cell>
        </row>
        <row r="18">
          <cell r="P18">
            <v>1</v>
          </cell>
        </row>
        <row r="19">
          <cell r="P19">
            <v>0.8</v>
          </cell>
        </row>
        <row r="20">
          <cell r="P20">
            <v>0.85</v>
          </cell>
        </row>
        <row r="21">
          <cell r="P21">
            <v>0.8</v>
          </cell>
        </row>
        <row r="22">
          <cell r="P22">
            <v>4.4999999999999885</v>
          </cell>
        </row>
        <row r="23">
          <cell r="P23">
            <v>1.0669999999999999</v>
          </cell>
        </row>
        <row r="26">
          <cell r="P26">
            <v>0.9</v>
          </cell>
        </row>
        <row r="27">
          <cell r="P27">
            <v>1</v>
          </cell>
        </row>
        <row r="28">
          <cell r="P28">
            <v>3.0000000000000031</v>
          </cell>
        </row>
        <row r="29">
          <cell r="P29">
            <v>0.88</v>
          </cell>
        </row>
        <row r="30">
          <cell r="P30">
            <v>1</v>
          </cell>
        </row>
        <row r="31">
          <cell r="P31">
            <v>3.0000000000000031</v>
          </cell>
        </row>
        <row r="32">
          <cell r="P32">
            <v>0.82</v>
          </cell>
        </row>
        <row r="33">
          <cell r="P33">
            <v>0.95</v>
          </cell>
        </row>
        <row r="34">
          <cell r="P34">
            <v>0.67</v>
          </cell>
        </row>
        <row r="35">
          <cell r="P35">
            <v>0.85</v>
          </cell>
        </row>
        <row r="36">
          <cell r="P36">
            <v>0.8</v>
          </cell>
        </row>
        <row r="37">
          <cell r="P37">
            <v>0.2</v>
          </cell>
        </row>
        <row r="38">
          <cell r="P38">
            <v>3.0000000000000044</v>
          </cell>
        </row>
        <row r="39">
          <cell r="P39">
            <v>0.9</v>
          </cell>
        </row>
        <row r="42">
          <cell r="P42">
            <v>18.999999999050001</v>
          </cell>
        </row>
        <row r="43">
          <cell r="P43">
            <v>4.5000000000000044</v>
          </cell>
        </row>
        <row r="44">
          <cell r="P44">
            <v>4</v>
          </cell>
        </row>
        <row r="47">
          <cell r="P47">
            <v>0.4</v>
          </cell>
        </row>
        <row r="48">
          <cell r="P48">
            <v>0.55000000000000004</v>
          </cell>
        </row>
        <row r="49">
          <cell r="P49">
            <v>0.6</v>
          </cell>
        </row>
        <row r="50">
          <cell r="P50">
            <v>0.85</v>
          </cell>
        </row>
        <row r="51">
          <cell r="P51">
            <v>0.3</v>
          </cell>
        </row>
        <row r="54">
          <cell r="P54">
            <v>0.05</v>
          </cell>
        </row>
        <row r="55">
          <cell r="P55">
            <v>0.25</v>
          </cell>
        </row>
        <row r="56">
          <cell r="P56">
            <v>0.5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11">
          <cell r="C11">
            <v>205.11</v>
          </cell>
          <cell r="D11">
            <v>331545.53000000003</v>
          </cell>
          <cell r="E11">
            <v>3700.96</v>
          </cell>
          <cell r="F11">
            <v>12820.53</v>
          </cell>
          <cell r="G11">
            <v>934.83</v>
          </cell>
          <cell r="I11">
            <v>90491.49</v>
          </cell>
          <cell r="J11">
            <v>11141.87</v>
          </cell>
          <cell r="L11">
            <v>451110.33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J169"/>
  <sheetViews>
    <sheetView topLeftCell="C40" workbookViewId="0">
      <selection activeCell="F18" sqref="F18"/>
    </sheetView>
  </sheetViews>
  <sheetFormatPr baseColWidth="10" defaultRowHeight="16" x14ac:dyDescent="0.2"/>
  <cols>
    <col min="2" max="2" width="29.83203125" customWidth="1"/>
    <col min="3" max="3" width="75.5" customWidth="1"/>
    <col min="4" max="4" width="13" customWidth="1"/>
    <col min="5" max="5" width="13.33203125" style="135" customWidth="1"/>
    <col min="6" max="6" width="14.6640625" customWidth="1"/>
    <col min="8" max="8" width="82.6640625" customWidth="1"/>
  </cols>
  <sheetData>
    <row r="1" spans="1:10" x14ac:dyDescent="0.2">
      <c r="A1" s="1"/>
      <c r="B1" s="1"/>
      <c r="C1" s="1"/>
      <c r="D1" s="1"/>
      <c r="E1" s="124"/>
      <c r="F1" s="1"/>
      <c r="G1" s="1"/>
      <c r="H1" s="1"/>
      <c r="I1" s="1"/>
      <c r="J1" s="1"/>
    </row>
    <row r="2" spans="1:10" x14ac:dyDescent="0.2">
      <c r="A2" s="1"/>
      <c r="B2" s="1"/>
      <c r="C2" s="1"/>
      <c r="D2" s="1"/>
      <c r="E2" s="124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24"/>
      <c r="F3" s="1"/>
      <c r="G3" s="1"/>
      <c r="H3" s="1"/>
      <c r="I3" s="1"/>
      <c r="J3" s="1"/>
    </row>
    <row r="4" spans="1:10" ht="17" thickBot="1" x14ac:dyDescent="0.25">
      <c r="A4" s="1"/>
      <c r="B4" s="1"/>
      <c r="C4" s="1"/>
      <c r="D4" s="1"/>
      <c r="E4" s="124"/>
      <c r="F4" s="1"/>
      <c r="G4" s="1"/>
      <c r="H4" s="1"/>
      <c r="I4" s="1"/>
      <c r="J4" s="1"/>
    </row>
    <row r="5" spans="1:10" x14ac:dyDescent="0.2">
      <c r="A5" s="1"/>
      <c r="B5" s="9" t="s">
        <v>249</v>
      </c>
      <c r="C5" s="10"/>
      <c r="D5" s="11"/>
      <c r="E5" s="125"/>
      <c r="F5" s="12"/>
      <c r="G5" s="13"/>
      <c r="H5" s="13"/>
      <c r="I5" s="61"/>
      <c r="J5" s="1"/>
    </row>
    <row r="6" spans="1:10" x14ac:dyDescent="0.2">
      <c r="A6" s="1"/>
      <c r="B6" s="14"/>
      <c r="C6" s="15"/>
      <c r="D6" s="16"/>
      <c r="E6" s="51"/>
      <c r="F6" s="17"/>
      <c r="G6" s="3"/>
      <c r="H6" s="3"/>
      <c r="I6" s="62"/>
      <c r="J6" s="1"/>
    </row>
    <row r="7" spans="1:10" x14ac:dyDescent="0.2">
      <c r="A7" s="1"/>
      <c r="B7" s="49" t="s">
        <v>68</v>
      </c>
      <c r="C7" s="50"/>
      <c r="D7" s="50" t="s">
        <v>69</v>
      </c>
      <c r="E7" s="126" t="s">
        <v>204</v>
      </c>
      <c r="F7" s="50" t="s">
        <v>70</v>
      </c>
      <c r="G7" s="50"/>
      <c r="H7" s="50" t="s">
        <v>71</v>
      </c>
      <c r="I7" s="63"/>
      <c r="J7" s="1"/>
    </row>
    <row r="8" spans="1:10" x14ac:dyDescent="0.2">
      <c r="A8" s="1"/>
      <c r="B8" s="22" t="s">
        <v>143</v>
      </c>
      <c r="C8" s="7"/>
      <c r="D8" s="18"/>
      <c r="E8" s="127"/>
      <c r="F8" s="19"/>
      <c r="G8" s="7"/>
      <c r="H8" s="7"/>
      <c r="I8" s="64"/>
      <c r="J8" s="1"/>
    </row>
    <row r="9" spans="1:10" x14ac:dyDescent="0.2">
      <c r="A9" s="1"/>
      <c r="B9" s="22"/>
      <c r="C9" s="7"/>
      <c r="D9" s="18"/>
      <c r="E9" s="127"/>
      <c r="F9" s="19"/>
      <c r="G9" s="7"/>
      <c r="H9" s="7"/>
      <c r="I9" s="64"/>
      <c r="J9" s="1"/>
    </row>
    <row r="10" spans="1:10" x14ac:dyDescent="0.2">
      <c r="A10" s="1"/>
      <c r="B10" s="22"/>
      <c r="C10" s="7"/>
      <c r="D10" s="18"/>
      <c r="E10" s="127"/>
      <c r="F10" s="19"/>
      <c r="G10" s="7"/>
      <c r="H10" s="7"/>
      <c r="I10" s="64"/>
      <c r="J10" s="1"/>
    </row>
    <row r="11" spans="1:10" ht="17" thickBot="1" x14ac:dyDescent="0.25">
      <c r="A11" s="1"/>
      <c r="B11" s="22"/>
      <c r="C11" s="7"/>
      <c r="D11" s="18"/>
      <c r="E11" s="127"/>
      <c r="F11" s="19"/>
      <c r="G11" s="7"/>
      <c r="H11" s="7"/>
      <c r="I11" s="64"/>
      <c r="J11" s="1"/>
    </row>
    <row r="12" spans="1:10" ht="17" thickBot="1" x14ac:dyDescent="0.25">
      <c r="A12" s="1"/>
      <c r="B12" s="22"/>
      <c r="C12" s="15" t="s">
        <v>145</v>
      </c>
      <c r="D12" s="18" t="s">
        <v>189</v>
      </c>
      <c r="E12" s="127"/>
      <c r="F12" s="53">
        <v>165196</v>
      </c>
      <c r="G12" s="7"/>
      <c r="H12" s="6" t="s">
        <v>184</v>
      </c>
      <c r="I12" s="64"/>
      <c r="J12" s="1"/>
    </row>
    <row r="13" spans="1:10" ht="17" thickBot="1" x14ac:dyDescent="0.25">
      <c r="A13" s="1"/>
      <c r="B13" s="22"/>
      <c r="C13" s="15" t="s">
        <v>146</v>
      </c>
      <c r="D13" s="18" t="s">
        <v>189</v>
      </c>
      <c r="E13" s="127"/>
      <c r="F13" s="53">
        <v>404070</v>
      </c>
      <c r="G13" s="7"/>
      <c r="H13" s="6" t="s">
        <v>184</v>
      </c>
      <c r="I13" s="64"/>
      <c r="J13" s="1"/>
    </row>
    <row r="14" spans="1:10" ht="17" thickBot="1" x14ac:dyDescent="0.25">
      <c r="A14" s="1"/>
      <c r="B14" s="22"/>
      <c r="C14" s="15" t="s">
        <v>246</v>
      </c>
      <c r="D14" s="18" t="s">
        <v>243</v>
      </c>
      <c r="E14" s="127"/>
      <c r="F14" s="191">
        <v>0.50700000000000001</v>
      </c>
      <c r="G14" s="7"/>
      <c r="H14" s="60" t="s">
        <v>177</v>
      </c>
      <c r="I14" s="64"/>
      <c r="J14" s="1"/>
    </row>
    <row r="15" spans="1:10" ht="17" thickBot="1" x14ac:dyDescent="0.25">
      <c r="A15" s="1"/>
      <c r="B15" s="22"/>
      <c r="C15" s="15" t="s">
        <v>242</v>
      </c>
      <c r="D15" s="18" t="s">
        <v>243</v>
      </c>
      <c r="E15" s="127"/>
      <c r="F15" s="191">
        <v>9.9000000000000008E-3</v>
      </c>
      <c r="G15" s="7"/>
      <c r="H15" s="6" t="s">
        <v>255</v>
      </c>
      <c r="I15" s="64"/>
      <c r="J15" s="1"/>
    </row>
    <row r="16" spans="1:10" ht="17" thickBot="1" x14ac:dyDescent="0.25">
      <c r="A16" s="1"/>
      <c r="B16" s="22"/>
      <c r="C16" s="15" t="s">
        <v>244</v>
      </c>
      <c r="D16" s="16" t="s">
        <v>245</v>
      </c>
      <c r="E16" s="127"/>
      <c r="F16" s="53">
        <f>45000000*(2/3)</f>
        <v>30000000</v>
      </c>
      <c r="G16" s="7"/>
      <c r="H16" s="6" t="s">
        <v>263</v>
      </c>
      <c r="I16" s="64"/>
      <c r="J16" s="1"/>
    </row>
    <row r="17" spans="1:10" ht="17" thickBot="1" x14ac:dyDescent="0.25">
      <c r="A17" s="1"/>
      <c r="B17" s="22"/>
      <c r="C17" s="15" t="s">
        <v>247</v>
      </c>
      <c r="D17" s="16" t="s">
        <v>237</v>
      </c>
      <c r="E17" s="127"/>
      <c r="F17" s="184">
        <v>7.85</v>
      </c>
      <c r="G17" s="7"/>
      <c r="H17" s="185" t="s">
        <v>238</v>
      </c>
      <c r="I17" s="64"/>
      <c r="J17" s="1"/>
    </row>
    <row r="18" spans="1:10" x14ac:dyDescent="0.2">
      <c r="A18" s="1"/>
      <c r="B18" s="22"/>
      <c r="C18" s="3"/>
      <c r="D18" s="3"/>
      <c r="E18" s="27"/>
      <c r="F18" s="3"/>
      <c r="G18" s="3"/>
      <c r="H18" s="3"/>
      <c r="I18" s="64"/>
      <c r="J18" s="1"/>
    </row>
    <row r="19" spans="1:10" ht="17" thickBot="1" x14ac:dyDescent="0.25">
      <c r="A19" s="1"/>
      <c r="B19" s="22"/>
      <c r="C19" s="51" t="s">
        <v>185</v>
      </c>
      <c r="D19" s="24"/>
      <c r="E19" s="51"/>
      <c r="F19" s="25"/>
      <c r="G19" s="26"/>
      <c r="H19" s="3"/>
      <c r="I19" s="62"/>
      <c r="J19" s="1"/>
    </row>
    <row r="20" spans="1:10" ht="17" thickBot="1" x14ac:dyDescent="0.25">
      <c r="A20" s="1"/>
      <c r="B20" s="22"/>
      <c r="C20" s="52" t="s">
        <v>137</v>
      </c>
      <c r="D20" s="122" t="s">
        <v>101</v>
      </c>
      <c r="E20" s="128"/>
      <c r="F20" s="53">
        <v>532100000</v>
      </c>
      <c r="G20" s="26"/>
      <c r="H20" s="6" t="s">
        <v>184</v>
      </c>
      <c r="I20" s="62"/>
      <c r="J20" s="1"/>
    </row>
    <row r="21" spans="1:10" ht="17" thickBot="1" x14ac:dyDescent="0.25">
      <c r="A21" s="1"/>
      <c r="B21" s="22"/>
      <c r="C21" s="52" t="s">
        <v>85</v>
      </c>
      <c r="D21" s="122" t="s">
        <v>105</v>
      </c>
      <c r="E21" s="128"/>
      <c r="F21" s="53">
        <v>123700000</v>
      </c>
      <c r="G21" s="26"/>
      <c r="H21" s="6" t="s">
        <v>184</v>
      </c>
      <c r="I21" s="62"/>
      <c r="J21" s="1"/>
    </row>
    <row r="22" spans="1:10" ht="17" thickBot="1" x14ac:dyDescent="0.25">
      <c r="A22" s="1"/>
      <c r="B22" s="22"/>
      <c r="C22" s="52" t="s">
        <v>153</v>
      </c>
      <c r="D22" s="122" t="s">
        <v>186</v>
      </c>
      <c r="E22" s="129"/>
      <c r="F22" s="6">
        <v>557</v>
      </c>
      <c r="G22" s="26"/>
      <c r="H22" s="6" t="s">
        <v>221</v>
      </c>
      <c r="I22" s="62"/>
      <c r="J22" s="1"/>
    </row>
    <row r="23" spans="1:10" ht="17" thickBot="1" x14ac:dyDescent="0.25">
      <c r="A23" s="1"/>
      <c r="B23" s="22"/>
      <c r="C23" s="52" t="s">
        <v>154</v>
      </c>
      <c r="D23" s="121" t="s">
        <v>186</v>
      </c>
      <c r="E23" s="129"/>
      <c r="F23" s="53">
        <v>1727.52738</v>
      </c>
      <c r="G23" s="26"/>
      <c r="H23" s="6" t="s">
        <v>184</v>
      </c>
      <c r="I23" s="62"/>
      <c r="J23" s="1"/>
    </row>
    <row r="24" spans="1:10" ht="17" thickBot="1" x14ac:dyDescent="0.25">
      <c r="A24" s="1"/>
      <c r="B24" s="193"/>
      <c r="C24" s="45"/>
      <c r="D24" s="194"/>
      <c r="E24" s="134"/>
      <c r="F24" s="195"/>
      <c r="G24" s="47"/>
      <c r="H24" s="48"/>
      <c r="I24" s="67"/>
      <c r="J24" s="1"/>
    </row>
    <row r="25" spans="1:10" x14ac:dyDescent="0.2">
      <c r="A25" s="1"/>
      <c r="B25" s="192"/>
      <c r="C25" s="15"/>
      <c r="D25" s="16"/>
      <c r="E25" s="51"/>
      <c r="F25" s="17"/>
      <c r="G25" s="27"/>
      <c r="H25" s="3"/>
      <c r="I25" s="3"/>
      <c r="J25" s="1"/>
    </row>
    <row r="26" spans="1:10" ht="17" thickBot="1" x14ac:dyDescent="0.25">
      <c r="A26" s="1"/>
      <c r="B26" s="192"/>
      <c r="C26" s="15"/>
      <c r="D26" s="16"/>
      <c r="E26" s="51"/>
      <c r="F26" s="17"/>
      <c r="G26" s="27"/>
      <c r="H26" s="3"/>
      <c r="I26" s="3"/>
      <c r="J26" s="1"/>
    </row>
    <row r="27" spans="1:10" x14ac:dyDescent="0.2">
      <c r="A27" s="1"/>
      <c r="B27" s="9" t="s">
        <v>248</v>
      </c>
      <c r="C27" s="10"/>
      <c r="D27" s="11"/>
      <c r="E27" s="125"/>
      <c r="F27" s="12"/>
      <c r="G27" s="13"/>
      <c r="H27" s="13"/>
      <c r="I27" s="61"/>
      <c r="J27" s="1"/>
    </row>
    <row r="28" spans="1:10" x14ac:dyDescent="0.2">
      <c r="A28" s="1"/>
      <c r="B28" s="14"/>
      <c r="C28" s="15"/>
      <c r="D28" s="16"/>
      <c r="E28" s="51"/>
      <c r="F28" s="17"/>
      <c r="G28" s="3"/>
      <c r="H28" s="3"/>
      <c r="I28" s="62"/>
      <c r="J28" s="1"/>
    </row>
    <row r="29" spans="1:10" x14ac:dyDescent="0.2">
      <c r="A29" s="1"/>
      <c r="B29" s="49" t="s">
        <v>68</v>
      </c>
      <c r="C29" s="50"/>
      <c r="D29" s="50" t="s">
        <v>69</v>
      </c>
      <c r="E29" s="126" t="s">
        <v>204</v>
      </c>
      <c r="F29" s="50" t="s">
        <v>70</v>
      </c>
      <c r="G29" s="50"/>
      <c r="H29" s="50" t="s">
        <v>71</v>
      </c>
      <c r="I29" s="63"/>
      <c r="J29" s="1"/>
    </row>
    <row r="30" spans="1:10" x14ac:dyDescent="0.2">
      <c r="A30" s="1"/>
      <c r="B30" s="22"/>
      <c r="C30" s="15"/>
      <c r="D30" s="24"/>
      <c r="E30" s="51"/>
      <c r="F30" s="17"/>
      <c r="G30" s="27"/>
      <c r="H30" s="3"/>
      <c r="I30" s="62"/>
      <c r="J30" s="1"/>
    </row>
    <row r="31" spans="1:10" x14ac:dyDescent="0.2">
      <c r="A31" s="1"/>
      <c r="B31" s="22" t="s">
        <v>147</v>
      </c>
      <c r="C31" s="15"/>
      <c r="D31" s="24"/>
      <c r="E31" s="51"/>
      <c r="F31" s="32"/>
      <c r="G31" s="27"/>
      <c r="H31" s="3"/>
      <c r="I31" s="62"/>
      <c r="J31" s="1"/>
    </row>
    <row r="32" spans="1:10" ht="17" thickBot="1" x14ac:dyDescent="0.25">
      <c r="A32" s="1"/>
      <c r="B32" s="22"/>
      <c r="C32" s="51" t="s">
        <v>187</v>
      </c>
      <c r="D32" s="24"/>
      <c r="E32" s="51"/>
      <c r="F32" s="32"/>
      <c r="G32" s="27"/>
      <c r="H32" s="3"/>
      <c r="I32" s="62"/>
      <c r="J32" s="1"/>
    </row>
    <row r="33" spans="1:10" ht="17" thickBot="1" x14ac:dyDescent="0.25">
      <c r="A33" s="1"/>
      <c r="B33" s="22"/>
      <c r="C33" s="52" t="s">
        <v>149</v>
      </c>
      <c r="D33" s="3"/>
      <c r="E33" s="131">
        <v>0.78290000000000004</v>
      </c>
      <c r="F33" s="55">
        <f>E33</f>
        <v>0.78290000000000004</v>
      </c>
      <c r="G33" s="27"/>
      <c r="H33" s="6" t="s">
        <v>190</v>
      </c>
      <c r="I33" s="62"/>
      <c r="J33" s="1"/>
    </row>
    <row r="34" spans="1:10" ht="17" thickBot="1" x14ac:dyDescent="0.25">
      <c r="A34" s="1"/>
      <c r="B34" s="22"/>
      <c r="C34" s="52" t="s">
        <v>150</v>
      </c>
      <c r="D34" s="3"/>
      <c r="E34" s="131">
        <v>0.19570000000000001</v>
      </c>
      <c r="F34" s="55">
        <f t="shared" ref="F34:F35" si="0">E34</f>
        <v>0.19570000000000001</v>
      </c>
      <c r="G34" s="27"/>
      <c r="H34" s="6" t="s">
        <v>190</v>
      </c>
      <c r="I34" s="62"/>
      <c r="J34" s="1"/>
    </row>
    <row r="35" spans="1:10" ht="17" thickBot="1" x14ac:dyDescent="0.25">
      <c r="A35" s="1"/>
      <c r="B35" s="22"/>
      <c r="C35" s="52" t="s">
        <v>76</v>
      </c>
      <c r="D35" s="3"/>
      <c r="E35" s="131">
        <v>2.1399999999999999E-2</v>
      </c>
      <c r="F35" s="55">
        <f t="shared" si="0"/>
        <v>2.1399999999999999E-2</v>
      </c>
      <c r="G35" s="27"/>
      <c r="H35" s="6" t="s">
        <v>190</v>
      </c>
      <c r="I35" s="62"/>
      <c r="J35" s="1"/>
    </row>
    <row r="36" spans="1:10" x14ac:dyDescent="0.2">
      <c r="A36" s="1"/>
      <c r="B36" s="28"/>
      <c r="C36" s="29"/>
      <c r="D36" s="30"/>
      <c r="E36" s="130"/>
      <c r="F36" s="33"/>
      <c r="G36" s="34"/>
      <c r="H36" s="2"/>
      <c r="I36" s="65"/>
      <c r="J36" s="1"/>
    </row>
    <row r="37" spans="1:10" x14ac:dyDescent="0.2">
      <c r="A37" s="1"/>
      <c r="B37" s="22" t="s">
        <v>148</v>
      </c>
      <c r="C37" s="15"/>
      <c r="D37" s="24"/>
      <c r="E37" s="51"/>
      <c r="F37" s="35"/>
      <c r="G37" s="27"/>
      <c r="H37" s="3"/>
      <c r="I37" s="62"/>
      <c r="J37" s="1"/>
    </row>
    <row r="38" spans="1:10" ht="17" thickBot="1" x14ac:dyDescent="0.25">
      <c r="A38" s="1"/>
      <c r="B38" s="22"/>
      <c r="C38" s="51" t="s">
        <v>188</v>
      </c>
      <c r="D38" s="24"/>
      <c r="E38" s="51"/>
      <c r="F38" s="35"/>
      <c r="G38" s="27"/>
      <c r="H38" s="3"/>
      <c r="I38" s="62"/>
      <c r="J38" s="1"/>
    </row>
    <row r="39" spans="1:10" ht="17" thickBot="1" x14ac:dyDescent="0.25">
      <c r="A39" s="1"/>
      <c r="B39" s="22"/>
      <c r="C39" s="52" t="s">
        <v>149</v>
      </c>
      <c r="D39" s="54"/>
      <c r="E39" s="131">
        <v>7.22E-2</v>
      </c>
      <c r="F39" s="55">
        <f>E39</f>
        <v>7.22E-2</v>
      </c>
      <c r="G39" s="27"/>
      <c r="H39" s="6" t="s">
        <v>190</v>
      </c>
      <c r="I39" s="62"/>
      <c r="J39" s="1"/>
    </row>
    <row r="40" spans="1:10" ht="17" thickBot="1" x14ac:dyDescent="0.25">
      <c r="A40" s="1"/>
      <c r="B40" s="22"/>
      <c r="C40" s="52" t="s">
        <v>150</v>
      </c>
      <c r="D40" s="54"/>
      <c r="E40" s="131">
        <v>5.16E-2</v>
      </c>
      <c r="F40" s="55">
        <f t="shared" ref="F40:F44" si="1">E40</f>
        <v>5.16E-2</v>
      </c>
      <c r="G40" s="27"/>
      <c r="H40" s="6" t="s">
        <v>190</v>
      </c>
      <c r="I40" s="62"/>
      <c r="J40" s="1"/>
    </row>
    <row r="41" spans="1:10" ht="17" thickBot="1" x14ac:dyDescent="0.25">
      <c r="A41" s="1"/>
      <c r="B41" s="22"/>
      <c r="C41" s="52" t="s">
        <v>76</v>
      </c>
      <c r="D41" s="54"/>
      <c r="E41" s="131">
        <v>3.09E-2</v>
      </c>
      <c r="F41" s="55">
        <f t="shared" si="1"/>
        <v>3.09E-2</v>
      </c>
      <c r="G41" s="27"/>
      <c r="H41" s="6" t="s">
        <v>190</v>
      </c>
      <c r="I41" s="62"/>
      <c r="J41" s="1"/>
    </row>
    <row r="42" spans="1:10" ht="17" thickBot="1" x14ac:dyDescent="0.25">
      <c r="A42" s="1"/>
      <c r="B42" s="22"/>
      <c r="C42" s="116" t="s">
        <v>151</v>
      </c>
      <c r="D42" s="54"/>
      <c r="E42" s="131">
        <v>7.22E-2</v>
      </c>
      <c r="F42" s="55">
        <f t="shared" si="1"/>
        <v>7.22E-2</v>
      </c>
      <c r="G42" s="27"/>
      <c r="H42" s="6" t="s">
        <v>190</v>
      </c>
      <c r="I42" s="62"/>
      <c r="J42" s="1"/>
    </row>
    <row r="43" spans="1:10" ht="17" thickBot="1" x14ac:dyDescent="0.25">
      <c r="A43" s="1"/>
      <c r="B43" s="22"/>
      <c r="C43" s="116" t="s">
        <v>75</v>
      </c>
      <c r="D43" s="54"/>
      <c r="E43" s="131">
        <v>0.13400000000000001</v>
      </c>
      <c r="F43" s="55">
        <f t="shared" si="1"/>
        <v>0.13400000000000001</v>
      </c>
      <c r="G43" s="27"/>
      <c r="H43" s="6" t="s">
        <v>190</v>
      </c>
      <c r="I43" s="62"/>
      <c r="J43" s="1"/>
    </row>
    <row r="44" spans="1:10" ht="17" thickBot="1" x14ac:dyDescent="0.25">
      <c r="A44" s="1"/>
      <c r="B44" s="22"/>
      <c r="C44" s="116" t="s">
        <v>152</v>
      </c>
      <c r="D44" s="54"/>
      <c r="E44" s="131">
        <v>0.6391</v>
      </c>
      <c r="F44" s="55">
        <f t="shared" si="1"/>
        <v>0.6391</v>
      </c>
      <c r="G44" s="27"/>
      <c r="H44" s="6" t="s">
        <v>190</v>
      </c>
      <c r="I44" s="62"/>
      <c r="J44" s="1"/>
    </row>
    <row r="45" spans="1:10" x14ac:dyDescent="0.2">
      <c r="A45" s="1"/>
      <c r="B45" s="28"/>
      <c r="C45" s="29"/>
      <c r="D45" s="30"/>
      <c r="E45" s="130"/>
      <c r="F45" s="36"/>
      <c r="G45" s="31"/>
      <c r="H45" s="2"/>
      <c r="I45" s="65"/>
      <c r="J45" s="1"/>
    </row>
    <row r="46" spans="1:10" x14ac:dyDescent="0.2">
      <c r="A46" s="1"/>
      <c r="B46" s="38" t="s">
        <v>251</v>
      </c>
      <c r="C46" s="39"/>
      <c r="D46" s="42"/>
      <c r="E46" s="132"/>
      <c r="F46" s="43"/>
      <c r="G46" s="40"/>
      <c r="H46" s="4"/>
      <c r="I46" s="66"/>
      <c r="J46" s="1"/>
    </row>
    <row r="47" spans="1:10" ht="17" thickBot="1" x14ac:dyDescent="0.25">
      <c r="A47" s="1"/>
      <c r="B47" s="22"/>
      <c r="C47" s="3" t="s">
        <v>200</v>
      </c>
      <c r="D47" s="24"/>
      <c r="E47" s="51"/>
      <c r="F47" s="37"/>
      <c r="G47" s="27"/>
      <c r="H47" s="3"/>
      <c r="I47" s="62"/>
      <c r="J47" s="1"/>
    </row>
    <row r="48" spans="1:10" ht="17" thickBot="1" x14ac:dyDescent="0.25">
      <c r="A48" s="1"/>
      <c r="B48" s="22"/>
      <c r="C48" s="52" t="s">
        <v>149</v>
      </c>
      <c r="D48" s="54"/>
      <c r="E48" s="131">
        <v>0.8</v>
      </c>
      <c r="F48" s="55">
        <f>E48</f>
        <v>0.8</v>
      </c>
      <c r="G48" s="27"/>
      <c r="H48" s="58" t="s">
        <v>201</v>
      </c>
      <c r="I48" s="62"/>
      <c r="J48" s="1"/>
    </row>
    <row r="49" spans="1:10" ht="17" thickBot="1" x14ac:dyDescent="0.25">
      <c r="A49" s="1"/>
      <c r="B49" s="22"/>
      <c r="C49" s="52" t="s">
        <v>150</v>
      </c>
      <c r="D49" s="54"/>
      <c r="E49" s="131">
        <v>0.2</v>
      </c>
      <c r="F49" s="55">
        <f>E49</f>
        <v>0.2</v>
      </c>
      <c r="G49" s="27"/>
      <c r="H49" s="58" t="s">
        <v>201</v>
      </c>
      <c r="I49" s="62"/>
      <c r="J49" s="1"/>
    </row>
    <row r="50" spans="1:10" x14ac:dyDescent="0.2">
      <c r="A50" s="1"/>
      <c r="B50" s="22"/>
      <c r="C50" s="15"/>
      <c r="D50" s="24"/>
      <c r="E50" s="51"/>
      <c r="F50" s="37"/>
      <c r="G50" s="27"/>
      <c r="H50" s="3"/>
      <c r="I50" s="62"/>
      <c r="J50" s="1"/>
    </row>
    <row r="51" spans="1:10" x14ac:dyDescent="0.2">
      <c r="A51" s="1"/>
      <c r="B51" s="38" t="s">
        <v>250</v>
      </c>
      <c r="C51" s="39"/>
      <c r="D51" s="42"/>
      <c r="E51" s="132"/>
      <c r="F51" s="43"/>
      <c r="G51" s="40"/>
      <c r="H51" s="4"/>
      <c r="I51" s="66"/>
      <c r="J51" s="1"/>
    </row>
    <row r="52" spans="1:10" ht="17" thickBot="1" x14ac:dyDescent="0.25">
      <c r="A52" s="1"/>
      <c r="B52" s="22"/>
      <c r="C52" s="3" t="s">
        <v>256</v>
      </c>
      <c r="D52" s="24"/>
      <c r="E52" s="51"/>
      <c r="F52" s="37"/>
      <c r="G52" s="27"/>
      <c r="H52" s="3"/>
      <c r="I52" s="62"/>
      <c r="J52" s="1"/>
    </row>
    <row r="53" spans="1:10" ht="17" thickBot="1" x14ac:dyDescent="0.25">
      <c r="A53" s="1"/>
      <c r="B53" s="22"/>
      <c r="C53" s="52" t="s">
        <v>149</v>
      </c>
      <c r="D53" s="54"/>
      <c r="E53" s="131">
        <v>1</v>
      </c>
      <c r="F53" s="55">
        <f>E53</f>
        <v>1</v>
      </c>
      <c r="G53" s="27"/>
      <c r="H53" s="58" t="s">
        <v>201</v>
      </c>
      <c r="I53" s="62"/>
      <c r="J53" s="1"/>
    </row>
    <row r="54" spans="1:10" ht="17" thickBot="1" x14ac:dyDescent="0.25">
      <c r="A54" s="1"/>
      <c r="B54" s="22"/>
      <c r="C54" s="52" t="s">
        <v>150</v>
      </c>
      <c r="D54" s="54"/>
      <c r="E54" s="131">
        <v>0</v>
      </c>
      <c r="F54" s="55">
        <f>E54</f>
        <v>0</v>
      </c>
      <c r="G54" s="27"/>
      <c r="H54" s="58" t="s">
        <v>201</v>
      </c>
      <c r="I54" s="62"/>
      <c r="J54" s="1"/>
    </row>
    <row r="55" spans="1:10" ht="17" thickBot="1" x14ac:dyDescent="0.25">
      <c r="A55" s="1"/>
      <c r="B55" s="22"/>
      <c r="C55" s="52" t="s">
        <v>76</v>
      </c>
      <c r="D55" s="54"/>
      <c r="E55" s="131">
        <v>0</v>
      </c>
      <c r="F55" s="55">
        <f>E55</f>
        <v>0</v>
      </c>
      <c r="G55" s="27"/>
      <c r="H55" s="58" t="s">
        <v>201</v>
      </c>
      <c r="I55" s="62"/>
      <c r="J55" s="1"/>
    </row>
    <row r="56" spans="1:10" x14ac:dyDescent="0.2">
      <c r="A56" s="1"/>
      <c r="B56" s="22"/>
      <c r="C56" s="52"/>
      <c r="D56" s="54"/>
      <c r="E56" s="131"/>
      <c r="F56" s="56"/>
      <c r="G56" s="27"/>
      <c r="H56" s="137"/>
      <c r="I56" s="62"/>
      <c r="J56" s="1"/>
    </row>
    <row r="57" spans="1:10" x14ac:dyDescent="0.2">
      <c r="A57" s="1"/>
      <c r="B57" s="38" t="s">
        <v>251</v>
      </c>
      <c r="C57" s="39"/>
      <c r="D57" s="42"/>
      <c r="E57" s="132"/>
      <c r="F57" s="43"/>
      <c r="G57" s="40"/>
      <c r="H57" s="4"/>
      <c r="I57" s="66"/>
      <c r="J57" s="1"/>
    </row>
    <row r="58" spans="1:10" ht="17" thickBot="1" x14ac:dyDescent="0.25">
      <c r="A58" s="1"/>
      <c r="B58" s="22"/>
      <c r="C58" s="3" t="s">
        <v>200</v>
      </c>
      <c r="D58" s="24"/>
      <c r="E58" s="51"/>
      <c r="F58" s="37"/>
      <c r="G58" s="27"/>
      <c r="H58" s="3"/>
      <c r="I58" s="62"/>
      <c r="J58" s="1"/>
    </row>
    <row r="59" spans="1:10" ht="17" thickBot="1" x14ac:dyDescent="0.25">
      <c r="A59" s="1"/>
      <c r="B59" s="22"/>
      <c r="C59" s="52" t="s">
        <v>149</v>
      </c>
      <c r="D59" s="54"/>
      <c r="E59" s="131">
        <v>0.8</v>
      </c>
      <c r="F59" s="55">
        <f>E59</f>
        <v>0.8</v>
      </c>
      <c r="G59" s="27"/>
      <c r="H59" s="58" t="s">
        <v>201</v>
      </c>
      <c r="I59" s="62"/>
      <c r="J59" s="1"/>
    </row>
    <row r="60" spans="1:10" ht="17" thickBot="1" x14ac:dyDescent="0.25">
      <c r="A60" s="1"/>
      <c r="B60" s="22"/>
      <c r="C60" s="52" t="s">
        <v>150</v>
      </c>
      <c r="D60" s="54"/>
      <c r="E60" s="131">
        <v>0.2</v>
      </c>
      <c r="F60" s="55">
        <f>E60</f>
        <v>0.2</v>
      </c>
      <c r="G60" s="27"/>
      <c r="H60" s="58" t="s">
        <v>201</v>
      </c>
      <c r="I60" s="62"/>
      <c r="J60" s="1"/>
    </row>
    <row r="61" spans="1:10" x14ac:dyDescent="0.2">
      <c r="A61" s="1"/>
      <c r="B61" s="22"/>
      <c r="C61" s="15"/>
      <c r="D61" s="24"/>
      <c r="E61" s="51"/>
      <c r="F61" s="37"/>
      <c r="G61" s="27"/>
      <c r="H61" s="3"/>
      <c r="I61" s="62"/>
      <c r="J61" s="1"/>
    </row>
    <row r="62" spans="1:10" x14ac:dyDescent="0.2">
      <c r="A62" s="1"/>
      <c r="B62" s="38" t="s">
        <v>176</v>
      </c>
      <c r="C62" s="39"/>
      <c r="D62" s="42"/>
      <c r="E62" s="132"/>
      <c r="F62" s="43"/>
      <c r="G62" s="40"/>
      <c r="H62" s="4"/>
      <c r="I62" s="66"/>
      <c r="J62" s="1"/>
    </row>
    <row r="63" spans="1:10" ht="17" thickBot="1" x14ac:dyDescent="0.25">
      <c r="A63" s="1"/>
      <c r="B63" s="22"/>
      <c r="C63" s="3" t="s">
        <v>183</v>
      </c>
      <c r="D63" s="24"/>
      <c r="E63" s="51"/>
      <c r="F63" s="37"/>
      <c r="G63" s="27"/>
      <c r="H63" s="3"/>
      <c r="I63" s="62"/>
      <c r="J63" s="1"/>
    </row>
    <row r="64" spans="1:10" ht="17" thickBot="1" x14ac:dyDescent="0.25">
      <c r="A64" s="1"/>
      <c r="B64" s="22"/>
      <c r="C64" s="116" t="s">
        <v>178</v>
      </c>
      <c r="D64" s="54"/>
      <c r="E64" s="27">
        <v>0</v>
      </c>
      <c r="F64" s="55">
        <v>0</v>
      </c>
      <c r="G64" s="27"/>
      <c r="H64" s="58" t="s">
        <v>197</v>
      </c>
      <c r="I64" s="62"/>
      <c r="J64" s="1"/>
    </row>
    <row r="65" spans="1:10" ht="17" thickBot="1" x14ac:dyDescent="0.25">
      <c r="A65" s="1"/>
      <c r="B65" s="22"/>
      <c r="C65" s="116" t="s">
        <v>179</v>
      </c>
      <c r="D65" s="54"/>
      <c r="E65" s="27">
        <v>0</v>
      </c>
      <c r="F65" s="55">
        <v>0</v>
      </c>
      <c r="G65" s="27"/>
      <c r="H65" s="58" t="s">
        <v>197</v>
      </c>
      <c r="I65" s="62"/>
      <c r="J65" s="1"/>
    </row>
    <row r="66" spans="1:10" ht="17" thickBot="1" x14ac:dyDescent="0.25">
      <c r="A66" s="1"/>
      <c r="B66" s="22"/>
      <c r="C66" s="116" t="s">
        <v>180</v>
      </c>
      <c r="D66" s="54"/>
      <c r="E66" s="27">
        <v>0</v>
      </c>
      <c r="F66" s="55">
        <f>130.18/F23</f>
        <v>7.5356258608184845E-2</v>
      </c>
      <c r="G66" s="27"/>
      <c r="H66" s="58" t="s">
        <v>264</v>
      </c>
      <c r="I66" s="62"/>
      <c r="J66" s="1"/>
    </row>
    <row r="67" spans="1:10" ht="17" thickBot="1" x14ac:dyDescent="0.25">
      <c r="A67" s="1"/>
      <c r="B67" s="22"/>
      <c r="C67" s="116" t="s">
        <v>181</v>
      </c>
      <c r="D67" s="54"/>
      <c r="E67" s="27">
        <v>0</v>
      </c>
      <c r="F67" s="55">
        <v>0</v>
      </c>
      <c r="G67" s="27"/>
      <c r="H67" s="57" t="s">
        <v>196</v>
      </c>
      <c r="I67" s="62"/>
      <c r="J67" s="1"/>
    </row>
    <row r="68" spans="1:10" ht="17" thickBot="1" x14ac:dyDescent="0.25">
      <c r="A68" s="1"/>
      <c r="B68" s="22"/>
      <c r="C68" s="116" t="s">
        <v>182</v>
      </c>
      <c r="D68" s="54"/>
      <c r="E68" s="205">
        <v>1</v>
      </c>
      <c r="F68" s="55">
        <f>1-F66</f>
        <v>0.92464374139181515</v>
      </c>
      <c r="G68" s="27"/>
      <c r="H68" s="58" t="s">
        <v>265</v>
      </c>
      <c r="I68" s="62"/>
      <c r="J68" s="1"/>
    </row>
    <row r="69" spans="1:10" x14ac:dyDescent="0.2">
      <c r="A69" s="1"/>
      <c r="B69" s="22"/>
      <c r="C69" s="15"/>
      <c r="D69" s="24"/>
      <c r="E69" s="51"/>
      <c r="F69" s="37"/>
      <c r="G69" s="27"/>
      <c r="H69" s="3"/>
      <c r="I69" s="62"/>
      <c r="J69" s="1"/>
    </row>
    <row r="70" spans="1:10" ht="17" thickBot="1" x14ac:dyDescent="0.25">
      <c r="A70" s="1"/>
      <c r="B70" s="193"/>
      <c r="C70" s="45"/>
      <c r="D70" s="194"/>
      <c r="E70" s="134"/>
      <c r="F70" s="196"/>
      <c r="G70" s="47"/>
      <c r="H70" s="48"/>
      <c r="I70" s="67"/>
      <c r="J70" s="1"/>
    </row>
    <row r="71" spans="1:10" x14ac:dyDescent="0.2">
      <c r="A71" s="3"/>
      <c r="B71" s="192"/>
      <c r="C71" s="15"/>
      <c r="D71" s="24"/>
      <c r="E71" s="51"/>
      <c r="F71" s="37"/>
      <c r="G71" s="27"/>
      <c r="H71" s="3"/>
      <c r="I71" s="3"/>
      <c r="J71" s="3"/>
    </row>
    <row r="72" spans="1:10" x14ac:dyDescent="0.2">
      <c r="A72" s="3"/>
      <c r="B72" s="192"/>
      <c r="C72" s="15"/>
      <c r="D72" s="24"/>
      <c r="E72" s="51"/>
      <c r="F72" s="37"/>
      <c r="G72" s="27"/>
      <c r="H72" s="3"/>
      <c r="I72" s="3"/>
      <c r="J72" s="3"/>
    </row>
    <row r="73" spans="1:10" ht="17" thickBot="1" x14ac:dyDescent="0.25">
      <c r="A73" s="3"/>
      <c r="B73" s="192"/>
      <c r="C73" s="15"/>
      <c r="D73" s="24"/>
      <c r="E73" s="51"/>
      <c r="F73" s="37"/>
      <c r="G73" s="27"/>
      <c r="H73" s="3"/>
      <c r="I73" s="3"/>
      <c r="J73" s="3"/>
    </row>
    <row r="74" spans="1:10" x14ac:dyDescent="0.2">
      <c r="A74" s="1"/>
      <c r="B74" s="9" t="s">
        <v>252</v>
      </c>
      <c r="C74" s="10"/>
      <c r="D74" s="11"/>
      <c r="E74" s="125"/>
      <c r="F74" s="12"/>
      <c r="G74" s="13"/>
      <c r="H74" s="13"/>
      <c r="I74" s="61"/>
      <c r="J74" s="1"/>
    </row>
    <row r="75" spans="1:10" x14ac:dyDescent="0.2">
      <c r="A75" s="1"/>
      <c r="B75" s="14"/>
      <c r="C75" s="15"/>
      <c r="D75" s="16"/>
      <c r="E75" s="51"/>
      <c r="F75" s="17"/>
      <c r="G75" s="3"/>
      <c r="H75" s="3"/>
      <c r="I75" s="62"/>
      <c r="J75" s="1"/>
    </row>
    <row r="76" spans="1:10" x14ac:dyDescent="0.2">
      <c r="A76" s="1"/>
      <c r="B76" s="49" t="s">
        <v>68</v>
      </c>
      <c r="C76" s="50"/>
      <c r="D76" s="50" t="s">
        <v>69</v>
      </c>
      <c r="E76" s="126" t="s">
        <v>204</v>
      </c>
      <c r="F76" s="50" t="s">
        <v>70</v>
      </c>
      <c r="G76" s="50"/>
      <c r="H76" s="50" t="s">
        <v>71</v>
      </c>
      <c r="I76" s="63"/>
      <c r="J76" s="1"/>
    </row>
    <row r="77" spans="1:10" x14ac:dyDescent="0.2">
      <c r="A77" s="1"/>
      <c r="B77" s="38" t="s">
        <v>173</v>
      </c>
      <c r="C77" s="39"/>
      <c r="D77" s="42"/>
      <c r="E77" s="132"/>
      <c r="F77" s="43"/>
      <c r="G77" s="40"/>
      <c r="H77" s="4"/>
      <c r="I77" s="66"/>
      <c r="J77" s="1"/>
    </row>
    <row r="78" spans="1:10" ht="17" thickBot="1" x14ac:dyDescent="0.25">
      <c r="A78" s="1"/>
      <c r="B78" s="22"/>
      <c r="C78" s="15" t="s">
        <v>206</v>
      </c>
      <c r="D78" s="24"/>
      <c r="E78" s="51"/>
      <c r="F78" s="37"/>
      <c r="G78" s="27"/>
      <c r="H78" s="3"/>
      <c r="I78" s="62"/>
      <c r="J78" s="1"/>
    </row>
    <row r="79" spans="1:10" ht="17" thickBot="1" x14ac:dyDescent="0.25">
      <c r="A79" s="1"/>
      <c r="B79" s="22" t="s">
        <v>215</v>
      </c>
      <c r="C79" s="52" t="s">
        <v>162</v>
      </c>
      <c r="D79" s="54"/>
      <c r="E79" s="133">
        <v>0.83817702405126304</v>
      </c>
      <c r="F79" s="55">
        <f>E79/SUM(E$79:E$82)</f>
        <v>0.96203672946424323</v>
      </c>
      <c r="G79" s="27"/>
      <c r="H79" s="6" t="s">
        <v>219</v>
      </c>
      <c r="I79" s="62"/>
      <c r="J79" s="1"/>
    </row>
    <row r="80" spans="1:10" ht="17" thickBot="1" x14ac:dyDescent="0.25">
      <c r="A80" s="1"/>
      <c r="B80" s="22"/>
      <c r="C80" s="52" t="s">
        <v>205</v>
      </c>
      <c r="D80" s="54"/>
      <c r="E80" s="133">
        <v>0</v>
      </c>
      <c r="F80" s="55">
        <f t="shared" ref="F80:F82" si="2">E80/SUM(E$79:E$82)</f>
        <v>0</v>
      </c>
      <c r="G80" s="27"/>
      <c r="H80" s="6" t="s">
        <v>219</v>
      </c>
      <c r="I80" s="62"/>
      <c r="J80" s="1"/>
    </row>
    <row r="81" spans="1:10" ht="17" thickBot="1" x14ac:dyDescent="0.25">
      <c r="A81" s="1"/>
      <c r="B81" s="22"/>
      <c r="C81" s="52" t="s">
        <v>167</v>
      </c>
      <c r="D81" s="54"/>
      <c r="E81" s="133">
        <v>3.3075599035219803E-2</v>
      </c>
      <c r="F81" s="55">
        <f t="shared" si="2"/>
        <v>3.7963270535756689E-2</v>
      </c>
      <c r="G81" s="27"/>
      <c r="H81" s="6" t="s">
        <v>219</v>
      </c>
      <c r="I81" s="62"/>
      <c r="J81" s="1"/>
    </row>
    <row r="82" spans="1:10" ht="17" thickBot="1" x14ac:dyDescent="0.25">
      <c r="A82" s="1"/>
      <c r="B82" s="23"/>
      <c r="C82" s="52" t="s">
        <v>170</v>
      </c>
      <c r="D82" s="54"/>
      <c r="E82" s="133">
        <v>0</v>
      </c>
      <c r="F82" s="55">
        <f t="shared" si="2"/>
        <v>0</v>
      </c>
      <c r="G82" s="27"/>
      <c r="H82" s="6" t="s">
        <v>257</v>
      </c>
      <c r="I82" s="62"/>
      <c r="J82" s="1"/>
    </row>
    <row r="83" spans="1:10" ht="17" thickBot="1" x14ac:dyDescent="0.25">
      <c r="A83" s="1"/>
      <c r="B83" s="22"/>
      <c r="C83" s="3"/>
      <c r="D83" s="3"/>
      <c r="E83" s="27"/>
      <c r="F83" s="56"/>
      <c r="G83" s="27"/>
      <c r="H83" s="3"/>
      <c r="I83" s="62"/>
      <c r="J83" s="1"/>
    </row>
    <row r="84" spans="1:10" ht="17" thickBot="1" x14ac:dyDescent="0.25">
      <c r="A84" s="1"/>
      <c r="B84" s="22" t="s">
        <v>137</v>
      </c>
      <c r="C84" s="52" t="s">
        <v>208</v>
      </c>
      <c r="D84" s="54"/>
      <c r="E84" s="133">
        <v>8.0891381936173592E-3</v>
      </c>
      <c r="F84" s="55">
        <f>E84/SUM(E$84:E$86)</f>
        <v>0.14998215850818677</v>
      </c>
      <c r="G84" s="27"/>
      <c r="H84" s="6" t="s">
        <v>220</v>
      </c>
      <c r="I84" s="62"/>
      <c r="J84" s="1"/>
    </row>
    <row r="85" spans="1:10" ht="16" customHeight="1" thickBot="1" x14ac:dyDescent="0.25">
      <c r="A85" s="1"/>
      <c r="B85" s="206" t="s">
        <v>258</v>
      </c>
      <c r="C85" s="52" t="s">
        <v>207</v>
      </c>
      <c r="D85" s="54"/>
      <c r="E85" s="133">
        <v>3.4362590235292097E-2</v>
      </c>
      <c r="F85" s="55">
        <f>E85/SUM(E$84:E$86)</f>
        <v>0.63712293350210991</v>
      </c>
      <c r="G85" s="27"/>
      <c r="H85" s="6" t="s">
        <v>220</v>
      </c>
      <c r="I85" s="62"/>
      <c r="J85" s="1"/>
    </row>
    <row r="86" spans="1:10" ht="17" thickBot="1" x14ac:dyDescent="0.25">
      <c r="A86" s="1"/>
      <c r="B86" s="206"/>
      <c r="C86" s="52" t="s">
        <v>166</v>
      </c>
      <c r="D86" s="54"/>
      <c r="E86" s="133">
        <v>1.1482274615698101E-2</v>
      </c>
      <c r="F86" s="55">
        <f>E86/SUM(E$84:E$86)</f>
        <v>0.21289490798970323</v>
      </c>
      <c r="G86" s="27"/>
      <c r="H86" s="6" t="s">
        <v>220</v>
      </c>
      <c r="I86" s="62"/>
      <c r="J86" s="1"/>
    </row>
    <row r="87" spans="1:10" ht="17" thickBot="1" x14ac:dyDescent="0.25">
      <c r="A87" s="1"/>
      <c r="B87" s="23"/>
      <c r="C87" s="3"/>
      <c r="D87" s="54"/>
      <c r="E87" s="131"/>
      <c r="F87" s="56"/>
      <c r="G87" s="27"/>
      <c r="H87" s="3"/>
      <c r="I87" s="62"/>
      <c r="J87" s="1"/>
    </row>
    <row r="88" spans="1:10" ht="17" thickBot="1" x14ac:dyDescent="0.25">
      <c r="A88" s="1"/>
      <c r="B88" s="22" t="s">
        <v>216</v>
      </c>
      <c r="C88" s="52" t="s">
        <v>168</v>
      </c>
      <c r="D88" s="54"/>
      <c r="E88" s="131"/>
      <c r="F88" s="55">
        <v>1</v>
      </c>
      <c r="G88" s="27"/>
      <c r="H88" s="6" t="s">
        <v>210</v>
      </c>
      <c r="I88" s="62"/>
      <c r="J88" s="1"/>
    </row>
    <row r="89" spans="1:10" ht="17" thickBot="1" x14ac:dyDescent="0.25">
      <c r="A89" s="1"/>
      <c r="B89" s="22"/>
      <c r="C89" s="52" t="s">
        <v>169</v>
      </c>
      <c r="D89" s="54"/>
      <c r="E89" s="131"/>
      <c r="F89" s="55">
        <v>1</v>
      </c>
      <c r="G89" s="27"/>
      <c r="H89" s="6" t="s">
        <v>211</v>
      </c>
      <c r="I89" s="62"/>
      <c r="J89" s="1"/>
    </row>
    <row r="90" spans="1:10" ht="17" thickBot="1" x14ac:dyDescent="0.25">
      <c r="A90" s="1"/>
      <c r="B90" s="22"/>
      <c r="C90" s="52" t="s">
        <v>165</v>
      </c>
      <c r="D90" s="54"/>
      <c r="E90" s="131"/>
      <c r="F90" s="55">
        <v>1</v>
      </c>
      <c r="G90" s="27"/>
      <c r="H90" s="6" t="s">
        <v>212</v>
      </c>
      <c r="I90" s="62"/>
      <c r="J90" s="1"/>
    </row>
    <row r="91" spans="1:10" ht="17" thickBot="1" x14ac:dyDescent="0.25">
      <c r="A91" s="1"/>
      <c r="B91" s="22"/>
      <c r="C91" s="52" t="s">
        <v>164</v>
      </c>
      <c r="D91" s="54"/>
      <c r="E91" s="131"/>
      <c r="F91" s="55">
        <v>1</v>
      </c>
      <c r="G91" s="27"/>
      <c r="H91" s="6" t="s">
        <v>213</v>
      </c>
      <c r="I91" s="62"/>
      <c r="J91" s="1"/>
    </row>
    <row r="92" spans="1:10" ht="17" thickBot="1" x14ac:dyDescent="0.25">
      <c r="A92" s="1"/>
      <c r="B92" s="22"/>
      <c r="C92" s="52" t="s">
        <v>163</v>
      </c>
      <c r="D92" s="54"/>
      <c r="E92" s="131"/>
      <c r="F92" s="55">
        <v>1</v>
      </c>
      <c r="G92" s="27"/>
      <c r="H92" s="6" t="s">
        <v>214</v>
      </c>
      <c r="I92" s="62"/>
      <c r="J92" s="1"/>
    </row>
    <row r="93" spans="1:10" x14ac:dyDescent="0.2">
      <c r="A93" s="1"/>
      <c r="B93" s="28"/>
      <c r="C93" s="29"/>
      <c r="D93" s="54"/>
      <c r="E93" s="27"/>
      <c r="F93" s="36"/>
      <c r="G93" s="31"/>
      <c r="H93" s="2"/>
      <c r="I93" s="65"/>
      <c r="J93" s="1"/>
    </row>
    <row r="94" spans="1:10" x14ac:dyDescent="0.2">
      <c r="A94" s="1"/>
      <c r="B94" s="38" t="s">
        <v>172</v>
      </c>
      <c r="C94" s="39"/>
      <c r="D94" s="42"/>
      <c r="E94" s="132"/>
      <c r="F94" s="43"/>
      <c r="G94" s="40"/>
      <c r="H94" s="4"/>
      <c r="I94" s="66"/>
      <c r="J94" s="1"/>
    </row>
    <row r="95" spans="1:10" ht="17" thickBot="1" x14ac:dyDescent="0.25">
      <c r="A95" s="1"/>
      <c r="B95" s="22"/>
      <c r="C95" s="15" t="s">
        <v>206</v>
      </c>
      <c r="D95" s="24"/>
      <c r="E95" s="51"/>
      <c r="F95" s="37"/>
      <c r="G95" s="27"/>
      <c r="H95" s="3"/>
      <c r="I95" s="62"/>
      <c r="J95" s="1"/>
    </row>
    <row r="96" spans="1:10" ht="17" thickBot="1" x14ac:dyDescent="0.25">
      <c r="A96" s="1"/>
      <c r="B96" s="22" t="s">
        <v>215</v>
      </c>
      <c r="C96" s="52" t="s">
        <v>162</v>
      </c>
      <c r="D96" s="54"/>
      <c r="E96" s="133">
        <v>0.83817702405126304</v>
      </c>
      <c r="F96" s="55">
        <f>E96/SUM(E$96:E$100)</f>
        <v>0.96203672946424323</v>
      </c>
      <c r="G96" s="27"/>
      <c r="H96" s="6" t="s">
        <v>198</v>
      </c>
      <c r="I96" s="62"/>
      <c r="J96" s="1"/>
    </row>
    <row r="97" spans="1:10" ht="17" thickBot="1" x14ac:dyDescent="0.25">
      <c r="A97" s="1"/>
      <c r="B97" s="22"/>
      <c r="C97" s="52" t="s">
        <v>205</v>
      </c>
      <c r="D97" s="54"/>
      <c r="E97" s="133">
        <v>0</v>
      </c>
      <c r="F97" s="55">
        <f t="shared" ref="F97:F100" si="3">E97/SUM(E$96:E$100)</f>
        <v>0</v>
      </c>
      <c r="G97" s="27"/>
      <c r="H97" s="6" t="s">
        <v>198</v>
      </c>
      <c r="I97" s="62"/>
      <c r="J97" s="1"/>
    </row>
    <row r="98" spans="1:10" ht="17" thickBot="1" x14ac:dyDescent="0.25">
      <c r="A98" s="1"/>
      <c r="B98" s="22"/>
      <c r="C98" s="52" t="s">
        <v>167</v>
      </c>
      <c r="D98" s="54"/>
      <c r="E98" s="133">
        <v>3.3075599035219803E-2</v>
      </c>
      <c r="F98" s="55">
        <f t="shared" si="3"/>
        <v>3.7963270535756689E-2</v>
      </c>
      <c r="G98" s="27"/>
      <c r="H98" s="60" t="s">
        <v>198</v>
      </c>
      <c r="I98" s="62"/>
      <c r="J98" s="1"/>
    </row>
    <row r="99" spans="1:10" ht="17" thickBot="1" x14ac:dyDescent="0.25">
      <c r="A99" s="1"/>
      <c r="B99" s="22"/>
      <c r="C99" s="52" t="s">
        <v>170</v>
      </c>
      <c r="D99" s="54"/>
      <c r="E99" s="133">
        <v>0</v>
      </c>
      <c r="F99" s="55">
        <f t="shared" si="3"/>
        <v>0</v>
      </c>
      <c r="G99" s="27"/>
      <c r="H99" s="6" t="s">
        <v>198</v>
      </c>
      <c r="I99" s="62"/>
      <c r="J99" s="1"/>
    </row>
    <row r="100" spans="1:10" ht="17" thickBot="1" x14ac:dyDescent="0.25">
      <c r="A100" s="1"/>
      <c r="B100" s="22"/>
      <c r="C100" s="117" t="s">
        <v>209</v>
      </c>
      <c r="D100" s="54"/>
      <c r="E100" s="133">
        <v>0</v>
      </c>
      <c r="F100" s="55">
        <f t="shared" si="3"/>
        <v>0</v>
      </c>
      <c r="G100" s="27"/>
      <c r="H100" s="6" t="s">
        <v>198</v>
      </c>
      <c r="I100" s="62"/>
      <c r="J100" s="1"/>
    </row>
    <row r="101" spans="1:10" ht="17" thickBot="1" x14ac:dyDescent="0.25">
      <c r="A101" s="1"/>
      <c r="B101" s="22"/>
      <c r="C101" s="3"/>
      <c r="D101" s="54"/>
      <c r="E101" s="131"/>
      <c r="F101" s="56"/>
      <c r="G101" s="27"/>
      <c r="H101" s="3"/>
      <c r="I101" s="62"/>
      <c r="J101" s="1"/>
    </row>
    <row r="102" spans="1:10" ht="17" thickBot="1" x14ac:dyDescent="0.25">
      <c r="A102" s="1"/>
      <c r="B102" s="22" t="s">
        <v>137</v>
      </c>
      <c r="C102" s="52" t="s">
        <v>207</v>
      </c>
      <c r="D102" s="54"/>
      <c r="E102" s="133">
        <v>3.4362590235292097E-2</v>
      </c>
      <c r="F102" s="55">
        <f>E102/SUM(E$102:E$104)</f>
        <v>0.63712293350210991</v>
      </c>
      <c r="G102" s="27"/>
      <c r="H102" s="6" t="s">
        <v>198</v>
      </c>
      <c r="I102" s="62"/>
      <c r="J102" s="1"/>
    </row>
    <row r="103" spans="1:10" ht="17" thickBot="1" x14ac:dyDescent="0.25">
      <c r="A103" s="1"/>
      <c r="B103" s="206" t="s">
        <v>259</v>
      </c>
      <c r="C103" s="52" t="s">
        <v>208</v>
      </c>
      <c r="D103" s="54"/>
      <c r="E103" s="133">
        <v>8.0891381936173592E-3</v>
      </c>
      <c r="F103" s="55">
        <f t="shared" ref="F103:F104" si="4">E103/SUM(E$102:E$104)</f>
        <v>0.14998215850818677</v>
      </c>
      <c r="G103" s="27"/>
      <c r="H103" s="143" t="s">
        <v>198</v>
      </c>
      <c r="I103" s="62"/>
      <c r="J103" s="1"/>
    </row>
    <row r="104" spans="1:10" ht="17" thickBot="1" x14ac:dyDescent="0.25">
      <c r="A104" s="1"/>
      <c r="B104" s="206"/>
      <c r="C104" s="52" t="s">
        <v>166</v>
      </c>
      <c r="D104" s="54"/>
      <c r="E104" s="133">
        <v>1.1482274615698101E-2</v>
      </c>
      <c r="F104" s="55">
        <f t="shared" si="4"/>
        <v>0.21289490798970323</v>
      </c>
      <c r="G104" s="27"/>
      <c r="H104" s="6" t="s">
        <v>198</v>
      </c>
      <c r="I104" s="62"/>
      <c r="J104" s="1"/>
    </row>
    <row r="105" spans="1:10" ht="17" thickBot="1" x14ac:dyDescent="0.25">
      <c r="A105" s="1"/>
      <c r="B105" s="22"/>
      <c r="C105" s="3"/>
      <c r="D105" s="54"/>
      <c r="E105" s="131"/>
      <c r="F105" s="56"/>
      <c r="G105" s="27"/>
      <c r="H105" s="3"/>
      <c r="I105" s="62"/>
      <c r="J105" s="1"/>
    </row>
    <row r="106" spans="1:10" ht="17" thickBot="1" x14ac:dyDescent="0.25">
      <c r="A106" s="1"/>
      <c r="B106" s="22" t="s">
        <v>216</v>
      </c>
      <c r="C106" s="52" t="s">
        <v>168</v>
      </c>
      <c r="D106" s="54"/>
      <c r="E106" s="131"/>
      <c r="F106" s="55">
        <v>1</v>
      </c>
      <c r="G106" s="27"/>
      <c r="H106" s="6" t="s">
        <v>210</v>
      </c>
      <c r="I106" s="62"/>
      <c r="J106" s="1"/>
    </row>
    <row r="107" spans="1:10" ht="17" thickBot="1" x14ac:dyDescent="0.25">
      <c r="A107" s="1"/>
      <c r="B107" s="22"/>
      <c r="C107" s="52" t="s">
        <v>169</v>
      </c>
      <c r="D107" s="54"/>
      <c r="E107" s="131"/>
      <c r="F107" s="55">
        <v>1</v>
      </c>
      <c r="G107" s="27"/>
      <c r="H107" s="6" t="s">
        <v>211</v>
      </c>
      <c r="I107" s="62"/>
      <c r="J107" s="1"/>
    </row>
    <row r="108" spans="1:10" ht="17" thickBot="1" x14ac:dyDescent="0.25">
      <c r="A108" s="1"/>
      <c r="B108" s="22"/>
      <c r="C108" s="52" t="s">
        <v>165</v>
      </c>
      <c r="D108" s="54"/>
      <c r="E108" s="131"/>
      <c r="F108" s="55">
        <v>1</v>
      </c>
      <c r="G108" s="27"/>
      <c r="H108" s="6" t="s">
        <v>212</v>
      </c>
      <c r="I108" s="62"/>
      <c r="J108" s="1"/>
    </row>
    <row r="109" spans="1:10" ht="17" thickBot="1" x14ac:dyDescent="0.25">
      <c r="A109" s="1"/>
      <c r="B109" s="22"/>
      <c r="C109" s="52" t="s">
        <v>164</v>
      </c>
      <c r="D109" s="54"/>
      <c r="E109" s="131"/>
      <c r="F109" s="55">
        <v>1</v>
      </c>
      <c r="G109" s="27"/>
      <c r="H109" s="6" t="s">
        <v>213</v>
      </c>
      <c r="I109" s="62"/>
      <c r="J109" s="1"/>
    </row>
    <row r="110" spans="1:10" ht="17" thickBot="1" x14ac:dyDescent="0.25">
      <c r="A110" s="1"/>
      <c r="B110" s="22"/>
      <c r="C110" s="52" t="s">
        <v>163</v>
      </c>
      <c r="D110" s="54"/>
      <c r="E110" s="131"/>
      <c r="F110" s="55">
        <v>1</v>
      </c>
      <c r="G110" s="27"/>
      <c r="H110" s="6" t="s">
        <v>214</v>
      </c>
      <c r="I110" s="62"/>
      <c r="J110" s="1"/>
    </row>
    <row r="111" spans="1:10" x14ac:dyDescent="0.2">
      <c r="A111" s="1"/>
      <c r="B111" s="28"/>
      <c r="C111" s="118"/>
      <c r="D111" s="30"/>
      <c r="E111" s="130"/>
      <c r="F111" s="36"/>
      <c r="G111" s="31"/>
      <c r="H111" s="2"/>
      <c r="I111" s="65"/>
      <c r="J111" s="1"/>
    </row>
    <row r="112" spans="1:10" x14ac:dyDescent="0.2">
      <c r="A112" s="1"/>
      <c r="B112" s="22" t="s">
        <v>191</v>
      </c>
      <c r="C112" s="3"/>
      <c r="D112" s="3"/>
      <c r="E112" s="27"/>
      <c r="F112" s="123"/>
      <c r="G112" s="3"/>
      <c r="H112" s="3"/>
      <c r="I112" s="62"/>
      <c r="J112" s="1"/>
    </row>
    <row r="113" spans="1:10" ht="17" thickBot="1" x14ac:dyDescent="0.25">
      <c r="A113" s="1"/>
      <c r="B113" s="23"/>
      <c r="C113" s="51" t="s">
        <v>192</v>
      </c>
      <c r="D113" s="24"/>
      <c r="E113" s="133"/>
      <c r="F113" s="37"/>
      <c r="G113" s="3"/>
      <c r="H113" s="137"/>
      <c r="I113" s="62"/>
      <c r="J113" s="1"/>
    </row>
    <row r="114" spans="1:10" ht="17" thickBot="1" x14ac:dyDescent="0.25">
      <c r="A114" s="1"/>
      <c r="B114" s="22"/>
      <c r="C114" s="52" t="s">
        <v>193</v>
      </c>
      <c r="D114" s="24"/>
      <c r="E114" s="133">
        <v>9.2259120596421995E-2</v>
      </c>
      <c r="F114" s="136">
        <f>E114</f>
        <v>9.2259120596421995E-2</v>
      </c>
      <c r="G114" s="27"/>
      <c r="H114" s="58" t="s">
        <v>199</v>
      </c>
      <c r="I114" s="62"/>
      <c r="J114" s="1"/>
    </row>
    <row r="115" spans="1:10" ht="17" thickBot="1" x14ac:dyDescent="0.25">
      <c r="A115" s="1"/>
      <c r="B115" s="22"/>
      <c r="C115" s="52" t="s">
        <v>194</v>
      </c>
      <c r="D115" s="24"/>
      <c r="E115" s="133">
        <v>0</v>
      </c>
      <c r="F115" s="136">
        <f>E115</f>
        <v>0</v>
      </c>
      <c r="G115" s="59"/>
      <c r="H115" s="58" t="s">
        <v>199</v>
      </c>
      <c r="I115" s="62"/>
      <c r="J115" s="1"/>
    </row>
    <row r="116" spans="1:10" ht="17" thickBot="1" x14ac:dyDescent="0.25">
      <c r="A116" s="1"/>
      <c r="B116" s="22"/>
      <c r="C116" s="52" t="s">
        <v>195</v>
      </c>
      <c r="D116" s="24"/>
      <c r="E116" s="133">
        <v>0.90774087940357795</v>
      </c>
      <c r="F116" s="136">
        <f>E116</f>
        <v>0.90774087940357795</v>
      </c>
      <c r="G116" s="59"/>
      <c r="H116" s="58" t="s">
        <v>199</v>
      </c>
      <c r="I116" s="62"/>
      <c r="J116" s="1"/>
    </row>
    <row r="117" spans="1:10" x14ac:dyDescent="0.2">
      <c r="A117" s="1"/>
      <c r="B117" s="28"/>
      <c r="C117" s="29"/>
      <c r="D117" s="30"/>
      <c r="E117" s="130"/>
      <c r="F117" s="36"/>
      <c r="G117" s="31"/>
      <c r="H117" s="2"/>
      <c r="I117" s="65"/>
      <c r="J117" s="1"/>
    </row>
    <row r="118" spans="1:10" x14ac:dyDescent="0.2">
      <c r="A118" s="1"/>
      <c r="B118" s="22" t="s">
        <v>171</v>
      </c>
      <c r="C118" s="3"/>
      <c r="D118" s="3"/>
      <c r="E118" s="27"/>
      <c r="F118" s="123"/>
      <c r="G118" s="3"/>
      <c r="H118" s="3"/>
      <c r="I118" s="62"/>
      <c r="J118" s="1"/>
    </row>
    <row r="119" spans="1:10" ht="17" thickBot="1" x14ac:dyDescent="0.25">
      <c r="A119" s="1"/>
      <c r="B119" s="23"/>
      <c r="C119" s="3"/>
      <c r="D119" s="3"/>
      <c r="E119" s="27"/>
      <c r="F119" s="123"/>
      <c r="G119" s="3"/>
      <c r="H119" s="3"/>
      <c r="I119" s="62"/>
      <c r="J119" s="1"/>
    </row>
    <row r="120" spans="1:10" ht="17" thickBot="1" x14ac:dyDescent="0.25">
      <c r="A120" s="1"/>
      <c r="B120" s="22" t="s">
        <v>215</v>
      </c>
      <c r="C120" s="120" t="s">
        <v>122</v>
      </c>
      <c r="D120" s="24"/>
      <c r="E120" s="133">
        <v>0.61209508848637795</v>
      </c>
      <c r="F120" s="136">
        <v>1</v>
      </c>
      <c r="G120" s="3"/>
      <c r="H120" s="58" t="s">
        <v>228</v>
      </c>
      <c r="I120" s="62"/>
      <c r="J120" s="1"/>
    </row>
    <row r="121" spans="1:10" ht="17" thickBot="1" x14ac:dyDescent="0.25">
      <c r="A121" s="1"/>
      <c r="B121" s="22"/>
      <c r="C121" s="3"/>
      <c r="D121" s="3"/>
      <c r="E121" s="27"/>
      <c r="F121" s="3"/>
      <c r="G121" s="27"/>
      <c r="H121" s="137"/>
      <c r="I121" s="62"/>
      <c r="J121" s="1"/>
    </row>
    <row r="122" spans="1:10" ht="17" thickBot="1" x14ac:dyDescent="0.25">
      <c r="A122" s="1"/>
      <c r="B122" s="22"/>
      <c r="C122" s="120" t="s">
        <v>123</v>
      </c>
      <c r="D122" s="24"/>
      <c r="E122" s="133">
        <v>3.23254092928019E-2</v>
      </c>
      <c r="F122" s="136">
        <f>E122/SUM(E$122:E$124)</f>
        <v>8.3333333333333398E-2</v>
      </c>
      <c r="G122" s="27"/>
      <c r="H122" s="58" t="s">
        <v>199</v>
      </c>
      <c r="I122" s="62"/>
      <c r="J122" s="1"/>
    </row>
    <row r="123" spans="1:10" ht="17" thickBot="1" x14ac:dyDescent="0.25">
      <c r="A123" s="1"/>
      <c r="B123" s="22" t="s">
        <v>217</v>
      </c>
      <c r="C123" s="52" t="s">
        <v>124</v>
      </c>
      <c r="D123" s="24"/>
      <c r="E123" s="133">
        <v>0.25860327434241498</v>
      </c>
      <c r="F123" s="136">
        <f t="shared" ref="F123:F124" si="5">E123/SUM(E$122:E$124)</f>
        <v>0.66666666666666663</v>
      </c>
      <c r="G123" s="59"/>
      <c r="H123" s="144" t="s">
        <v>199</v>
      </c>
      <c r="I123" s="62"/>
      <c r="J123" s="1"/>
    </row>
    <row r="124" spans="1:10" ht="17" thickBot="1" x14ac:dyDescent="0.25">
      <c r="A124" s="1"/>
      <c r="B124" s="22"/>
      <c r="C124" s="52" t="s">
        <v>125</v>
      </c>
      <c r="D124" s="24"/>
      <c r="E124" s="133">
        <v>9.6976227878405596E-2</v>
      </c>
      <c r="F124" s="136">
        <f t="shared" si="5"/>
        <v>0.24999999999999992</v>
      </c>
      <c r="G124" s="59"/>
      <c r="H124" s="58" t="s">
        <v>199</v>
      </c>
      <c r="I124" s="62"/>
      <c r="J124" s="1"/>
    </row>
    <row r="125" spans="1:10" ht="17" thickBot="1" x14ac:dyDescent="0.25">
      <c r="A125" s="1"/>
      <c r="B125" s="22"/>
      <c r="C125" s="52"/>
      <c r="D125" s="24"/>
      <c r="E125" s="133"/>
      <c r="F125" s="37"/>
      <c r="G125" s="59"/>
      <c r="H125" s="137"/>
      <c r="I125" s="62"/>
      <c r="J125" s="1"/>
    </row>
    <row r="126" spans="1:10" ht="17" thickBot="1" x14ac:dyDescent="0.25">
      <c r="A126" s="1"/>
      <c r="B126" s="22"/>
      <c r="C126" s="52" t="s">
        <v>126</v>
      </c>
      <c r="D126" s="24"/>
      <c r="E126" s="133">
        <v>0</v>
      </c>
      <c r="F126" s="136">
        <v>1</v>
      </c>
      <c r="G126" s="59"/>
      <c r="H126" s="58" t="s">
        <v>218</v>
      </c>
      <c r="I126" s="62"/>
      <c r="J126" s="1"/>
    </row>
    <row r="127" spans="1:10" x14ac:dyDescent="0.2">
      <c r="A127" s="1"/>
      <c r="B127" s="28"/>
      <c r="C127" s="29"/>
      <c r="D127" s="30"/>
      <c r="E127" s="130"/>
      <c r="F127" s="36"/>
      <c r="G127" s="31"/>
      <c r="H127" s="2"/>
      <c r="I127" s="65"/>
      <c r="J127" s="1"/>
    </row>
    <row r="128" spans="1:10" x14ac:dyDescent="0.2">
      <c r="A128" s="1"/>
      <c r="B128" s="22" t="s">
        <v>75</v>
      </c>
      <c r="C128" s="15"/>
      <c r="D128" s="24"/>
      <c r="E128" s="51"/>
      <c r="F128" s="37"/>
      <c r="G128" s="27"/>
      <c r="H128" s="3"/>
      <c r="I128" s="62"/>
      <c r="J128" s="1"/>
    </row>
    <row r="129" spans="1:10" ht="17" thickBot="1" x14ac:dyDescent="0.25">
      <c r="A129" s="1"/>
      <c r="B129" s="22"/>
      <c r="C129" s="51" t="s">
        <v>222</v>
      </c>
      <c r="D129" s="24"/>
      <c r="E129" s="51"/>
      <c r="F129" s="37"/>
      <c r="G129" s="27"/>
      <c r="H129" s="3"/>
      <c r="I129" s="62"/>
      <c r="J129" s="1"/>
    </row>
    <row r="130" spans="1:10" ht="17" thickBot="1" x14ac:dyDescent="0.25">
      <c r="A130" s="1"/>
      <c r="B130" s="22"/>
      <c r="C130" s="52" t="s">
        <v>223</v>
      </c>
      <c r="D130" s="24"/>
      <c r="E130" s="133">
        <v>0.495</v>
      </c>
      <c r="F130" s="190">
        <f>E130</f>
        <v>0.495</v>
      </c>
      <c r="G130" s="59"/>
      <c r="H130" s="58" t="s">
        <v>199</v>
      </c>
      <c r="I130" s="62"/>
      <c r="J130" s="1"/>
    </row>
    <row r="131" spans="1:10" ht="17" thickBot="1" x14ac:dyDescent="0.25">
      <c r="A131" s="1"/>
      <c r="B131" s="22"/>
      <c r="C131" s="52" t="s">
        <v>224</v>
      </c>
      <c r="D131" s="24"/>
      <c r="E131" s="133">
        <v>0.48499999999999999</v>
      </c>
      <c r="F131" s="190">
        <f t="shared" ref="F131:F132" si="6">E131</f>
        <v>0.48499999999999999</v>
      </c>
      <c r="G131" s="27"/>
      <c r="H131" s="58" t="s">
        <v>199</v>
      </c>
      <c r="I131" s="62"/>
      <c r="J131" s="1"/>
    </row>
    <row r="132" spans="1:10" ht="17" thickBot="1" x14ac:dyDescent="0.25">
      <c r="A132" s="1"/>
      <c r="B132" s="22"/>
      <c r="C132" s="52" t="s">
        <v>78</v>
      </c>
      <c r="D132" s="24"/>
      <c r="E132" s="133">
        <v>0.02</v>
      </c>
      <c r="F132" s="190">
        <f t="shared" si="6"/>
        <v>0.02</v>
      </c>
      <c r="G132" s="27"/>
      <c r="H132" s="58" t="s">
        <v>199</v>
      </c>
      <c r="I132" s="62"/>
      <c r="J132" s="1"/>
    </row>
    <row r="133" spans="1:10" x14ac:dyDescent="0.2">
      <c r="A133" s="1"/>
      <c r="B133" s="28"/>
      <c r="C133" s="146"/>
      <c r="D133" s="41"/>
      <c r="E133" s="147"/>
      <c r="F133" s="201"/>
      <c r="G133" s="31"/>
      <c r="H133" s="148"/>
      <c r="I133" s="65"/>
      <c r="J133" s="1"/>
    </row>
    <row r="134" spans="1:10" x14ac:dyDescent="0.2">
      <c r="A134" s="1"/>
      <c r="B134" s="22" t="s">
        <v>152</v>
      </c>
      <c r="C134" s="15"/>
      <c r="D134" s="24"/>
      <c r="E134" s="51"/>
      <c r="F134" s="37"/>
      <c r="G134" s="27"/>
      <c r="H134" s="3"/>
      <c r="I134" s="62"/>
      <c r="J134" s="1"/>
    </row>
    <row r="135" spans="1:10" ht="17" thickBot="1" x14ac:dyDescent="0.25">
      <c r="A135" s="1"/>
      <c r="B135" s="22"/>
      <c r="C135" s="51" t="s">
        <v>155</v>
      </c>
      <c r="D135" s="24"/>
      <c r="E135" s="51"/>
      <c r="F135" s="37"/>
      <c r="G135" s="27"/>
      <c r="H135" s="3"/>
      <c r="I135" s="62"/>
      <c r="J135" s="1"/>
    </row>
    <row r="136" spans="1:10" ht="17" thickBot="1" x14ac:dyDescent="0.25">
      <c r="A136" s="1"/>
      <c r="B136" s="22"/>
      <c r="C136" s="52" t="s">
        <v>156</v>
      </c>
      <c r="D136" s="24"/>
      <c r="E136" s="133">
        <v>8.0645161290322606E-2</v>
      </c>
      <c r="F136" s="190">
        <f>E136</f>
        <v>8.0645161290322606E-2</v>
      </c>
      <c r="G136" s="59"/>
      <c r="H136" s="58" t="s">
        <v>199</v>
      </c>
      <c r="I136" s="62"/>
      <c r="J136" s="1"/>
    </row>
    <row r="137" spans="1:10" ht="17" thickBot="1" x14ac:dyDescent="0.25">
      <c r="A137" s="1"/>
      <c r="B137" s="22"/>
      <c r="C137" s="52" t="s">
        <v>161</v>
      </c>
      <c r="D137" s="24"/>
      <c r="E137" s="133">
        <v>0.225806451612903</v>
      </c>
      <c r="F137" s="190">
        <f t="shared" ref="F137:F143" si="7">E137</f>
        <v>0.225806451612903</v>
      </c>
      <c r="G137" s="27"/>
      <c r="H137" s="58" t="s">
        <v>199</v>
      </c>
      <c r="I137" s="62"/>
      <c r="J137" s="1"/>
    </row>
    <row r="138" spans="1:10" ht="17" thickBot="1" x14ac:dyDescent="0.25">
      <c r="A138" s="1"/>
      <c r="B138" s="22"/>
      <c r="C138" s="52" t="s">
        <v>157</v>
      </c>
      <c r="D138" s="24"/>
      <c r="E138" s="133">
        <v>8.0645161290322606E-2</v>
      </c>
      <c r="F138" s="190">
        <f t="shared" si="7"/>
        <v>8.0645161290322606E-2</v>
      </c>
      <c r="G138" s="27"/>
      <c r="H138" s="58" t="s">
        <v>199</v>
      </c>
      <c r="I138" s="62"/>
      <c r="J138" s="1"/>
    </row>
    <row r="139" spans="1:10" ht="17" thickBot="1" x14ac:dyDescent="0.25">
      <c r="A139" s="1"/>
      <c r="B139" s="22"/>
      <c r="C139" s="52" t="s">
        <v>158</v>
      </c>
      <c r="D139" s="24"/>
      <c r="E139" s="133">
        <v>0.112903225806452</v>
      </c>
      <c r="F139" s="190">
        <f t="shared" si="7"/>
        <v>0.112903225806452</v>
      </c>
      <c r="G139" s="27"/>
      <c r="H139" s="58" t="s">
        <v>199</v>
      </c>
      <c r="I139" s="62"/>
      <c r="J139" s="1"/>
    </row>
    <row r="140" spans="1:10" ht="17" thickBot="1" x14ac:dyDescent="0.25">
      <c r="A140" s="1"/>
      <c r="B140" s="22"/>
      <c r="C140" s="52" t="s">
        <v>133</v>
      </c>
      <c r="D140" s="24"/>
      <c r="E140" s="133">
        <v>0.14516129032258099</v>
      </c>
      <c r="F140" s="190">
        <f t="shared" si="7"/>
        <v>0.14516129032258099</v>
      </c>
      <c r="G140" s="27"/>
      <c r="H140" s="58" t="s">
        <v>199</v>
      </c>
      <c r="I140" s="62"/>
      <c r="J140" s="1"/>
    </row>
    <row r="141" spans="1:10" ht="17" thickBot="1" x14ac:dyDescent="0.25">
      <c r="A141" s="1"/>
      <c r="B141" s="22"/>
      <c r="C141" s="52" t="s">
        <v>159</v>
      </c>
      <c r="D141" s="24"/>
      <c r="E141" s="133">
        <v>0.19354838709677399</v>
      </c>
      <c r="F141" s="190">
        <f t="shared" si="7"/>
        <v>0.19354838709677399</v>
      </c>
      <c r="G141" s="27"/>
      <c r="H141" s="58" t="s">
        <v>199</v>
      </c>
      <c r="I141" s="62"/>
      <c r="J141" s="1"/>
    </row>
    <row r="142" spans="1:10" ht="17" thickBot="1" x14ac:dyDescent="0.25">
      <c r="A142" s="1"/>
      <c r="B142" s="22"/>
      <c r="C142" s="52" t="s">
        <v>160</v>
      </c>
      <c r="D142" s="24"/>
      <c r="E142" s="133">
        <v>4.8387096774193498E-2</v>
      </c>
      <c r="F142" s="190">
        <f t="shared" si="7"/>
        <v>4.8387096774193498E-2</v>
      </c>
      <c r="G142" s="27"/>
      <c r="H142" s="58" t="s">
        <v>199</v>
      </c>
      <c r="I142" s="62"/>
      <c r="J142" s="1"/>
    </row>
    <row r="143" spans="1:10" ht="17" thickBot="1" x14ac:dyDescent="0.25">
      <c r="A143" s="1"/>
      <c r="B143" s="22"/>
      <c r="C143" s="52" t="s">
        <v>135</v>
      </c>
      <c r="D143" s="24"/>
      <c r="E143" s="133">
        <v>0.112903225806452</v>
      </c>
      <c r="F143" s="190">
        <f t="shared" si="7"/>
        <v>0.112903225806452</v>
      </c>
      <c r="G143" s="27"/>
      <c r="H143" s="58" t="s">
        <v>199</v>
      </c>
      <c r="I143" s="62"/>
      <c r="J143" s="1"/>
    </row>
    <row r="144" spans="1:10" ht="17" thickBot="1" x14ac:dyDescent="0.25">
      <c r="A144" s="1"/>
      <c r="B144" s="193"/>
      <c r="C144" s="45"/>
      <c r="D144" s="194"/>
      <c r="E144" s="134"/>
      <c r="F144" s="142"/>
      <c r="G144" s="47"/>
      <c r="H144" s="48"/>
      <c r="I144" s="67"/>
      <c r="J144" s="1"/>
    </row>
    <row r="145" spans="1:10" x14ac:dyDescent="0.2">
      <c r="A145" s="1"/>
      <c r="B145" s="192"/>
      <c r="C145" s="15"/>
      <c r="D145" s="16"/>
      <c r="E145" s="51"/>
      <c r="F145" s="141"/>
      <c r="G145" s="27"/>
      <c r="H145" s="3"/>
      <c r="I145" s="3"/>
      <c r="J145" s="1"/>
    </row>
    <row r="146" spans="1:10" ht="17" thickBot="1" x14ac:dyDescent="0.25">
      <c r="A146" s="1"/>
      <c r="B146" s="192"/>
      <c r="C146" s="15"/>
      <c r="D146" s="16"/>
      <c r="E146" s="51"/>
      <c r="F146" s="141"/>
      <c r="G146" s="27"/>
      <c r="H146" s="3"/>
      <c r="I146" s="3"/>
      <c r="J146" s="1"/>
    </row>
    <row r="147" spans="1:10" x14ac:dyDescent="0.2">
      <c r="A147" s="1"/>
      <c r="B147" s="9" t="s">
        <v>254</v>
      </c>
      <c r="C147" s="10"/>
      <c r="D147" s="11"/>
      <c r="E147" s="125"/>
      <c r="F147" s="12"/>
      <c r="G147" s="13"/>
      <c r="H147" s="13"/>
      <c r="I147" s="61"/>
      <c r="J147" s="1"/>
    </row>
    <row r="148" spans="1:10" x14ac:dyDescent="0.2">
      <c r="A148" s="1"/>
      <c r="B148" s="14"/>
      <c r="C148" s="15"/>
      <c r="D148" s="16"/>
      <c r="E148" s="51"/>
      <c r="F148" s="17"/>
      <c r="G148" s="3"/>
      <c r="H148" s="3"/>
      <c r="I148" s="62"/>
      <c r="J148" s="1"/>
    </row>
    <row r="149" spans="1:10" ht="17" thickBot="1" x14ac:dyDescent="0.25">
      <c r="A149" s="1"/>
      <c r="B149" s="49" t="s">
        <v>68</v>
      </c>
      <c r="C149" s="50"/>
      <c r="D149" s="50" t="s">
        <v>69</v>
      </c>
      <c r="E149" s="126" t="s">
        <v>204</v>
      </c>
      <c r="F149" s="50" t="s">
        <v>70</v>
      </c>
      <c r="G149" s="50"/>
      <c r="H149" s="50" t="s">
        <v>71</v>
      </c>
      <c r="I149" s="63"/>
      <c r="J149" s="1"/>
    </row>
    <row r="150" spans="1:10" ht="17" thickBot="1" x14ac:dyDescent="0.25">
      <c r="A150" s="1"/>
      <c r="B150" s="197" t="s">
        <v>79</v>
      </c>
      <c r="C150" s="10"/>
      <c r="D150" s="198"/>
      <c r="E150" s="125"/>
      <c r="F150" s="199"/>
      <c r="G150" s="200"/>
      <c r="H150" s="13"/>
      <c r="I150" s="61"/>
      <c r="J150" s="1"/>
    </row>
    <row r="151" spans="1:10" ht="17" thickBot="1" x14ac:dyDescent="0.25">
      <c r="A151" s="1"/>
      <c r="B151" s="22"/>
      <c r="C151" s="15" t="s">
        <v>80</v>
      </c>
      <c r="D151" s="24"/>
      <c r="E151" s="133">
        <v>0.15</v>
      </c>
      <c r="F151" s="190">
        <f>E151</f>
        <v>0.15</v>
      </c>
      <c r="G151" s="59"/>
      <c r="H151" s="58" t="s">
        <v>199</v>
      </c>
      <c r="I151" s="62"/>
      <c r="J151" s="1"/>
    </row>
    <row r="152" spans="1:10" ht="17" thickBot="1" x14ac:dyDescent="0.25">
      <c r="A152" s="1"/>
      <c r="B152" s="22"/>
      <c r="C152" s="15" t="s">
        <v>81</v>
      </c>
      <c r="D152" s="24"/>
      <c r="E152" s="133">
        <v>0.5</v>
      </c>
      <c r="F152" s="190">
        <f>E152</f>
        <v>0.5</v>
      </c>
      <c r="G152" s="27"/>
      <c r="H152" s="58" t="s">
        <v>199</v>
      </c>
      <c r="I152" s="62"/>
      <c r="J152" s="1"/>
    </row>
    <row r="153" spans="1:10" ht="17" thickBot="1" x14ac:dyDescent="0.25">
      <c r="A153" s="1"/>
      <c r="B153" s="22"/>
      <c r="C153" s="15" t="s">
        <v>260</v>
      </c>
      <c r="D153" s="24"/>
      <c r="E153" s="8">
        <f>18.06/18.74</f>
        <v>0.96371398078975457</v>
      </c>
      <c r="F153" s="204">
        <f>E153</f>
        <v>0.96371398078975457</v>
      </c>
      <c r="G153" s="27"/>
      <c r="H153" s="58" t="s">
        <v>199</v>
      </c>
      <c r="I153" s="62"/>
      <c r="J153" s="1"/>
    </row>
    <row r="154" spans="1:10" ht="17" thickBot="1" x14ac:dyDescent="0.25">
      <c r="A154" s="1"/>
      <c r="B154" s="22"/>
      <c r="C154" s="15" t="s">
        <v>261</v>
      </c>
      <c r="D154" s="24"/>
      <c r="E154" s="133">
        <f>22.22/33.33</f>
        <v>0.66666666666666663</v>
      </c>
      <c r="F154" s="203">
        <f>E154</f>
        <v>0.66666666666666663</v>
      </c>
      <c r="G154" s="27"/>
      <c r="H154" s="58" t="s">
        <v>199</v>
      </c>
      <c r="I154" s="62"/>
      <c r="J154" s="1"/>
    </row>
    <row r="155" spans="1:10" x14ac:dyDescent="0.2">
      <c r="A155" s="1"/>
      <c r="B155" s="28"/>
      <c r="C155" s="29"/>
      <c r="D155" s="30"/>
      <c r="E155" s="130"/>
      <c r="F155" s="140"/>
      <c r="G155" s="31"/>
      <c r="H155" s="2"/>
      <c r="I155" s="65"/>
      <c r="J155" s="1"/>
    </row>
    <row r="156" spans="1:10" ht="17" thickBot="1" x14ac:dyDescent="0.25">
      <c r="A156" s="1"/>
      <c r="B156" s="38" t="s">
        <v>82</v>
      </c>
      <c r="C156" s="39"/>
      <c r="D156" s="42"/>
      <c r="E156" s="132"/>
      <c r="F156" s="43"/>
      <c r="G156" s="40"/>
      <c r="H156" s="4"/>
      <c r="I156" s="66"/>
      <c r="J156" s="1"/>
    </row>
    <row r="157" spans="1:10" ht="17" thickBot="1" x14ac:dyDescent="0.25">
      <c r="A157" s="1"/>
      <c r="B157" s="22"/>
      <c r="C157" s="15" t="s">
        <v>83</v>
      </c>
      <c r="D157" s="24"/>
      <c r="E157" s="131">
        <v>0.77700000000000002</v>
      </c>
      <c r="F157" s="37">
        <f>F14</f>
        <v>0.50700000000000001</v>
      </c>
      <c r="G157" s="27"/>
      <c r="H157" s="60" t="s">
        <v>177</v>
      </c>
      <c r="I157" s="62"/>
      <c r="J157" s="1"/>
    </row>
    <row r="158" spans="1:10" ht="17" thickBot="1" x14ac:dyDescent="0.25">
      <c r="A158" s="1"/>
      <c r="B158" s="22"/>
      <c r="C158" s="15" t="s">
        <v>84</v>
      </c>
      <c r="D158" s="24"/>
      <c r="E158" s="131">
        <v>0.223</v>
      </c>
      <c r="F158" s="37">
        <f>1-F157</f>
        <v>0.49299999999999999</v>
      </c>
      <c r="G158" s="27"/>
      <c r="H158" s="6" t="s">
        <v>177</v>
      </c>
      <c r="I158" s="62"/>
      <c r="J158" s="1"/>
    </row>
    <row r="159" spans="1:10" ht="17" thickBot="1" x14ac:dyDescent="0.25">
      <c r="A159" s="1"/>
      <c r="B159" s="22"/>
      <c r="C159" s="15"/>
      <c r="D159" s="16"/>
      <c r="E159" s="131"/>
      <c r="F159" s="37"/>
      <c r="G159" s="27"/>
      <c r="H159" s="3"/>
      <c r="I159" s="62"/>
      <c r="J159" s="1"/>
    </row>
    <row r="160" spans="1:10" ht="17" thickBot="1" x14ac:dyDescent="0.25">
      <c r="A160" s="1"/>
      <c r="B160" s="22"/>
      <c r="C160" s="15" t="s">
        <v>225</v>
      </c>
      <c r="D160" s="16"/>
      <c r="E160" s="150">
        <v>0.5</v>
      </c>
      <c r="F160" s="151">
        <f>E160</f>
        <v>0.5</v>
      </c>
      <c r="G160" s="27"/>
      <c r="H160" s="60" t="s">
        <v>227</v>
      </c>
      <c r="I160" s="62"/>
      <c r="J160" s="1"/>
    </row>
    <row r="161" spans="1:10" ht="17" thickBot="1" x14ac:dyDescent="0.25">
      <c r="A161" s="1"/>
      <c r="B161" s="22"/>
      <c r="C161" s="15" t="s">
        <v>226</v>
      </c>
      <c r="D161" s="16"/>
      <c r="E161" s="150">
        <v>1.8</v>
      </c>
      <c r="F161" s="152">
        <f>E161</f>
        <v>1.8</v>
      </c>
      <c r="G161" s="27"/>
      <c r="H161" s="6" t="s">
        <v>227</v>
      </c>
      <c r="I161" s="62"/>
      <c r="J161" s="1"/>
    </row>
    <row r="162" spans="1:10" x14ac:dyDescent="0.2">
      <c r="A162" s="1"/>
      <c r="B162" s="22"/>
      <c r="C162" s="3"/>
      <c r="D162" s="3"/>
      <c r="E162" s="27"/>
      <c r="F162" s="3"/>
      <c r="G162" s="3"/>
      <c r="H162" s="3"/>
      <c r="I162" s="64"/>
      <c r="J162" s="1"/>
    </row>
    <row r="163" spans="1:10" ht="17" thickBot="1" x14ac:dyDescent="0.25">
      <c r="A163" s="1"/>
      <c r="B163" s="38" t="s">
        <v>239</v>
      </c>
      <c r="C163" s="4"/>
      <c r="D163" s="4"/>
      <c r="E163" s="40"/>
      <c r="F163" s="4"/>
      <c r="G163" s="4"/>
      <c r="H163" s="4"/>
      <c r="I163" s="189"/>
      <c r="J163" s="1"/>
    </row>
    <row r="164" spans="1:10" ht="17" thickBot="1" x14ac:dyDescent="0.25">
      <c r="A164" s="1"/>
      <c r="B164" s="14"/>
      <c r="C164" s="15" t="s">
        <v>241</v>
      </c>
      <c r="D164" s="16" t="s">
        <v>240</v>
      </c>
      <c r="E164" s="127"/>
      <c r="F164" s="53">
        <v>150</v>
      </c>
      <c r="G164" s="7"/>
      <c r="H164" s="6" t="s">
        <v>253</v>
      </c>
      <c r="I164" s="62"/>
      <c r="J164" s="1"/>
    </row>
    <row r="165" spans="1:10" ht="17" thickBot="1" x14ac:dyDescent="0.25">
      <c r="A165" s="1"/>
      <c r="B165" s="44"/>
      <c r="C165" s="45"/>
      <c r="D165" s="46"/>
      <c r="E165" s="134"/>
      <c r="F165" s="142"/>
      <c r="G165" s="47"/>
      <c r="H165" s="48"/>
      <c r="I165" s="67"/>
      <c r="J165" s="1"/>
    </row>
    <row r="166" spans="1:10" x14ac:dyDescent="0.2">
      <c r="A166" s="1"/>
      <c r="B166" s="1"/>
      <c r="C166" s="1"/>
      <c r="D166" s="1"/>
      <c r="E166" s="124"/>
      <c r="F166" s="1"/>
      <c r="G166" s="1"/>
      <c r="H166" s="1"/>
      <c r="I166" s="1"/>
      <c r="J166" s="1"/>
    </row>
    <row r="167" spans="1:10" x14ac:dyDescent="0.2">
      <c r="A167" s="1"/>
      <c r="B167" s="1"/>
      <c r="C167" s="1"/>
      <c r="D167" s="1"/>
      <c r="E167" s="124"/>
      <c r="F167" s="1"/>
      <c r="G167" s="1"/>
      <c r="H167" s="1"/>
      <c r="I167" s="1"/>
      <c r="J167" s="1"/>
    </row>
    <row r="168" spans="1:10" x14ac:dyDescent="0.2">
      <c r="A168" s="1"/>
      <c r="B168" s="1"/>
      <c r="C168" s="1"/>
      <c r="D168" s="1"/>
      <c r="E168" s="124"/>
      <c r="F168" s="1"/>
      <c r="G168" s="1"/>
      <c r="H168" s="1"/>
      <c r="I168" s="1"/>
      <c r="J168" s="1"/>
    </row>
    <row r="169" spans="1:10" x14ac:dyDescent="0.2">
      <c r="A169" s="1"/>
      <c r="B169" s="1"/>
      <c r="C169" s="1"/>
      <c r="D169" s="1"/>
      <c r="E169" s="124"/>
      <c r="F169" s="1"/>
      <c r="G169" s="1"/>
      <c r="H169" s="1"/>
      <c r="I169" s="1"/>
      <c r="J169" s="1"/>
    </row>
  </sheetData>
  <mergeCells count="2">
    <mergeCell ref="B85:B86"/>
    <mergeCell ref="B103:B104"/>
  </mergeCells>
  <dataValidations count="3">
    <dataValidation type="decimal" showInputMessage="1" showErrorMessage="1" errorTitle="Number Range" error="You may only  instert a number between 0 and 100%_x000d_" sqref="E151:E152 E154">
      <formula1>0</formula1>
      <formula2>1</formula2>
    </dataValidation>
    <dataValidation type="decimal" operator="greaterThanOrEqual" showInputMessage="1" showErrorMessage="1" errorTitle="Number Range" error="You may only add positive numbers. _x000d_" sqref="F155:F161 E136:E143 E79:E82 F150 E120:F120 F113:F117 E113:E116 E102:E104 E123:E126 E122:F122 F77:F111 F134:F135 E130:E133 E84:E86 F33:F73 F144:F146 E96:E100 F123:F129">
      <formula1>0</formula1>
    </dataValidation>
    <dataValidation type="decimal" operator="greaterThanOrEqual" allowBlank="1" showInputMessage="1" showErrorMessage="1" errorTitle="Number Range" error="You may only enter positive numbers here. " sqref="F20:F23 F12:F17 F164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B1:S97"/>
  <sheetViews>
    <sheetView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L35" sqref="L35"/>
    </sheetView>
  </sheetViews>
  <sheetFormatPr baseColWidth="10" defaultRowHeight="16" x14ac:dyDescent="0.2"/>
  <cols>
    <col min="2" max="2" width="24.1640625" customWidth="1"/>
    <col min="3" max="3" width="49.83203125" customWidth="1"/>
    <col min="4" max="4" width="20.1640625" customWidth="1"/>
    <col min="5" max="5" width="22.5" customWidth="1"/>
    <col min="6" max="9" width="20.1640625" customWidth="1"/>
    <col min="10" max="10" width="11.6640625" customWidth="1"/>
    <col min="11" max="11" width="13" customWidth="1"/>
    <col min="12" max="12" width="17" bestFit="1" customWidth="1"/>
    <col min="13" max="13" width="15.1640625" customWidth="1"/>
    <col min="14" max="14" width="24" bestFit="1" customWidth="1"/>
    <col min="15" max="15" width="53.83203125" bestFit="1" customWidth="1"/>
    <col min="16" max="16" width="21.1640625" bestFit="1" customWidth="1"/>
    <col min="17" max="17" width="8.1640625" bestFit="1" customWidth="1"/>
    <col min="18" max="18" width="11.1640625" bestFit="1" customWidth="1"/>
    <col min="19" max="19" width="7.1640625" bestFit="1" customWidth="1"/>
  </cols>
  <sheetData>
    <row r="1" spans="2:19" ht="21" x14ac:dyDescent="0.25">
      <c r="B1" s="68" t="s">
        <v>86</v>
      </c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3"/>
      <c r="O1" s="1"/>
      <c r="P1" s="1"/>
      <c r="Q1" s="1"/>
      <c r="R1" s="1"/>
      <c r="S1" s="1"/>
    </row>
    <row r="2" spans="2:19" x14ac:dyDescent="0.2">
      <c r="B2" s="1"/>
      <c r="C2" s="1"/>
      <c r="D2" s="3"/>
      <c r="E2" s="3"/>
      <c r="F2" s="3"/>
      <c r="G2" s="3"/>
      <c r="H2" s="3"/>
      <c r="I2" s="3"/>
      <c r="J2" s="3"/>
      <c r="K2" s="1"/>
      <c r="L2" s="1"/>
      <c r="M2" s="1"/>
      <c r="N2" s="3"/>
      <c r="O2" s="1"/>
      <c r="P2" s="1"/>
      <c r="Q2" s="1"/>
      <c r="R2" s="1"/>
      <c r="S2" s="1"/>
    </row>
    <row r="3" spans="2:19" x14ac:dyDescent="0.2">
      <c r="B3" s="5" t="s">
        <v>87</v>
      </c>
      <c r="C3" s="4"/>
      <c r="D3" s="4"/>
      <c r="E3" s="4"/>
      <c r="F3" s="3"/>
      <c r="G3" s="3"/>
      <c r="H3" s="3"/>
      <c r="I3" s="3"/>
      <c r="J3" s="3"/>
      <c r="K3" s="1"/>
      <c r="L3" s="1"/>
      <c r="M3" s="1"/>
      <c r="N3" s="3"/>
      <c r="O3" s="1"/>
      <c r="P3" s="1"/>
      <c r="Q3" s="1"/>
      <c r="R3" s="1"/>
      <c r="S3" s="1"/>
    </row>
    <row r="4" spans="2:19" ht="78" customHeight="1" x14ac:dyDescent="0.2">
      <c r="B4" s="207" t="s">
        <v>262</v>
      </c>
      <c r="C4" s="208"/>
      <c r="D4" s="165"/>
      <c r="E4" s="165"/>
      <c r="F4" s="3"/>
      <c r="G4" s="3"/>
      <c r="H4" s="3"/>
      <c r="I4" s="3"/>
      <c r="J4" s="3"/>
      <c r="K4" s="1"/>
      <c r="L4" s="1"/>
      <c r="M4" s="1"/>
      <c r="N4" s="172"/>
      <c r="O4" s="1"/>
      <c r="P4" s="1"/>
      <c r="Q4" s="3"/>
      <c r="R4" s="1"/>
      <c r="S4" s="1"/>
    </row>
    <row r="5" spans="2:19" ht="17" thickBot="1" x14ac:dyDescent="0.25">
      <c r="B5" s="3"/>
      <c r="C5" s="3"/>
      <c r="D5" s="3"/>
      <c r="E5" s="3"/>
      <c r="F5" s="3"/>
      <c r="G5" s="3"/>
      <c r="H5" s="3"/>
      <c r="I5" s="3"/>
      <c r="J5" s="3"/>
      <c r="K5" s="1"/>
      <c r="L5" s="1"/>
      <c r="M5" s="1"/>
      <c r="N5" s="3"/>
      <c r="O5" s="1"/>
      <c r="P5" s="1"/>
      <c r="Q5" s="3"/>
      <c r="R5" s="1"/>
      <c r="S5" s="1"/>
    </row>
    <row r="6" spans="2:19" x14ac:dyDescent="0.2">
      <c r="B6" s="9" t="s">
        <v>86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61"/>
      <c r="N6" s="3"/>
      <c r="O6" s="1"/>
      <c r="P6" s="1"/>
      <c r="Q6" s="109"/>
      <c r="R6" s="1"/>
      <c r="S6" s="1"/>
    </row>
    <row r="7" spans="2:19" x14ac:dyDescent="0.2">
      <c r="B7" s="23"/>
      <c r="C7" s="3"/>
      <c r="D7" s="3"/>
      <c r="E7" s="3"/>
      <c r="F7" s="3"/>
      <c r="G7" s="3"/>
      <c r="H7" s="3"/>
      <c r="I7" s="3"/>
      <c r="J7" s="3"/>
      <c r="K7" s="3"/>
      <c r="L7" s="3"/>
      <c r="M7" s="62"/>
      <c r="N7" s="3"/>
      <c r="O7" s="1"/>
      <c r="P7" s="1"/>
      <c r="Q7" s="109"/>
      <c r="R7" s="1"/>
      <c r="S7" s="1"/>
    </row>
    <row r="8" spans="2:19" ht="48" x14ac:dyDescent="0.2">
      <c r="B8" s="69" t="s">
        <v>88</v>
      </c>
      <c r="C8" s="70" t="s">
        <v>89</v>
      </c>
      <c r="D8" s="71" t="s">
        <v>90</v>
      </c>
      <c r="E8" s="71" t="s">
        <v>91</v>
      </c>
      <c r="F8" s="71" t="s">
        <v>92</v>
      </c>
      <c r="G8" s="71" t="s">
        <v>93</v>
      </c>
      <c r="H8" s="71" t="s">
        <v>94</v>
      </c>
      <c r="I8" s="71" t="s">
        <v>95</v>
      </c>
      <c r="J8" s="166" t="s">
        <v>232</v>
      </c>
      <c r="K8" s="70" t="s">
        <v>234</v>
      </c>
      <c r="L8" s="167" t="s">
        <v>96</v>
      </c>
      <c r="M8" s="168" t="s">
        <v>97</v>
      </c>
      <c r="N8" s="71" t="s">
        <v>233</v>
      </c>
      <c r="O8" s="1"/>
      <c r="P8" s="1"/>
      <c r="Q8" s="111"/>
      <c r="R8" s="1"/>
      <c r="S8" s="1"/>
    </row>
    <row r="9" spans="2:19" x14ac:dyDescent="0.2">
      <c r="B9" s="73"/>
      <c r="C9" s="74"/>
      <c r="D9" s="3"/>
      <c r="E9" s="3"/>
      <c r="F9" s="3"/>
      <c r="G9" s="3"/>
      <c r="H9" s="3"/>
      <c r="I9" s="3"/>
      <c r="J9" s="159"/>
      <c r="K9" s="3"/>
      <c r="L9" s="3"/>
      <c r="M9" s="62"/>
      <c r="N9" s="3"/>
      <c r="O9" s="1"/>
      <c r="P9" s="1"/>
      <c r="Q9" s="3"/>
      <c r="R9" s="1"/>
      <c r="S9" s="1"/>
    </row>
    <row r="10" spans="2:19" x14ac:dyDescent="0.2">
      <c r="B10" s="14"/>
      <c r="C10" s="3"/>
      <c r="D10" s="3"/>
      <c r="E10" s="3"/>
      <c r="F10" s="3"/>
      <c r="G10" s="3"/>
      <c r="H10" s="3"/>
      <c r="I10" s="3"/>
      <c r="J10" s="160"/>
      <c r="K10" s="15"/>
      <c r="L10" s="15"/>
      <c r="M10" s="75"/>
      <c r="N10" s="3"/>
      <c r="O10" s="76"/>
      <c r="P10" s="15"/>
      <c r="Q10" s="15"/>
      <c r="R10" s="76"/>
      <c r="S10" s="76"/>
    </row>
    <row r="11" spans="2:19" x14ac:dyDescent="0.2">
      <c r="B11" s="77"/>
      <c r="C11" s="72"/>
      <c r="D11" s="138">
        <f>Dashboard!F21*31.65/10^6</f>
        <v>3915.105</v>
      </c>
      <c r="E11" s="138">
        <f>Dashboard!F20*0.0000036</f>
        <v>1915.56</v>
      </c>
      <c r="F11" s="138">
        <v>0</v>
      </c>
      <c r="G11" s="138">
        <v>0</v>
      </c>
      <c r="H11" s="138">
        <f>Dashboard!F22</f>
        <v>557</v>
      </c>
      <c r="I11" s="138">
        <f>Dashboard!F23</f>
        <v>1727.52738</v>
      </c>
      <c r="J11" s="161"/>
      <c r="K11" s="3"/>
      <c r="L11" s="3"/>
      <c r="M11" s="62"/>
      <c r="N11" s="72"/>
      <c r="O11" s="1"/>
      <c r="P11" s="3"/>
      <c r="Q11" s="3"/>
      <c r="R11" s="1"/>
      <c r="S11" s="1"/>
    </row>
    <row r="12" spans="2:19" x14ac:dyDescent="0.2">
      <c r="B12" s="69"/>
      <c r="C12" s="2"/>
      <c r="D12" s="78"/>
      <c r="E12" s="78"/>
      <c r="F12" s="78"/>
      <c r="G12" s="78"/>
      <c r="H12" s="78"/>
      <c r="I12" s="78"/>
      <c r="J12" s="162"/>
      <c r="K12" s="3"/>
      <c r="L12" s="3"/>
      <c r="M12" s="62"/>
      <c r="N12" s="2"/>
      <c r="O12" s="1"/>
      <c r="P12" s="3"/>
      <c r="Q12" s="3"/>
      <c r="R12" s="1"/>
      <c r="S12" s="1"/>
    </row>
    <row r="13" spans="2:19" x14ac:dyDescent="0.2">
      <c r="B13" s="156" t="s">
        <v>231</v>
      </c>
      <c r="C13" s="3"/>
      <c r="D13" s="79"/>
      <c r="E13" s="79"/>
      <c r="F13" s="79"/>
      <c r="G13" s="79"/>
      <c r="H13" s="79"/>
      <c r="I13" s="79"/>
      <c r="J13" s="162"/>
      <c r="K13" s="3"/>
      <c r="L13" s="3"/>
      <c r="M13" s="62"/>
      <c r="N13" s="3"/>
      <c r="O13" s="1"/>
      <c r="P13" s="3"/>
      <c r="Q13" s="3"/>
      <c r="R13" s="1"/>
      <c r="S13" s="1"/>
    </row>
    <row r="14" spans="2:19" x14ac:dyDescent="0.2">
      <c r="B14" s="73"/>
      <c r="C14" s="85" t="s">
        <v>229</v>
      </c>
      <c r="D14" s="79"/>
      <c r="E14" s="79"/>
      <c r="F14" s="79"/>
      <c r="G14" s="79"/>
      <c r="H14" s="79"/>
      <c r="I14" s="79"/>
      <c r="J14" s="162"/>
      <c r="K14" s="3"/>
      <c r="L14" s="3">
        <f>Dashboard!F157*(1/Dashboard!F160)/(Dashboard!F$157*(1/Dashboard!F$160)+Dashboard!F$158*(1/Dashboard!F$161))</f>
        <v>0.78733500129410749</v>
      </c>
      <c r="M14" s="62"/>
      <c r="N14" s="3"/>
      <c r="O14" s="1"/>
      <c r="P14" s="3"/>
      <c r="Q14" s="3"/>
      <c r="R14" s="1"/>
      <c r="S14" s="1"/>
    </row>
    <row r="15" spans="2:19" x14ac:dyDescent="0.2">
      <c r="B15" s="73"/>
      <c r="C15" s="85" t="s">
        <v>230</v>
      </c>
      <c r="D15" s="79"/>
      <c r="E15" s="79"/>
      <c r="F15" s="79"/>
      <c r="G15" s="79"/>
      <c r="H15" s="79"/>
      <c r="I15" s="79"/>
      <c r="J15" s="162"/>
      <c r="K15" s="3"/>
      <c r="L15" s="3">
        <f>Dashboard!F158*(1/Dashboard!F161)/(Dashboard!F$157*(1/Dashboard!F$160)+Dashboard!F$158*(1/Dashboard!F$161))</f>
        <v>0.21266499870589253</v>
      </c>
      <c r="M15" s="62"/>
      <c r="N15" s="3"/>
      <c r="O15" s="1"/>
      <c r="P15" s="3"/>
      <c r="Q15" s="3"/>
      <c r="R15" s="1"/>
      <c r="S15" s="1"/>
    </row>
    <row r="16" spans="2:19" x14ac:dyDescent="0.2">
      <c r="B16" s="153" t="s">
        <v>72</v>
      </c>
      <c r="C16" s="154"/>
      <c r="D16" s="155"/>
      <c r="E16" s="155"/>
      <c r="F16" s="155"/>
      <c r="G16" s="155"/>
      <c r="H16" s="155"/>
      <c r="I16" s="155"/>
      <c r="J16" s="162"/>
      <c r="K16" s="3"/>
      <c r="L16" s="3"/>
      <c r="M16" s="62"/>
      <c r="N16" s="3"/>
      <c r="O16" s="1"/>
      <c r="P16" s="3"/>
      <c r="Q16" s="3"/>
      <c r="R16" s="1"/>
      <c r="S16" s="1"/>
    </row>
    <row r="17" spans="2:19" x14ac:dyDescent="0.2">
      <c r="B17" s="73"/>
      <c r="C17" s="85" t="s">
        <v>202</v>
      </c>
      <c r="D17" s="79">
        <f>D11*Dashboard!F33</f>
        <v>3065.1357045</v>
      </c>
      <c r="E17" s="79">
        <f>E11*Dashboard!F39</f>
        <v>138.30343199999999</v>
      </c>
      <c r="F17" s="79"/>
      <c r="G17" s="79"/>
      <c r="H17" s="79">
        <f>H11</f>
        <v>557</v>
      </c>
      <c r="I17" s="79">
        <f>I11*Dashboard!F48</f>
        <v>1382.0219040000002</v>
      </c>
      <c r="J17" s="179"/>
      <c r="K17" s="4"/>
      <c r="L17" s="4">
        <f>SUM(L20:L31)/(1-Dashboard!F15*Dashboard!F151)</f>
        <v>5434.9684296763016</v>
      </c>
      <c r="M17" s="66"/>
      <c r="N17" s="3"/>
      <c r="O17" s="1"/>
      <c r="P17" s="3"/>
      <c r="Q17" s="3"/>
      <c r="R17" s="1"/>
      <c r="S17" s="1"/>
    </row>
    <row r="18" spans="2:19" x14ac:dyDescent="0.2">
      <c r="B18" s="73"/>
      <c r="C18" s="85"/>
      <c r="D18" s="79"/>
      <c r="E18" s="79"/>
      <c r="F18" s="79"/>
      <c r="G18" s="79"/>
      <c r="H18" s="79"/>
      <c r="I18" s="79"/>
      <c r="J18" s="162"/>
      <c r="K18" s="3"/>
      <c r="L18" s="3"/>
      <c r="M18" s="62"/>
      <c r="N18" s="3"/>
      <c r="O18" s="1"/>
      <c r="P18" s="3"/>
      <c r="Q18" s="3"/>
      <c r="R18" s="1"/>
      <c r="S18" s="1"/>
    </row>
    <row r="19" spans="2:19" x14ac:dyDescent="0.2">
      <c r="B19" s="73"/>
      <c r="C19" s="96"/>
      <c r="D19" s="79"/>
      <c r="E19" s="79"/>
      <c r="F19" s="79"/>
      <c r="G19" s="79"/>
      <c r="H19" s="79"/>
      <c r="I19" s="79"/>
      <c r="J19" s="162"/>
      <c r="K19" s="3"/>
      <c r="L19" s="3"/>
      <c r="M19" s="62"/>
      <c r="N19" s="3"/>
      <c r="O19" s="1"/>
      <c r="P19" s="3"/>
      <c r="Q19" s="3"/>
      <c r="R19" s="1"/>
      <c r="S19" s="1"/>
    </row>
    <row r="20" spans="2:19" x14ac:dyDescent="0.2">
      <c r="B20" s="157"/>
      <c r="C20" s="81" t="s">
        <v>98</v>
      </c>
      <c r="D20" s="173">
        <f>(Dashboard!F79/K20)/(Dashboard!F$79/K$20+Dashboard!F$80/K$23+Dashboard!F$81/K$28+Dashboard!F$82/K$31)*D$17</f>
        <v>2911.878919275</v>
      </c>
      <c r="E20" s="174"/>
      <c r="F20" s="174"/>
      <c r="G20" s="174"/>
      <c r="H20" s="174"/>
      <c r="I20" s="174"/>
      <c r="J20" s="163">
        <f t="shared" ref="J20:J31" si="0">SUM(D20:I20)</f>
        <v>2911.878919275</v>
      </c>
      <c r="K20" s="3">
        <v>1.0669999999999999</v>
      </c>
      <c r="L20" s="3">
        <f t="shared" ref="L20:L31" si="1">K20*SUM(D20:I20)</f>
        <v>3106.9748068664248</v>
      </c>
      <c r="M20" s="112">
        <f>L20/SUM($L$20:$L$31)</f>
        <v>0.57251400196416369</v>
      </c>
      <c r="N20" s="169">
        <f t="shared" ref="N20:N31" si="2">SUM(D20:I20)/SUM($D$20:$I$31)</f>
        <v>0.56624229067409304</v>
      </c>
      <c r="O20" s="1"/>
      <c r="P20" s="3"/>
      <c r="Q20" s="3"/>
      <c r="R20" s="1"/>
      <c r="S20" s="1"/>
    </row>
    <row r="21" spans="2:19" x14ac:dyDescent="0.2">
      <c r="B21" s="157"/>
      <c r="C21" s="81" t="s">
        <v>99</v>
      </c>
      <c r="D21" s="175"/>
      <c r="E21" s="175"/>
      <c r="F21" s="175"/>
      <c r="G21" s="175"/>
      <c r="H21" s="175"/>
      <c r="I21" s="175"/>
      <c r="J21" s="163">
        <f t="shared" si="0"/>
        <v>0</v>
      </c>
      <c r="K21" s="3">
        <v>1</v>
      </c>
      <c r="L21" s="3">
        <f t="shared" si="1"/>
        <v>0</v>
      </c>
      <c r="M21" s="112">
        <f t="shared" ref="M21:M31" si="3">L21/SUM($L$20:$L$31)</f>
        <v>0</v>
      </c>
      <c r="N21" s="169">
        <f t="shared" si="2"/>
        <v>0</v>
      </c>
      <c r="O21" s="1"/>
      <c r="P21" s="3"/>
      <c r="Q21" s="3"/>
      <c r="R21" s="1"/>
      <c r="S21" s="1"/>
    </row>
    <row r="22" spans="2:19" x14ac:dyDescent="0.2">
      <c r="B22" s="157"/>
      <c r="C22" s="81" t="s">
        <v>100</v>
      </c>
      <c r="D22" s="175"/>
      <c r="E22" s="175">
        <f>(Dashboard!F84/K22)/(Dashboard!F$84/K$22+Dashboard!F$85/K$25+Dashboard!F$86/K$27)*(E$17-E$31)</f>
        <v>11.203522336292954</v>
      </c>
      <c r="F22" s="175"/>
      <c r="G22" s="175"/>
      <c r="H22" s="175"/>
      <c r="I22" s="175"/>
      <c r="J22" s="163">
        <f t="shared" si="0"/>
        <v>11.203522336292954</v>
      </c>
      <c r="K22" s="3">
        <v>4.8000000000000078</v>
      </c>
      <c r="L22" s="3">
        <f t="shared" si="1"/>
        <v>53.776907214206268</v>
      </c>
      <c r="M22" s="112">
        <f t="shared" si="3"/>
        <v>9.9093279721544827E-3</v>
      </c>
      <c r="N22" s="169">
        <f t="shared" si="2"/>
        <v>2.1786304744087354E-3</v>
      </c>
      <c r="O22" s="1"/>
      <c r="P22" s="109"/>
      <c r="Q22" s="3"/>
      <c r="R22" s="1"/>
      <c r="S22" s="1"/>
    </row>
    <row r="23" spans="2:19" x14ac:dyDescent="0.2">
      <c r="B23" s="157"/>
      <c r="C23" s="81" t="s">
        <v>102</v>
      </c>
      <c r="D23" s="175">
        <f>(Dashboard!F80/K23)/(Dashboard!F$79/K$20+Dashboard!F$80/K$23+Dashboard!F$81/K$28+Dashboard!F$82/K$31)*D$17</f>
        <v>0</v>
      </c>
      <c r="E23" s="175"/>
      <c r="F23" s="175"/>
      <c r="G23" s="175"/>
      <c r="H23" s="175"/>
      <c r="I23" s="175"/>
      <c r="J23" s="163">
        <f t="shared" si="0"/>
        <v>0</v>
      </c>
      <c r="K23" s="3">
        <v>0.88</v>
      </c>
      <c r="L23" s="3">
        <f t="shared" si="1"/>
        <v>0</v>
      </c>
      <c r="M23" s="112">
        <f t="shared" si="3"/>
        <v>0</v>
      </c>
      <c r="N23" s="169">
        <f t="shared" si="2"/>
        <v>0</v>
      </c>
      <c r="O23" s="1"/>
      <c r="P23" s="110"/>
      <c r="Q23" s="1"/>
      <c r="R23" s="83"/>
      <c r="S23" s="1"/>
    </row>
    <row r="24" spans="2:19" x14ac:dyDescent="0.2">
      <c r="B24" s="157"/>
      <c r="C24" s="81" t="s">
        <v>103</v>
      </c>
      <c r="D24" s="175"/>
      <c r="E24" s="175"/>
      <c r="F24" s="175"/>
      <c r="G24" s="175"/>
      <c r="H24" s="175"/>
      <c r="I24" s="175">
        <f>I17</f>
        <v>1382.0219040000002</v>
      </c>
      <c r="J24" s="163">
        <f t="shared" si="0"/>
        <v>1382.0219040000002</v>
      </c>
      <c r="K24" s="3">
        <v>1</v>
      </c>
      <c r="L24" s="3">
        <f t="shared" si="1"/>
        <v>1382.0219040000002</v>
      </c>
      <c r="M24" s="112">
        <f t="shared" si="3"/>
        <v>0.25466150845914787</v>
      </c>
      <c r="N24" s="169">
        <f t="shared" si="2"/>
        <v>0.26874718021502531</v>
      </c>
      <c r="O24" s="1"/>
      <c r="P24" s="3"/>
      <c r="Q24" s="1"/>
      <c r="R24" s="1"/>
      <c r="S24" s="1"/>
    </row>
    <row r="25" spans="2:19" x14ac:dyDescent="0.2">
      <c r="B25" s="157"/>
      <c r="C25" s="81" t="s">
        <v>104</v>
      </c>
      <c r="D25" s="175"/>
      <c r="E25" s="175">
        <f>(Dashboard!F85/K25)/(Dashboard!F$84/K$22+Dashboard!F$85/K$25+Dashboard!F$86/K$27)*(E$17-E$31)</f>
        <v>50.765298752541106</v>
      </c>
      <c r="F25" s="175"/>
      <c r="G25" s="175"/>
      <c r="H25" s="175"/>
      <c r="I25" s="175"/>
      <c r="J25" s="163">
        <f t="shared" si="0"/>
        <v>50.765298752541106</v>
      </c>
      <c r="K25" s="3">
        <v>4.5000000000000044</v>
      </c>
      <c r="L25" s="3">
        <f t="shared" si="1"/>
        <v>228.44384438643522</v>
      </c>
      <c r="M25" s="112">
        <f t="shared" si="3"/>
        <v>4.2094740930861844E-2</v>
      </c>
      <c r="N25" s="169">
        <f t="shared" si="2"/>
        <v>9.8717906373492342E-3</v>
      </c>
      <c r="O25" s="1"/>
      <c r="P25" s="109"/>
      <c r="Q25" s="1"/>
      <c r="R25" s="1"/>
      <c r="S25" s="1"/>
    </row>
    <row r="26" spans="2:19" x14ac:dyDescent="0.2">
      <c r="B26" s="157"/>
      <c r="C26" s="81" t="s">
        <v>106</v>
      </c>
      <c r="D26" s="175"/>
      <c r="E26" s="175"/>
      <c r="F26" s="175"/>
      <c r="G26" s="175"/>
      <c r="H26" s="175">
        <f>H17</f>
        <v>557</v>
      </c>
      <c r="I26" s="175"/>
      <c r="J26" s="163">
        <f t="shared" si="0"/>
        <v>557</v>
      </c>
      <c r="K26" s="3">
        <v>0.82</v>
      </c>
      <c r="L26" s="3">
        <f t="shared" si="1"/>
        <v>456.73999999999995</v>
      </c>
      <c r="M26" s="112">
        <f t="shared" si="3"/>
        <v>8.4162267643502667E-2</v>
      </c>
      <c r="N26" s="169">
        <f t="shared" si="2"/>
        <v>0.10831389788143986</v>
      </c>
      <c r="O26" s="1"/>
      <c r="P26" s="110"/>
      <c r="Q26" s="1"/>
      <c r="R26" s="83"/>
      <c r="S26" s="1"/>
    </row>
    <row r="27" spans="2:19" x14ac:dyDescent="0.2">
      <c r="B27" s="157"/>
      <c r="C27" s="81" t="s">
        <v>107</v>
      </c>
      <c r="D27" s="175"/>
      <c r="E27" s="175">
        <f>(Dashboard!F86/K27)/(Dashboard!F$84/K$22+Dashboard!F$85/K$25+Dashboard!F$86/K$27)*(E$17-E$31)</f>
        <v>76.334610911165925</v>
      </c>
      <c r="F27" s="175"/>
      <c r="G27" s="175"/>
      <c r="H27" s="175"/>
      <c r="I27" s="175"/>
      <c r="J27" s="163">
        <f t="shared" si="0"/>
        <v>76.334610911165925</v>
      </c>
      <c r="K27" s="3">
        <v>1</v>
      </c>
      <c r="L27" s="3">
        <f t="shared" si="1"/>
        <v>76.334610911165925</v>
      </c>
      <c r="M27" s="112">
        <f t="shared" si="3"/>
        <v>1.4065976165801521E-2</v>
      </c>
      <c r="N27" s="169">
        <f t="shared" si="2"/>
        <v>1.4843984292731545E-2</v>
      </c>
      <c r="O27" s="1"/>
      <c r="P27" s="3"/>
      <c r="Q27" s="1"/>
      <c r="R27" s="1"/>
      <c r="S27" s="1"/>
    </row>
    <row r="28" spans="2:19" x14ac:dyDescent="0.2">
      <c r="B28" s="157"/>
      <c r="C28" s="81" t="s">
        <v>108</v>
      </c>
      <c r="D28" s="175">
        <f>(Dashboard!F81/K28)/(Dashboard!F$79/K$20+Dashboard!F$80/K$23+Dashboard!F$81/K$28+Dashboard!F$82/K$31)*D$17</f>
        <v>153.25678522500013</v>
      </c>
      <c r="E28" s="175"/>
      <c r="F28" s="175"/>
      <c r="G28" s="175"/>
      <c r="H28" s="175"/>
      <c r="I28" s="175"/>
      <c r="J28" s="163">
        <f t="shared" si="0"/>
        <v>153.25678522500013</v>
      </c>
      <c r="K28" s="3">
        <v>0.8</v>
      </c>
      <c r="L28" s="3">
        <f t="shared" si="1"/>
        <v>122.6054281800001</v>
      </c>
      <c r="M28" s="112">
        <f t="shared" si="3"/>
        <v>2.2592176864367944E-2</v>
      </c>
      <c r="N28" s="169">
        <f t="shared" si="2"/>
        <v>2.9802225824952289E-2</v>
      </c>
      <c r="O28" s="1"/>
      <c r="P28" s="3"/>
      <c r="Q28" s="1"/>
      <c r="R28" s="1"/>
      <c r="S28" s="1"/>
    </row>
    <row r="29" spans="2:19" x14ac:dyDescent="0.2">
      <c r="B29" s="157"/>
      <c r="C29" s="81" t="s">
        <v>109</v>
      </c>
      <c r="D29" s="175"/>
      <c r="E29" s="175"/>
      <c r="F29" s="175"/>
      <c r="G29" s="175">
        <f>G17</f>
        <v>0</v>
      </c>
      <c r="H29" s="175"/>
      <c r="I29" s="175"/>
      <c r="J29" s="163">
        <f t="shared" si="0"/>
        <v>0</v>
      </c>
      <c r="K29" s="3">
        <v>0.85</v>
      </c>
      <c r="L29" s="3">
        <f t="shared" si="1"/>
        <v>0</v>
      </c>
      <c r="M29" s="112">
        <f t="shared" si="3"/>
        <v>0</v>
      </c>
      <c r="N29" s="169">
        <f t="shared" si="2"/>
        <v>0</v>
      </c>
      <c r="O29" s="1"/>
      <c r="P29" s="3"/>
      <c r="Q29" s="1"/>
      <c r="R29" s="1"/>
      <c r="S29" s="1"/>
    </row>
    <row r="30" spans="2:19" x14ac:dyDescent="0.2">
      <c r="B30" s="157"/>
      <c r="C30" s="81" t="s">
        <v>110</v>
      </c>
      <c r="D30" s="175"/>
      <c r="E30" s="175"/>
      <c r="F30" s="175">
        <f>F17</f>
        <v>0</v>
      </c>
      <c r="G30" s="175"/>
      <c r="H30" s="175"/>
      <c r="I30" s="175"/>
      <c r="J30" s="163">
        <f t="shared" si="0"/>
        <v>0</v>
      </c>
      <c r="K30" s="3">
        <v>0.8</v>
      </c>
      <c r="L30" s="3">
        <f t="shared" si="1"/>
        <v>0</v>
      </c>
      <c r="M30" s="112">
        <f t="shared" si="3"/>
        <v>0</v>
      </c>
      <c r="N30" s="169">
        <f t="shared" si="2"/>
        <v>0</v>
      </c>
      <c r="O30" s="1"/>
      <c r="P30" s="3"/>
      <c r="Q30" s="1"/>
      <c r="R30" s="1"/>
      <c r="S30" s="1"/>
    </row>
    <row r="31" spans="2:19" x14ac:dyDescent="0.2">
      <c r="B31" s="157"/>
      <c r="C31" s="84" t="s">
        <v>174</v>
      </c>
      <c r="D31" s="176">
        <f>(Dashboard!F82/K31)/(Dashboard!F$79/K$20+Dashboard!F$80/K$23+Dashboard!F$81/K$28+Dashboard!F$82/K$31)*D$17</f>
        <v>0</v>
      </c>
      <c r="E31" s="177">
        <f>D31*Dashboard!E153</f>
        <v>0</v>
      </c>
      <c r="F31" s="177"/>
      <c r="G31" s="177"/>
      <c r="H31" s="177"/>
      <c r="I31" s="177"/>
      <c r="J31" s="163">
        <f t="shared" si="0"/>
        <v>0</v>
      </c>
      <c r="K31" s="3">
        <v>4.4999999999999947</v>
      </c>
      <c r="L31" s="3">
        <f t="shared" si="1"/>
        <v>0</v>
      </c>
      <c r="M31" s="112">
        <f t="shared" si="3"/>
        <v>0</v>
      </c>
      <c r="N31" s="169">
        <f t="shared" si="2"/>
        <v>0</v>
      </c>
      <c r="O31" s="1"/>
      <c r="P31" s="3"/>
      <c r="Q31" s="1"/>
      <c r="R31" s="1"/>
      <c r="S31" s="1"/>
    </row>
    <row r="32" spans="2:19" x14ac:dyDescent="0.2">
      <c r="B32" s="73"/>
      <c r="C32" s="85"/>
      <c r="D32" s="87"/>
      <c r="E32" s="79"/>
      <c r="F32" s="87"/>
      <c r="G32" s="87"/>
      <c r="H32" s="87"/>
      <c r="I32" s="87"/>
      <c r="J32" s="163"/>
      <c r="K32" s="3"/>
      <c r="L32" s="3"/>
      <c r="M32" s="113"/>
      <c r="N32" s="86"/>
      <c r="O32" s="1"/>
      <c r="P32" s="3"/>
      <c r="Q32" s="1"/>
      <c r="R32" s="1"/>
      <c r="S32" s="1"/>
    </row>
    <row r="33" spans="2:19" x14ac:dyDescent="0.2">
      <c r="B33" s="88"/>
      <c r="C33" s="89"/>
      <c r="D33" s="78"/>
      <c r="E33" s="78"/>
      <c r="F33" s="78"/>
      <c r="G33" s="78"/>
      <c r="H33" s="78"/>
      <c r="I33" s="78"/>
      <c r="J33" s="163"/>
      <c r="K33" s="3"/>
      <c r="L33" s="3"/>
      <c r="M33" s="113"/>
      <c r="N33" s="86"/>
      <c r="O33" s="1"/>
      <c r="P33" s="1"/>
      <c r="Q33" s="1"/>
      <c r="R33" s="1"/>
      <c r="S33" s="1"/>
    </row>
    <row r="34" spans="2:19" x14ac:dyDescent="0.2">
      <c r="B34" s="73" t="s">
        <v>73</v>
      </c>
      <c r="C34" s="89"/>
      <c r="D34" s="90"/>
      <c r="E34" s="90"/>
      <c r="F34" s="90"/>
      <c r="G34" s="90"/>
      <c r="H34" s="90"/>
      <c r="I34" s="90"/>
      <c r="J34" s="163"/>
      <c r="K34" s="3"/>
      <c r="L34" s="3"/>
      <c r="M34" s="113"/>
      <c r="N34" s="86"/>
      <c r="O34" s="1"/>
      <c r="P34" s="1"/>
      <c r="Q34" s="1"/>
      <c r="R34" s="1"/>
      <c r="S34" s="1"/>
    </row>
    <row r="35" spans="2:19" x14ac:dyDescent="0.2">
      <c r="B35" s="73"/>
      <c r="C35" s="85" t="s">
        <v>202</v>
      </c>
      <c r="D35" s="79">
        <f>D11*Dashboard!F34</f>
        <v>766.18604850000008</v>
      </c>
      <c r="E35" s="79">
        <f>E11*Dashboard!F40</f>
        <v>98.842895999999996</v>
      </c>
      <c r="F35" s="79"/>
      <c r="G35" s="79"/>
      <c r="H35" s="79"/>
      <c r="I35" s="79">
        <f>I11*Dashboard!F49</f>
        <v>345.50547600000004</v>
      </c>
      <c r="J35" s="180"/>
      <c r="K35" s="4"/>
      <c r="L35" s="4">
        <f>SUM(L37:L48)/(1-Dashboard!F15*Dashboard!F152)</f>
        <v>1245.8048875996615</v>
      </c>
      <c r="M35" s="181"/>
      <c r="N35" s="86"/>
      <c r="O35" s="1"/>
      <c r="P35" s="1"/>
      <c r="Q35" s="1"/>
      <c r="R35" s="1"/>
      <c r="S35" s="1"/>
    </row>
    <row r="36" spans="2:19" x14ac:dyDescent="0.2">
      <c r="B36" s="73"/>
      <c r="C36" s="85"/>
      <c r="D36" s="92"/>
      <c r="E36" s="92"/>
      <c r="F36" s="92"/>
      <c r="G36" s="92"/>
      <c r="H36" s="92"/>
      <c r="I36" s="92"/>
      <c r="J36" s="163"/>
      <c r="K36" s="3"/>
      <c r="L36" s="3"/>
      <c r="M36" s="113"/>
      <c r="N36" s="86"/>
      <c r="O36" s="1"/>
      <c r="P36" s="1"/>
      <c r="Q36" s="1"/>
      <c r="R36" s="1"/>
      <c r="S36" s="1"/>
    </row>
    <row r="37" spans="2:19" x14ac:dyDescent="0.2">
      <c r="B37" s="158"/>
      <c r="C37" s="81" t="s">
        <v>111</v>
      </c>
      <c r="D37" s="173">
        <f>(Dashboard!F96/K37)/(Dashboard!F$96/K$37+Dashboard!F$97/K$39+Dashboard!F$98/K$43+Dashboard!F$99/K$48+Dashboard!F100*K47)*D$35</f>
        <v>738.57484218347827</v>
      </c>
      <c r="E37" s="174"/>
      <c r="F37" s="174"/>
      <c r="G37" s="174"/>
      <c r="H37" s="174"/>
      <c r="I37" s="174"/>
      <c r="J37" s="163">
        <f t="shared" ref="J37:J48" si="4">SUM(D37:I37)</f>
        <v>738.57484218347827</v>
      </c>
      <c r="K37" s="3">
        <v>0.9</v>
      </c>
      <c r="L37" s="3">
        <f t="shared" ref="L37:L48" si="5">K37*SUM(D37:I37)</f>
        <v>664.71735796513042</v>
      </c>
      <c r="M37" s="112">
        <f t="shared" ref="M37:M48" si="6">L37/SUM($L$37:$L$48)</f>
        <v>0.53621886043015521</v>
      </c>
      <c r="N37" s="169">
        <f t="shared" ref="N37:N48" si="7">SUM(D37:I37)/SUM($D$37:$I$48)</f>
        <v>0.60436208069539743</v>
      </c>
      <c r="O37" s="1"/>
      <c r="P37" s="1"/>
      <c r="Q37" s="1"/>
      <c r="R37" s="1"/>
      <c r="S37" s="1"/>
    </row>
    <row r="38" spans="2:19" x14ac:dyDescent="0.2">
      <c r="B38" s="158"/>
      <c r="C38" s="81" t="s">
        <v>112</v>
      </c>
      <c r="D38" s="175"/>
      <c r="E38" s="175">
        <f>(Dashboard!F102/K38)/(Dashboard!F$102/K$38+Dashboard!F$103/K$41+Dashboard!F$104/K$43)*(E$35-E$48)</f>
        <v>43.151205061632986</v>
      </c>
      <c r="F38" s="175"/>
      <c r="G38" s="175"/>
      <c r="H38" s="175"/>
      <c r="I38" s="175"/>
      <c r="J38" s="163">
        <f t="shared" si="4"/>
        <v>43.151205061632986</v>
      </c>
      <c r="K38" s="3">
        <v>3.0000000000000031</v>
      </c>
      <c r="L38" s="3">
        <f t="shared" si="5"/>
        <v>129.45361518489909</v>
      </c>
      <c r="M38" s="112">
        <f t="shared" si="6"/>
        <v>0.10442855024202906</v>
      </c>
      <c r="N38" s="169">
        <f t="shared" si="7"/>
        <v>3.5309829940137184E-2</v>
      </c>
      <c r="O38" s="1"/>
      <c r="P38" s="1"/>
      <c r="Q38" s="1"/>
      <c r="R38" s="1"/>
      <c r="S38" s="1"/>
    </row>
    <row r="39" spans="2:19" x14ac:dyDescent="0.2">
      <c r="B39" s="158"/>
      <c r="C39" s="81" t="s">
        <v>113</v>
      </c>
      <c r="D39" s="175">
        <f>(Dashboard!F97/K39)/(Dashboard!F$96/K$37+Dashboard!F$97/K$39+Dashboard!F$98/K$43+Dashboard!F$99/K$48+Dashboard!F100*K47)*D$35</f>
        <v>0</v>
      </c>
      <c r="E39" s="175"/>
      <c r="F39" s="175"/>
      <c r="G39" s="175"/>
      <c r="H39" s="175"/>
      <c r="I39" s="175"/>
      <c r="J39" s="163">
        <f t="shared" si="4"/>
        <v>0</v>
      </c>
      <c r="K39" s="3">
        <v>0.88</v>
      </c>
      <c r="L39" s="3">
        <f t="shared" si="5"/>
        <v>0</v>
      </c>
      <c r="M39" s="112">
        <f t="shared" si="6"/>
        <v>0</v>
      </c>
      <c r="N39" s="169">
        <f t="shared" si="7"/>
        <v>0</v>
      </c>
      <c r="O39" s="1"/>
      <c r="P39" s="1"/>
      <c r="Q39" s="1"/>
      <c r="R39" s="1"/>
      <c r="S39" s="1"/>
    </row>
    <row r="40" spans="2:19" x14ac:dyDescent="0.2">
      <c r="B40" s="158"/>
      <c r="C40" s="81" t="s">
        <v>114</v>
      </c>
      <c r="D40" s="175"/>
      <c r="E40" s="175"/>
      <c r="F40" s="175"/>
      <c r="G40" s="175"/>
      <c r="H40" s="175"/>
      <c r="I40" s="175">
        <f>I35</f>
        <v>345.50547600000004</v>
      </c>
      <c r="J40" s="163">
        <f t="shared" si="4"/>
        <v>345.50547600000004</v>
      </c>
      <c r="K40" s="3">
        <v>1</v>
      </c>
      <c r="L40" s="3">
        <f t="shared" si="5"/>
        <v>345.50547600000004</v>
      </c>
      <c r="M40" s="112">
        <f t="shared" si="6"/>
        <v>0.27871478064037114</v>
      </c>
      <c r="N40" s="169">
        <f t="shared" si="7"/>
        <v>0.28272071622382805</v>
      </c>
      <c r="O40" s="1"/>
      <c r="P40" s="1"/>
      <c r="Q40" s="1"/>
      <c r="R40" s="1"/>
      <c r="S40" s="1"/>
    </row>
    <row r="41" spans="2:19" x14ac:dyDescent="0.2">
      <c r="B41" s="158"/>
      <c r="C41" s="81" t="s">
        <v>115</v>
      </c>
      <c r="D41" s="175"/>
      <c r="E41" s="175">
        <f>(Dashboard!F103/K41)/(Dashboard!F$102/K$38+Dashboard!F$103/K$41+Dashboard!F$104/K$43)*(E$35-E$48)</f>
        <v>10.158025299448241</v>
      </c>
      <c r="F41" s="175"/>
      <c r="G41" s="175"/>
      <c r="H41" s="175"/>
      <c r="I41" s="175"/>
      <c r="J41" s="163">
        <f t="shared" si="4"/>
        <v>10.158025299448241</v>
      </c>
      <c r="K41" s="3">
        <v>3.0000000000000031</v>
      </c>
      <c r="L41" s="3">
        <f t="shared" si="5"/>
        <v>30.474075898344754</v>
      </c>
      <c r="M41" s="112">
        <f t="shared" si="6"/>
        <v>2.4583041280726844E-2</v>
      </c>
      <c r="N41" s="169">
        <f t="shared" si="7"/>
        <v>8.3121235047509678E-3</v>
      </c>
      <c r="O41" s="1"/>
      <c r="P41" s="1"/>
      <c r="Q41" s="1"/>
      <c r="R41" s="1"/>
      <c r="S41" s="1"/>
    </row>
    <row r="42" spans="2:19" x14ac:dyDescent="0.2">
      <c r="B42" s="158"/>
      <c r="C42" s="81" t="s">
        <v>116</v>
      </c>
      <c r="D42" s="175"/>
      <c r="E42" s="175"/>
      <c r="F42" s="175"/>
      <c r="G42" s="175"/>
      <c r="H42" s="175">
        <f>H35</f>
        <v>0</v>
      </c>
      <c r="I42" s="175"/>
      <c r="J42" s="163">
        <f t="shared" si="4"/>
        <v>0</v>
      </c>
      <c r="K42" s="3">
        <v>0.82</v>
      </c>
      <c r="L42" s="3">
        <f t="shared" si="5"/>
        <v>0</v>
      </c>
      <c r="M42" s="112">
        <f t="shared" si="6"/>
        <v>0</v>
      </c>
      <c r="N42" s="169">
        <f t="shared" si="7"/>
        <v>0</v>
      </c>
      <c r="O42" s="1"/>
      <c r="P42" s="1"/>
      <c r="Q42" s="1"/>
      <c r="R42" s="1"/>
      <c r="S42" s="1"/>
    </row>
    <row r="43" spans="2:19" x14ac:dyDescent="0.2">
      <c r="B43" s="158"/>
      <c r="C43" s="81" t="s">
        <v>117</v>
      </c>
      <c r="D43" s="175"/>
      <c r="E43" s="175">
        <f>(Dashboard!F104/K43)/(Dashboard!F$102/K$38+Dashboard!F$103/K$41+Dashboard!F$104/K$43)*(E$35-E$48)</f>
        <v>45.533665638918777</v>
      </c>
      <c r="F43" s="175"/>
      <c r="G43" s="175"/>
      <c r="H43" s="175"/>
      <c r="I43" s="175"/>
      <c r="J43" s="163">
        <f t="shared" si="4"/>
        <v>45.533665638918777</v>
      </c>
      <c r="K43" s="3">
        <v>0.95</v>
      </c>
      <c r="L43" s="3">
        <f t="shared" si="5"/>
        <v>43.256982356972834</v>
      </c>
      <c r="M43" s="112">
        <f t="shared" si="6"/>
        <v>3.4894845917834559E-2</v>
      </c>
      <c r="N43" s="169">
        <f t="shared" si="7"/>
        <v>3.725935319685475E-2</v>
      </c>
      <c r="O43" s="1"/>
      <c r="P43" s="1"/>
      <c r="Q43" s="1"/>
      <c r="R43" s="1"/>
      <c r="S43" s="1"/>
    </row>
    <row r="44" spans="2:19" x14ac:dyDescent="0.2">
      <c r="B44" s="158"/>
      <c r="C44" s="81" t="s">
        <v>118</v>
      </c>
      <c r="D44" s="175">
        <f>(Dashboard!F98/K44)/(Dashboard!F$96/K$37+Dashboard!F$97/K$39+Dashboard!F$98/K$43+Dashboard!F$99/K$48+Dashboard!F100*K47)*D$35</f>
        <v>39.150217911486195</v>
      </c>
      <c r="E44" s="175"/>
      <c r="F44" s="175"/>
      <c r="G44" s="175"/>
      <c r="H44" s="175"/>
      <c r="I44" s="175"/>
      <c r="J44" s="163">
        <f t="shared" si="4"/>
        <v>39.150217911486195</v>
      </c>
      <c r="K44" s="3">
        <v>0.67</v>
      </c>
      <c r="L44" s="3">
        <f t="shared" si="5"/>
        <v>26.230646000695753</v>
      </c>
      <c r="M44" s="112">
        <f t="shared" si="6"/>
        <v>2.1159921488882984E-2</v>
      </c>
      <c r="N44" s="169">
        <f t="shared" si="7"/>
        <v>3.2035896439031597E-2</v>
      </c>
      <c r="O44" s="1"/>
      <c r="P44" s="1"/>
      <c r="Q44" s="1"/>
      <c r="R44" s="1"/>
      <c r="S44" s="1"/>
    </row>
    <row r="45" spans="2:19" x14ac:dyDescent="0.2">
      <c r="B45" s="158"/>
      <c r="C45" s="81" t="s">
        <v>119</v>
      </c>
      <c r="D45" s="175"/>
      <c r="E45" s="175"/>
      <c r="F45" s="175"/>
      <c r="G45" s="175">
        <f>G35</f>
        <v>0</v>
      </c>
      <c r="H45" s="175"/>
      <c r="I45" s="175"/>
      <c r="J45" s="163">
        <f t="shared" si="4"/>
        <v>0</v>
      </c>
      <c r="K45" s="3">
        <v>0.85</v>
      </c>
      <c r="L45" s="3">
        <f t="shared" si="5"/>
        <v>0</v>
      </c>
      <c r="M45" s="112">
        <f t="shared" si="6"/>
        <v>0</v>
      </c>
      <c r="N45" s="169">
        <f t="shared" si="7"/>
        <v>0</v>
      </c>
      <c r="O45" s="1"/>
      <c r="P45" s="1"/>
      <c r="Q45" s="1"/>
      <c r="R45" s="1"/>
      <c r="S45" s="1"/>
    </row>
    <row r="46" spans="2:19" x14ac:dyDescent="0.2">
      <c r="B46" s="158"/>
      <c r="C46" s="81" t="s">
        <v>120</v>
      </c>
      <c r="D46" s="175"/>
      <c r="E46" s="175"/>
      <c r="F46" s="175">
        <f>F35</f>
        <v>0</v>
      </c>
      <c r="G46" s="175"/>
      <c r="H46" s="175"/>
      <c r="I46" s="175"/>
      <c r="J46" s="163">
        <f t="shared" si="4"/>
        <v>0</v>
      </c>
      <c r="K46" s="3">
        <v>0.8</v>
      </c>
      <c r="L46" s="3">
        <f t="shared" si="5"/>
        <v>0</v>
      </c>
      <c r="M46" s="112">
        <f t="shared" si="6"/>
        <v>0</v>
      </c>
      <c r="N46" s="169">
        <f t="shared" si="7"/>
        <v>0</v>
      </c>
      <c r="O46" s="1"/>
      <c r="P46" s="1"/>
      <c r="Q46" s="1"/>
      <c r="R46" s="1"/>
      <c r="S46" s="1"/>
    </row>
    <row r="47" spans="2:19" x14ac:dyDescent="0.2">
      <c r="B47" s="158"/>
      <c r="C47" s="81" t="s">
        <v>121</v>
      </c>
      <c r="D47" s="175">
        <f>(Dashboard!F100/K47)/(Dashboard!F$96/K$37+Dashboard!F$97/K$39+Dashboard!F$98/K$43+Dashboard!F$99/K$48+Dashboard!F100*K47)*D$35</f>
        <v>0</v>
      </c>
      <c r="E47" s="175"/>
      <c r="F47" s="175"/>
      <c r="G47" s="175"/>
      <c r="H47" s="175"/>
      <c r="I47" s="175"/>
      <c r="J47" s="163">
        <f t="shared" si="4"/>
        <v>0</v>
      </c>
      <c r="K47" s="3">
        <v>0.2</v>
      </c>
      <c r="L47" s="3">
        <f t="shared" si="5"/>
        <v>0</v>
      </c>
      <c r="M47" s="112">
        <f t="shared" si="6"/>
        <v>0</v>
      </c>
      <c r="N47" s="169">
        <f t="shared" si="7"/>
        <v>0</v>
      </c>
      <c r="O47" s="1"/>
      <c r="P47" s="1"/>
      <c r="Q47" s="1"/>
      <c r="R47" s="1"/>
      <c r="S47" s="1"/>
    </row>
    <row r="48" spans="2:19" x14ac:dyDescent="0.2">
      <c r="B48" s="157"/>
      <c r="C48" s="81" t="s">
        <v>175</v>
      </c>
      <c r="D48" s="178">
        <f>(Dashboard!F99/K48)/(Dashboard!F$96/K$37+Dashboard!F$97/K$39+Dashboard!F$98/K$43+Dashboard!F$99/K$48+Dashboard!F100*K47)*D$35</f>
        <v>0</v>
      </c>
      <c r="E48" s="177">
        <f>D48*Dashboard!F154</f>
        <v>0</v>
      </c>
      <c r="F48" s="177"/>
      <c r="G48" s="177"/>
      <c r="H48" s="177"/>
      <c r="I48" s="177"/>
      <c r="J48" s="163">
        <f t="shared" si="4"/>
        <v>0</v>
      </c>
      <c r="K48" s="3">
        <v>3</v>
      </c>
      <c r="L48" s="3">
        <f t="shared" si="5"/>
        <v>0</v>
      </c>
      <c r="M48" s="112">
        <f t="shared" si="6"/>
        <v>0</v>
      </c>
      <c r="N48" s="169">
        <f t="shared" si="7"/>
        <v>0</v>
      </c>
      <c r="O48" s="1"/>
      <c r="P48" s="1"/>
      <c r="Q48" s="1"/>
      <c r="R48" s="1"/>
      <c r="S48" s="1"/>
    </row>
    <row r="49" spans="2:19" x14ac:dyDescent="0.2">
      <c r="B49" s="73"/>
      <c r="C49" s="115"/>
      <c r="D49" s="92"/>
      <c r="E49" s="92"/>
      <c r="F49" s="92"/>
      <c r="G49" s="92"/>
      <c r="H49" s="92"/>
      <c r="I49" s="92"/>
      <c r="J49" s="163"/>
      <c r="K49" s="3"/>
      <c r="L49" s="3"/>
      <c r="M49" s="113"/>
      <c r="N49" s="86"/>
      <c r="O49" s="1"/>
      <c r="P49" s="1"/>
      <c r="Q49" s="1"/>
      <c r="R49" s="1"/>
      <c r="S49" s="1"/>
    </row>
    <row r="50" spans="2:19" x14ac:dyDescent="0.2">
      <c r="B50" s="88"/>
      <c r="C50" s="89"/>
      <c r="D50" s="90"/>
      <c r="E50" s="90"/>
      <c r="F50" s="90"/>
      <c r="G50" s="90"/>
      <c r="H50" s="90"/>
      <c r="I50" s="90"/>
      <c r="J50" s="163"/>
      <c r="K50" s="3"/>
      <c r="L50" s="3"/>
      <c r="M50" s="113"/>
      <c r="N50" s="86"/>
      <c r="O50" s="1"/>
      <c r="P50" s="1"/>
      <c r="Q50" s="1"/>
      <c r="R50" s="1"/>
      <c r="S50" s="1"/>
    </row>
    <row r="51" spans="2:19" x14ac:dyDescent="0.2">
      <c r="B51" s="73" t="s">
        <v>74</v>
      </c>
      <c r="C51" s="89"/>
      <c r="D51" s="91"/>
      <c r="E51" s="90"/>
      <c r="F51" s="90"/>
      <c r="G51" s="90"/>
      <c r="H51" s="90"/>
      <c r="I51" s="90"/>
      <c r="J51" s="163"/>
      <c r="K51" s="3"/>
      <c r="L51" s="3"/>
      <c r="M51" s="113"/>
      <c r="N51" s="86"/>
      <c r="O51" s="1"/>
      <c r="P51" s="1"/>
      <c r="Q51" s="1"/>
      <c r="R51" s="1"/>
      <c r="S51" s="1"/>
    </row>
    <row r="52" spans="2:19" x14ac:dyDescent="0.2">
      <c r="B52" s="73"/>
      <c r="C52" s="85" t="s">
        <v>203</v>
      </c>
      <c r="D52" s="79"/>
      <c r="E52" s="79">
        <f>E11*Dashboard!F42</f>
        <v>138.30343199999999</v>
      </c>
      <c r="F52" s="79"/>
      <c r="G52" s="79"/>
      <c r="H52" s="79"/>
      <c r="I52" s="79"/>
      <c r="J52" s="180"/>
      <c r="K52" s="4"/>
      <c r="L52" s="4">
        <f>SUM(L54:L56)</f>
        <v>559.95207839066893</v>
      </c>
      <c r="M52" s="181"/>
      <c r="N52" s="86"/>
      <c r="O52" s="1"/>
      <c r="P52" s="1"/>
      <c r="Q52" s="1"/>
      <c r="R52" s="1"/>
      <c r="S52" s="1"/>
    </row>
    <row r="53" spans="2:19" x14ac:dyDescent="0.2">
      <c r="B53" s="73"/>
      <c r="C53" s="85"/>
      <c r="D53" s="92"/>
      <c r="E53" s="92"/>
      <c r="F53" s="92"/>
      <c r="G53" s="92"/>
      <c r="H53" s="92"/>
      <c r="I53" s="92"/>
      <c r="J53" s="163"/>
      <c r="K53" s="3"/>
      <c r="L53" s="3"/>
      <c r="M53" s="113"/>
      <c r="N53" s="86"/>
      <c r="O53" s="1"/>
      <c r="P53" s="1"/>
      <c r="Q53" s="1"/>
      <c r="R53" s="1"/>
      <c r="S53" s="1"/>
    </row>
    <row r="54" spans="2:19" x14ac:dyDescent="0.2">
      <c r="B54" s="77"/>
      <c r="C54" s="81" t="s">
        <v>0</v>
      </c>
      <c r="D54" s="173"/>
      <c r="E54" s="174">
        <f>(Dashboard!F114/K54)/(Dashboard!F$114/K$54+Dashboard!F$115/K$55+Dashboard!F$116/K$56)*E$52</f>
        <v>11.230583984448225</v>
      </c>
      <c r="F54" s="174"/>
      <c r="G54" s="174"/>
      <c r="H54" s="174"/>
      <c r="I54" s="174"/>
      <c r="J54" s="163">
        <f>SUM(D54:I54)</f>
        <v>11.230583984448225</v>
      </c>
      <c r="K54" s="3">
        <v>4.6000000000000023</v>
      </c>
      <c r="L54" s="3">
        <f>K54*SUM(D54:I54)</f>
        <v>51.660686328461864</v>
      </c>
      <c r="M54" s="112">
        <f>L54/SUM($L$54:$L$56)</f>
        <v>9.2259120596421995E-2</v>
      </c>
      <c r="N54" s="169">
        <f>SUM(D54:I54)/SUM($D$54:$I$56)</f>
        <v>8.1202496727978718E-2</v>
      </c>
      <c r="O54" s="1"/>
      <c r="P54" s="1"/>
      <c r="Q54" s="1"/>
      <c r="R54" s="1"/>
      <c r="S54" s="1"/>
    </row>
    <row r="55" spans="2:19" x14ac:dyDescent="0.2">
      <c r="B55" s="82"/>
      <c r="C55" s="81" t="s">
        <v>1</v>
      </c>
      <c r="D55" s="176"/>
      <c r="E55" s="175">
        <f>(Dashboard!F115/K55)/(Dashboard!F$114/K$54+Dashboard!F$115/K$55+Dashboard!F$116/K$56)*E$52</f>
        <v>0</v>
      </c>
      <c r="F55" s="175"/>
      <c r="G55" s="175"/>
      <c r="H55" s="175"/>
      <c r="I55" s="175"/>
      <c r="J55" s="163">
        <f>SUM(D55:I55)</f>
        <v>0</v>
      </c>
      <c r="K55" s="3">
        <v>4.5000000000000044</v>
      </c>
      <c r="L55" s="3">
        <f>K55*SUM(D55:I55)</f>
        <v>0</v>
      </c>
      <c r="M55" s="112">
        <f>L55/SUM($L$54:$L$56)</f>
        <v>0</v>
      </c>
      <c r="N55" s="169">
        <f>SUM(D55:I55)/SUM($D$54:$I$56)</f>
        <v>0</v>
      </c>
      <c r="O55" s="1"/>
      <c r="P55" s="1"/>
      <c r="Q55" s="1"/>
      <c r="R55" s="1"/>
      <c r="S55" s="1"/>
    </row>
    <row r="56" spans="2:19" x14ac:dyDescent="0.2">
      <c r="B56" s="73"/>
      <c r="C56" s="84" t="s">
        <v>2</v>
      </c>
      <c r="D56" s="178"/>
      <c r="E56" s="177">
        <f>(Dashboard!F116/K56)/(Dashboard!F$114/K$54+Dashboard!F$115/K$55+Dashboard!F$116/K$56)*E$52</f>
        <v>127.07284801555176</v>
      </c>
      <c r="F56" s="177"/>
      <c r="G56" s="177"/>
      <c r="H56" s="177"/>
      <c r="I56" s="177"/>
      <c r="J56" s="163">
        <f>SUM(D56:I56)</f>
        <v>127.07284801555176</v>
      </c>
      <c r="K56" s="3">
        <v>4</v>
      </c>
      <c r="L56" s="3">
        <f>K56*SUM(D56:I56)</f>
        <v>508.29139206220702</v>
      </c>
      <c r="M56" s="112">
        <f>L56/SUM($L$54:$L$56)</f>
        <v>0.90774087940357795</v>
      </c>
      <c r="N56" s="169">
        <f>SUM(D56:I56)/SUM($D$54:$I$56)</f>
        <v>0.91879750327202125</v>
      </c>
      <c r="O56" s="1"/>
      <c r="P56" s="1"/>
      <c r="Q56" s="1"/>
      <c r="R56" s="1"/>
      <c r="S56" s="108"/>
    </row>
    <row r="57" spans="2:19" x14ac:dyDescent="0.2">
      <c r="B57" s="73"/>
      <c r="C57" s="85"/>
      <c r="D57" s="92"/>
      <c r="E57" s="92"/>
      <c r="F57" s="92"/>
      <c r="G57" s="92"/>
      <c r="H57" s="92"/>
      <c r="I57" s="92"/>
      <c r="J57" s="163"/>
      <c r="K57" s="3"/>
      <c r="L57" s="3"/>
      <c r="M57" s="113"/>
      <c r="N57" s="86"/>
      <c r="O57" s="1"/>
      <c r="P57" s="1"/>
      <c r="Q57" s="1"/>
      <c r="R57" s="1"/>
      <c r="S57" s="108"/>
    </row>
    <row r="58" spans="2:19" x14ac:dyDescent="0.2">
      <c r="B58" s="88"/>
      <c r="C58" s="89"/>
      <c r="D58" s="90"/>
      <c r="E58" s="90"/>
      <c r="F58" s="90"/>
      <c r="G58" s="90"/>
      <c r="H58" s="90"/>
      <c r="I58" s="90"/>
      <c r="J58" s="163"/>
      <c r="K58" s="3"/>
      <c r="L58" s="3"/>
      <c r="M58" s="113"/>
      <c r="N58" s="86"/>
      <c r="O58" s="1"/>
      <c r="P58" s="1"/>
      <c r="Q58" s="1"/>
      <c r="R58" s="1"/>
      <c r="S58" s="1"/>
    </row>
    <row r="59" spans="2:19" x14ac:dyDescent="0.2">
      <c r="B59" s="73" t="s">
        <v>76</v>
      </c>
      <c r="C59" s="89"/>
      <c r="D59" s="91"/>
      <c r="E59" s="90"/>
      <c r="F59" s="90"/>
      <c r="G59" s="90"/>
      <c r="H59" s="90"/>
      <c r="I59" s="90"/>
      <c r="J59" s="163"/>
      <c r="K59" s="3"/>
      <c r="L59" s="3"/>
      <c r="M59" s="113"/>
      <c r="N59" s="86"/>
      <c r="O59" s="1"/>
      <c r="P59" s="1"/>
      <c r="Q59" s="1"/>
      <c r="R59" s="1"/>
      <c r="S59" s="1"/>
    </row>
    <row r="60" spans="2:19" x14ac:dyDescent="0.2">
      <c r="B60" s="73"/>
      <c r="C60" s="85" t="s">
        <v>202</v>
      </c>
      <c r="D60" s="79">
        <f>D11*Dashboard!F35</f>
        <v>83.783247000000003</v>
      </c>
      <c r="E60" s="79">
        <f>E11*Dashboard!F41</f>
        <v>59.190804</v>
      </c>
      <c r="F60" s="79"/>
      <c r="G60" s="79"/>
      <c r="H60" s="79"/>
      <c r="I60" s="79"/>
      <c r="J60" s="180"/>
      <c r="K60" s="4"/>
      <c r="L60" s="4">
        <f>SUM(L62:L66)</f>
        <v>71.535483201526716</v>
      </c>
      <c r="M60" s="181"/>
      <c r="N60" s="86"/>
      <c r="O60" s="1"/>
      <c r="P60" s="1"/>
      <c r="Q60" s="1"/>
      <c r="R60" s="1"/>
      <c r="S60" s="1"/>
    </row>
    <row r="61" spans="2:19" x14ac:dyDescent="0.2">
      <c r="B61" s="73"/>
      <c r="C61" s="85"/>
      <c r="D61" s="92"/>
      <c r="E61" s="92"/>
      <c r="F61" s="92"/>
      <c r="G61" s="92"/>
      <c r="H61" s="92"/>
      <c r="I61" s="92"/>
      <c r="J61" s="163"/>
      <c r="K61" s="3"/>
      <c r="L61" s="3"/>
      <c r="M61" s="113"/>
      <c r="N61" s="86"/>
      <c r="O61" s="1"/>
      <c r="P61" s="1"/>
      <c r="Q61" s="1"/>
      <c r="R61" s="1"/>
      <c r="S61" s="1"/>
    </row>
    <row r="62" spans="2:19" x14ac:dyDescent="0.2">
      <c r="B62" s="77"/>
      <c r="C62" s="81" t="s">
        <v>122</v>
      </c>
      <c r="D62" s="174">
        <f>D60*Dashboard!F120</f>
        <v>83.783247000000003</v>
      </c>
      <c r="E62" s="174"/>
      <c r="F62" s="174"/>
      <c r="G62" s="174"/>
      <c r="H62" s="174"/>
      <c r="I62" s="174"/>
      <c r="J62" s="163">
        <f>SUM(D62:I62)</f>
        <v>83.783247000000003</v>
      </c>
      <c r="K62" s="3">
        <v>0.4</v>
      </c>
      <c r="L62" s="3">
        <f>K62*SUM(D62:I62)</f>
        <v>33.513298800000001</v>
      </c>
      <c r="M62" s="112">
        <f>L62/SUM($L$62:$L$66)</f>
        <v>0.46848497137550277</v>
      </c>
      <c r="N62" s="169">
        <f>SUM(D62:I62)/SUM($D$62:$I$66)</f>
        <v>0.58600316920445938</v>
      </c>
      <c r="O62" s="1"/>
      <c r="P62" s="1"/>
      <c r="Q62" s="1"/>
      <c r="R62" s="1"/>
      <c r="S62" s="1"/>
    </row>
    <row r="63" spans="2:19" x14ac:dyDescent="0.2">
      <c r="B63" s="82"/>
      <c r="C63" s="81" t="s">
        <v>123</v>
      </c>
      <c r="D63" s="176"/>
      <c r="E63" s="175">
        <f>(Dashboard!F122/K63)/(Dashboard!F$122/K$63+Dashboard!F$123/K$64+Dashboard!F$124/K$65)*E$60</f>
        <v>5.7609370305343557</v>
      </c>
      <c r="F63" s="175"/>
      <c r="G63" s="175"/>
      <c r="H63" s="175"/>
      <c r="I63" s="175"/>
      <c r="J63" s="163">
        <f>SUM(D63:I63)</f>
        <v>5.7609370305343557</v>
      </c>
      <c r="K63" s="3">
        <v>0.55000000000000004</v>
      </c>
      <c r="L63" s="3">
        <f>K63*SUM(D63:I63)</f>
        <v>3.1685153667938959</v>
      </c>
      <c r="M63" s="112">
        <f>L63/SUM($L$62:$L$66)</f>
        <v>4.4292919052041482E-2</v>
      </c>
      <c r="N63" s="169">
        <f>SUM(D63:I63)/SUM($D$62:$I$66)</f>
        <v>4.0293584676665245E-2</v>
      </c>
      <c r="O63" s="1"/>
      <c r="P63" s="1"/>
      <c r="Q63" s="1"/>
      <c r="R63" s="1"/>
      <c r="S63" s="1"/>
    </row>
    <row r="64" spans="2:19" x14ac:dyDescent="0.2">
      <c r="B64" s="73"/>
      <c r="C64" s="81" t="s">
        <v>124</v>
      </c>
      <c r="D64" s="176"/>
      <c r="E64" s="175">
        <f>(Dashboard!F123/K64)/(Dashboard!F$122/K$63+Dashboard!F$123/K$64+Dashboard!F$124/K$65)*E$60</f>
        <v>42.246871557251907</v>
      </c>
      <c r="F64" s="175"/>
      <c r="G64" s="175"/>
      <c r="H64" s="175"/>
      <c r="I64" s="175"/>
      <c r="J64" s="163">
        <f>SUM(D64:I64)</f>
        <v>42.246871557251907</v>
      </c>
      <c r="K64" s="3">
        <v>0.6</v>
      </c>
      <c r="L64" s="3">
        <f>K64*SUM(D64:I64)</f>
        <v>25.348122934351142</v>
      </c>
      <c r="M64" s="112">
        <f>L64/SUM($L$62:$L$66)</f>
        <v>0.35434335241633147</v>
      </c>
      <c r="N64" s="169">
        <f>SUM(D64:I64)/SUM($D$62:$I$66)</f>
        <v>0.29548628762887824</v>
      </c>
      <c r="O64" s="1"/>
      <c r="P64" s="1"/>
      <c r="Q64" s="1"/>
      <c r="R64" s="1"/>
      <c r="S64" s="1"/>
    </row>
    <row r="65" spans="2:19" x14ac:dyDescent="0.2">
      <c r="B65" s="73"/>
      <c r="C65" s="81" t="s">
        <v>125</v>
      </c>
      <c r="D65" s="176"/>
      <c r="E65" s="175">
        <f>(Dashboard!F124/K65)/(Dashboard!F$122/K$63+Dashboard!F$123/K$64+Dashboard!F$124/K$65)*E$60</f>
        <v>11.182995412213737</v>
      </c>
      <c r="F65" s="175"/>
      <c r="G65" s="175"/>
      <c r="H65" s="175"/>
      <c r="I65" s="175"/>
      <c r="J65" s="163">
        <f>SUM(D65:I65)</f>
        <v>11.182995412213737</v>
      </c>
      <c r="K65" s="3">
        <v>0.85</v>
      </c>
      <c r="L65" s="3">
        <f>K65*SUM(D65:I65)</f>
        <v>9.505546100381677</v>
      </c>
      <c r="M65" s="112">
        <f>L65/SUM($L$62:$L$66)</f>
        <v>0.13287875715612429</v>
      </c>
      <c r="N65" s="169">
        <f>SUM(D65:I65)/SUM($D$62:$I$66)</f>
        <v>7.8216958489997157E-2</v>
      </c>
      <c r="O65" s="1"/>
      <c r="P65" s="1"/>
      <c r="Q65" s="1"/>
      <c r="R65" s="1"/>
      <c r="S65" s="1"/>
    </row>
    <row r="66" spans="2:19" x14ac:dyDescent="0.2">
      <c r="B66" s="73"/>
      <c r="C66" s="84" t="s">
        <v>126</v>
      </c>
      <c r="D66" s="178"/>
      <c r="E66" s="177"/>
      <c r="F66" s="177"/>
      <c r="G66" s="177"/>
      <c r="H66" s="177"/>
      <c r="I66" s="177"/>
      <c r="J66" s="163">
        <f>SUM(D66:I66)</f>
        <v>0</v>
      </c>
      <c r="K66" s="3">
        <v>0.3</v>
      </c>
      <c r="L66" s="3">
        <f>K66*SUM(D66:I66)</f>
        <v>0</v>
      </c>
      <c r="M66" s="112">
        <f>L66/SUM($L$62:$L$66)</f>
        <v>0</v>
      </c>
      <c r="N66" s="170">
        <f>SUM(D66:I66)/SUM($D$62:$I$66)</f>
        <v>0</v>
      </c>
      <c r="O66" s="1"/>
      <c r="P66" s="1"/>
      <c r="Q66" s="1"/>
      <c r="R66" s="1"/>
      <c r="S66" s="1"/>
    </row>
    <row r="67" spans="2:19" x14ac:dyDescent="0.2">
      <c r="B67" s="73"/>
      <c r="C67" s="85"/>
      <c r="D67" s="92"/>
      <c r="E67" s="92"/>
      <c r="F67" s="92"/>
      <c r="G67" s="92"/>
      <c r="H67" s="92"/>
      <c r="I67" s="92"/>
      <c r="J67" s="163"/>
      <c r="K67" s="3"/>
      <c r="L67" s="3"/>
      <c r="M67" s="113"/>
      <c r="N67" s="86"/>
      <c r="O67" s="1"/>
      <c r="P67" s="1"/>
      <c r="Q67" s="1"/>
      <c r="R67" s="1"/>
      <c r="S67" s="1"/>
    </row>
    <row r="68" spans="2:19" x14ac:dyDescent="0.2">
      <c r="B68" s="88"/>
      <c r="C68" s="89"/>
      <c r="D68" s="90"/>
      <c r="E68" s="90"/>
      <c r="F68" s="90"/>
      <c r="G68" s="90"/>
      <c r="H68" s="90"/>
      <c r="I68" s="90"/>
      <c r="J68" s="163"/>
      <c r="K68" s="3"/>
      <c r="L68" s="3"/>
      <c r="M68" s="113"/>
      <c r="N68" s="86"/>
      <c r="O68" s="1"/>
      <c r="P68" s="1"/>
      <c r="Q68" s="1"/>
      <c r="R68" s="1"/>
      <c r="S68" s="1"/>
    </row>
    <row r="69" spans="2:19" x14ac:dyDescent="0.2">
      <c r="B69" s="73" t="s">
        <v>75</v>
      </c>
      <c r="C69" s="89"/>
      <c r="D69" s="91"/>
      <c r="E69" s="90"/>
      <c r="F69" s="90"/>
      <c r="G69" s="90"/>
      <c r="H69" s="90"/>
      <c r="I69" s="90"/>
      <c r="J69" s="163"/>
      <c r="K69" s="3"/>
      <c r="L69" s="3"/>
      <c r="M69" s="113"/>
      <c r="N69" s="86"/>
      <c r="O69" s="1"/>
      <c r="P69" s="1"/>
      <c r="Q69" s="1"/>
      <c r="R69" s="1"/>
      <c r="S69" s="1"/>
    </row>
    <row r="70" spans="2:19" x14ac:dyDescent="0.2">
      <c r="B70" s="73"/>
      <c r="C70" s="85" t="s">
        <v>202</v>
      </c>
      <c r="D70" s="79"/>
      <c r="E70" s="79">
        <f>E11*Dashboard!F43</f>
        <v>256.68504000000001</v>
      </c>
      <c r="F70" s="79"/>
      <c r="G70" s="79"/>
      <c r="H70" s="79"/>
      <c r="I70" s="79"/>
      <c r="J70" s="180"/>
      <c r="K70" s="4"/>
      <c r="L70" s="182">
        <f>SUM(L72:L74)</f>
        <v>21.606484848484854</v>
      </c>
      <c r="M70" s="181"/>
      <c r="N70" s="86"/>
      <c r="O70" s="1"/>
      <c r="P70" s="1"/>
      <c r="Q70" s="1"/>
      <c r="R70" s="1"/>
      <c r="S70" s="1"/>
    </row>
    <row r="71" spans="2:19" x14ac:dyDescent="0.2">
      <c r="B71" s="73"/>
      <c r="C71" s="85"/>
      <c r="D71" s="92"/>
      <c r="E71" s="92"/>
      <c r="F71" s="92"/>
      <c r="G71" s="92"/>
      <c r="H71" s="92"/>
      <c r="I71" s="92"/>
      <c r="J71" s="163"/>
      <c r="K71" s="3"/>
      <c r="L71" s="3"/>
      <c r="M71" s="113"/>
      <c r="N71" s="86"/>
      <c r="O71" s="1"/>
      <c r="P71" s="1"/>
      <c r="Q71" s="1"/>
      <c r="R71" s="1"/>
      <c r="S71" s="1"/>
    </row>
    <row r="72" spans="2:19" x14ac:dyDescent="0.2">
      <c r="B72" s="77"/>
      <c r="C72" s="81" t="s">
        <v>127</v>
      </c>
      <c r="D72" s="173"/>
      <c r="E72" s="174">
        <f>(Dashboard!F130/K72)/(Dashboard!F$130/K$72+Dashboard!F$131/K$73+Dashboard!F$132/K$74)*E$70</f>
        <v>213.90420000000003</v>
      </c>
      <c r="F72" s="174"/>
      <c r="G72" s="174"/>
      <c r="H72" s="174"/>
      <c r="I72" s="174"/>
      <c r="J72" s="163">
        <f>SUM(D72:I72)</f>
        <v>213.90420000000003</v>
      </c>
      <c r="K72" s="3">
        <v>0.05</v>
      </c>
      <c r="L72" s="93">
        <f>K72*SUM(D72:I72)</f>
        <v>10.695210000000003</v>
      </c>
      <c r="M72" s="112">
        <f>L72/SUM($L$72:$L$74)</f>
        <v>0.495</v>
      </c>
      <c r="N72" s="169">
        <f>E72/SUM($D$72:$I$74)</f>
        <v>0.83333333333333326</v>
      </c>
      <c r="O72" s="76"/>
      <c r="P72" s="94"/>
      <c r="Q72" s="1"/>
      <c r="R72" s="1"/>
      <c r="S72" s="1"/>
    </row>
    <row r="73" spans="2:19" x14ac:dyDescent="0.2">
      <c r="B73" s="82"/>
      <c r="C73" s="81" t="s">
        <v>128</v>
      </c>
      <c r="D73" s="176"/>
      <c r="E73" s="175">
        <f>(Dashboard!F131/K73)/(Dashboard!F$130/K$72+Dashboard!F$131/K$73+Dashboard!F$132/K$74)*E$70</f>
        <v>41.91658060606062</v>
      </c>
      <c r="F73" s="175"/>
      <c r="G73" s="175"/>
      <c r="H73" s="175"/>
      <c r="I73" s="175"/>
      <c r="J73" s="163">
        <f>SUM(D73:I73)</f>
        <v>41.91658060606062</v>
      </c>
      <c r="K73" s="3">
        <v>0.25</v>
      </c>
      <c r="L73" s="93">
        <f>K73*SUM(D73:I73)</f>
        <v>10.479145151515155</v>
      </c>
      <c r="M73" s="112">
        <f t="shared" ref="M73:M74" si="8">L73/SUM($L$72:$L$74)</f>
        <v>0.48500000000000004</v>
      </c>
      <c r="N73" s="169">
        <f>E73/SUM($D$72:$I$74)</f>
        <v>0.16329966329966331</v>
      </c>
      <c r="O73" s="95"/>
      <c r="P73" s="94"/>
      <c r="Q73" s="1"/>
      <c r="R73" s="1"/>
      <c r="S73" s="1"/>
    </row>
    <row r="74" spans="2:19" x14ac:dyDescent="0.2">
      <c r="B74" s="73"/>
      <c r="C74" s="84" t="s">
        <v>78</v>
      </c>
      <c r="D74" s="178"/>
      <c r="E74" s="177">
        <f>(Dashboard!F132/K74)/(Dashboard!F$130/K$72+Dashboard!F$131/K$73+Dashboard!F$132/K$74)*E$70</f>
        <v>0.86425939393939422</v>
      </c>
      <c r="F74" s="177"/>
      <c r="G74" s="177"/>
      <c r="H74" s="177"/>
      <c r="I74" s="177"/>
      <c r="J74" s="163">
        <f>SUM(D74:I74)</f>
        <v>0.86425939393939422</v>
      </c>
      <c r="K74" s="3">
        <v>0.5</v>
      </c>
      <c r="L74" s="93">
        <f>K74*SUM(D74:I74)</f>
        <v>0.43212969696969711</v>
      </c>
      <c r="M74" s="112">
        <f t="shared" si="8"/>
        <v>0.02</v>
      </c>
      <c r="N74" s="169">
        <f>E74/SUM($D$72:$I$74)</f>
        <v>3.3670033670033673E-3</v>
      </c>
      <c r="O74" s="1"/>
      <c r="P74" s="94"/>
      <c r="Q74" s="1"/>
      <c r="R74" s="1"/>
      <c r="S74" s="1"/>
    </row>
    <row r="75" spans="2:19" x14ac:dyDescent="0.2">
      <c r="B75" s="73"/>
      <c r="C75" s="96"/>
      <c r="D75" s="97"/>
      <c r="E75" s="97"/>
      <c r="F75" s="97"/>
      <c r="G75" s="97"/>
      <c r="H75" s="97"/>
      <c r="I75" s="97"/>
      <c r="J75" s="163"/>
      <c r="K75" s="3"/>
      <c r="L75" s="93"/>
      <c r="M75" s="113"/>
      <c r="N75" s="86"/>
      <c r="O75" s="1"/>
      <c r="P75" s="1"/>
      <c r="Q75" s="1"/>
      <c r="R75" s="1"/>
      <c r="S75" s="1"/>
    </row>
    <row r="76" spans="2:19" x14ac:dyDescent="0.2">
      <c r="B76" s="88"/>
      <c r="C76" s="80"/>
      <c r="D76" s="98"/>
      <c r="E76" s="98"/>
      <c r="F76" s="98"/>
      <c r="G76" s="98"/>
      <c r="H76" s="98"/>
      <c r="I76" s="98"/>
      <c r="J76" s="163"/>
      <c r="K76" s="3"/>
      <c r="L76" s="93"/>
      <c r="M76" s="113"/>
      <c r="N76" s="86"/>
      <c r="O76" s="1"/>
      <c r="P76" s="1"/>
      <c r="Q76" s="1"/>
      <c r="R76" s="1"/>
      <c r="S76" s="1"/>
    </row>
    <row r="77" spans="2:19" x14ac:dyDescent="0.2">
      <c r="B77" s="73" t="s">
        <v>77</v>
      </c>
      <c r="C77" s="80"/>
      <c r="D77" s="98"/>
      <c r="E77" s="98"/>
      <c r="F77" s="98"/>
      <c r="G77" s="98"/>
      <c r="H77" s="98"/>
      <c r="I77" s="98"/>
      <c r="J77" s="163"/>
      <c r="K77" s="3"/>
      <c r="L77" s="93"/>
      <c r="M77" s="113"/>
      <c r="N77" s="86"/>
      <c r="O77" s="1"/>
      <c r="P77" s="1"/>
      <c r="Q77" s="1"/>
      <c r="R77" s="1"/>
      <c r="S77" s="1"/>
    </row>
    <row r="78" spans="2:19" x14ac:dyDescent="0.2">
      <c r="B78" s="73"/>
      <c r="C78" s="85" t="s">
        <v>203</v>
      </c>
      <c r="D78" s="139"/>
      <c r="E78" s="145">
        <f>E11*Dashboard!F44</f>
        <v>1224.2343960000001</v>
      </c>
      <c r="F78" s="139"/>
      <c r="G78" s="139"/>
      <c r="H78" s="139"/>
      <c r="I78" s="139"/>
      <c r="J78" s="163"/>
      <c r="K78" s="3"/>
      <c r="L78" s="93">
        <f>SUM(L80:L87)</f>
        <v>1224.234396000001</v>
      </c>
      <c r="M78" s="113"/>
      <c r="N78" s="86"/>
      <c r="O78" s="1"/>
      <c r="P78" s="1"/>
      <c r="Q78" s="1"/>
      <c r="R78" s="1"/>
      <c r="S78" s="1"/>
    </row>
    <row r="79" spans="2:19" x14ac:dyDescent="0.2">
      <c r="B79" s="73"/>
      <c r="C79" s="96"/>
      <c r="D79" s="97"/>
      <c r="E79" s="97"/>
      <c r="F79" s="97"/>
      <c r="G79" s="97"/>
      <c r="H79" s="97"/>
      <c r="I79" s="97"/>
      <c r="J79" s="163"/>
      <c r="K79" s="3"/>
      <c r="L79" s="93"/>
      <c r="M79" s="113"/>
      <c r="N79" s="86"/>
      <c r="O79" s="1"/>
      <c r="P79" s="1"/>
      <c r="Q79" s="1"/>
      <c r="R79" s="1"/>
      <c r="S79" s="1"/>
    </row>
    <row r="80" spans="2:19" x14ac:dyDescent="0.2">
      <c r="B80" s="77"/>
      <c r="C80" s="21" t="s">
        <v>129</v>
      </c>
      <c r="D80" s="173"/>
      <c r="E80" s="174">
        <f>E$78*Dashboard!F136/K80</f>
        <v>98.728580322580683</v>
      </c>
      <c r="F80" s="174"/>
      <c r="G80" s="174"/>
      <c r="H80" s="174"/>
      <c r="I80" s="174"/>
      <c r="J80" s="180">
        <f t="shared" ref="J80:J87" si="9">SUM(D80:I80)</f>
        <v>98.728580322580683</v>
      </c>
      <c r="K80" s="4">
        <v>1</v>
      </c>
      <c r="L80" s="182">
        <f t="shared" ref="L80:L87" si="10">K80*SUM(D80:I80)</f>
        <v>98.728580322580683</v>
      </c>
      <c r="M80" s="183">
        <f>L80/SUM($L$80:$L$87)</f>
        <v>8.0645161290322551E-2</v>
      </c>
      <c r="N80" s="169">
        <f t="shared" ref="N80:N87" si="11">E80/SUM($D$80:$I$87)</f>
        <v>8.0645161290322551E-2</v>
      </c>
      <c r="O80" s="1"/>
      <c r="P80" s="1"/>
      <c r="Q80" s="1"/>
      <c r="R80" s="1"/>
      <c r="S80" s="1"/>
    </row>
    <row r="81" spans="2:19" x14ac:dyDescent="0.2">
      <c r="B81" s="82"/>
      <c r="C81" s="21" t="s">
        <v>130</v>
      </c>
      <c r="D81" s="176"/>
      <c r="E81" s="175">
        <f>E$78*Dashboard!F137/K81</f>
        <v>276.44002490322555</v>
      </c>
      <c r="F81" s="175"/>
      <c r="G81" s="175"/>
      <c r="H81" s="175"/>
      <c r="I81" s="175"/>
      <c r="J81" s="163">
        <f t="shared" si="9"/>
        <v>276.44002490322555</v>
      </c>
      <c r="K81" s="3">
        <v>1</v>
      </c>
      <c r="L81" s="93">
        <f t="shared" si="10"/>
        <v>276.44002490322555</v>
      </c>
      <c r="M81" s="112">
        <f t="shared" ref="M81:M87" si="12">L81/SUM($L$80:$L$87)</f>
        <v>0.22580645161290283</v>
      </c>
      <c r="N81" s="169">
        <f t="shared" si="11"/>
        <v>0.22580645161290283</v>
      </c>
      <c r="O81" s="1"/>
      <c r="P81" s="1"/>
      <c r="Q81" s="1"/>
      <c r="R81" s="1"/>
      <c r="S81" s="1"/>
    </row>
    <row r="82" spans="2:19" x14ac:dyDescent="0.2">
      <c r="B82" s="14"/>
      <c r="C82" s="21" t="s">
        <v>131</v>
      </c>
      <c r="D82" s="176"/>
      <c r="E82" s="175">
        <f>E$78*Dashboard!F138/K82</f>
        <v>98.728580322580683</v>
      </c>
      <c r="F82" s="175"/>
      <c r="G82" s="175"/>
      <c r="H82" s="175"/>
      <c r="I82" s="175"/>
      <c r="J82" s="163">
        <f t="shared" si="9"/>
        <v>98.728580322580683</v>
      </c>
      <c r="K82" s="3">
        <v>1</v>
      </c>
      <c r="L82" s="93">
        <f t="shared" si="10"/>
        <v>98.728580322580683</v>
      </c>
      <c r="M82" s="112">
        <f t="shared" si="12"/>
        <v>8.0645161290322551E-2</v>
      </c>
      <c r="N82" s="169">
        <f t="shared" si="11"/>
        <v>8.0645161290322551E-2</v>
      </c>
      <c r="O82" s="1"/>
      <c r="P82" s="1"/>
      <c r="Q82" s="1"/>
      <c r="R82" s="1"/>
      <c r="S82" s="1"/>
    </row>
    <row r="83" spans="2:19" x14ac:dyDescent="0.2">
      <c r="B83" s="14"/>
      <c r="C83" s="21" t="s">
        <v>132</v>
      </c>
      <c r="D83" s="176"/>
      <c r="E83" s="175">
        <f>E$78*Dashboard!F139/K83</f>
        <v>138.22001245161337</v>
      </c>
      <c r="F83" s="175"/>
      <c r="G83" s="175"/>
      <c r="H83" s="175"/>
      <c r="I83" s="175"/>
      <c r="J83" s="163">
        <f t="shared" si="9"/>
        <v>138.22001245161337</v>
      </c>
      <c r="K83" s="3">
        <v>1</v>
      </c>
      <c r="L83" s="93">
        <f t="shared" si="10"/>
        <v>138.22001245161337</v>
      </c>
      <c r="M83" s="112">
        <f t="shared" si="12"/>
        <v>0.1129032258064519</v>
      </c>
      <c r="N83" s="169">
        <f t="shared" si="11"/>
        <v>0.1129032258064519</v>
      </c>
      <c r="O83" s="1"/>
      <c r="P83" s="1"/>
      <c r="Q83" s="1"/>
      <c r="R83" s="1"/>
      <c r="S83" s="1"/>
    </row>
    <row r="84" spans="2:19" x14ac:dyDescent="0.2">
      <c r="B84" s="14"/>
      <c r="C84" s="21" t="s">
        <v>133</v>
      </c>
      <c r="D84" s="176"/>
      <c r="E84" s="175">
        <f>E$78*Dashboard!F140/K84</f>
        <v>177.71144458064558</v>
      </c>
      <c r="F84" s="175"/>
      <c r="G84" s="175"/>
      <c r="H84" s="175"/>
      <c r="I84" s="175"/>
      <c r="J84" s="163">
        <f t="shared" si="9"/>
        <v>177.71144458064558</v>
      </c>
      <c r="K84" s="3">
        <v>1</v>
      </c>
      <c r="L84" s="93">
        <f t="shared" si="10"/>
        <v>177.71144458064558</v>
      </c>
      <c r="M84" s="112">
        <f t="shared" si="12"/>
        <v>0.14516129032258088</v>
      </c>
      <c r="N84" s="169">
        <f t="shared" si="11"/>
        <v>0.14516129032258088</v>
      </c>
      <c r="O84" s="1"/>
      <c r="P84" s="1"/>
      <c r="Q84" s="1"/>
      <c r="R84" s="1"/>
      <c r="S84" s="1"/>
    </row>
    <row r="85" spans="2:19" x14ac:dyDescent="0.2">
      <c r="B85" s="14"/>
      <c r="C85" s="21" t="s">
        <v>3</v>
      </c>
      <c r="D85" s="176"/>
      <c r="E85" s="175">
        <f>E$78*Dashboard!F141/K85</f>
        <v>236.94859277419332</v>
      </c>
      <c r="F85" s="175"/>
      <c r="G85" s="175"/>
      <c r="H85" s="175"/>
      <c r="I85" s="175"/>
      <c r="J85" s="163">
        <f t="shared" si="9"/>
        <v>236.94859277419332</v>
      </c>
      <c r="K85" s="3">
        <v>1</v>
      </c>
      <c r="L85" s="93">
        <f t="shared" si="10"/>
        <v>236.94859277419332</v>
      </c>
      <c r="M85" s="112">
        <f t="shared" si="12"/>
        <v>0.19354838709677386</v>
      </c>
      <c r="N85" s="169">
        <f t="shared" si="11"/>
        <v>0.19354838709677386</v>
      </c>
      <c r="O85" s="1"/>
      <c r="P85" s="1"/>
      <c r="Q85" s="1"/>
      <c r="R85" s="1"/>
      <c r="S85" s="1"/>
    </row>
    <row r="86" spans="2:19" x14ac:dyDescent="0.2">
      <c r="B86" s="14"/>
      <c r="C86" s="21" t="s">
        <v>134</v>
      </c>
      <c r="D86" s="176"/>
      <c r="E86" s="175">
        <f>E$78*Dashboard!F142/K86</f>
        <v>59.237148193548329</v>
      </c>
      <c r="F86" s="175"/>
      <c r="G86" s="175"/>
      <c r="H86" s="175"/>
      <c r="I86" s="175"/>
      <c r="J86" s="163">
        <f t="shared" si="9"/>
        <v>59.237148193548329</v>
      </c>
      <c r="K86" s="3">
        <v>1</v>
      </c>
      <c r="L86" s="93">
        <f t="shared" si="10"/>
        <v>59.237148193548329</v>
      </c>
      <c r="M86" s="112">
        <f t="shared" si="12"/>
        <v>4.8387096774193464E-2</v>
      </c>
      <c r="N86" s="169">
        <f t="shared" si="11"/>
        <v>4.8387096774193464E-2</v>
      </c>
      <c r="O86" s="1"/>
      <c r="P86" s="1"/>
      <c r="Q86" s="1"/>
      <c r="R86" s="1"/>
      <c r="S86" s="1"/>
    </row>
    <row r="87" spans="2:19" x14ac:dyDescent="0.2">
      <c r="B87" s="14"/>
      <c r="C87" s="99" t="s">
        <v>135</v>
      </c>
      <c r="D87" s="178"/>
      <c r="E87" s="177">
        <f>E$78*Dashboard!F143/K87</f>
        <v>138.22001245161337</v>
      </c>
      <c r="F87" s="177"/>
      <c r="G87" s="177"/>
      <c r="H87" s="177"/>
      <c r="I87" s="177"/>
      <c r="J87" s="163">
        <f t="shared" si="9"/>
        <v>138.22001245161337</v>
      </c>
      <c r="K87" s="3">
        <v>1</v>
      </c>
      <c r="L87" s="93">
        <f t="shared" si="10"/>
        <v>138.22001245161337</v>
      </c>
      <c r="M87" s="112">
        <f t="shared" si="12"/>
        <v>0.1129032258064519</v>
      </c>
      <c r="N87" s="169">
        <f t="shared" si="11"/>
        <v>0.1129032258064519</v>
      </c>
      <c r="O87" s="1"/>
      <c r="P87" s="1"/>
      <c r="Q87" s="1"/>
      <c r="R87" s="1"/>
      <c r="S87" s="1"/>
    </row>
    <row r="88" spans="2:19" x14ac:dyDescent="0.2">
      <c r="B88" s="73"/>
      <c r="C88" s="96"/>
      <c r="D88" s="96"/>
      <c r="E88" s="96"/>
      <c r="F88" s="96"/>
      <c r="G88" s="96"/>
      <c r="H88" s="96"/>
      <c r="I88" s="96"/>
      <c r="J88" s="163"/>
      <c r="K88" s="3"/>
      <c r="L88" s="3"/>
      <c r="M88" s="62"/>
      <c r="N88" s="96"/>
      <c r="O88" s="1"/>
      <c r="P88" s="1"/>
      <c r="Q88" s="1"/>
      <c r="R88" s="1"/>
      <c r="S88" s="1"/>
    </row>
    <row r="89" spans="2:19" x14ac:dyDescent="0.2">
      <c r="B89" s="88"/>
      <c r="C89" s="2"/>
      <c r="D89" s="100"/>
      <c r="E89" s="101"/>
      <c r="F89" s="101"/>
      <c r="G89" s="101"/>
      <c r="H89" s="101"/>
      <c r="I89" s="101"/>
      <c r="J89" s="164"/>
      <c r="K89" s="3"/>
      <c r="L89" s="3"/>
      <c r="M89" s="62"/>
      <c r="N89" s="3"/>
      <c r="O89" s="1"/>
      <c r="P89" s="1"/>
      <c r="Q89" s="1"/>
      <c r="R89" s="1"/>
      <c r="S89" s="1"/>
    </row>
    <row r="90" spans="2:19" x14ac:dyDescent="0.2">
      <c r="B90" s="156" t="s">
        <v>239</v>
      </c>
      <c r="C90" s="3"/>
      <c r="D90" s="79"/>
      <c r="E90" s="79"/>
      <c r="F90" s="79"/>
      <c r="G90" s="79"/>
      <c r="H90" s="79"/>
      <c r="I90" s="79"/>
      <c r="J90" s="162"/>
      <c r="K90" s="3"/>
      <c r="L90" s="3"/>
      <c r="M90" s="62"/>
      <c r="N90" s="3"/>
      <c r="O90" s="1"/>
      <c r="P90" s="3"/>
      <c r="Q90" s="3"/>
      <c r="R90" s="1"/>
      <c r="S90" s="1"/>
    </row>
    <row r="91" spans="2:19" x14ac:dyDescent="0.2">
      <c r="B91" s="73"/>
      <c r="C91" s="85"/>
      <c r="D91" s="79"/>
      <c r="E91" s="79"/>
      <c r="F91" s="79"/>
      <c r="G91" s="79"/>
      <c r="H91" s="79"/>
      <c r="I91" s="79"/>
      <c r="J91" s="162"/>
      <c r="K91" s="3"/>
      <c r="L91" s="3"/>
      <c r="M91" s="62"/>
      <c r="N91" s="3"/>
      <c r="O91" s="1"/>
      <c r="P91" s="3"/>
      <c r="Q91" s="3"/>
      <c r="R91" s="1"/>
      <c r="S91" s="1"/>
    </row>
    <row r="92" spans="2:19" x14ac:dyDescent="0.2">
      <c r="B92" s="73"/>
      <c r="C92" s="85"/>
      <c r="D92" s="79"/>
      <c r="E92" s="79"/>
      <c r="F92" s="79"/>
      <c r="G92" s="79"/>
      <c r="H92" s="79"/>
      <c r="I92" s="79"/>
      <c r="J92" s="162"/>
      <c r="K92" s="3"/>
      <c r="L92" s="3"/>
      <c r="M92" s="62"/>
      <c r="N92" s="3"/>
      <c r="O92" s="1"/>
      <c r="P92" s="3"/>
      <c r="Q92" s="3"/>
      <c r="R92" s="1"/>
      <c r="S92" s="1"/>
    </row>
    <row r="93" spans="2:19" x14ac:dyDescent="0.2">
      <c r="B93" s="186" t="s">
        <v>235</v>
      </c>
      <c r="C93" s="187"/>
      <c r="D93" s="155" t="s">
        <v>136</v>
      </c>
      <c r="E93" s="155" t="s">
        <v>137</v>
      </c>
      <c r="F93" s="155" t="s">
        <v>138</v>
      </c>
      <c r="G93" s="155" t="s">
        <v>139</v>
      </c>
      <c r="H93" s="155" t="s">
        <v>140</v>
      </c>
      <c r="I93" s="188" t="s">
        <v>141</v>
      </c>
      <c r="J93" s="162"/>
      <c r="K93" s="3"/>
      <c r="L93" s="3"/>
      <c r="M93" s="62"/>
      <c r="N93" s="7"/>
      <c r="O93" s="1"/>
      <c r="P93" s="1"/>
      <c r="Q93" s="1"/>
      <c r="R93" s="1"/>
      <c r="S93" s="1"/>
    </row>
    <row r="94" spans="2:19" x14ac:dyDescent="0.2">
      <c r="B94" s="20"/>
      <c r="C94" s="102" t="s">
        <v>236</v>
      </c>
      <c r="D94" s="103">
        <f>SUM(E20)</f>
        <v>0</v>
      </c>
      <c r="E94" s="104">
        <f>SUM(E20:E88)</f>
        <v>3692.8165680000016</v>
      </c>
      <c r="F94" s="104">
        <f>SUM(F20:F88)</f>
        <v>0</v>
      </c>
      <c r="G94" s="104">
        <f>SUM(G20:G88)</f>
        <v>0</v>
      </c>
      <c r="H94" s="104">
        <f>SUM(H20:H88)</f>
        <v>557</v>
      </c>
      <c r="I94" s="104">
        <f>SUM(I20:I88)</f>
        <v>2073.0328560000003</v>
      </c>
      <c r="J94" s="162"/>
      <c r="K94" s="3"/>
      <c r="L94" s="3"/>
      <c r="M94" s="62"/>
      <c r="N94" s="105"/>
      <c r="O94" s="1"/>
      <c r="P94" s="1"/>
      <c r="Q94" s="1"/>
      <c r="R94" s="1"/>
      <c r="S94" s="1"/>
    </row>
    <row r="95" spans="2:19" x14ac:dyDescent="0.2">
      <c r="B95" s="20"/>
      <c r="C95" s="105" t="s">
        <v>142</v>
      </c>
      <c r="D95" s="103">
        <f t="shared" ref="D95:I95" si="13">D10-D94</f>
        <v>0</v>
      </c>
      <c r="E95" s="104">
        <f t="shared" si="13"/>
        <v>-3692.8165680000016</v>
      </c>
      <c r="F95" s="104">
        <f t="shared" si="13"/>
        <v>0</v>
      </c>
      <c r="G95" s="104">
        <f t="shared" si="13"/>
        <v>0</v>
      </c>
      <c r="H95" s="104">
        <f t="shared" si="13"/>
        <v>-557</v>
      </c>
      <c r="I95" s="104">
        <f t="shared" si="13"/>
        <v>-2073.0328560000003</v>
      </c>
      <c r="J95" s="162"/>
      <c r="K95" s="3"/>
      <c r="L95" s="3"/>
      <c r="M95" s="62"/>
      <c r="N95" s="171"/>
      <c r="O95" s="1"/>
      <c r="P95" s="1"/>
      <c r="Q95" s="1"/>
      <c r="R95" s="1"/>
      <c r="S95" s="1"/>
    </row>
    <row r="96" spans="2:19" x14ac:dyDescent="0.2">
      <c r="B96" s="20"/>
      <c r="C96" s="105"/>
      <c r="D96" s="106"/>
      <c r="E96" s="106"/>
      <c r="F96" s="106"/>
      <c r="G96" s="106"/>
      <c r="H96" s="106"/>
      <c r="I96" s="106"/>
      <c r="J96" s="114"/>
      <c r="K96" s="3"/>
      <c r="L96" s="3"/>
      <c r="M96" s="62"/>
      <c r="N96" s="105"/>
      <c r="O96" s="1"/>
      <c r="P96" s="1"/>
      <c r="Q96" s="1"/>
      <c r="R96" s="1"/>
      <c r="S96" s="1"/>
    </row>
    <row r="97" spans="2:19" ht="17" thickBot="1" x14ac:dyDescent="0.25">
      <c r="B97" s="107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67"/>
      <c r="N97" s="3"/>
      <c r="O97" s="1"/>
      <c r="P97" s="1"/>
      <c r="Q97" s="1"/>
      <c r="R97" s="1"/>
      <c r="S97" s="1"/>
    </row>
  </sheetData>
  <mergeCells count="1">
    <mergeCell ref="B4:C4"/>
  </mergeCells>
  <conditionalFormatting sqref="H93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2:C73"/>
  <sheetViews>
    <sheetView tabSelected="1" topLeftCell="A26" workbookViewId="0">
      <selection activeCell="C73" sqref="C73"/>
    </sheetView>
  </sheetViews>
  <sheetFormatPr baseColWidth="10" defaultRowHeight="16" x14ac:dyDescent="0.2"/>
  <cols>
    <col min="1" max="1" width="68.33203125" customWidth="1"/>
    <col min="2" max="2" width="18.5" customWidth="1"/>
    <col min="3" max="3" width="79.33203125" customWidth="1"/>
  </cols>
  <sheetData>
    <row r="2" spans="1:3" x14ac:dyDescent="0.2">
      <c r="B2" t="s">
        <v>70</v>
      </c>
      <c r="C2" t="s">
        <v>144</v>
      </c>
    </row>
    <row r="3" spans="1:3" x14ac:dyDescent="0.2">
      <c r="A3" t="s">
        <v>4</v>
      </c>
    </row>
    <row r="4" spans="1:3" x14ac:dyDescent="0.2">
      <c r="A4" t="s">
        <v>5</v>
      </c>
      <c r="B4">
        <f>Analyse!M64</f>
        <v>0.35434335241633147</v>
      </c>
      <c r="C4" t="str">
        <f>"- init." &amp; LEFT(A4, LEN(A4)-3)&amp; " " &amp; "=" &amp;" " &amp; B4*100</f>
        <v>- init.households_cooker_halogen_electricity_share = 35.4343352416331</v>
      </c>
    </row>
    <row r="5" spans="1:3" x14ac:dyDescent="0.2">
      <c r="A5" t="s">
        <v>6</v>
      </c>
      <c r="B5">
        <f>Analyse!M65</f>
        <v>0.13287875715612429</v>
      </c>
      <c r="C5" t="str">
        <f t="shared" ref="C5:C68" si="0">"- init." &amp; LEFT(A5, LEN(A5)-3)&amp; " " &amp; "=" &amp;" " &amp; B5*100</f>
        <v>- init.households_cooker_induction_electricity_share = 13.2878757156124</v>
      </c>
    </row>
    <row r="6" spans="1:3" x14ac:dyDescent="0.2">
      <c r="A6" t="s">
        <v>7</v>
      </c>
      <c r="B6">
        <f>Analyse!M62</f>
        <v>0.46848497137550277</v>
      </c>
      <c r="C6" t="str">
        <f t="shared" si="0"/>
        <v>- init.households_cooker_network_gas_share = 46.8484971375503</v>
      </c>
    </row>
    <row r="7" spans="1:3" x14ac:dyDescent="0.2">
      <c r="A7" t="s">
        <v>8</v>
      </c>
      <c r="B7">
        <f>Analyse!M63</f>
        <v>4.4292919052041482E-2</v>
      </c>
      <c r="C7" t="str">
        <f t="shared" si="0"/>
        <v>- init.households_cooker_resistive_electricity_share = 4.42929190520415</v>
      </c>
    </row>
    <row r="8" spans="1:3" x14ac:dyDescent="0.2">
      <c r="A8" t="s">
        <v>9</v>
      </c>
      <c r="B8">
        <f>Analyse!M66</f>
        <v>0</v>
      </c>
      <c r="C8" t="str">
        <f t="shared" si="0"/>
        <v>- init.households_cooker_wood_pellets_share = 0</v>
      </c>
    </row>
    <row r="10" spans="1:3" x14ac:dyDescent="0.2">
      <c r="A10" t="s">
        <v>10</v>
      </c>
    </row>
    <row r="11" spans="1:3" x14ac:dyDescent="0.2">
      <c r="A11" t="s">
        <v>11</v>
      </c>
      <c r="B11">
        <f>Analyse!M56</f>
        <v>0.90774087940357795</v>
      </c>
      <c r="C11" t="str">
        <f t="shared" si="0"/>
        <v>- init.households_cooling_airconditioning_electricity_share = 90.7740879403578</v>
      </c>
    </row>
    <row r="12" spans="1:3" x14ac:dyDescent="0.2">
      <c r="A12" t="s">
        <v>12</v>
      </c>
      <c r="B12">
        <f>Analyse!M55</f>
        <v>0</v>
      </c>
      <c r="C12" t="str">
        <f t="shared" si="0"/>
        <v>- init.households_cooling_heatpump_air_water_electricity_share = 0</v>
      </c>
    </row>
    <row r="13" spans="1:3" x14ac:dyDescent="0.2">
      <c r="A13" t="s">
        <v>13</v>
      </c>
      <c r="B13">
        <f>Analyse!M54</f>
        <v>9.2259120596421995E-2</v>
      </c>
      <c r="C13" t="str">
        <f>"- init." &amp; LEFT(A13, LEN(A13)-3)&amp; " " &amp; "=" &amp;" " &amp; B13*100</f>
        <v>- init.households_cooling_heatpump_ground_water_electricity_share = 9.2259120596422</v>
      </c>
    </row>
    <row r="15" spans="1:3" x14ac:dyDescent="0.2">
      <c r="A15" t="s">
        <v>14</v>
      </c>
    </row>
    <row r="16" spans="1:3" x14ac:dyDescent="0.2">
      <c r="A16" t="s">
        <v>15</v>
      </c>
      <c r="B16">
        <f>Analyse!L60</f>
        <v>71.535483201526716</v>
      </c>
      <c r="C16" t="str">
        <f>"- init." &amp; LEFT(A16, LEN(A16)-3)&amp; " " &amp; "=" &amp;" " &amp; B16*10^6</f>
        <v>- init.households_useful_demand_cooking_per_person = 71535483.2015267</v>
      </c>
    </row>
    <row r="17" spans="1:3" x14ac:dyDescent="0.2">
      <c r="A17" t="s">
        <v>16</v>
      </c>
      <c r="B17" s="119">
        <f>Analyse!L83</f>
        <v>138.22001245161337</v>
      </c>
      <c r="C17" t="str">
        <f>"- init." &amp; LEFT(A17, LEN(A17)-3)&amp; " " &amp; "=" &amp;" " &amp; B17*10^6</f>
        <v>- init.households_useful_demand_electric_appliances_clothes_dryer = 138220012.451613</v>
      </c>
    </row>
    <row r="18" spans="1:3" x14ac:dyDescent="0.2">
      <c r="A18" t="s">
        <v>17</v>
      </c>
      <c r="B18" s="119">
        <f>Analyse!L85</f>
        <v>236.94859277419332</v>
      </c>
      <c r="C18" t="str">
        <f t="shared" ref="C18:C30" si="1">"- init." &amp; LEFT(A18, LEN(A18)-3)&amp; " " &amp; "=" &amp;" " &amp; B18*10^6</f>
        <v>- init.households_useful_demand_electric_appliances_computer_media = 236948592.774193</v>
      </c>
    </row>
    <row r="19" spans="1:3" x14ac:dyDescent="0.2">
      <c r="A19" t="s">
        <v>18</v>
      </c>
      <c r="B19" s="119">
        <f>Analyse!L80</f>
        <v>98.728580322580683</v>
      </c>
      <c r="C19" t="str">
        <f t="shared" si="1"/>
        <v>- init.households_useful_demand_electric_appliances_dishwasher = 98728580.3225807</v>
      </c>
    </row>
    <row r="20" spans="1:3" x14ac:dyDescent="0.2">
      <c r="A20" t="s">
        <v>19</v>
      </c>
      <c r="B20" s="119">
        <f>Analyse!L81</f>
        <v>276.44002490322555</v>
      </c>
      <c r="C20" t="str">
        <f t="shared" si="1"/>
        <v>- init.households_useful_demand_electric_appliances_fridge_freezer = 276440024.903226</v>
      </c>
    </row>
    <row r="21" spans="1:3" x14ac:dyDescent="0.2">
      <c r="A21" t="s">
        <v>20</v>
      </c>
      <c r="B21" s="119">
        <f>Analyse!L87</f>
        <v>138.22001245161337</v>
      </c>
      <c r="C21" t="str">
        <f t="shared" si="1"/>
        <v>- init.households_useful_demand_electric_appliances_other = 138220012.451613</v>
      </c>
    </row>
    <row r="22" spans="1:3" x14ac:dyDescent="0.2">
      <c r="A22" t="s">
        <v>21</v>
      </c>
      <c r="B22" s="119">
        <f>Analyse!L84</f>
        <v>177.71144458064558</v>
      </c>
      <c r="C22" t="str">
        <f t="shared" si="1"/>
        <v>- init.households_useful_demand_electric_appliances_television = 177711444.580646</v>
      </c>
    </row>
    <row r="23" spans="1:3" x14ac:dyDescent="0.2">
      <c r="A23" t="s">
        <v>22</v>
      </c>
      <c r="B23" s="119">
        <f>Analyse!L86</f>
        <v>59.237148193548329</v>
      </c>
      <c r="C23" t="str">
        <f t="shared" si="1"/>
        <v>- init.households_useful_demand_electric_appliances_vacuum_cleaner = 59237148.1935483</v>
      </c>
    </row>
    <row r="24" spans="1:3" x14ac:dyDescent="0.2">
      <c r="A24" t="s">
        <v>23</v>
      </c>
      <c r="B24" s="119">
        <f>Analyse!L82</f>
        <v>98.728580322580683</v>
      </c>
      <c r="C24" t="str">
        <f t="shared" si="1"/>
        <v>- init.households_useful_demand_electric_appliances_washing_machine = 98728580.3225807</v>
      </c>
    </row>
    <row r="25" spans="1:3" x14ac:dyDescent="0.2">
      <c r="A25" t="s">
        <v>24</v>
      </c>
      <c r="B25">
        <f>Analyse!L52*Analyse!L15</f>
        <v>119.08220802631344</v>
      </c>
      <c r="C25" t="str">
        <f t="shared" si="1"/>
        <v>- init.households_useful_demand_for_cooling_new_houses = 119082208.026313</v>
      </c>
    </row>
    <row r="26" spans="1:3" x14ac:dyDescent="0.2">
      <c r="A26" t="s">
        <v>25</v>
      </c>
      <c r="B26">
        <f>Analyse!L14*Analyse!L52</f>
        <v>440.86987036435551</v>
      </c>
      <c r="C26" t="str">
        <f t="shared" si="1"/>
        <v>- init.households_useful_demand_for_cooling_old_houses = 440869870.364356</v>
      </c>
    </row>
    <row r="27" spans="1:3" x14ac:dyDescent="0.2">
      <c r="A27" t="s">
        <v>26</v>
      </c>
      <c r="B27">
        <f>Analyse!L35</f>
        <v>1245.8048875996615</v>
      </c>
      <c r="C27" t="str">
        <f t="shared" si="1"/>
        <v>- init.households_useful_demand_hot_water = 1245804887.59966</v>
      </c>
    </row>
    <row r="28" spans="1:3" x14ac:dyDescent="0.2">
      <c r="A28" t="s">
        <v>27</v>
      </c>
      <c r="B28" s="119">
        <f>Analyse!L70</f>
        <v>21.606484848484854</v>
      </c>
      <c r="C28" t="str">
        <f t="shared" si="1"/>
        <v>- init.households_useful_demand_lighting = 21606484.8484849</v>
      </c>
    </row>
    <row r="29" spans="1:3" x14ac:dyDescent="0.2">
      <c r="A29" t="s">
        <v>28</v>
      </c>
      <c r="B29">
        <f>Analyse!L17*Analyse!L15</f>
        <v>1155.8275540636776</v>
      </c>
      <c r="C29" t="str">
        <f t="shared" si="1"/>
        <v>- init.households_useful_demand_new_houses_heat_per_person = 1155827554.06368</v>
      </c>
    </row>
    <row r="30" spans="1:3" x14ac:dyDescent="0.2">
      <c r="A30" t="s">
        <v>29</v>
      </c>
      <c r="B30">
        <f>Analyse!L17*Analyse!L14</f>
        <v>4279.1408756126248</v>
      </c>
      <c r="C30" t="str">
        <f t="shared" si="1"/>
        <v>- init.households_useful_demand_old_houses_heat_per_person = 4279140875.61262</v>
      </c>
    </row>
    <row r="32" spans="1:3" x14ac:dyDescent="0.2">
      <c r="A32" t="s">
        <v>30</v>
      </c>
    </row>
    <row r="33" spans="1:3" x14ac:dyDescent="0.2">
      <c r="A33" t="s">
        <v>31</v>
      </c>
      <c r="B33" s="149">
        <f>Dashboard!F64</f>
        <v>0</v>
      </c>
      <c r="C33" t="str">
        <f t="shared" si="0"/>
        <v>- init.households_collective_chp_biogas_share = 0</v>
      </c>
    </row>
    <row r="34" spans="1:3" x14ac:dyDescent="0.2">
      <c r="A34" t="s">
        <v>32</v>
      </c>
      <c r="B34" s="149">
        <f>Dashboard!F65</f>
        <v>0</v>
      </c>
      <c r="C34" t="str">
        <f t="shared" si="0"/>
        <v>- init.households_collective_chp_network_gas_share = 0</v>
      </c>
    </row>
    <row r="35" spans="1:3" x14ac:dyDescent="0.2">
      <c r="A35" t="s">
        <v>33</v>
      </c>
      <c r="B35" s="149">
        <f>Dashboard!F66</f>
        <v>7.5356258608184845E-2</v>
      </c>
      <c r="C35" t="str">
        <f t="shared" si="0"/>
        <v>- init.households_collective_chp_wood_pellets_share = 7.53562586081848</v>
      </c>
    </row>
    <row r="36" spans="1:3" x14ac:dyDescent="0.2">
      <c r="A36" t="s">
        <v>34</v>
      </c>
      <c r="B36" s="149">
        <f>Dashboard!F67</f>
        <v>0</v>
      </c>
      <c r="C36" t="str">
        <f t="shared" si="0"/>
        <v>- init.households_collective_geothermal_share = 0</v>
      </c>
    </row>
    <row r="37" spans="1:3" x14ac:dyDescent="0.2">
      <c r="A37" t="s">
        <v>35</v>
      </c>
      <c r="B37" s="149">
        <f>Dashboard!F68</f>
        <v>0.92464374139181515</v>
      </c>
      <c r="C37" t="str">
        <f t="shared" si="0"/>
        <v>- init.households_heat_network_connection_steam_hot_water_share = 92.4643741391815</v>
      </c>
    </row>
    <row r="39" spans="1:3" x14ac:dyDescent="0.2">
      <c r="A39" t="s">
        <v>36</v>
      </c>
    </row>
    <row r="40" spans="1:3" x14ac:dyDescent="0.2">
      <c r="A40" t="s">
        <v>37</v>
      </c>
      <c r="B40">
        <f>Analyse!M30</f>
        <v>0</v>
      </c>
      <c r="C40" t="str">
        <f t="shared" si="0"/>
        <v>- init.households_space_heater_coal_share = 0</v>
      </c>
    </row>
    <row r="41" spans="1:3" x14ac:dyDescent="0.2">
      <c r="A41" t="s">
        <v>38</v>
      </c>
      <c r="B41">
        <f>Analyse!M20</f>
        <v>0.57251400196416369</v>
      </c>
      <c r="C41" t="str">
        <f t="shared" si="0"/>
        <v>- init.households_space_heater_combined_network_gas_share = 57.2514001964164</v>
      </c>
    </row>
    <row r="42" spans="1:3" x14ac:dyDescent="0.2">
      <c r="A42" t="s">
        <v>39</v>
      </c>
      <c r="B42">
        <f>Analyse!M29</f>
        <v>0</v>
      </c>
      <c r="C42" t="str">
        <f t="shared" si="0"/>
        <v>- init.households_space_heater_crude_oil_share = 0</v>
      </c>
    </row>
    <row r="43" spans="1:3" x14ac:dyDescent="0.2">
      <c r="A43" t="s">
        <v>40</v>
      </c>
      <c r="B43">
        <f>Analyse!M24</f>
        <v>0.25466150845914787</v>
      </c>
      <c r="C43" t="str">
        <f t="shared" si="0"/>
        <v>- init.households_space_heater_district_heating_steam_hot_water_share = 25.4661508459148</v>
      </c>
    </row>
    <row r="44" spans="1:3" x14ac:dyDescent="0.2">
      <c r="A44" t="s">
        <v>41</v>
      </c>
      <c r="B44">
        <f>Analyse!M27</f>
        <v>1.4065976165801521E-2</v>
      </c>
      <c r="C44" t="str">
        <f t="shared" si="0"/>
        <v>- init.households_space_heater_electricity_share = 1.40659761658015</v>
      </c>
    </row>
    <row r="45" spans="1:3" x14ac:dyDescent="0.2">
      <c r="A45" t="s">
        <v>42</v>
      </c>
      <c r="B45">
        <f>Analyse!M25</f>
        <v>4.2094740930861844E-2</v>
      </c>
      <c r="C45" t="str">
        <f t="shared" si="0"/>
        <v>- init.households_space_heater_heatpump_air_water_electricity_share = 4.20947409308618</v>
      </c>
    </row>
    <row r="46" spans="1:3" x14ac:dyDescent="0.2">
      <c r="A46" t="s">
        <v>43</v>
      </c>
      <c r="B46">
        <f>Analyse!M22</f>
        <v>9.9093279721544827E-3</v>
      </c>
      <c r="C46" t="str">
        <f t="shared" si="0"/>
        <v>- init.households_space_heater_heatpump_ground_water_electricity_share = 0.990932797215448</v>
      </c>
    </row>
    <row r="47" spans="1:3" x14ac:dyDescent="0.2">
      <c r="A47" t="s">
        <v>44</v>
      </c>
      <c r="B47">
        <f>Analyse!M31</f>
        <v>0</v>
      </c>
      <c r="C47" t="str">
        <f t="shared" si="0"/>
        <v>- init.households_space_heater_hybrid_heatpump_air_water_electricity_share = 0</v>
      </c>
    </row>
    <row r="48" spans="1:3" x14ac:dyDescent="0.2">
      <c r="A48" t="s">
        <v>45</v>
      </c>
      <c r="B48">
        <f>Analyse!M23</f>
        <v>0</v>
      </c>
      <c r="C48" t="str">
        <f t="shared" si="0"/>
        <v>- init.households_space_heater_micro_chp_network_gas_share = 0</v>
      </c>
    </row>
    <row r="49" spans="1:3" x14ac:dyDescent="0.2">
      <c r="A49" t="s">
        <v>46</v>
      </c>
      <c r="B49">
        <f>Analyse!M28</f>
        <v>2.2592176864367944E-2</v>
      </c>
      <c r="C49" t="str">
        <f t="shared" si="0"/>
        <v>- init.households_space_heater_network_gas_share = 2.25921768643679</v>
      </c>
    </row>
    <row r="50" spans="1:3" x14ac:dyDescent="0.2">
      <c r="A50" t="s">
        <v>47</v>
      </c>
      <c r="B50">
        <f>Analyse!M26</f>
        <v>8.4162267643502667E-2</v>
      </c>
      <c r="C50" t="str">
        <f t="shared" si="0"/>
        <v>- init.households_space_heater_wood_pellets_share = 8.41622676435027</v>
      </c>
    </row>
    <row r="52" spans="1:3" x14ac:dyDescent="0.2">
      <c r="A52" t="s">
        <v>48</v>
      </c>
    </row>
    <row r="53" spans="1:3" x14ac:dyDescent="0.2">
      <c r="A53" t="s">
        <v>49</v>
      </c>
      <c r="B53">
        <f>Analyse!M46</f>
        <v>0</v>
      </c>
      <c r="C53" t="str">
        <f t="shared" si="0"/>
        <v>- init.households_water_heater_coal_share = 0</v>
      </c>
    </row>
    <row r="54" spans="1:3" x14ac:dyDescent="0.2">
      <c r="A54" t="s">
        <v>50</v>
      </c>
      <c r="B54">
        <f>Analyse!M37</f>
        <v>0.53621886043015521</v>
      </c>
      <c r="C54" t="str">
        <f t="shared" si="0"/>
        <v>- init.households_water_heater_combined_network_gas_share = 53.6218860430155</v>
      </c>
    </row>
    <row r="55" spans="1:3" x14ac:dyDescent="0.2">
      <c r="A55" t="s">
        <v>51</v>
      </c>
      <c r="B55">
        <f>Analyse!M45</f>
        <v>0</v>
      </c>
      <c r="C55" t="str">
        <f t="shared" si="0"/>
        <v>- init.households_water_heater_crude_oil_share = 0</v>
      </c>
    </row>
    <row r="56" spans="1:3" x14ac:dyDescent="0.2">
      <c r="A56" t="s">
        <v>52</v>
      </c>
      <c r="B56">
        <f>Analyse!M40</f>
        <v>0.27871478064037114</v>
      </c>
      <c r="C56" t="str">
        <f t="shared" si="0"/>
        <v>- init.households_water_heater_district_heating_steam_hot_water_share = 27.8714780640371</v>
      </c>
    </row>
    <row r="57" spans="1:3" x14ac:dyDescent="0.2">
      <c r="A57" t="s">
        <v>53</v>
      </c>
      <c r="B57">
        <f>Analyse!M48</f>
        <v>0</v>
      </c>
      <c r="C57" t="str">
        <f t="shared" si="0"/>
        <v>- init.households_water_heater_fuel_cell_chp_network_gas_share = 0</v>
      </c>
    </row>
    <row r="58" spans="1:3" x14ac:dyDescent="0.2">
      <c r="A58" t="s">
        <v>54</v>
      </c>
      <c r="B58">
        <f>Analyse!M41</f>
        <v>2.4583041280726844E-2</v>
      </c>
      <c r="C58" t="str">
        <f t="shared" si="0"/>
        <v>- init.households_water_heater_heatpump_air_water_electricity_share = 2.45830412807268</v>
      </c>
    </row>
    <row r="59" spans="1:3" x14ac:dyDescent="0.2">
      <c r="A59" t="s">
        <v>55</v>
      </c>
      <c r="B59">
        <f>Analyse!M38</f>
        <v>0.10442855024202906</v>
      </c>
      <c r="C59" t="str">
        <f t="shared" si="0"/>
        <v>- init.households_water_heater_heatpump_ground_water_electricity_share = 10.4428550242029</v>
      </c>
    </row>
    <row r="60" spans="1:3" x14ac:dyDescent="0.2">
      <c r="A60" t="s">
        <v>56</v>
      </c>
      <c r="B60">
        <f>Analyse!M47</f>
        <v>0</v>
      </c>
      <c r="C60" t="str">
        <f t="shared" si="0"/>
        <v>- init.households_water_heater_hybrid_heatpump_air_water_electricity_share = 0</v>
      </c>
    </row>
    <row r="61" spans="1:3" x14ac:dyDescent="0.2">
      <c r="A61" t="s">
        <v>57</v>
      </c>
      <c r="B61">
        <f>Analyse!M39</f>
        <v>0</v>
      </c>
      <c r="C61" t="str">
        <f t="shared" si="0"/>
        <v>- init.households_water_heater_micro_chp_network_gas_share = 0</v>
      </c>
    </row>
    <row r="62" spans="1:3" x14ac:dyDescent="0.2">
      <c r="A62" t="s">
        <v>58</v>
      </c>
      <c r="B62">
        <f>Analyse!M44</f>
        <v>2.1159921488882984E-2</v>
      </c>
      <c r="C62" t="str">
        <f t="shared" si="0"/>
        <v>- init.households_water_heater_network_gas_share = 2.1159921488883</v>
      </c>
    </row>
    <row r="63" spans="1:3" x14ac:dyDescent="0.2">
      <c r="A63" t="s">
        <v>59</v>
      </c>
      <c r="B63">
        <f>Analyse!M43</f>
        <v>3.4894845917834559E-2</v>
      </c>
      <c r="C63" t="str">
        <f t="shared" si="0"/>
        <v>- init.households_water_heater_resistive_electricity_share = 3.48948459178346</v>
      </c>
    </row>
    <row r="64" spans="1:3" x14ac:dyDescent="0.2">
      <c r="A64" t="s">
        <v>60</v>
      </c>
      <c r="B64" s="202">
        <f>Dashboard!F15</f>
        <v>9.9000000000000008E-3</v>
      </c>
      <c r="C64" t="str">
        <f t="shared" si="0"/>
        <v>- init.households_water_heater_solar_thermal_share = 0.99</v>
      </c>
    </row>
    <row r="65" spans="1:3" x14ac:dyDescent="0.2">
      <c r="A65" t="s">
        <v>61</v>
      </c>
      <c r="B65">
        <f>Analyse!M42</f>
        <v>0</v>
      </c>
      <c r="C65" t="str">
        <f t="shared" si="0"/>
        <v>- init.households_water_heater_wood_pellets_share = 0</v>
      </c>
    </row>
    <row r="67" spans="1:3" x14ac:dyDescent="0.2">
      <c r="A67" t="s">
        <v>62</v>
      </c>
    </row>
    <row r="68" spans="1:3" x14ac:dyDescent="0.2">
      <c r="A68" t="s">
        <v>63</v>
      </c>
      <c r="B68">
        <f>Analyse!M73</f>
        <v>0.48500000000000004</v>
      </c>
      <c r="C68" t="str">
        <f t="shared" si="0"/>
        <v>- init.households_lighting_efficient_fluorescent_electricity_share = 48.5</v>
      </c>
    </row>
    <row r="69" spans="1:3" x14ac:dyDescent="0.2">
      <c r="A69" t="s">
        <v>64</v>
      </c>
      <c r="B69">
        <f>Analyse!M72</f>
        <v>0.495</v>
      </c>
      <c r="C69" t="str">
        <f t="shared" ref="C69:C73" si="2">"- init." &amp; LEFT(A69, LEN(A69)-3)&amp; " " &amp; "=" &amp;" " &amp; B69*100</f>
        <v>- init.households_lighting_incandescent_electricity_share = 49.5</v>
      </c>
    </row>
    <row r="70" spans="1:3" x14ac:dyDescent="0.2">
      <c r="A70" t="s">
        <v>65</v>
      </c>
      <c r="B70">
        <f>Analyse!M74</f>
        <v>0.02</v>
      </c>
      <c r="C70" t="str">
        <f t="shared" si="2"/>
        <v>- init.households_lighting_led_electricity_share = 2</v>
      </c>
    </row>
    <row r="72" spans="1:3" x14ac:dyDescent="0.2">
      <c r="A72" t="s">
        <v>66</v>
      </c>
    </row>
    <row r="73" spans="1:3" x14ac:dyDescent="0.2">
      <c r="A73" t="s">
        <v>67</v>
      </c>
      <c r="B73">
        <f>Dashboard!F16/(Dashboard!F17*Dashboard!F164)*10^-6</f>
        <v>2.5477707006369425E-2</v>
      </c>
      <c r="C73" t="str">
        <f t="shared" si="2"/>
        <v>- init.households_solar_pv_solar_radiation_market_penetration = 2.54777070063694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Analyse</vt:lpstr>
      <vt:lpstr>.ad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2017-07-20T08:09:20Z</dcterms:created>
  <dcterms:modified xsi:type="dcterms:W3CDTF">2017-08-30T12:14:00Z</dcterms:modified>
</cp:coreProperties>
</file>