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ieldenhaan/Dropbox (Quintel)/Quintel/Projects/201707_Flevoland/Dataset/"/>
    </mc:Choice>
  </mc:AlternateContent>
  <bookViews>
    <workbookView xWindow="0" yWindow="460" windowWidth="35160" windowHeight="26720" tabRatio="500" activeTab="2"/>
  </bookViews>
  <sheets>
    <sheet name="Dashboard" sheetId="3" r:id="rId1"/>
    <sheet name="Analyse" sheetId="4" r:id="rId2"/>
    <sheet name=".a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B4" i="2"/>
  <c r="C5" i="2"/>
  <c r="F14" i="3"/>
  <c r="F48" i="3"/>
  <c r="J25" i="4"/>
  <c r="J32" i="4"/>
  <c r="N32" i="4"/>
  <c r="F15" i="3"/>
  <c r="F45" i="3"/>
  <c r="I25" i="4"/>
  <c r="I28" i="4"/>
  <c r="N28" i="4"/>
  <c r="H11" i="3"/>
  <c r="F36" i="3"/>
  <c r="E25" i="4"/>
  <c r="E29" i="4"/>
  <c r="N29" i="4"/>
  <c r="F12" i="3"/>
  <c r="F39" i="3"/>
  <c r="F25" i="4"/>
  <c r="F30" i="4"/>
  <c r="N30" i="4"/>
  <c r="H10" i="3"/>
  <c r="F33" i="3"/>
  <c r="D25" i="4"/>
  <c r="D31" i="4"/>
  <c r="N31" i="4"/>
  <c r="H25" i="4"/>
  <c r="H33" i="4"/>
  <c r="N33" i="4"/>
  <c r="O32" i="4"/>
  <c r="B39" i="2"/>
  <c r="C39" i="2"/>
  <c r="O33" i="4"/>
  <c r="B40" i="2"/>
  <c r="C40" i="2"/>
  <c r="O28" i="4"/>
  <c r="F35" i="3"/>
  <c r="E14" i="4"/>
  <c r="E18" i="4"/>
  <c r="N18" i="4"/>
  <c r="F44" i="3"/>
  <c r="I14" i="4"/>
  <c r="I17" i="4"/>
  <c r="N17" i="4"/>
  <c r="F38" i="3"/>
  <c r="F14" i="4"/>
  <c r="F19" i="4"/>
  <c r="N19" i="4"/>
  <c r="F32" i="3"/>
  <c r="D14" i="4"/>
  <c r="D20" i="4"/>
  <c r="N20" i="4"/>
  <c r="F47" i="3"/>
  <c r="J14" i="4"/>
  <c r="J21" i="4"/>
  <c r="N21" i="4"/>
  <c r="H13" i="3"/>
  <c r="F50" i="3"/>
  <c r="G14" i="4"/>
  <c r="G22" i="4"/>
  <c r="N22" i="4"/>
  <c r="O18" i="4"/>
  <c r="O19" i="4"/>
  <c r="O20" i="4"/>
  <c r="O21" i="4"/>
  <c r="O22" i="4"/>
  <c r="O17" i="4"/>
  <c r="F19" i="3"/>
  <c r="F25" i="3"/>
  <c r="F45" i="4"/>
  <c r="E45" i="4"/>
  <c r="E49" i="4"/>
  <c r="N49" i="4"/>
  <c r="F50" i="4"/>
  <c r="N50" i="4"/>
  <c r="N48" i="4"/>
  <c r="N45" i="4"/>
  <c r="H37" i="4"/>
  <c r="H41" i="4"/>
  <c r="N41" i="4"/>
  <c r="E37" i="4"/>
  <c r="E40" i="4"/>
  <c r="N40" i="4"/>
  <c r="F28" i="3"/>
  <c r="D54" i="4"/>
  <c r="D57" i="4"/>
  <c r="N57" i="4"/>
  <c r="F29" i="3"/>
  <c r="K54" i="4"/>
  <c r="K58" i="4"/>
  <c r="N58" i="4"/>
  <c r="N54" i="4"/>
  <c r="B26" i="2"/>
  <c r="P57" i="4"/>
  <c r="O58" i="4"/>
  <c r="O57" i="4"/>
  <c r="P58" i="4"/>
  <c r="L58" i="4"/>
  <c r="L57" i="4"/>
  <c r="N14" i="4"/>
  <c r="N37" i="4"/>
  <c r="N25" i="4"/>
  <c r="B41" i="2"/>
  <c r="O29" i="4"/>
  <c r="B36" i="2"/>
  <c r="O30" i="4"/>
  <c r="B37" i="2"/>
  <c r="O31" i="4"/>
  <c r="B38" i="2"/>
  <c r="B35" i="2"/>
  <c r="B32" i="2"/>
  <c r="O49" i="4"/>
  <c r="B30" i="2"/>
  <c r="O50" i="4"/>
  <c r="B31" i="2"/>
  <c r="O48" i="4"/>
  <c r="B29" i="2"/>
  <c r="C26" i="2"/>
  <c r="C32" i="2"/>
  <c r="C41" i="2"/>
  <c r="B10" i="2"/>
  <c r="C10" i="2"/>
  <c r="B23" i="2"/>
  <c r="C23" i="2"/>
  <c r="P29" i="4"/>
  <c r="P30" i="4"/>
  <c r="P31" i="4"/>
  <c r="P32" i="4"/>
  <c r="P33" i="4"/>
  <c r="P28" i="4"/>
  <c r="P49" i="4"/>
  <c r="P50" i="4"/>
  <c r="P48" i="4"/>
  <c r="P41" i="4"/>
  <c r="P40" i="4"/>
  <c r="O41" i="4"/>
  <c r="O40" i="4"/>
  <c r="B22" i="2"/>
  <c r="B21" i="2"/>
  <c r="F59" i="3"/>
  <c r="B18" i="2"/>
  <c r="F58" i="3"/>
  <c r="B17" i="2"/>
  <c r="F56" i="3"/>
  <c r="F55" i="3"/>
  <c r="B14" i="2"/>
  <c r="B13" i="2"/>
  <c r="F51" i="3"/>
  <c r="G25" i="4"/>
  <c r="L32" i="4"/>
  <c r="B5" i="2"/>
  <c r="B6" i="2"/>
  <c r="B7" i="2"/>
  <c r="B8" i="2"/>
  <c r="B9" i="2"/>
  <c r="C6" i="2"/>
  <c r="C7" i="2"/>
  <c r="C8" i="2"/>
  <c r="C9" i="2"/>
  <c r="C13" i="2"/>
  <c r="C14" i="2"/>
  <c r="C17" i="2"/>
  <c r="C18" i="2"/>
  <c r="C21" i="2"/>
  <c r="C22" i="2"/>
  <c r="C29" i="2"/>
  <c r="C30" i="2"/>
  <c r="C31" i="2"/>
  <c r="C35" i="2"/>
  <c r="C36" i="2"/>
  <c r="C37" i="2"/>
  <c r="C38" i="2"/>
  <c r="L50" i="4"/>
  <c r="L49" i="4"/>
  <c r="L48" i="4"/>
  <c r="L41" i="4"/>
  <c r="L40" i="4"/>
  <c r="L17" i="4"/>
  <c r="L18" i="4"/>
  <c r="L19" i="4"/>
  <c r="L20" i="4"/>
  <c r="L21" i="4"/>
  <c r="L22" i="4"/>
  <c r="L28" i="4"/>
  <c r="L29" i="4"/>
  <c r="L30" i="4"/>
  <c r="L31" i="4"/>
  <c r="L33" i="4"/>
  <c r="P22" i="4"/>
  <c r="P21" i="4"/>
  <c r="P20" i="4"/>
  <c r="P19" i="4"/>
  <c r="P18" i="4"/>
  <c r="P17" i="4"/>
  <c r="F42" i="3"/>
  <c r="F41" i="3"/>
</calcChain>
</file>

<file path=xl/sharedStrings.xml><?xml version="1.0" encoding="utf-8"?>
<sst xmlns="http://schemas.openxmlformats.org/spreadsheetml/2006/main" count="177" uniqueCount="125">
  <si>
    <t>Diesel</t>
  </si>
  <si>
    <t>TJ</t>
  </si>
  <si>
    <t>LNG</t>
  </si>
  <si>
    <t>CNG</t>
  </si>
  <si>
    <t>LPG</t>
  </si>
  <si>
    <t>Percentage of final demand</t>
  </si>
  <si>
    <t>Electricity</t>
  </si>
  <si>
    <t>./transport/transport_car:</t>
  </si>
  <si>
    <t>transport_car_using_compressed_natural_gas_share.ad</t>
  </si>
  <si>
    <t>transport_car_using_diesel_mix_share.ad</t>
  </si>
  <si>
    <t>transport_car_using_electricity_share.ad</t>
  </si>
  <si>
    <t>transport_car_using_gasoline_mix_share.ad</t>
  </si>
  <si>
    <t>transport_car_using_hydrogen_share.ad</t>
  </si>
  <si>
    <t>transport_car_using_lpg_share.ad</t>
  </si>
  <si>
    <t>transport_useful_demand_car_kms.ad</t>
  </si>
  <si>
    <t>./transport/transport_diesel_road:</t>
  </si>
  <si>
    <t>transport_road_mixer_diesel_biodiesel_share.ad</t>
  </si>
  <si>
    <t>transport_road_mixer_diesel_diesel_share.ad</t>
  </si>
  <si>
    <t>./transport/transport_gasoline:</t>
  </si>
  <si>
    <t>transport_road_mixer_gasoline_ethanol_share.ad</t>
  </si>
  <si>
    <t>transport_road_mixer_gasoline_gasoline_share.ad</t>
  </si>
  <si>
    <t>./transport/transport_marine:</t>
  </si>
  <si>
    <t>transport_ship_using_diesel_mix_share.ad</t>
  </si>
  <si>
    <t>transport_ship_using_lng_mix_share.ad</t>
  </si>
  <si>
    <t>transport_useful_demand_ship_kms.ad</t>
  </si>
  <si>
    <t>./transport/transport_plane:</t>
  </si>
  <si>
    <t>transport_useful_demand_planes.ad</t>
  </si>
  <si>
    <t>./transport/transport_train:</t>
  </si>
  <si>
    <t>transport_train_using_coal_share.ad</t>
  </si>
  <si>
    <t>transport_train_using_diesel_share.ad</t>
  </si>
  <si>
    <t>transport_train_using_electricity_share.ad</t>
  </si>
  <si>
    <t>transport_useful_demand_trains.ad</t>
  </si>
  <si>
    <t>./transport/transport_truck:</t>
  </si>
  <si>
    <t>transport_truck_using_compressed_natural_gas_share.ad</t>
  </si>
  <si>
    <t>transport_truck_using_diesel_mix_share.ad</t>
  </si>
  <si>
    <t>transport_truck_using_electricity_share.ad</t>
  </si>
  <si>
    <t>transport_truck_using_gasoline_mix_share.ad</t>
  </si>
  <si>
    <t>transport_truck_using_lng_mix_share.ad</t>
  </si>
  <si>
    <t>transport_useful_demand_truck_kms.ad</t>
  </si>
  <si>
    <t>Assumptions</t>
  </si>
  <si>
    <t>Sector</t>
  </si>
  <si>
    <t>Unit</t>
  </si>
  <si>
    <t>Value</t>
  </si>
  <si>
    <t>Road Transport</t>
  </si>
  <si>
    <t>Percentage of gasoline mix delivered to cars</t>
  </si>
  <si>
    <t>Percentage of gasoline mix delivered to trucks</t>
  </si>
  <si>
    <t>Percentage of diesel mix delivered to cars</t>
  </si>
  <si>
    <t>Percentage of diesel mix delivered to trucks</t>
  </si>
  <si>
    <t>Percentage of electricity delivered to cars</t>
  </si>
  <si>
    <t>Percentage of electricity delivered to trucks</t>
  </si>
  <si>
    <t>Number of</t>
  </si>
  <si>
    <t>Number of cars</t>
  </si>
  <si>
    <t>Gasoline</t>
  </si>
  <si>
    <t>Hydrogen</t>
  </si>
  <si>
    <t>Final demand road transport</t>
  </si>
  <si>
    <t>Final demand rail transport</t>
  </si>
  <si>
    <t>Final demand domestic aviation</t>
  </si>
  <si>
    <t>l</t>
  </si>
  <si>
    <t>Klimaatmonitor (incl snelwegen)</t>
  </si>
  <si>
    <t>Percentage of liquefied petroleum gas delivered to cars</t>
  </si>
  <si>
    <t>Percentage of liquefied petroleum gas delivered to trucks</t>
  </si>
  <si>
    <t>Percentage of compressed natural gas delivered to cars</t>
  </si>
  <si>
    <t>Percentage of compressed natural gas delivered to trucks</t>
  </si>
  <si>
    <t>Percentage of liquefied natural gas delivered to cars</t>
  </si>
  <si>
    <t>Percentage of liquefied natural gas delivered to trucks</t>
  </si>
  <si>
    <t>National dataset 2013</t>
  </si>
  <si>
    <t>Klimaatmonitor: careful, this is set through the area analysis, not here</t>
  </si>
  <si>
    <t>Final demand per energy carrier</t>
  </si>
  <si>
    <t>Notes</t>
  </si>
  <si>
    <t>In this sheet an overview is presented of the allocation of energy carriers over the different technologies and applications. In the next sheet, the initializer inputs are determined</t>
  </si>
  <si>
    <t>Application</t>
  </si>
  <si>
    <t>Technology used</t>
  </si>
  <si>
    <t>Final demand for electricity (TJ)</t>
  </si>
  <si>
    <t>Useful demand (TJ)</t>
  </si>
  <si>
    <t>Share of useful demand within application</t>
  </si>
  <si>
    <t xml:space="preserve">Total </t>
  </si>
  <si>
    <t>Final demand for gasoline (TJ)</t>
  </si>
  <si>
    <t>Final demand for diesel (TJ)</t>
  </si>
  <si>
    <t>Final demand for LPG (TJ)</t>
  </si>
  <si>
    <t>Final demand for LNG (TJ)</t>
  </si>
  <si>
    <t>Final demand for CNG (TJ)</t>
  </si>
  <si>
    <t>Final demand for hydrogen (TJ)</t>
  </si>
  <si>
    <t>Car using compressed natural gas</t>
  </si>
  <si>
    <t xml:space="preserve">Car using electricity  </t>
  </si>
  <si>
    <t xml:space="preserve">Car using hydrogen  </t>
  </si>
  <si>
    <t xml:space="preserve">Car using lpg  </t>
  </si>
  <si>
    <t>Truck using compressed natural gas</t>
  </si>
  <si>
    <t xml:space="preserve">Truck using electricity  </t>
  </si>
  <si>
    <t xml:space="preserve">Car using diesel   </t>
  </si>
  <si>
    <t xml:space="preserve">Car using gasoline   </t>
  </si>
  <si>
    <t xml:space="preserve">Truck using diesel   </t>
  </si>
  <si>
    <t xml:space="preserve">Truck using gasoline   </t>
  </si>
  <si>
    <t xml:space="preserve">Truck using lng  </t>
  </si>
  <si>
    <t>Effective efficiency</t>
  </si>
  <si>
    <t>Total final demand</t>
  </si>
  <si>
    <t>Ships</t>
  </si>
  <si>
    <t>Trains</t>
  </si>
  <si>
    <t>Kerosene</t>
  </si>
  <si>
    <t>Bio-ethanol</t>
  </si>
  <si>
    <t>Coal</t>
  </si>
  <si>
    <t>From national dataset</t>
  </si>
  <si>
    <t>Carrier energy density (MJ/l)</t>
  </si>
  <si>
    <t>Truck using hydrogen</t>
  </si>
  <si>
    <t>Percentage of hydrogen delivered to cars</t>
  </si>
  <si>
    <t>Percentage of hydrogen gas delivered to trucks</t>
  </si>
  <si>
    <t>Road mixer</t>
  </si>
  <si>
    <t>Biodiesel</t>
  </si>
  <si>
    <t>File input</t>
  </si>
  <si>
    <t>Road transport: cars</t>
  </si>
  <si>
    <t>Road transport: trucks</t>
  </si>
  <si>
    <t>Final demand navigation</t>
  </si>
  <si>
    <t>Planes</t>
  </si>
  <si>
    <t>Final demand for kerosene (TJ)</t>
  </si>
  <si>
    <t>0.3647% volgens ER, voor nu erin gezet, moeten we nog aanpassen iom prov</t>
  </si>
  <si>
    <t>National dataset</t>
  </si>
  <si>
    <t>Scaled by # EV's from klimaatmonitor (5.37%)</t>
  </si>
  <si>
    <t>Geen dieseltreinen in Flevoland (ER)</t>
  </si>
  <si>
    <t>Geen kolentreinen in NL (dataset 2013)</t>
  </si>
  <si>
    <t>Source/remarks</t>
  </si>
  <si>
    <t>Klimaatmonitor verbruik binnen- en recreatievaart (1458 TJ), gecorrigeerd voor internationale scheepvaart volgens emissieregistratie  (54.7% van totale uitstoot is nationale scheepvaart)</t>
  </si>
  <si>
    <t>Aanname klimaatmonitor</t>
  </si>
  <si>
    <t xml:space="preserve">Geschaald via CBS reizigerskilometer (0.6 van 15.8 mld kms) :http://statline.cbs.nl/Statweb/publication/?DM=SLNL&amp;PA=83497NED&amp;D1=0&amp;D2=1-7&amp;D3=0,9&amp;D4=l&amp;VW=T </t>
  </si>
  <si>
    <t>Dataset 2013, geschaald naar aantal voertuigen uit klimaatmonitor (782 op 10716)</t>
  </si>
  <si>
    <t>transport_truck_using_hydrogen_share.ad</t>
  </si>
  <si>
    <t>Dataset 2013, geschaald naar CNG voertuigen (geen cijfers over LNG)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</si>
</sst>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61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10" applyNumberFormat="0" applyAlignment="0" applyProtection="0"/>
  </cellStyleXfs>
  <cellXfs count="128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2" borderId="11" xfId="0" applyFont="1" applyFill="1" applyBorder="1"/>
    <xf numFmtId="0" fontId="0" fillId="2" borderId="12" xfId="0" applyFill="1" applyBorder="1"/>
    <xf numFmtId="0" fontId="6" fillId="2" borderId="13" xfId="0" applyFont="1" applyFill="1" applyBorder="1"/>
    <xf numFmtId="0" fontId="7" fillId="2" borderId="13" xfId="0" applyFont="1" applyFill="1" applyBorder="1"/>
    <xf numFmtId="0" fontId="0" fillId="2" borderId="0" xfId="0" applyFont="1" applyFill="1" applyBorder="1"/>
    <xf numFmtId="0" fontId="9" fillId="5" borderId="0" xfId="0" applyFont="1" applyFill="1" applyBorder="1"/>
    <xf numFmtId="3" fontId="9" fillId="5" borderId="15" xfId="0" applyNumberFormat="1" applyFont="1" applyFill="1" applyBorder="1" applyAlignment="1">
      <alignment horizontal="center"/>
    </xf>
    <xf numFmtId="3" fontId="9" fillId="2" borderId="0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2" borderId="0" xfId="0" applyFont="1" applyFill="1" applyBorder="1"/>
    <xf numFmtId="0" fontId="0" fillId="2" borderId="14" xfId="0" applyFill="1" applyBorder="1"/>
    <xf numFmtId="0" fontId="0" fillId="2" borderId="5" xfId="0" applyFill="1" applyBorder="1"/>
    <xf numFmtId="9" fontId="0" fillId="2" borderId="0" xfId="2" applyFont="1" applyFill="1" applyBorder="1"/>
    <xf numFmtId="0" fontId="0" fillId="2" borderId="13" xfId="0" applyFill="1" applyBorder="1"/>
    <xf numFmtId="0" fontId="12" fillId="5" borderId="14" xfId="0" applyFont="1" applyFill="1" applyBorder="1"/>
    <xf numFmtId="0" fontId="12" fillId="2" borderId="5" xfId="0" applyFont="1" applyFill="1" applyBorder="1"/>
    <xf numFmtId="0" fontId="12" fillId="2" borderId="5" xfId="0" applyFont="1" applyFill="1" applyBorder="1" applyAlignment="1">
      <alignment horizontal="left"/>
    </xf>
    <xf numFmtId="0" fontId="12" fillId="5" borderId="13" xfId="0" applyFont="1" applyFill="1" applyBorder="1"/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3" fontId="0" fillId="2" borderId="0" xfId="0" applyNumberFormat="1" applyFill="1" applyBorder="1"/>
    <xf numFmtId="3" fontId="9" fillId="2" borderId="16" xfId="0" applyNumberFormat="1" applyFont="1" applyFill="1" applyBorder="1"/>
    <xf numFmtId="0" fontId="0" fillId="2" borderId="2" xfId="0" applyFill="1" applyBorder="1"/>
    <xf numFmtId="0" fontId="7" fillId="2" borderId="17" xfId="0" applyFont="1" applyFill="1" applyBorder="1"/>
    <xf numFmtId="9" fontId="0" fillId="2" borderId="2" xfId="2" applyFont="1" applyFill="1" applyBorder="1"/>
    <xf numFmtId="9" fontId="11" fillId="2" borderId="0" xfId="4" applyNumberFormat="1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3" fillId="2" borderId="0" xfId="0" applyFont="1" applyFill="1" applyBorder="1"/>
    <xf numFmtId="0" fontId="6" fillId="2" borderId="1" xfId="0" applyFont="1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9" xfId="0" applyFill="1" applyBorder="1"/>
    <xf numFmtId="0" fontId="6" fillId="2" borderId="14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14" fillId="2" borderId="13" xfId="0" applyFont="1" applyFill="1" applyBorder="1"/>
    <xf numFmtId="0" fontId="6" fillId="2" borderId="2" xfId="0" applyFont="1" applyFill="1" applyBorder="1" applyAlignment="1">
      <alignment vertical="top" wrapText="1"/>
    </xf>
    <xf numFmtId="0" fontId="0" fillId="2" borderId="13" xfId="0" applyFont="1" applyFill="1" applyBorder="1"/>
    <xf numFmtId="4" fontId="0" fillId="2" borderId="0" xfId="0" applyNumberFormat="1" applyFont="1" applyFill="1" applyBorder="1" applyAlignment="1">
      <alignment vertical="top" wrapText="1"/>
    </xf>
    <xf numFmtId="0" fontId="5" fillId="2" borderId="13" xfId="0" applyFont="1" applyFill="1" applyBorder="1"/>
    <xf numFmtId="1" fontId="6" fillId="2" borderId="0" xfId="2" applyNumberFormat="1" applyFont="1" applyFill="1" applyBorder="1" applyAlignment="1">
      <alignment vertical="top" wrapText="1"/>
    </xf>
    <xf numFmtId="4" fontId="6" fillId="2" borderId="0" xfId="0" applyNumberFormat="1" applyFont="1" applyFill="1" applyBorder="1" applyAlignment="1">
      <alignment vertical="top" wrapText="1"/>
    </xf>
    <xf numFmtId="4" fontId="6" fillId="2" borderId="5" xfId="0" applyNumberFormat="1" applyFont="1" applyFill="1" applyBorder="1"/>
    <xf numFmtId="4" fontId="6" fillId="2" borderId="0" xfId="0" applyNumberFormat="1" applyFont="1" applyFill="1" applyBorder="1"/>
    <xf numFmtId="0" fontId="11" fillId="2" borderId="0" xfId="0" applyFont="1" applyFill="1" applyBorder="1"/>
    <xf numFmtId="0" fontId="14" fillId="2" borderId="17" xfId="0" applyFont="1" applyFill="1" applyBorder="1"/>
    <xf numFmtId="0" fontId="14" fillId="2" borderId="20" xfId="0" applyFont="1" applyFill="1" applyBorder="1"/>
    <xf numFmtId="4" fontId="6" fillId="2" borderId="20" xfId="0" applyNumberFormat="1" applyFont="1" applyFill="1" applyBorder="1"/>
    <xf numFmtId="0" fontId="14" fillId="2" borderId="0" xfId="0" applyFont="1" applyFill="1" applyBorder="1"/>
    <xf numFmtId="4" fontId="3" fillId="2" borderId="0" xfId="3" applyNumberFormat="1" applyFill="1" applyBorder="1"/>
    <xf numFmtId="4" fontId="6" fillId="2" borderId="2" xfId="0" applyNumberFormat="1" applyFont="1" applyFill="1" applyBorder="1"/>
    <xf numFmtId="0" fontId="7" fillId="2" borderId="13" xfId="0" applyFont="1" applyFill="1" applyBorder="1" applyAlignment="1">
      <alignment horizontal="left" indent="2"/>
    </xf>
    <xf numFmtId="0" fontId="0" fillId="2" borderId="13" xfId="0" applyFont="1" applyFill="1" applyBorder="1" applyAlignment="1">
      <alignment horizontal="left" indent="2"/>
    </xf>
    <xf numFmtId="0" fontId="14" fillId="2" borderId="22" xfId="0" applyFont="1" applyFill="1" applyBorder="1"/>
    <xf numFmtId="0" fontId="11" fillId="2" borderId="7" xfId="0" applyFont="1" applyFill="1" applyBorder="1"/>
    <xf numFmtId="4" fontId="6" fillId="2" borderId="7" xfId="0" applyNumberFormat="1" applyFont="1" applyFill="1" applyBorder="1"/>
    <xf numFmtId="0" fontId="0" fillId="2" borderId="22" xfId="0" applyFill="1" applyBorder="1"/>
    <xf numFmtId="0" fontId="0" fillId="2" borderId="7" xfId="0" applyFill="1" applyBorder="1"/>
    <xf numFmtId="0" fontId="0" fillId="0" borderId="0" xfId="0" applyBorder="1"/>
    <xf numFmtId="0" fontId="0" fillId="2" borderId="23" xfId="0" applyFill="1" applyBorder="1"/>
    <xf numFmtId="4" fontId="3" fillId="6" borderId="1" xfId="3" applyNumberFormat="1" applyFill="1" applyBorder="1"/>
    <xf numFmtId="4" fontId="3" fillId="6" borderId="2" xfId="3" applyNumberFormat="1" applyFill="1" applyBorder="1"/>
    <xf numFmtId="4" fontId="3" fillId="6" borderId="8" xfId="3" applyNumberFormat="1" applyFill="1" applyBorder="1"/>
    <xf numFmtId="4" fontId="3" fillId="6" borderId="0" xfId="3" applyNumberFormat="1" applyFill="1" applyBorder="1"/>
    <xf numFmtId="4" fontId="3" fillId="6" borderId="5" xfId="3" applyNumberFormat="1" applyFill="1" applyBorder="1"/>
    <xf numFmtId="164" fontId="1" fillId="2" borderId="0" xfId="2" applyNumberFormat="1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10" fontId="3" fillId="6" borderId="9" xfId="3" applyNumberFormat="1" applyFill="1" applyBorder="1"/>
    <xf numFmtId="10" fontId="14" fillId="2" borderId="9" xfId="0" applyNumberFormat="1" applyFont="1" applyFill="1" applyBorder="1"/>
    <xf numFmtId="4" fontId="3" fillId="2" borderId="7" xfId="3" applyNumberFormat="1" applyFill="1" applyBorder="1"/>
    <xf numFmtId="10" fontId="14" fillId="2" borderId="23" xfId="0" applyNumberFormat="1" applyFont="1" applyFill="1" applyBorder="1"/>
    <xf numFmtId="3" fontId="6" fillId="2" borderId="2" xfId="0" applyNumberFormat="1" applyFont="1" applyFill="1" applyBorder="1" applyAlignment="1">
      <alignment vertical="top" wrapText="1"/>
    </xf>
    <xf numFmtId="0" fontId="0" fillId="2" borderId="21" xfId="0" applyFill="1" applyBorder="1"/>
    <xf numFmtId="0" fontId="6" fillId="0" borderId="5" xfId="0" applyFont="1" applyFill="1" applyBorder="1" applyAlignment="1">
      <alignment vertical="top"/>
    </xf>
    <xf numFmtId="0" fontId="8" fillId="5" borderId="17" xfId="0" applyFont="1" applyFill="1" applyBorder="1"/>
    <xf numFmtId="0" fontId="9" fillId="5" borderId="2" xfId="0" applyFont="1" applyFill="1" applyBorder="1" applyAlignment="1">
      <alignment horizontal="center"/>
    </xf>
    <xf numFmtId="9" fontId="9" fillId="5" borderId="2" xfId="0" applyNumberFormat="1" applyFont="1" applyFill="1" applyBorder="1" applyAlignment="1">
      <alignment horizontal="right"/>
    </xf>
    <xf numFmtId="0" fontId="9" fillId="5" borderId="13" xfId="0" applyFont="1" applyFill="1" applyBorder="1"/>
    <xf numFmtId="9" fontId="0" fillId="2" borderId="16" xfId="2" applyFont="1" applyFill="1" applyBorder="1"/>
    <xf numFmtId="9" fontId="0" fillId="2" borderId="0" xfId="2" applyFont="1" applyFill="1" applyBorder="1" applyAlignment="1">
      <alignment horizontal="left"/>
    </xf>
    <xf numFmtId="3" fontId="9" fillId="5" borderId="0" xfId="0" applyNumberFormat="1" applyFont="1" applyFill="1" applyBorder="1" applyAlignment="1">
      <alignment horizontal="center"/>
    </xf>
    <xf numFmtId="4" fontId="3" fillId="6" borderId="4" xfId="3" applyNumberFormat="1" applyFill="1" applyBorder="1"/>
    <xf numFmtId="0" fontId="0" fillId="2" borderId="0" xfId="0" applyFill="1" applyBorder="1" applyAlignment="1">
      <alignment vertical="top" wrapText="1"/>
    </xf>
    <xf numFmtId="0" fontId="12" fillId="2" borderId="5" xfId="0" applyFont="1" applyFill="1" applyBorder="1" applyAlignment="1">
      <alignment wrapText="1"/>
    </xf>
    <xf numFmtId="10" fontId="3" fillId="2" borderId="9" xfId="3" applyNumberFormat="1" applyFill="1" applyBorder="1"/>
    <xf numFmtId="4" fontId="3" fillId="2" borderId="2" xfId="3" applyNumberFormat="1" applyFill="1" applyBorder="1"/>
    <xf numFmtId="0" fontId="11" fillId="2" borderId="2" xfId="0" applyFont="1" applyFill="1" applyBorder="1"/>
    <xf numFmtId="164" fontId="1" fillId="2" borderId="2" xfId="2" applyNumberFormat="1" applyFont="1" applyFill="1" applyBorder="1"/>
    <xf numFmtId="10" fontId="3" fillId="2" borderId="21" xfId="3" applyNumberFormat="1" applyFill="1" applyBorder="1"/>
    <xf numFmtId="0" fontId="7" fillId="2" borderId="17" xfId="0" applyFont="1" applyFill="1" applyBorder="1" applyAlignment="1">
      <alignment horizontal="left" vertical="top"/>
    </xf>
    <xf numFmtId="3" fontId="0" fillId="0" borderId="0" xfId="0" applyNumberFormat="1"/>
    <xf numFmtId="10" fontId="0" fillId="2" borderId="0" xfId="0" applyNumberFormat="1" applyFill="1" applyBorder="1"/>
    <xf numFmtId="10" fontId="0" fillId="2" borderId="7" xfId="0" applyNumberFormat="1" applyFill="1" applyBorder="1"/>
    <xf numFmtId="10" fontId="0" fillId="2" borderId="16" xfId="0" applyNumberFormat="1" applyFill="1" applyBorder="1"/>
    <xf numFmtId="10" fontId="0" fillId="2" borderId="0" xfId="0" applyNumberFormat="1" applyFill="1" applyBorder="1" applyAlignment="1">
      <alignment horizontal="left"/>
    </xf>
    <xf numFmtId="10" fontId="9" fillId="2" borderId="16" xfId="0" applyNumberFormat="1" applyFont="1" applyFill="1" applyBorder="1"/>
    <xf numFmtId="10" fontId="0" fillId="0" borderId="0" xfId="0" applyNumberFormat="1"/>
    <xf numFmtId="0" fontId="6" fillId="0" borderId="19" xfId="0" applyFont="1" applyFill="1" applyBorder="1" applyAlignment="1">
      <alignment wrapText="1"/>
    </xf>
    <xf numFmtId="3" fontId="0" fillId="2" borderId="0" xfId="0" applyNumberFormat="1" applyFill="1" applyBorder="1" applyAlignment="1">
      <alignment horizontal="left"/>
    </xf>
    <xf numFmtId="2" fontId="9" fillId="2" borderId="0" xfId="0" applyNumberFormat="1" applyFont="1" applyFill="1" applyBorder="1"/>
    <xf numFmtId="2" fontId="9" fillId="5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left"/>
    </xf>
    <xf numFmtId="2" fontId="0" fillId="2" borderId="0" xfId="0" applyNumberForma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12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2" fillId="2" borderId="0" xfId="0" applyFont="1" applyFill="1" applyBorder="1" applyAlignment="1">
      <alignment wrapText="1"/>
    </xf>
    <xf numFmtId="3" fontId="9" fillId="2" borderId="16" xfId="0" applyNumberFormat="1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9" fontId="0" fillId="2" borderId="16" xfId="2" applyFont="1" applyFill="1" applyBorder="1" applyAlignment="1">
      <alignment wrapText="1"/>
    </xf>
    <xf numFmtId="9" fontId="11" fillId="2" borderId="16" xfId="4" applyNumberFormat="1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wrapText="1"/>
    </xf>
    <xf numFmtId="9" fontId="0" fillId="2" borderId="0" xfId="2" applyFont="1" applyFill="1" applyBorder="1" applyAlignment="1">
      <alignment wrapText="1"/>
    </xf>
    <xf numFmtId="9" fontId="11" fillId="2" borderId="24" xfId="4" applyNumberFormat="1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6" xfId="0" applyFill="1" applyBorder="1"/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</cellXfs>
  <cellStyles count="5">
    <cellStyle name="Good" xfId="3" builtinId="26"/>
    <cellStyle name="Normal" xfId="0" builtinId="0"/>
    <cellStyle name="Normal 2_Sheet3" xfId="1"/>
    <cellStyle name="Output" xfId="4" builtinId="21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69"/>
  <sheetViews>
    <sheetView workbookViewId="0">
      <selection activeCell="F19" sqref="F19"/>
    </sheetView>
  </sheetViews>
  <sheetFormatPr baseColWidth="10" defaultRowHeight="16" x14ac:dyDescent="0.2"/>
  <cols>
    <col min="2" max="2" width="25.83203125" bestFit="1" customWidth="1"/>
    <col min="3" max="3" width="48.6640625" bestFit="1" customWidth="1"/>
    <col min="4" max="4" width="15.5" customWidth="1"/>
    <col min="5" max="5" width="16.1640625" customWidth="1"/>
    <col min="6" max="8" width="13.5" customWidth="1"/>
    <col min="9" max="9" width="77.5" style="123" customWidth="1"/>
    <col min="10" max="10" width="13.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10"/>
      <c r="J1" s="1"/>
      <c r="K1" s="1"/>
      <c r="L1" s="1"/>
    </row>
    <row r="2" spans="1:12" ht="17" thickBot="1" x14ac:dyDescent="0.25">
      <c r="A2" s="1"/>
      <c r="B2" s="1"/>
      <c r="C2" s="1"/>
      <c r="D2" s="1"/>
      <c r="E2" s="1"/>
      <c r="F2" s="1"/>
      <c r="G2" s="1"/>
      <c r="H2" s="1"/>
      <c r="I2" s="110"/>
      <c r="J2" s="1"/>
      <c r="K2" s="1"/>
      <c r="L2" s="1"/>
    </row>
    <row r="3" spans="1:12" x14ac:dyDescent="0.2">
      <c r="A3" s="1"/>
      <c r="B3" s="3" t="s">
        <v>39</v>
      </c>
      <c r="C3" s="4"/>
      <c r="D3" s="4"/>
      <c r="E3" s="4"/>
      <c r="F3" s="4"/>
      <c r="G3" s="4"/>
      <c r="H3" s="4"/>
      <c r="I3" s="111"/>
      <c r="J3" s="4"/>
      <c r="K3" s="33"/>
      <c r="L3" s="1"/>
    </row>
    <row r="4" spans="1:12" x14ac:dyDescent="0.2">
      <c r="A4" s="1"/>
      <c r="B4" s="5"/>
      <c r="C4" s="2"/>
      <c r="D4" s="2"/>
      <c r="E4" s="2"/>
      <c r="F4" s="2"/>
      <c r="G4" s="2"/>
      <c r="H4" s="2"/>
      <c r="I4" s="112">
        <v>0.36469886535219698</v>
      </c>
      <c r="J4" s="2"/>
      <c r="K4" s="34"/>
      <c r="L4" s="1"/>
    </row>
    <row r="5" spans="1:12" ht="32" x14ac:dyDescent="0.2">
      <c r="A5" s="1"/>
      <c r="B5" s="17" t="s">
        <v>40</v>
      </c>
      <c r="C5" s="18"/>
      <c r="D5" s="18" t="s">
        <v>41</v>
      </c>
      <c r="E5" s="19" t="s">
        <v>114</v>
      </c>
      <c r="F5" s="18" t="s">
        <v>42</v>
      </c>
      <c r="G5" s="18"/>
      <c r="H5" s="89" t="s">
        <v>101</v>
      </c>
      <c r="I5" s="89" t="s">
        <v>118</v>
      </c>
      <c r="J5" s="2"/>
      <c r="K5" s="34"/>
      <c r="L5" s="1"/>
    </row>
    <row r="6" spans="1:12" ht="17" thickBot="1" x14ac:dyDescent="0.25">
      <c r="A6" s="1"/>
      <c r="B6" s="20" t="s">
        <v>50</v>
      </c>
      <c r="C6" s="21"/>
      <c r="D6" s="21"/>
      <c r="E6" s="22"/>
      <c r="F6" s="21"/>
      <c r="G6" s="21"/>
      <c r="H6" s="21"/>
      <c r="I6" s="113"/>
      <c r="J6" s="2"/>
      <c r="K6" s="34"/>
      <c r="L6" s="1"/>
    </row>
    <row r="7" spans="1:12" ht="17" thickBot="1" x14ac:dyDescent="0.25">
      <c r="A7" s="1"/>
      <c r="B7" s="20"/>
      <c r="C7" s="21" t="s">
        <v>51</v>
      </c>
      <c r="D7" s="21"/>
      <c r="E7" s="22"/>
      <c r="F7" s="124">
        <v>323255</v>
      </c>
      <c r="G7" s="10"/>
      <c r="H7" s="21"/>
      <c r="I7" s="114" t="s">
        <v>66</v>
      </c>
      <c r="J7" s="2"/>
      <c r="K7" s="34"/>
      <c r="L7" s="1"/>
    </row>
    <row r="8" spans="1:12" x14ac:dyDescent="0.2">
      <c r="A8" s="1"/>
      <c r="B8" s="20"/>
      <c r="C8" s="21"/>
      <c r="D8" s="21"/>
      <c r="E8" s="22"/>
      <c r="F8" s="21"/>
      <c r="G8" s="21"/>
      <c r="H8" s="21"/>
      <c r="I8" s="113"/>
      <c r="J8" s="2"/>
      <c r="K8" s="34"/>
      <c r="L8" s="1"/>
    </row>
    <row r="9" spans="1:12" ht="17" thickBot="1" x14ac:dyDescent="0.25">
      <c r="A9" s="1"/>
      <c r="B9" s="80" t="s">
        <v>54</v>
      </c>
      <c r="C9" s="25"/>
      <c r="D9" s="81"/>
      <c r="E9" s="82"/>
      <c r="F9" s="82"/>
      <c r="G9" s="82"/>
      <c r="H9" s="25"/>
      <c r="I9" s="115"/>
      <c r="J9" s="2"/>
      <c r="K9" s="34"/>
      <c r="L9" s="1"/>
    </row>
    <row r="10" spans="1:12" ht="17" thickBot="1" x14ac:dyDescent="0.25">
      <c r="A10" s="1"/>
      <c r="B10" s="83"/>
      <c r="C10" s="8" t="s">
        <v>52</v>
      </c>
      <c r="D10" s="9" t="s">
        <v>57</v>
      </c>
      <c r="E10" s="105"/>
      <c r="F10" s="24">
        <v>162415513</v>
      </c>
      <c r="G10" s="10"/>
      <c r="H10" s="2">
        <f>43.2*0.745</f>
        <v>32.184000000000005</v>
      </c>
      <c r="I10" s="116" t="s">
        <v>58</v>
      </c>
      <c r="J10" s="2"/>
      <c r="K10" s="34"/>
      <c r="L10" s="1"/>
    </row>
    <row r="11" spans="1:12" ht="17" thickBot="1" x14ac:dyDescent="0.25">
      <c r="A11" s="1"/>
      <c r="B11" s="83"/>
      <c r="C11" s="8" t="s">
        <v>0</v>
      </c>
      <c r="D11" s="11" t="s">
        <v>57</v>
      </c>
      <c r="E11" s="106"/>
      <c r="F11" s="24">
        <v>168555313</v>
      </c>
      <c r="G11" s="10"/>
      <c r="H11" s="2">
        <f>43.1*0.832</f>
        <v>35.859200000000001</v>
      </c>
      <c r="I11" s="116" t="s">
        <v>58</v>
      </c>
      <c r="J11" s="2"/>
      <c r="K11" s="34"/>
      <c r="L11" s="1"/>
    </row>
    <row r="12" spans="1:12" ht="17" thickBot="1" x14ac:dyDescent="0.25">
      <c r="A12" s="1"/>
      <c r="B12" s="83"/>
      <c r="C12" s="12" t="s">
        <v>6</v>
      </c>
      <c r="D12" s="9" t="s">
        <v>1</v>
      </c>
      <c r="E12" s="107">
        <v>115.22</v>
      </c>
      <c r="F12" s="24">
        <f>E12*0.0537</f>
        <v>6.1873139999999998</v>
      </c>
      <c r="G12" s="10"/>
      <c r="H12" s="2"/>
      <c r="I12" s="116" t="s">
        <v>115</v>
      </c>
      <c r="J12" s="2"/>
      <c r="K12" s="34"/>
      <c r="L12" s="1"/>
    </row>
    <row r="13" spans="1:12" ht="17" thickBot="1" x14ac:dyDescent="0.25">
      <c r="A13" s="1"/>
      <c r="B13" s="83"/>
      <c r="C13" s="12" t="s">
        <v>4</v>
      </c>
      <c r="D13" s="9" t="s">
        <v>57</v>
      </c>
      <c r="E13" s="108"/>
      <c r="F13" s="24">
        <v>9773980</v>
      </c>
      <c r="G13" s="10"/>
      <c r="H13" s="2">
        <f>46*0.524</f>
        <v>24.103999999999999</v>
      </c>
      <c r="I13" s="116" t="s">
        <v>58</v>
      </c>
      <c r="J13" s="2"/>
      <c r="K13" s="34"/>
      <c r="L13" s="1"/>
    </row>
    <row r="14" spans="1:12" ht="17" thickBot="1" x14ac:dyDescent="0.25">
      <c r="A14" s="1"/>
      <c r="B14" s="83"/>
      <c r="C14" s="2" t="s">
        <v>2</v>
      </c>
      <c r="D14" s="9" t="s">
        <v>1</v>
      </c>
      <c r="E14" s="109">
        <v>160.86000000000001</v>
      </c>
      <c r="F14" s="24">
        <f>E14*782/10716</f>
        <v>11.738756998880179</v>
      </c>
      <c r="G14" s="10"/>
      <c r="H14" s="2"/>
      <c r="I14" s="116" t="s">
        <v>124</v>
      </c>
      <c r="J14" s="2"/>
      <c r="K14" s="34"/>
      <c r="L14" s="1"/>
    </row>
    <row r="15" spans="1:12" ht="17" thickBot="1" x14ac:dyDescent="0.25">
      <c r="A15" s="1"/>
      <c r="B15" s="83"/>
      <c r="C15" s="2" t="s">
        <v>3</v>
      </c>
      <c r="D15" s="9" t="s">
        <v>1</v>
      </c>
      <c r="E15" s="107">
        <v>694.8</v>
      </c>
      <c r="F15" s="24">
        <f>E15*782/10716</f>
        <v>50.703023516237401</v>
      </c>
      <c r="G15" s="10"/>
      <c r="H15" s="2"/>
      <c r="I15" s="116" t="s">
        <v>122</v>
      </c>
      <c r="J15" s="2"/>
      <c r="K15" s="34"/>
      <c r="L15" s="1"/>
    </row>
    <row r="16" spans="1:12" ht="17" thickBot="1" x14ac:dyDescent="0.25">
      <c r="A16" s="1"/>
      <c r="B16" s="83"/>
      <c r="C16" s="12" t="s">
        <v>53</v>
      </c>
      <c r="D16" s="9" t="s">
        <v>1</v>
      </c>
      <c r="E16" s="108"/>
      <c r="F16" s="24">
        <v>0</v>
      </c>
      <c r="G16" s="10"/>
      <c r="H16" s="2"/>
      <c r="I16" s="117" t="s">
        <v>100</v>
      </c>
      <c r="J16" s="2"/>
      <c r="K16" s="34"/>
      <c r="L16" s="1"/>
    </row>
    <row r="17" spans="1:12" x14ac:dyDescent="0.2">
      <c r="A17" s="1"/>
      <c r="B17" s="13"/>
      <c r="C17" s="14"/>
      <c r="D17" s="14"/>
      <c r="E17" s="14"/>
      <c r="F17" s="14"/>
      <c r="G17" s="14"/>
      <c r="H17" s="14"/>
      <c r="I17" s="118"/>
      <c r="J17" s="2"/>
      <c r="K17" s="34"/>
      <c r="L17" s="1"/>
    </row>
    <row r="18" spans="1:12" ht="17" thickBot="1" x14ac:dyDescent="0.25">
      <c r="A18" s="1"/>
      <c r="B18" s="6" t="s">
        <v>110</v>
      </c>
      <c r="C18" s="2"/>
      <c r="D18" s="2"/>
      <c r="E18" s="2"/>
      <c r="F18" s="2"/>
      <c r="G18" s="2"/>
      <c r="H18" s="2"/>
      <c r="I18" s="112"/>
      <c r="J18" s="2"/>
      <c r="K18" s="34"/>
      <c r="L18" s="1"/>
    </row>
    <row r="19" spans="1:12" ht="33" thickBot="1" x14ac:dyDescent="0.25">
      <c r="A19" s="1"/>
      <c r="B19" s="16"/>
      <c r="C19" s="2" t="s">
        <v>0</v>
      </c>
      <c r="D19" s="9" t="s">
        <v>1</v>
      </c>
      <c r="E19" s="23"/>
      <c r="F19" s="24">
        <f>0.547*1458</f>
        <v>797.52600000000007</v>
      </c>
      <c r="G19" s="10"/>
      <c r="H19" s="2"/>
      <c r="I19" s="116" t="s">
        <v>119</v>
      </c>
      <c r="J19" s="2"/>
      <c r="K19" s="34"/>
      <c r="L19" s="1"/>
    </row>
    <row r="20" spans="1:12" ht="17" thickBot="1" x14ac:dyDescent="0.25">
      <c r="A20" s="1"/>
      <c r="B20" s="16"/>
      <c r="C20" s="2" t="s">
        <v>2</v>
      </c>
      <c r="D20" s="9" t="s">
        <v>1</v>
      </c>
      <c r="E20" s="23"/>
      <c r="F20" s="24">
        <v>0</v>
      </c>
      <c r="G20" s="10"/>
      <c r="H20" s="2"/>
      <c r="I20" s="117" t="s">
        <v>120</v>
      </c>
      <c r="J20" s="2"/>
      <c r="K20" s="34"/>
      <c r="L20" s="1"/>
    </row>
    <row r="21" spans="1:12" x14ac:dyDescent="0.2">
      <c r="A21" s="1"/>
      <c r="B21" s="16"/>
      <c r="C21" s="2"/>
      <c r="D21" s="2"/>
      <c r="E21" s="2"/>
      <c r="F21" s="2"/>
      <c r="G21" s="2"/>
      <c r="H21" s="2"/>
      <c r="I21" s="112"/>
      <c r="J21" s="2"/>
      <c r="K21" s="34"/>
      <c r="L21" s="1"/>
    </row>
    <row r="22" spans="1:12" ht="17" thickBot="1" x14ac:dyDescent="0.25">
      <c r="A22" s="1"/>
      <c r="B22" s="26" t="s">
        <v>55</v>
      </c>
      <c r="C22" s="25"/>
      <c r="D22" s="25"/>
      <c r="E22" s="25"/>
      <c r="F22" s="25"/>
      <c r="G22" s="25"/>
      <c r="H22" s="25"/>
      <c r="I22" s="119"/>
      <c r="J22" s="2"/>
      <c r="K22" s="34"/>
      <c r="L22" s="1"/>
    </row>
    <row r="23" spans="1:12" ht="17" thickBot="1" x14ac:dyDescent="0.25">
      <c r="A23" s="1"/>
      <c r="B23" s="16"/>
      <c r="C23" s="2" t="s">
        <v>99</v>
      </c>
      <c r="D23" s="9" t="s">
        <v>1</v>
      </c>
      <c r="E23" s="104">
        <v>0</v>
      </c>
      <c r="F23" s="24">
        <v>0</v>
      </c>
      <c r="G23" s="10"/>
      <c r="H23" s="2"/>
      <c r="I23" s="117" t="s">
        <v>117</v>
      </c>
      <c r="J23" s="2"/>
      <c r="K23" s="34"/>
      <c r="L23" s="1"/>
    </row>
    <row r="24" spans="1:12" ht="17" thickBot="1" x14ac:dyDescent="0.25">
      <c r="A24" s="1"/>
      <c r="B24" s="16"/>
      <c r="C24" s="2" t="s">
        <v>0</v>
      </c>
      <c r="D24" s="9" t="s">
        <v>1</v>
      </c>
      <c r="E24" s="104"/>
      <c r="F24" s="24">
        <v>0</v>
      </c>
      <c r="G24" s="10"/>
      <c r="H24" s="2"/>
      <c r="I24" s="116" t="s">
        <v>116</v>
      </c>
      <c r="J24" s="2"/>
      <c r="K24" s="34"/>
      <c r="L24" s="1"/>
    </row>
    <row r="25" spans="1:12" ht="49" thickBot="1" x14ac:dyDescent="0.25">
      <c r="A25" s="1"/>
      <c r="B25" s="16"/>
      <c r="C25" s="2" t="s">
        <v>6</v>
      </c>
      <c r="D25" s="9" t="s">
        <v>1</v>
      </c>
      <c r="E25" s="104">
        <v>6175</v>
      </c>
      <c r="F25" s="24">
        <f>E25*0.038</f>
        <v>234.65</v>
      </c>
      <c r="G25" s="10"/>
      <c r="H25" s="2"/>
      <c r="I25" s="116" t="s">
        <v>121</v>
      </c>
      <c r="J25" s="2"/>
      <c r="K25" s="34"/>
      <c r="L25" s="1"/>
    </row>
    <row r="26" spans="1:12" x14ac:dyDescent="0.2">
      <c r="A26" s="1"/>
      <c r="B26" s="16"/>
      <c r="C26" s="2"/>
      <c r="D26" s="2"/>
      <c r="E26" s="2"/>
      <c r="F26" s="2"/>
      <c r="G26" s="2"/>
      <c r="H26" s="2"/>
      <c r="I26" s="112"/>
      <c r="J26" s="2"/>
      <c r="K26" s="34"/>
      <c r="L26" s="1"/>
    </row>
    <row r="27" spans="1:12" ht="17" thickBot="1" x14ac:dyDescent="0.25">
      <c r="A27" s="1"/>
      <c r="B27" s="26" t="s">
        <v>56</v>
      </c>
      <c r="C27" s="25"/>
      <c r="D27" s="25"/>
      <c r="E27" s="25"/>
      <c r="F27" s="25"/>
      <c r="G27" s="25"/>
      <c r="H27" s="25"/>
      <c r="I27" s="119"/>
      <c r="J27" s="2"/>
      <c r="K27" s="34"/>
      <c r="L27" s="1"/>
    </row>
    <row r="28" spans="1:12" ht="17" thickBot="1" x14ac:dyDescent="0.25">
      <c r="A28" s="1"/>
      <c r="B28" s="16"/>
      <c r="C28" s="2" t="s">
        <v>52</v>
      </c>
      <c r="D28" s="9" t="s">
        <v>1</v>
      </c>
      <c r="E28" s="104">
        <v>44</v>
      </c>
      <c r="F28" s="24">
        <f>0.3647*E28</f>
        <v>16.046800000000001</v>
      </c>
      <c r="G28" s="10"/>
      <c r="H28" s="2"/>
      <c r="I28" s="117" t="s">
        <v>113</v>
      </c>
      <c r="J28" s="2"/>
      <c r="K28" s="34"/>
      <c r="L28" s="1"/>
    </row>
    <row r="29" spans="1:12" ht="17" thickBot="1" x14ac:dyDescent="0.25">
      <c r="A29" s="1"/>
      <c r="B29" s="16"/>
      <c r="C29" s="2" t="s">
        <v>97</v>
      </c>
      <c r="D29" s="9" t="s">
        <v>1</v>
      </c>
      <c r="E29" s="104">
        <v>1806</v>
      </c>
      <c r="F29" s="24">
        <f>0.3647*E29</f>
        <v>658.64820000000009</v>
      </c>
      <c r="G29" s="10"/>
      <c r="H29" s="2"/>
      <c r="I29" s="117" t="s">
        <v>113</v>
      </c>
      <c r="J29" s="2"/>
      <c r="K29" s="34"/>
      <c r="L29" s="1"/>
    </row>
    <row r="30" spans="1:12" x14ac:dyDescent="0.2">
      <c r="A30" s="1"/>
      <c r="B30" s="16"/>
      <c r="C30" s="2"/>
      <c r="D30" s="2"/>
      <c r="E30" s="2"/>
      <c r="F30" s="2"/>
      <c r="G30" s="2"/>
      <c r="H30" s="2"/>
      <c r="I30" s="112"/>
      <c r="J30" s="2"/>
      <c r="K30" s="34"/>
      <c r="L30" s="1"/>
    </row>
    <row r="31" spans="1:12" ht="17" thickBot="1" x14ac:dyDescent="0.25">
      <c r="A31" s="1"/>
      <c r="B31" s="26" t="s">
        <v>43</v>
      </c>
      <c r="C31" s="25"/>
      <c r="D31" s="27"/>
      <c r="E31" s="25"/>
      <c r="F31" s="25"/>
      <c r="G31" s="25"/>
      <c r="H31" s="25"/>
      <c r="I31" s="119"/>
      <c r="J31" s="2"/>
      <c r="K31" s="34"/>
      <c r="L31" s="1"/>
    </row>
    <row r="32" spans="1:12" ht="17" thickBot="1" x14ac:dyDescent="0.25">
      <c r="A32" s="1"/>
      <c r="B32" s="16"/>
      <c r="C32" s="2" t="s">
        <v>44</v>
      </c>
      <c r="D32" s="2"/>
      <c r="E32" s="85">
        <v>0.98970000000000002</v>
      </c>
      <c r="F32" s="84">
        <f>E32</f>
        <v>0.98970000000000002</v>
      </c>
      <c r="G32" s="15"/>
      <c r="H32" s="2"/>
      <c r="I32" s="116" t="s">
        <v>65</v>
      </c>
      <c r="J32" s="2"/>
      <c r="K32" s="34"/>
      <c r="L32" s="1"/>
    </row>
    <row r="33" spans="1:12" ht="17" thickBot="1" x14ac:dyDescent="0.25">
      <c r="A33" s="1"/>
      <c r="B33" s="16"/>
      <c r="C33" s="2" t="s">
        <v>45</v>
      </c>
      <c r="D33" s="2"/>
      <c r="E33" s="28">
        <v>1.03E-2</v>
      </c>
      <c r="F33" s="84">
        <f>E33</f>
        <v>1.03E-2</v>
      </c>
      <c r="G33" s="15"/>
      <c r="H33" s="2"/>
      <c r="I33" s="116" t="s">
        <v>65</v>
      </c>
      <c r="J33" s="2"/>
      <c r="K33" s="34"/>
      <c r="L33" s="1"/>
    </row>
    <row r="34" spans="1:12" ht="17" thickBot="1" x14ac:dyDescent="0.25">
      <c r="A34" s="1"/>
      <c r="B34" s="16"/>
      <c r="C34" s="2"/>
      <c r="D34" s="2"/>
      <c r="E34" s="29"/>
      <c r="F34" s="2"/>
      <c r="G34" s="2"/>
      <c r="H34" s="2"/>
      <c r="I34" s="112"/>
      <c r="J34" s="2"/>
      <c r="K34" s="34"/>
      <c r="L34" s="1"/>
    </row>
    <row r="35" spans="1:12" ht="17" thickBot="1" x14ac:dyDescent="0.25">
      <c r="A35" s="1"/>
      <c r="B35" s="16"/>
      <c r="C35" s="2" t="s">
        <v>46</v>
      </c>
      <c r="D35" s="2"/>
      <c r="E35" s="85">
        <v>0.2384</v>
      </c>
      <c r="F35" s="84">
        <f>E35</f>
        <v>0.2384</v>
      </c>
      <c r="G35" s="15"/>
      <c r="H35" s="2"/>
      <c r="I35" s="116" t="s">
        <v>65</v>
      </c>
      <c r="J35" s="2"/>
      <c r="K35" s="34"/>
      <c r="L35" s="1"/>
    </row>
    <row r="36" spans="1:12" ht="17" thickBot="1" x14ac:dyDescent="0.25">
      <c r="A36" s="1"/>
      <c r="B36" s="16"/>
      <c r="C36" s="2" t="s">
        <v>47</v>
      </c>
      <c r="D36" s="2"/>
      <c r="E36" s="28">
        <v>0.76160000000000005</v>
      </c>
      <c r="F36" s="84">
        <f>E36</f>
        <v>0.76160000000000005</v>
      </c>
      <c r="G36" s="15"/>
      <c r="H36" s="2"/>
      <c r="I36" s="116" t="s">
        <v>65</v>
      </c>
      <c r="J36" s="2"/>
      <c r="K36" s="34"/>
      <c r="L36" s="1"/>
    </row>
    <row r="37" spans="1:12" ht="17" thickBot="1" x14ac:dyDescent="0.25">
      <c r="A37" s="1"/>
      <c r="B37" s="16"/>
      <c r="C37" s="2"/>
      <c r="D37" s="2"/>
      <c r="E37" s="29"/>
      <c r="F37" s="2"/>
      <c r="G37" s="2"/>
      <c r="H37" s="2"/>
      <c r="I37" s="112"/>
      <c r="J37" s="2"/>
      <c r="K37" s="34"/>
      <c r="L37" s="1"/>
    </row>
    <row r="38" spans="1:12" ht="17" thickBot="1" x14ac:dyDescent="0.25">
      <c r="A38" s="1"/>
      <c r="B38" s="16"/>
      <c r="C38" s="2" t="s">
        <v>48</v>
      </c>
      <c r="D38" s="2"/>
      <c r="E38" s="85">
        <v>0.95399999999999996</v>
      </c>
      <c r="F38" s="84">
        <f>E38</f>
        <v>0.95399999999999996</v>
      </c>
      <c r="G38" s="15"/>
      <c r="H38" s="2"/>
      <c r="I38" s="116" t="s">
        <v>65</v>
      </c>
      <c r="J38" s="2"/>
      <c r="K38" s="34"/>
      <c r="L38" s="1"/>
    </row>
    <row r="39" spans="1:12" ht="17" thickBot="1" x14ac:dyDescent="0.25">
      <c r="A39" s="1"/>
      <c r="B39" s="16"/>
      <c r="C39" s="2" t="s">
        <v>49</v>
      </c>
      <c r="D39" s="2"/>
      <c r="E39" s="28">
        <v>4.5999999999999999E-2</v>
      </c>
      <c r="F39" s="84">
        <f>E39</f>
        <v>4.5999999999999999E-2</v>
      </c>
      <c r="G39" s="15"/>
      <c r="H39" s="2"/>
      <c r="I39" s="116" t="s">
        <v>65</v>
      </c>
      <c r="J39" s="2"/>
      <c r="K39" s="34"/>
      <c r="L39" s="1"/>
    </row>
    <row r="40" spans="1:12" ht="17" thickBot="1" x14ac:dyDescent="0.25">
      <c r="A40" s="1"/>
      <c r="B40" s="16"/>
      <c r="C40" s="2"/>
      <c r="D40" s="2"/>
      <c r="E40" s="29"/>
      <c r="F40" s="15"/>
      <c r="G40" s="15"/>
      <c r="H40" s="15"/>
      <c r="I40" s="112"/>
      <c r="J40" s="2"/>
      <c r="K40" s="34"/>
      <c r="L40" s="1"/>
    </row>
    <row r="41" spans="1:12" ht="17" thickBot="1" x14ac:dyDescent="0.25">
      <c r="A41" s="1"/>
      <c r="B41" s="16"/>
      <c r="C41" s="2" t="s">
        <v>63</v>
      </c>
      <c r="D41" s="2"/>
      <c r="E41" s="85">
        <v>0</v>
      </c>
      <c r="F41" s="84">
        <f>E41</f>
        <v>0</v>
      </c>
      <c r="G41" s="15"/>
      <c r="H41" s="2"/>
      <c r="I41" s="116" t="s">
        <v>65</v>
      </c>
      <c r="J41" s="2"/>
      <c r="K41" s="34"/>
      <c r="L41" s="1"/>
    </row>
    <row r="42" spans="1:12" ht="17" thickBot="1" x14ac:dyDescent="0.25">
      <c r="A42" s="1"/>
      <c r="B42" s="16"/>
      <c r="C42" s="2" t="s">
        <v>64</v>
      </c>
      <c r="D42" s="2"/>
      <c r="E42" s="28">
        <v>1</v>
      </c>
      <c r="F42" s="84">
        <f>E42</f>
        <v>1</v>
      </c>
      <c r="G42" s="15"/>
      <c r="H42" s="2"/>
      <c r="I42" s="116" t="s">
        <v>65</v>
      </c>
      <c r="J42" s="2"/>
      <c r="K42" s="34"/>
      <c r="L42" s="1"/>
    </row>
    <row r="43" spans="1:12" ht="17" thickBot="1" x14ac:dyDescent="0.25">
      <c r="A43" s="1"/>
      <c r="B43" s="16"/>
      <c r="C43" s="2"/>
      <c r="D43" s="2"/>
      <c r="E43" s="29"/>
      <c r="F43" s="15"/>
      <c r="G43" s="15"/>
      <c r="H43" s="15"/>
      <c r="I43" s="112"/>
      <c r="J43" s="2"/>
      <c r="K43" s="34"/>
      <c r="L43" s="1"/>
    </row>
    <row r="44" spans="1:12" ht="17" thickBot="1" x14ac:dyDescent="0.25">
      <c r="A44" s="1"/>
      <c r="B44" s="16"/>
      <c r="C44" s="2" t="s">
        <v>61</v>
      </c>
      <c r="D44" s="2"/>
      <c r="E44" s="85">
        <v>0.28489999999999999</v>
      </c>
      <c r="F44" s="84">
        <f>E44</f>
        <v>0.28489999999999999</v>
      </c>
      <c r="G44" s="15"/>
      <c r="H44" s="2"/>
      <c r="I44" s="116" t="s">
        <v>65</v>
      </c>
      <c r="J44" s="2"/>
      <c r="K44" s="34"/>
      <c r="L44" s="1"/>
    </row>
    <row r="45" spans="1:12" ht="17" thickBot="1" x14ac:dyDescent="0.25">
      <c r="A45" s="1"/>
      <c r="B45" s="16"/>
      <c r="C45" s="2" t="s">
        <v>62</v>
      </c>
      <c r="D45" s="2"/>
      <c r="E45" s="28">
        <v>0.71509999999999996</v>
      </c>
      <c r="F45" s="84">
        <f>E45</f>
        <v>0.71509999999999996</v>
      </c>
      <c r="G45" s="15"/>
      <c r="H45" s="2"/>
      <c r="I45" s="116" t="s">
        <v>65</v>
      </c>
      <c r="J45" s="2"/>
      <c r="K45" s="34"/>
      <c r="L45" s="1"/>
    </row>
    <row r="46" spans="1:12" ht="17" thickBot="1" x14ac:dyDescent="0.25">
      <c r="A46" s="1"/>
      <c r="B46" s="16"/>
      <c r="C46" s="2"/>
      <c r="D46" s="2"/>
      <c r="E46" s="28"/>
      <c r="F46" s="15"/>
      <c r="G46" s="15"/>
      <c r="H46" s="2"/>
      <c r="I46" s="120"/>
      <c r="J46" s="2"/>
      <c r="K46" s="34"/>
      <c r="L46" s="1"/>
    </row>
    <row r="47" spans="1:12" ht="17" thickBot="1" x14ac:dyDescent="0.25">
      <c r="A47" s="1"/>
      <c r="B47" s="16"/>
      <c r="C47" s="2" t="s">
        <v>103</v>
      </c>
      <c r="D47" s="2"/>
      <c r="E47" s="85">
        <v>1</v>
      </c>
      <c r="F47" s="84">
        <f>E47</f>
        <v>1</v>
      </c>
      <c r="G47" s="15"/>
      <c r="H47" s="2"/>
      <c r="I47" s="116" t="s">
        <v>65</v>
      </c>
      <c r="J47" s="2"/>
      <c r="K47" s="34"/>
      <c r="L47" s="1"/>
    </row>
    <row r="48" spans="1:12" ht="17" thickBot="1" x14ac:dyDescent="0.25">
      <c r="A48" s="1"/>
      <c r="B48" s="16"/>
      <c r="C48" s="2" t="s">
        <v>104</v>
      </c>
      <c r="D48" s="2"/>
      <c r="E48" s="28">
        <v>0</v>
      </c>
      <c r="F48" s="84">
        <f>E48</f>
        <v>0</v>
      </c>
      <c r="G48" s="15"/>
      <c r="H48" s="2"/>
      <c r="I48" s="116" t="s">
        <v>65</v>
      </c>
      <c r="J48" s="2"/>
      <c r="K48" s="34"/>
      <c r="L48" s="1"/>
    </row>
    <row r="49" spans="1:12" ht="17" thickBot="1" x14ac:dyDescent="0.25">
      <c r="A49" s="1"/>
      <c r="B49" s="16"/>
      <c r="C49" s="2"/>
      <c r="D49" s="2"/>
      <c r="E49" s="29"/>
      <c r="F49" s="15"/>
      <c r="G49" s="15"/>
      <c r="H49" s="15"/>
      <c r="I49" s="112"/>
      <c r="J49" s="2"/>
      <c r="K49" s="34"/>
      <c r="L49" s="1"/>
    </row>
    <row r="50" spans="1:12" ht="17" thickBot="1" x14ac:dyDescent="0.25">
      <c r="A50" s="1"/>
      <c r="B50" s="16"/>
      <c r="C50" s="2" t="s">
        <v>59</v>
      </c>
      <c r="D50" s="2"/>
      <c r="E50" s="85">
        <v>1</v>
      </c>
      <c r="F50" s="84">
        <f>E50</f>
        <v>1</v>
      </c>
      <c r="G50" s="15"/>
      <c r="H50" s="2"/>
      <c r="I50" s="116" t="s">
        <v>65</v>
      </c>
      <c r="J50" s="2"/>
      <c r="K50" s="34"/>
      <c r="L50" s="1"/>
    </row>
    <row r="51" spans="1:12" ht="17" thickBot="1" x14ac:dyDescent="0.25">
      <c r="A51" s="1"/>
      <c r="B51" s="16"/>
      <c r="C51" s="2" t="s">
        <v>60</v>
      </c>
      <c r="D51" s="2"/>
      <c r="E51" s="28">
        <v>0</v>
      </c>
      <c r="F51" s="84">
        <f>E51</f>
        <v>0</v>
      </c>
      <c r="G51" s="15"/>
      <c r="H51" s="2"/>
      <c r="I51" s="116" t="s">
        <v>65</v>
      </c>
      <c r="J51" s="2"/>
      <c r="K51" s="34"/>
      <c r="L51" s="1"/>
    </row>
    <row r="52" spans="1:12" x14ac:dyDescent="0.2">
      <c r="A52" s="1"/>
      <c r="B52" s="16"/>
      <c r="C52" s="2"/>
      <c r="D52" s="2"/>
      <c r="E52" s="2"/>
      <c r="F52" s="15"/>
      <c r="G52" s="15"/>
      <c r="H52" s="15"/>
      <c r="I52" s="112"/>
      <c r="J52" s="2"/>
      <c r="K52" s="34"/>
      <c r="L52" s="1"/>
    </row>
    <row r="53" spans="1:12" x14ac:dyDescent="0.2">
      <c r="A53" s="1"/>
      <c r="B53" s="16"/>
      <c r="C53" s="2"/>
      <c r="D53" s="2"/>
      <c r="E53" s="2"/>
      <c r="F53" s="2"/>
      <c r="G53" s="2"/>
      <c r="H53" s="2"/>
      <c r="I53" s="112"/>
      <c r="J53" s="2"/>
      <c r="K53" s="34"/>
      <c r="L53" s="1"/>
    </row>
    <row r="54" spans="1:12" ht="17" thickBot="1" x14ac:dyDescent="0.25">
      <c r="A54" s="1"/>
      <c r="B54" s="26" t="s">
        <v>105</v>
      </c>
      <c r="C54" s="25"/>
      <c r="D54" s="25"/>
      <c r="E54" s="25"/>
      <c r="F54" s="25"/>
      <c r="G54" s="25"/>
      <c r="H54" s="25"/>
      <c r="I54" s="119"/>
      <c r="J54" s="25"/>
      <c r="K54" s="78"/>
      <c r="L54" s="1"/>
    </row>
    <row r="55" spans="1:12" ht="17" thickBot="1" x14ac:dyDescent="0.25">
      <c r="A55" s="1"/>
      <c r="B55" s="16"/>
      <c r="C55" s="2" t="s">
        <v>106</v>
      </c>
      <c r="D55" s="9"/>
      <c r="E55" s="100">
        <v>3.1600000000000003E-2</v>
      </c>
      <c r="F55" s="101">
        <f>E55</f>
        <v>3.1600000000000003E-2</v>
      </c>
      <c r="G55" s="10"/>
      <c r="H55" s="2"/>
      <c r="I55" s="116" t="s">
        <v>65</v>
      </c>
      <c r="J55" s="2"/>
      <c r="K55" s="34"/>
      <c r="L55" s="1"/>
    </row>
    <row r="56" spans="1:12" ht="17" thickBot="1" x14ac:dyDescent="0.25">
      <c r="A56" s="1"/>
      <c r="B56" s="16"/>
      <c r="C56" s="2" t="s">
        <v>0</v>
      </c>
      <c r="D56" s="9"/>
      <c r="E56" s="100">
        <v>0.96840000000000004</v>
      </c>
      <c r="F56" s="101">
        <f>E56</f>
        <v>0.96840000000000004</v>
      </c>
      <c r="G56" s="10"/>
      <c r="H56" s="2"/>
      <c r="I56" s="116" t="s">
        <v>65</v>
      </c>
      <c r="J56" s="2"/>
      <c r="K56" s="34"/>
      <c r="L56" s="1"/>
    </row>
    <row r="57" spans="1:12" ht="17" thickBot="1" x14ac:dyDescent="0.25">
      <c r="A57" s="1"/>
      <c r="B57" s="16"/>
      <c r="D57" s="86"/>
      <c r="E57" s="100"/>
      <c r="F57" s="10"/>
      <c r="G57" s="10"/>
      <c r="H57" s="2"/>
      <c r="I57" s="121"/>
      <c r="J57" s="2"/>
      <c r="K57" s="34"/>
      <c r="L57" s="1"/>
    </row>
    <row r="58" spans="1:12" ht="17" thickBot="1" x14ac:dyDescent="0.25">
      <c r="A58" s="1"/>
      <c r="B58" s="16"/>
      <c r="C58" s="2" t="s">
        <v>98</v>
      </c>
      <c r="D58" s="9"/>
      <c r="E58" s="100">
        <v>3.0700000000000002E-2</v>
      </c>
      <c r="F58" s="99">
        <f>E58</f>
        <v>3.0700000000000002E-2</v>
      </c>
      <c r="G58" s="2"/>
      <c r="H58" s="2"/>
      <c r="I58" s="116" t="s">
        <v>65</v>
      </c>
      <c r="J58" s="2"/>
      <c r="K58" s="34"/>
      <c r="L58" s="1"/>
    </row>
    <row r="59" spans="1:12" ht="17" thickBot="1" x14ac:dyDescent="0.25">
      <c r="A59" s="1"/>
      <c r="B59" s="16"/>
      <c r="C59" s="2" t="s">
        <v>52</v>
      </c>
      <c r="D59" s="9"/>
      <c r="E59" s="100">
        <v>0.96730000000000005</v>
      </c>
      <c r="F59" s="99">
        <f>E59</f>
        <v>0.96730000000000005</v>
      </c>
      <c r="G59" s="2"/>
      <c r="H59" s="2"/>
      <c r="I59" s="116" t="s">
        <v>65</v>
      </c>
      <c r="J59" s="2"/>
      <c r="K59" s="34"/>
      <c r="L59" s="1"/>
    </row>
    <row r="60" spans="1:12" x14ac:dyDescent="0.2">
      <c r="A60" s="1"/>
      <c r="B60" s="16"/>
      <c r="D60" s="2"/>
      <c r="E60" s="97"/>
      <c r="F60" s="2"/>
      <c r="G60" s="2"/>
      <c r="H60" s="2"/>
      <c r="I60" s="112"/>
      <c r="J60" s="2"/>
      <c r="K60" s="34"/>
      <c r="L60" s="1"/>
    </row>
    <row r="61" spans="1:12" ht="17" thickBot="1" x14ac:dyDescent="0.25">
      <c r="A61" s="1"/>
      <c r="B61" s="61"/>
      <c r="C61" s="62"/>
      <c r="D61" s="62"/>
      <c r="E61" s="98"/>
      <c r="F61" s="62"/>
      <c r="G61" s="62"/>
      <c r="H61" s="62"/>
      <c r="I61" s="122"/>
      <c r="J61" s="62"/>
      <c r="K61" s="64"/>
      <c r="L61" s="1"/>
    </row>
    <row r="62" spans="1:12" s="1" customFormat="1" x14ac:dyDescent="0.2">
      <c r="I62" s="110"/>
    </row>
    <row r="63" spans="1:12" s="1" customFormat="1" x14ac:dyDescent="0.2">
      <c r="I63" s="110"/>
    </row>
    <row r="64" spans="1:12" s="1" customFormat="1" x14ac:dyDescent="0.2">
      <c r="I64" s="110"/>
    </row>
    <row r="65" spans="9:9" s="1" customFormat="1" x14ac:dyDescent="0.2">
      <c r="I65" s="110"/>
    </row>
    <row r="66" spans="9:9" s="1" customFormat="1" x14ac:dyDescent="0.2">
      <c r="I66" s="110"/>
    </row>
    <row r="67" spans="9:9" s="1" customFormat="1" x14ac:dyDescent="0.2">
      <c r="I67" s="110"/>
    </row>
    <row r="68" spans="9:9" s="1" customFormat="1" x14ac:dyDescent="0.2">
      <c r="I68" s="110"/>
    </row>
    <row r="69" spans="9:9" s="1" customFormat="1" x14ac:dyDescent="0.2">
      <c r="I69" s="110"/>
    </row>
  </sheetData>
  <dataValidations count="1">
    <dataValidation type="decimal" allowBlank="1" showInputMessage="1" showErrorMessage="1" errorTitle="Number Range" error="This cell can only contain a number between 0% and 100%" sqref="E32 E34:E35 E37:E38 E43:E44 E40:E41 E52 E47 E49:E5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P65"/>
  <sheetViews>
    <sheetView topLeftCell="A5" workbookViewId="0">
      <selection activeCell="O32" sqref="O32"/>
    </sheetView>
  </sheetViews>
  <sheetFormatPr baseColWidth="10" defaultRowHeight="16" x14ac:dyDescent="0.2"/>
  <cols>
    <col min="2" max="2" width="22.1640625" customWidth="1"/>
    <col min="3" max="3" width="30.6640625" customWidth="1"/>
    <col min="4" max="4" width="14.5" customWidth="1"/>
    <col min="5" max="5" width="15.33203125" customWidth="1"/>
    <col min="6" max="6" width="14" customWidth="1"/>
    <col min="7" max="7" width="14.83203125" customWidth="1"/>
    <col min="8" max="8" width="13" customWidth="1"/>
    <col min="9" max="9" width="13.1640625" customWidth="1"/>
    <col min="10" max="11" width="16.6640625" customWidth="1"/>
    <col min="12" max="12" width="16.1640625" customWidth="1"/>
    <col min="13" max="13" width="9.83203125" bestFit="1" customWidth="1"/>
    <col min="14" max="14" width="17" bestFit="1" customWidth="1"/>
    <col min="15" max="15" width="10.33203125" bestFit="1" customWidth="1"/>
    <col min="16" max="16" width="12.83203125" customWidth="1"/>
    <col min="17" max="17" width="39.1640625" customWidth="1"/>
  </cols>
  <sheetData>
    <row r="1" spans="1:16" ht="21" x14ac:dyDescent="0.25">
      <c r="A1" s="1"/>
      <c r="B1" s="30" t="s">
        <v>67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2"/>
    </row>
    <row r="2" spans="1:16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</row>
    <row r="3" spans="1:16" x14ac:dyDescent="0.2">
      <c r="A3" s="1"/>
      <c r="B3" s="31" t="s">
        <v>68</v>
      </c>
      <c r="C3" s="25"/>
      <c r="D3" s="25"/>
      <c r="E3" s="25"/>
      <c r="F3" s="32"/>
      <c r="G3" s="2"/>
      <c r="H3" s="2"/>
      <c r="I3" s="2"/>
      <c r="J3" s="2"/>
      <c r="K3" s="2"/>
      <c r="L3" s="2"/>
      <c r="M3" s="1"/>
      <c r="N3" s="1"/>
      <c r="O3" s="1"/>
      <c r="P3" s="2"/>
    </row>
    <row r="4" spans="1:16" ht="46" customHeight="1" x14ac:dyDescent="0.2">
      <c r="A4" s="1"/>
      <c r="B4" s="125" t="s">
        <v>69</v>
      </c>
      <c r="C4" s="126"/>
      <c r="D4" s="126"/>
      <c r="E4" s="126"/>
      <c r="F4" s="127"/>
      <c r="G4" s="2"/>
      <c r="H4" s="2"/>
      <c r="I4" s="2"/>
      <c r="J4" s="2"/>
      <c r="K4" s="2"/>
      <c r="L4" s="2"/>
      <c r="M4" s="1"/>
      <c r="N4" s="1"/>
      <c r="O4" s="1"/>
      <c r="P4" s="88"/>
    </row>
    <row r="5" spans="1:16" ht="17" thickBo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</row>
    <row r="6" spans="1:16" x14ac:dyDescent="0.2">
      <c r="A6" s="1"/>
      <c r="B6" s="3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3"/>
    </row>
    <row r="7" spans="1:16" x14ac:dyDescent="0.2">
      <c r="A7" s="1"/>
      <c r="B7" s="1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4"/>
    </row>
    <row r="8" spans="1:16" ht="80" x14ac:dyDescent="0.2">
      <c r="A8" s="1"/>
      <c r="B8" s="35" t="s">
        <v>70</v>
      </c>
      <c r="C8" s="36" t="s">
        <v>71</v>
      </c>
      <c r="D8" s="37" t="s">
        <v>76</v>
      </c>
      <c r="E8" s="37" t="s">
        <v>77</v>
      </c>
      <c r="F8" s="37" t="s">
        <v>72</v>
      </c>
      <c r="G8" s="37" t="s">
        <v>78</v>
      </c>
      <c r="H8" s="37" t="s">
        <v>79</v>
      </c>
      <c r="I8" s="37" t="s">
        <v>80</v>
      </c>
      <c r="J8" s="37" t="s">
        <v>81</v>
      </c>
      <c r="K8" s="37" t="s">
        <v>112</v>
      </c>
      <c r="L8" s="37" t="s">
        <v>94</v>
      </c>
      <c r="M8" s="37" t="s">
        <v>93</v>
      </c>
      <c r="N8" s="79" t="s">
        <v>73</v>
      </c>
      <c r="O8" s="37" t="s">
        <v>74</v>
      </c>
      <c r="P8" s="103" t="s">
        <v>5</v>
      </c>
    </row>
    <row r="9" spans="1:16" x14ac:dyDescent="0.2">
      <c r="A9" s="1"/>
      <c r="B9" s="40"/>
      <c r="C9" s="41"/>
      <c r="D9" s="2"/>
      <c r="E9" s="2"/>
      <c r="F9" s="2"/>
      <c r="G9" s="2"/>
      <c r="H9" s="2"/>
      <c r="I9" s="2"/>
      <c r="J9" s="2"/>
      <c r="K9" s="2"/>
      <c r="L9" s="77"/>
      <c r="M9" s="25"/>
      <c r="N9" s="25"/>
      <c r="O9" s="25"/>
      <c r="P9" s="78"/>
    </row>
    <row r="10" spans="1:16" x14ac:dyDescent="0.2">
      <c r="A10" s="1"/>
      <c r="B10" s="42"/>
      <c r="C10" s="2"/>
      <c r="D10" s="2"/>
      <c r="E10" s="2"/>
      <c r="F10" s="2"/>
      <c r="G10" s="2"/>
      <c r="H10" s="2"/>
      <c r="I10" s="2"/>
      <c r="J10" s="2"/>
      <c r="K10" s="2"/>
      <c r="L10" s="43"/>
      <c r="M10" s="7"/>
      <c r="N10" s="7"/>
      <c r="O10" s="7"/>
      <c r="P10" s="34"/>
    </row>
    <row r="11" spans="1:16" x14ac:dyDescent="0.2">
      <c r="A11" s="1"/>
      <c r="B11" s="44"/>
      <c r="C11" s="38"/>
      <c r="D11" s="45"/>
      <c r="E11" s="45"/>
      <c r="F11" s="45"/>
      <c r="G11" s="45"/>
      <c r="H11" s="45"/>
      <c r="I11" s="45"/>
      <c r="J11" s="45"/>
      <c r="K11" s="45"/>
      <c r="L11" s="46"/>
      <c r="M11" s="2"/>
      <c r="N11" s="2"/>
      <c r="O11" s="2"/>
      <c r="P11" s="39"/>
    </row>
    <row r="12" spans="1:16" x14ac:dyDescent="0.2">
      <c r="A12" s="1"/>
      <c r="B12" s="35"/>
      <c r="C12" s="14"/>
      <c r="D12" s="47"/>
      <c r="E12" s="47"/>
      <c r="F12" s="47"/>
      <c r="G12" s="47"/>
      <c r="H12" s="47"/>
      <c r="I12" s="47"/>
      <c r="J12" s="47"/>
      <c r="K12" s="48"/>
      <c r="L12" s="48"/>
      <c r="M12" s="2"/>
      <c r="N12" s="2"/>
      <c r="O12" s="2"/>
      <c r="P12" s="34"/>
    </row>
    <row r="13" spans="1:16" x14ac:dyDescent="0.2">
      <c r="A13" s="1"/>
      <c r="B13" s="50" t="s">
        <v>108</v>
      </c>
      <c r="C13" s="51"/>
      <c r="D13" s="52"/>
      <c r="E13" s="52"/>
      <c r="F13" s="52"/>
      <c r="G13" s="52"/>
      <c r="H13" s="52"/>
      <c r="I13" s="52"/>
      <c r="J13" s="52"/>
      <c r="K13" s="55"/>
      <c r="L13" s="55"/>
      <c r="M13" s="25"/>
      <c r="N13" s="25"/>
      <c r="O13" s="25"/>
      <c r="P13" s="78"/>
    </row>
    <row r="14" spans="1:16" x14ac:dyDescent="0.2">
      <c r="A14" s="1"/>
      <c r="B14" s="40"/>
      <c r="C14" s="49" t="s">
        <v>75</v>
      </c>
      <c r="D14" s="48">
        <f>Dashboard!F10*Dashboard!H10*10^-6*Dashboard!F32</f>
        <v>5173.340907426963</v>
      </c>
      <c r="E14" s="48">
        <f>Dashboard!F11*Dashboard!H11*10^-6*Dashboard!F35</f>
        <v>1440.9512692952164</v>
      </c>
      <c r="F14" s="48">
        <f>Dashboard!F12*Dashboard!F38</f>
        <v>5.9026975559999997</v>
      </c>
      <c r="G14" s="48">
        <f>Dashboard!F13*Dashboard!H13*10^-6*Dashboard!F50</f>
        <v>235.59201391999997</v>
      </c>
      <c r="H14" s="48"/>
      <c r="I14" s="48">
        <f>Dashboard!F15*Dashboard!F44</f>
        <v>14.445291399776035</v>
      </c>
      <c r="J14" s="55">
        <f>Dashboard!F16*Dashboard!F47</f>
        <v>0</v>
      </c>
      <c r="K14" s="55"/>
      <c r="L14" s="48"/>
      <c r="M14" s="2"/>
      <c r="N14" s="2">
        <f>SUM(N17:N22)</f>
        <v>3355.6708590029916</v>
      </c>
      <c r="O14" s="2"/>
      <c r="P14" s="34"/>
    </row>
    <row r="15" spans="1:16" x14ac:dyDescent="0.2">
      <c r="A15" s="1"/>
      <c r="B15" s="40"/>
      <c r="C15" s="49"/>
      <c r="D15" s="48"/>
      <c r="E15" s="48"/>
      <c r="F15" s="48"/>
      <c r="G15" s="48"/>
      <c r="H15" s="48"/>
      <c r="I15" s="48"/>
      <c r="J15" s="48"/>
      <c r="K15" s="48"/>
      <c r="L15" s="48"/>
      <c r="M15" s="2"/>
      <c r="N15" s="2"/>
      <c r="O15" s="2"/>
      <c r="P15" s="34"/>
    </row>
    <row r="16" spans="1:16" x14ac:dyDescent="0.2">
      <c r="A16" s="1"/>
      <c r="B16" s="40"/>
      <c r="C16" s="53"/>
      <c r="D16" s="48"/>
      <c r="E16" s="48"/>
      <c r="F16" s="48"/>
      <c r="G16" s="48"/>
      <c r="H16" s="48"/>
      <c r="I16" s="48"/>
      <c r="J16" s="48"/>
      <c r="K16" s="48"/>
      <c r="L16" s="48"/>
      <c r="M16" s="2"/>
      <c r="N16" s="2"/>
      <c r="O16" s="2"/>
      <c r="P16" s="34"/>
    </row>
    <row r="17" spans="1:16" x14ac:dyDescent="0.2">
      <c r="A17" s="1"/>
      <c r="B17" s="56"/>
      <c r="C17" s="2" t="s">
        <v>82</v>
      </c>
      <c r="D17" s="65"/>
      <c r="E17" s="66"/>
      <c r="F17" s="66"/>
      <c r="G17" s="66"/>
      <c r="H17" s="66"/>
      <c r="I17" s="66">
        <f>I14</f>
        <v>14.445291399776035</v>
      </c>
      <c r="J17" s="66"/>
      <c r="K17" s="66"/>
      <c r="L17" s="54">
        <f>SUM(D17:J17)</f>
        <v>14.445291399776035</v>
      </c>
      <c r="M17" s="2">
        <v>0.47599999999999998</v>
      </c>
      <c r="N17" s="2">
        <f>M17*SUM(D17:K17)</f>
        <v>6.8759587062933925</v>
      </c>
      <c r="O17" s="70">
        <f>N17/SUM($N$17:$N$22)</f>
        <v>2.0490563571947933E-3</v>
      </c>
      <c r="P17" s="73">
        <f t="shared" ref="P17:P22" si="0">SUM(D17:J17)/SUM($D$17:$J$33)</f>
        <v>8.8724355461796279E-4</v>
      </c>
    </row>
    <row r="18" spans="1:16" x14ac:dyDescent="0.2">
      <c r="A18" s="1"/>
      <c r="B18" s="57"/>
      <c r="C18" s="2" t="s">
        <v>88</v>
      </c>
      <c r="D18" s="67"/>
      <c r="E18" s="68">
        <f>E14</f>
        <v>1440.9512692952164</v>
      </c>
      <c r="F18" s="68"/>
      <c r="G18" s="68"/>
      <c r="H18" s="68"/>
      <c r="I18" s="68"/>
      <c r="J18" s="68"/>
      <c r="K18" s="68"/>
      <c r="L18" s="54">
        <f t="shared" ref="L18:L33" si="1">SUM(D18:J18)</f>
        <v>1440.9512692952164</v>
      </c>
      <c r="M18" s="2">
        <v>0.52629999999999999</v>
      </c>
      <c r="N18" s="2">
        <f t="shared" ref="N18:N22" si="2">M18*SUM(D18:K18)</f>
        <v>758.37265303007234</v>
      </c>
      <c r="O18" s="70">
        <f t="shared" ref="O18:O22" si="3">N18/SUM($N$17:$N$22)</f>
        <v>0.22599732956389937</v>
      </c>
      <c r="P18" s="73">
        <f t="shared" si="0"/>
        <v>8.8504599237130999E-2</v>
      </c>
    </row>
    <row r="19" spans="1:16" x14ac:dyDescent="0.2">
      <c r="A19" s="1"/>
      <c r="B19" s="57"/>
      <c r="C19" s="2" t="s">
        <v>83</v>
      </c>
      <c r="D19" s="67"/>
      <c r="E19" s="68"/>
      <c r="F19" s="68">
        <f>F14</f>
        <v>5.9026975559999997</v>
      </c>
      <c r="G19" s="68"/>
      <c r="H19" s="68"/>
      <c r="I19" s="68"/>
      <c r="J19" s="68"/>
      <c r="K19" s="68"/>
      <c r="L19" s="54">
        <f t="shared" si="1"/>
        <v>5.9026975559999997</v>
      </c>
      <c r="M19" s="2">
        <v>1.5385</v>
      </c>
      <c r="N19" s="2">
        <f t="shared" si="2"/>
        <v>9.0813001899059991</v>
      </c>
      <c r="O19" s="70">
        <f t="shared" si="3"/>
        <v>2.7062547465111515E-3</v>
      </c>
      <c r="P19" s="73">
        <f t="shared" si="0"/>
        <v>3.6254930527060181E-4</v>
      </c>
    </row>
    <row r="20" spans="1:16" x14ac:dyDescent="0.2">
      <c r="A20" s="1"/>
      <c r="B20" s="57"/>
      <c r="C20" s="2" t="s">
        <v>89</v>
      </c>
      <c r="D20" s="67">
        <f>D14</f>
        <v>5173.340907426963</v>
      </c>
      <c r="E20" s="68"/>
      <c r="F20" s="68"/>
      <c r="G20" s="68"/>
      <c r="H20" s="68"/>
      <c r="I20" s="68"/>
      <c r="J20" s="68"/>
      <c r="K20" s="68"/>
      <c r="L20" s="54">
        <f t="shared" si="1"/>
        <v>5173.340907426963</v>
      </c>
      <c r="M20" s="2">
        <v>0.47620000000000001</v>
      </c>
      <c r="N20" s="2">
        <f t="shared" si="2"/>
        <v>2463.5449401167198</v>
      </c>
      <c r="O20" s="70">
        <f t="shared" si="3"/>
        <v>0.73414379527337414</v>
      </c>
      <c r="P20" s="73">
        <f t="shared" si="0"/>
        <v>0.31775152531898254</v>
      </c>
    </row>
    <row r="21" spans="1:16" x14ac:dyDescent="0.2">
      <c r="A21" s="1"/>
      <c r="B21" s="57"/>
      <c r="C21" s="2" t="s">
        <v>84</v>
      </c>
      <c r="D21" s="67"/>
      <c r="E21" s="68"/>
      <c r="F21" s="68"/>
      <c r="G21" s="68"/>
      <c r="H21" s="68"/>
      <c r="I21" s="68"/>
      <c r="J21" s="68">
        <f>J14*Dashboard!F47</f>
        <v>0</v>
      </c>
      <c r="K21" s="68"/>
      <c r="L21" s="54">
        <f t="shared" si="1"/>
        <v>0</v>
      </c>
      <c r="M21" s="2">
        <v>1.0204</v>
      </c>
      <c r="N21" s="2">
        <f t="shared" si="2"/>
        <v>0</v>
      </c>
      <c r="O21" s="70">
        <f t="shared" si="3"/>
        <v>0</v>
      </c>
      <c r="P21" s="73">
        <f t="shared" si="0"/>
        <v>0</v>
      </c>
    </row>
    <row r="22" spans="1:16" x14ac:dyDescent="0.2">
      <c r="A22" s="1"/>
      <c r="B22" s="57"/>
      <c r="C22" s="2" t="s">
        <v>85</v>
      </c>
      <c r="D22" s="87"/>
      <c r="E22" s="69"/>
      <c r="F22" s="69"/>
      <c r="G22" s="69">
        <f>G14</f>
        <v>235.59201391999997</v>
      </c>
      <c r="H22" s="69"/>
      <c r="I22" s="69"/>
      <c r="J22" s="69"/>
      <c r="K22" s="69"/>
      <c r="L22" s="54">
        <f t="shared" si="1"/>
        <v>235.59201391999997</v>
      </c>
      <c r="M22" s="2">
        <v>0.5</v>
      </c>
      <c r="N22" s="2">
        <f t="shared" si="2"/>
        <v>117.79600695999999</v>
      </c>
      <c r="O22" s="70">
        <f t="shared" si="3"/>
        <v>3.5103564059020535E-2</v>
      </c>
      <c r="P22" s="73">
        <f t="shared" si="0"/>
        <v>1.4470285858908057E-2</v>
      </c>
    </row>
    <row r="23" spans="1:16" s="1" customFormat="1" x14ac:dyDescent="0.2">
      <c r="B23" s="57"/>
      <c r="C23" s="2"/>
      <c r="D23" s="54"/>
      <c r="E23" s="54"/>
      <c r="F23" s="54"/>
      <c r="G23" s="54"/>
      <c r="H23" s="54"/>
      <c r="I23" s="54"/>
      <c r="J23" s="54"/>
      <c r="K23" s="54"/>
      <c r="L23" s="54"/>
      <c r="M23" s="2"/>
      <c r="N23" s="2"/>
      <c r="O23" s="70"/>
      <c r="P23" s="90"/>
    </row>
    <row r="24" spans="1:16" s="1" customFormat="1" x14ac:dyDescent="0.2">
      <c r="B24" s="95" t="s">
        <v>109</v>
      </c>
      <c r="C24" s="25"/>
      <c r="D24" s="91"/>
      <c r="E24" s="91"/>
      <c r="F24" s="91"/>
      <c r="G24" s="91"/>
      <c r="H24" s="91"/>
      <c r="I24" s="91"/>
      <c r="J24" s="91"/>
      <c r="K24" s="91"/>
      <c r="L24" s="91"/>
      <c r="M24" s="25"/>
      <c r="N24" s="25"/>
      <c r="O24" s="93"/>
      <c r="P24" s="94"/>
    </row>
    <row r="25" spans="1:16" s="1" customFormat="1" x14ac:dyDescent="0.2">
      <c r="B25" s="57"/>
      <c r="C25" s="92" t="s">
        <v>75</v>
      </c>
      <c r="D25" s="55">
        <f>Dashboard!F10*Dashboard!H10*10^-6*Dashboard!F33</f>
        <v>53.839962965037607</v>
      </c>
      <c r="E25" s="55">
        <f>Dashboard!F11*Dashboard!H11*10^-6*Dashboard!F36</f>
        <v>4603.3074106343838</v>
      </c>
      <c r="F25" s="55">
        <f>Dashboard!F12*Dashboard!F39</f>
        <v>0.28461644399999997</v>
      </c>
      <c r="G25" s="55">
        <f>Dashboard!F13*Dashboard!H13*10^-6*Dashboard!F51</f>
        <v>0</v>
      </c>
      <c r="H25" s="55">
        <f>Dashboard!F14</f>
        <v>11.738756998880179</v>
      </c>
      <c r="I25" s="55">
        <f>Dashboard!F15*Dashboard!F45</f>
        <v>36.257732116461362</v>
      </c>
      <c r="J25" s="55">
        <f>Dashboard!F16*Dashboard!F48</f>
        <v>0</v>
      </c>
      <c r="K25" s="55"/>
      <c r="L25" s="48"/>
      <c r="M25" s="2"/>
      <c r="N25" s="2">
        <f>SUM(N28:N33)</f>
        <v>500.28734120275408</v>
      </c>
      <c r="O25" s="2"/>
      <c r="P25" s="34"/>
    </row>
    <row r="26" spans="1:16" s="1" customFormat="1" x14ac:dyDescent="0.2">
      <c r="B26" s="57"/>
      <c r="C26" s="49"/>
      <c r="D26" s="48"/>
      <c r="E26" s="48"/>
      <c r="F26" s="48"/>
      <c r="G26" s="48"/>
      <c r="H26" s="48"/>
      <c r="I26" s="48"/>
      <c r="J26" s="48"/>
      <c r="K26" s="48"/>
      <c r="L26" s="48"/>
      <c r="M26" s="2"/>
      <c r="N26" s="2"/>
      <c r="O26" s="2"/>
      <c r="P26" s="34"/>
    </row>
    <row r="27" spans="1:16" x14ac:dyDescent="0.2">
      <c r="A27" s="1"/>
      <c r="B27" s="57"/>
      <c r="C27" s="2"/>
      <c r="D27" s="54"/>
      <c r="E27" s="54"/>
      <c r="F27" s="54"/>
      <c r="G27" s="54"/>
      <c r="H27" s="54"/>
      <c r="I27" s="54"/>
      <c r="J27" s="54"/>
      <c r="K27" s="54"/>
      <c r="L27" s="54"/>
      <c r="M27" s="2"/>
      <c r="N27" s="2"/>
      <c r="O27" s="70"/>
      <c r="P27" s="90"/>
    </row>
    <row r="28" spans="1:16" x14ac:dyDescent="0.2">
      <c r="A28" s="1"/>
      <c r="B28" s="56"/>
      <c r="C28" s="2" t="s">
        <v>86</v>
      </c>
      <c r="D28" s="65"/>
      <c r="E28" s="66"/>
      <c r="F28" s="66"/>
      <c r="G28" s="66"/>
      <c r="H28" s="66"/>
      <c r="I28" s="66">
        <f>I25</f>
        <v>36.257732116461362</v>
      </c>
      <c r="J28" s="66"/>
      <c r="K28" s="66"/>
      <c r="L28" s="54">
        <f t="shared" si="1"/>
        <v>36.257732116461362</v>
      </c>
      <c r="M28" s="2">
        <v>0.10639999999999999</v>
      </c>
      <c r="N28" s="2">
        <f>M28*SUM(D28:K28)</f>
        <v>3.8578226971914886</v>
      </c>
      <c r="O28" s="70">
        <f>N28/SUM($N$28:$N$33)</f>
        <v>7.7112138954321622E-3</v>
      </c>
      <c r="P28" s="73">
        <f>SUM(D28:J28)/SUM($D$28:$J$33)</f>
        <v>7.7055112572752401E-3</v>
      </c>
    </row>
    <row r="29" spans="1:16" x14ac:dyDescent="0.2">
      <c r="A29" s="1"/>
      <c r="B29" s="57"/>
      <c r="C29" s="2" t="s">
        <v>90</v>
      </c>
      <c r="D29" s="67"/>
      <c r="E29" s="68">
        <f>E25</f>
        <v>4603.3074106343838</v>
      </c>
      <c r="F29" s="68"/>
      <c r="G29" s="68"/>
      <c r="H29" s="68"/>
      <c r="I29" s="68"/>
      <c r="J29" s="68"/>
      <c r="K29" s="68"/>
      <c r="L29" s="54">
        <f t="shared" si="1"/>
        <v>4603.3074106343838</v>
      </c>
      <c r="M29" s="2">
        <v>0.10639999999999999</v>
      </c>
      <c r="N29" s="2">
        <f t="shared" ref="N29:N33" si="4">M29*SUM(D29:K29)</f>
        <v>489.79190849149842</v>
      </c>
      <c r="O29" s="70">
        <f t="shared" ref="O29:O33" si="5">N29/SUM($N$28:$N$33)</f>
        <v>0.97902119073006466</v>
      </c>
      <c r="P29" s="73">
        <f t="shared" ref="P29:P33" si="6">SUM(D29:J29)/SUM($D$28:$J$33)</f>
        <v>0.97829717974108132</v>
      </c>
    </row>
    <row r="30" spans="1:16" x14ac:dyDescent="0.2">
      <c r="A30" s="1"/>
      <c r="B30" s="57"/>
      <c r="C30" s="2" t="s">
        <v>87</v>
      </c>
      <c r="D30" s="67"/>
      <c r="E30" s="68"/>
      <c r="F30" s="68">
        <f>F25</f>
        <v>0.28461644399999997</v>
      </c>
      <c r="G30" s="68"/>
      <c r="H30" s="68"/>
      <c r="I30" s="68"/>
      <c r="J30" s="68"/>
      <c r="K30" s="68"/>
      <c r="L30" s="54">
        <f t="shared" si="1"/>
        <v>0.28461644399999997</v>
      </c>
      <c r="M30" s="2">
        <v>0.19159999999999999</v>
      </c>
      <c r="N30" s="2">
        <f t="shared" si="4"/>
        <v>5.4532510670399992E-2</v>
      </c>
      <c r="O30" s="70">
        <f t="shared" si="5"/>
        <v>1.0900237959109046E-4</v>
      </c>
      <c r="P30" s="73">
        <f t="shared" si="6"/>
        <v>6.0486828194418485E-5</v>
      </c>
    </row>
    <row r="31" spans="1:16" x14ac:dyDescent="0.2">
      <c r="A31" s="1"/>
      <c r="B31" s="57"/>
      <c r="C31" s="2" t="s">
        <v>91</v>
      </c>
      <c r="D31" s="67">
        <f>D25</f>
        <v>53.839962965037607</v>
      </c>
      <c r="E31" s="68"/>
      <c r="F31" s="68"/>
      <c r="G31" s="68"/>
      <c r="H31" s="68"/>
      <c r="I31" s="68"/>
      <c r="J31" s="68"/>
      <c r="K31" s="68"/>
      <c r="L31" s="54">
        <f t="shared" si="1"/>
        <v>53.839962965037607</v>
      </c>
      <c r="M31" s="2">
        <v>9.6500000000000002E-2</v>
      </c>
      <c r="N31" s="2">
        <f t="shared" si="4"/>
        <v>5.1955564261261289</v>
      </c>
      <c r="O31" s="70">
        <f t="shared" si="5"/>
        <v>1.0385144692318925E-2</v>
      </c>
      <c r="P31" s="73">
        <f t="shared" si="6"/>
        <v>1.1442095699361924E-2</v>
      </c>
    </row>
    <row r="32" spans="1:16" x14ac:dyDescent="0.2">
      <c r="A32" s="1"/>
      <c r="B32" s="57"/>
      <c r="C32" s="2" t="s">
        <v>102</v>
      </c>
      <c r="D32" s="67"/>
      <c r="E32" s="68"/>
      <c r="F32" s="68"/>
      <c r="G32" s="68"/>
      <c r="H32" s="68"/>
      <c r="I32" s="68"/>
      <c r="J32" s="68">
        <f>J25</f>
        <v>0</v>
      </c>
      <c r="K32" s="68"/>
      <c r="L32" s="54">
        <f t="shared" si="1"/>
        <v>0</v>
      </c>
      <c r="M32" s="2">
        <v>0.14710000000000001</v>
      </c>
      <c r="N32" s="2">
        <f t="shared" si="4"/>
        <v>0</v>
      </c>
      <c r="O32" s="70">
        <f t="shared" si="5"/>
        <v>0</v>
      </c>
      <c r="P32" s="73">
        <f t="shared" si="6"/>
        <v>0</v>
      </c>
    </row>
    <row r="33" spans="1:16" x14ac:dyDescent="0.2">
      <c r="A33" s="1"/>
      <c r="B33" s="57"/>
      <c r="C33" s="2" t="s">
        <v>92</v>
      </c>
      <c r="D33" s="87"/>
      <c r="E33" s="69"/>
      <c r="F33" s="69"/>
      <c r="G33" s="69"/>
      <c r="H33" s="69">
        <f>H25</f>
        <v>11.738756998880179</v>
      </c>
      <c r="I33" s="69"/>
      <c r="J33" s="69"/>
      <c r="K33" s="69"/>
      <c r="L33" s="54">
        <f t="shared" si="1"/>
        <v>11.738756998880179</v>
      </c>
      <c r="M33" s="2">
        <v>0.1182</v>
      </c>
      <c r="N33" s="2">
        <f t="shared" si="4"/>
        <v>1.3875210772676372</v>
      </c>
      <c r="O33" s="70">
        <f t="shared" si="5"/>
        <v>2.7734483025931875E-3</v>
      </c>
      <c r="P33" s="73">
        <f t="shared" si="6"/>
        <v>2.494726474086975E-3</v>
      </c>
    </row>
    <row r="34" spans="1:16" x14ac:dyDescent="0.2">
      <c r="A34" s="1"/>
      <c r="B34" s="40"/>
      <c r="C34" s="49"/>
      <c r="D34" s="55"/>
      <c r="E34" s="48"/>
      <c r="F34" s="55"/>
      <c r="G34" s="55"/>
      <c r="H34" s="55"/>
      <c r="I34" s="55"/>
      <c r="J34" s="55"/>
      <c r="K34" s="48"/>
      <c r="L34" s="54"/>
      <c r="M34" s="2"/>
      <c r="N34" s="2"/>
      <c r="O34" s="71"/>
      <c r="P34" s="74"/>
    </row>
    <row r="35" spans="1:16" ht="17" thickBot="1" x14ac:dyDescent="0.25">
      <c r="A35" s="1"/>
      <c r="B35" s="58"/>
      <c r="C35" s="59"/>
      <c r="D35" s="60"/>
      <c r="E35" s="60"/>
      <c r="F35" s="60"/>
      <c r="G35" s="60"/>
      <c r="H35" s="60"/>
      <c r="I35" s="60"/>
      <c r="J35" s="60"/>
      <c r="K35" s="60"/>
      <c r="L35" s="75"/>
      <c r="M35" s="62"/>
      <c r="N35" s="62"/>
      <c r="O35" s="72"/>
      <c r="P35" s="76"/>
    </row>
    <row r="36" spans="1:16" x14ac:dyDescent="0.2">
      <c r="A36" s="1"/>
      <c r="B36" s="50" t="s">
        <v>95</v>
      </c>
      <c r="C36" s="51"/>
      <c r="D36" s="52"/>
      <c r="E36" s="52"/>
      <c r="F36" s="52"/>
      <c r="G36" s="52"/>
      <c r="H36" s="52"/>
      <c r="I36" s="52"/>
      <c r="J36" s="52"/>
      <c r="K36" s="55"/>
      <c r="L36" s="55"/>
      <c r="M36" s="25"/>
      <c r="N36" s="25"/>
      <c r="O36" s="25"/>
      <c r="P36" s="78"/>
    </row>
    <row r="37" spans="1:16" x14ac:dyDescent="0.2">
      <c r="A37" s="1"/>
      <c r="B37" s="40"/>
      <c r="C37" s="49" t="s">
        <v>75</v>
      </c>
      <c r="D37" s="48"/>
      <c r="E37" s="48">
        <f>Dashboard!F19</f>
        <v>797.52600000000007</v>
      </c>
      <c r="F37" s="48"/>
      <c r="G37" s="48"/>
      <c r="H37" s="48">
        <f>Dashboard!F20</f>
        <v>0</v>
      </c>
      <c r="I37" s="48"/>
      <c r="J37" s="48"/>
      <c r="K37" s="55"/>
      <c r="L37" s="48"/>
      <c r="M37" s="2"/>
      <c r="N37" s="2">
        <f>SUM(N40:N41)</f>
        <v>1.3557942000000001</v>
      </c>
      <c r="O37" s="2"/>
      <c r="P37" s="34"/>
    </row>
    <row r="38" spans="1:16" x14ac:dyDescent="0.2">
      <c r="A38" s="1"/>
      <c r="B38" s="40"/>
      <c r="C38" s="49"/>
      <c r="D38" s="48"/>
      <c r="E38" s="48"/>
      <c r="F38" s="48"/>
      <c r="G38" s="48"/>
      <c r="H38" s="48"/>
      <c r="I38" s="48"/>
      <c r="J38" s="48"/>
      <c r="K38" s="48"/>
      <c r="L38" s="48"/>
      <c r="M38" s="2"/>
      <c r="N38" s="2"/>
      <c r="O38" s="2"/>
      <c r="P38" s="34"/>
    </row>
    <row r="39" spans="1:16" x14ac:dyDescent="0.2">
      <c r="A39" s="1"/>
      <c r="B39" s="40"/>
      <c r="C39" s="53"/>
      <c r="D39" s="48"/>
      <c r="E39" s="48"/>
      <c r="F39" s="48"/>
      <c r="G39" s="48"/>
      <c r="H39" s="48"/>
      <c r="I39" s="48"/>
      <c r="J39" s="48"/>
      <c r="K39" s="48"/>
      <c r="L39" s="48"/>
      <c r="M39" s="2"/>
      <c r="N39" s="2"/>
      <c r="O39" s="2"/>
      <c r="P39" s="34"/>
    </row>
    <row r="40" spans="1:16" x14ac:dyDescent="0.2">
      <c r="A40" s="1"/>
      <c r="B40" s="56"/>
      <c r="C40" s="2" t="s">
        <v>0</v>
      </c>
      <c r="D40" s="65"/>
      <c r="E40" s="66">
        <f>E37</f>
        <v>797.52600000000007</v>
      </c>
      <c r="F40" s="66"/>
      <c r="G40" s="66"/>
      <c r="H40" s="66"/>
      <c r="I40" s="66"/>
      <c r="J40" s="66"/>
      <c r="K40" s="66"/>
      <c r="L40" s="54">
        <f>SUM(D40:J40)</f>
        <v>797.52600000000007</v>
      </c>
      <c r="M40" s="63">
        <v>1.6999999999999999E-3</v>
      </c>
      <c r="N40" s="2">
        <f>M40*SUM(D40:K40)</f>
        <v>1.3557942000000001</v>
      </c>
      <c r="O40" s="70">
        <f>N40/SUM($N$40:$N$41)</f>
        <v>1</v>
      </c>
      <c r="P40" s="73">
        <f>SUM(D40:J40)/SUM($D$40:$J$41)</f>
        <v>1</v>
      </c>
    </row>
    <row r="41" spans="1:16" x14ac:dyDescent="0.2">
      <c r="A41" s="1"/>
      <c r="B41" s="57"/>
      <c r="C41" s="2" t="s">
        <v>2</v>
      </c>
      <c r="D41" s="67"/>
      <c r="E41" s="69"/>
      <c r="F41" s="68"/>
      <c r="G41" s="68"/>
      <c r="H41" s="68">
        <f>H37</f>
        <v>0</v>
      </c>
      <c r="I41" s="68"/>
      <c r="J41" s="68"/>
      <c r="K41" s="69"/>
      <c r="L41" s="54">
        <f t="shared" ref="L41" si="7">SUM(D41:J41)</f>
        <v>0</v>
      </c>
      <c r="M41" s="63">
        <v>1.6999999999999999E-3</v>
      </c>
      <c r="N41" s="2">
        <f>M41*SUM(D41:K41)</f>
        <v>0</v>
      </c>
      <c r="O41" s="70">
        <f>N41/SUM($N$40:$N$41)</f>
        <v>0</v>
      </c>
      <c r="P41" s="73">
        <f>SUM(D41:J41)/SUM($D$40:$J$41)</f>
        <v>0</v>
      </c>
    </row>
    <row r="42" spans="1:16" x14ac:dyDescent="0.2">
      <c r="B42" s="40"/>
      <c r="C42" s="49"/>
      <c r="D42" s="55"/>
      <c r="E42" s="48"/>
      <c r="F42" s="55"/>
      <c r="G42" s="55"/>
      <c r="H42" s="55"/>
      <c r="I42" s="55"/>
      <c r="J42" s="55"/>
      <c r="K42" s="48"/>
      <c r="L42" s="54"/>
      <c r="M42" s="2"/>
      <c r="N42" s="2"/>
      <c r="O42" s="71"/>
      <c r="P42" s="74"/>
    </row>
    <row r="43" spans="1:16" ht="17" thickBot="1" x14ac:dyDescent="0.25">
      <c r="A43" s="1"/>
      <c r="B43" s="58"/>
      <c r="C43" s="59"/>
      <c r="D43" s="60"/>
      <c r="E43" s="60"/>
      <c r="F43" s="60"/>
      <c r="G43" s="60"/>
      <c r="H43" s="60"/>
      <c r="I43" s="60"/>
      <c r="J43" s="60"/>
      <c r="K43" s="60"/>
      <c r="L43" s="75"/>
      <c r="M43" s="62"/>
      <c r="N43" s="62"/>
      <c r="O43" s="72"/>
      <c r="P43" s="76"/>
    </row>
    <row r="44" spans="1:16" x14ac:dyDescent="0.2">
      <c r="A44" s="1"/>
      <c r="B44" s="50" t="s">
        <v>96</v>
      </c>
      <c r="C44" s="51"/>
      <c r="D44" s="52"/>
      <c r="E44" s="52"/>
      <c r="F44" s="52"/>
      <c r="G44" s="52"/>
      <c r="H44" s="52"/>
      <c r="I44" s="52"/>
      <c r="J44" s="52"/>
      <c r="K44" s="55"/>
      <c r="L44" s="55"/>
      <c r="M44" s="25"/>
      <c r="N44" s="25"/>
      <c r="O44" s="25"/>
      <c r="P44" s="78"/>
    </row>
    <row r="45" spans="1:16" x14ac:dyDescent="0.2">
      <c r="A45" s="1"/>
      <c r="B45" s="40"/>
      <c r="C45" s="49" t="s">
        <v>75</v>
      </c>
      <c r="D45" s="48"/>
      <c r="E45" s="48">
        <f>Dashboard!F24</f>
        <v>0</v>
      </c>
      <c r="F45" s="48">
        <f>Dashboard!F25</f>
        <v>234.65</v>
      </c>
      <c r="G45" s="48"/>
      <c r="H45" s="48"/>
      <c r="I45" s="48"/>
      <c r="J45" s="48"/>
      <c r="K45" s="55"/>
      <c r="L45" s="48"/>
      <c r="M45" s="2"/>
      <c r="N45" s="2">
        <f>SUM(N48:N50)</f>
        <v>211.185</v>
      </c>
      <c r="O45" s="2"/>
      <c r="P45" s="34"/>
    </row>
    <row r="46" spans="1:16" x14ac:dyDescent="0.2">
      <c r="A46" s="1"/>
      <c r="B46" s="40"/>
      <c r="C46" s="49"/>
      <c r="D46" s="48"/>
      <c r="E46" s="48"/>
      <c r="F46" s="48"/>
      <c r="G46" s="48"/>
      <c r="H46" s="48"/>
      <c r="I46" s="48"/>
      <c r="J46" s="48"/>
      <c r="K46" s="48"/>
      <c r="L46" s="48"/>
      <c r="M46" s="2"/>
      <c r="N46" s="2"/>
      <c r="O46" s="2"/>
      <c r="P46" s="34"/>
    </row>
    <row r="47" spans="1:16" x14ac:dyDescent="0.2">
      <c r="A47" s="1"/>
      <c r="B47" s="40"/>
      <c r="C47" s="53"/>
      <c r="D47" s="48"/>
      <c r="E47" s="48"/>
      <c r="F47" s="48"/>
      <c r="G47" s="48"/>
      <c r="H47" s="48"/>
      <c r="I47" s="48"/>
      <c r="J47" s="48"/>
      <c r="K47" s="48"/>
      <c r="L47" s="48"/>
      <c r="M47" s="2"/>
      <c r="N47" s="2"/>
      <c r="O47" s="2"/>
      <c r="P47" s="34"/>
    </row>
    <row r="48" spans="1:16" x14ac:dyDescent="0.2">
      <c r="A48" s="1"/>
      <c r="B48" s="56"/>
      <c r="C48" s="2" t="s">
        <v>99</v>
      </c>
      <c r="D48" s="65"/>
      <c r="E48" s="66"/>
      <c r="F48" s="66"/>
      <c r="G48" s="66"/>
      <c r="H48" s="66"/>
      <c r="I48" s="66"/>
      <c r="J48" s="66"/>
      <c r="K48" s="66"/>
      <c r="L48" s="54">
        <f>SUM(D48:J48)</f>
        <v>0</v>
      </c>
      <c r="M48" s="2">
        <v>0.3</v>
      </c>
      <c r="N48" s="2">
        <f>M48*SUM(D48:K48)</f>
        <v>0</v>
      </c>
      <c r="O48" s="70">
        <f>N48/SUM($N$48:$N$50)</f>
        <v>0</v>
      </c>
      <c r="P48" s="73">
        <f>SUM(D48:J48)/SUM($D$48:$J$50)</f>
        <v>0</v>
      </c>
    </row>
    <row r="49" spans="1:16" x14ac:dyDescent="0.2">
      <c r="A49" s="1"/>
      <c r="B49" s="57"/>
      <c r="C49" s="2" t="s">
        <v>0</v>
      </c>
      <c r="D49" s="67"/>
      <c r="E49" s="68">
        <f>E45</f>
        <v>0</v>
      </c>
      <c r="F49" s="68"/>
      <c r="G49" s="68"/>
      <c r="H49" s="68"/>
      <c r="I49" s="68"/>
      <c r="J49" s="68"/>
      <c r="K49" s="68"/>
      <c r="L49" s="54">
        <f t="shared" ref="L49:L50" si="8">SUM(D49:J49)</f>
        <v>0</v>
      </c>
      <c r="M49" s="2">
        <v>0.3</v>
      </c>
      <c r="N49" s="2">
        <f t="shared" ref="N49:N50" si="9">M49*SUM(D49:K49)</f>
        <v>0</v>
      </c>
      <c r="O49" s="70">
        <f t="shared" ref="O49:O50" si="10">N49/SUM($N$48:$N$50)</f>
        <v>0</v>
      </c>
      <c r="P49" s="73">
        <f t="shared" ref="P49:P50" si="11">SUM(D49:J49)/SUM($D$48:$J$50)</f>
        <v>0</v>
      </c>
    </row>
    <row r="50" spans="1:16" x14ac:dyDescent="0.2">
      <c r="A50" s="1"/>
      <c r="B50" s="57"/>
      <c r="C50" s="2" t="s">
        <v>6</v>
      </c>
      <c r="D50" s="67"/>
      <c r="E50" s="69"/>
      <c r="F50" s="68">
        <f>F45</f>
        <v>234.65</v>
      </c>
      <c r="G50" s="68"/>
      <c r="H50" s="68"/>
      <c r="I50" s="68"/>
      <c r="J50" s="69"/>
      <c r="K50" s="69"/>
      <c r="L50" s="54">
        <f t="shared" si="8"/>
        <v>234.65</v>
      </c>
      <c r="M50" s="2">
        <v>0.9</v>
      </c>
      <c r="N50" s="2">
        <f t="shared" si="9"/>
        <v>211.185</v>
      </c>
      <c r="O50" s="70">
        <f t="shared" si="10"/>
        <v>1</v>
      </c>
      <c r="P50" s="73">
        <f t="shared" si="11"/>
        <v>1</v>
      </c>
    </row>
    <row r="51" spans="1:16" x14ac:dyDescent="0.2">
      <c r="A51" s="1"/>
      <c r="B51" s="40"/>
      <c r="C51" s="49"/>
      <c r="D51" s="55"/>
      <c r="E51" s="48"/>
      <c r="F51" s="55"/>
      <c r="G51" s="55"/>
      <c r="H51" s="55"/>
      <c r="I51" s="55"/>
      <c r="J51" s="55"/>
      <c r="K51" s="48"/>
      <c r="L51" s="54"/>
      <c r="M51" s="2"/>
      <c r="N51" s="2"/>
      <c r="O51" s="71"/>
      <c r="P51" s="74"/>
    </row>
    <row r="52" spans="1:16" ht="17" thickBot="1" x14ac:dyDescent="0.25">
      <c r="A52" s="1"/>
      <c r="B52" s="58"/>
      <c r="C52" s="59"/>
      <c r="D52" s="60"/>
      <c r="E52" s="60"/>
      <c r="F52" s="60"/>
      <c r="G52" s="60"/>
      <c r="H52" s="60"/>
      <c r="I52" s="60"/>
      <c r="J52" s="60"/>
      <c r="K52" s="60"/>
      <c r="L52" s="75"/>
      <c r="M52" s="62"/>
      <c r="N52" s="62"/>
      <c r="O52" s="72"/>
      <c r="P52" s="76"/>
    </row>
    <row r="53" spans="1:16" x14ac:dyDescent="0.2">
      <c r="A53" s="1"/>
      <c r="B53" s="50" t="s">
        <v>111</v>
      </c>
      <c r="C53" s="51"/>
      <c r="D53" s="52"/>
      <c r="E53" s="52"/>
      <c r="F53" s="52"/>
      <c r="G53" s="52"/>
      <c r="H53" s="52"/>
      <c r="I53" s="52"/>
      <c r="J53" s="52"/>
      <c r="K53" s="55"/>
      <c r="L53" s="55"/>
      <c r="M53" s="25"/>
      <c r="N53" s="25"/>
      <c r="O53" s="25"/>
      <c r="P53" s="78"/>
    </row>
    <row r="54" spans="1:16" x14ac:dyDescent="0.2">
      <c r="A54" s="1"/>
      <c r="B54" s="40"/>
      <c r="C54" s="49" t="s">
        <v>75</v>
      </c>
      <c r="D54" s="48">
        <f>Dashboard!F28</f>
        <v>16.046800000000001</v>
      </c>
      <c r="E54" s="48"/>
      <c r="F54" s="48"/>
      <c r="G54" s="48"/>
      <c r="H54" s="48"/>
      <c r="I54" s="48"/>
      <c r="J54" s="48"/>
      <c r="K54" s="55">
        <f>Dashboard!F29</f>
        <v>658.64820000000009</v>
      </c>
      <c r="L54" s="48"/>
      <c r="M54" s="2"/>
      <c r="N54" s="2">
        <f>SUM(N57:N58)</f>
        <v>674.69500000000005</v>
      </c>
      <c r="O54" s="2"/>
      <c r="P54" s="34"/>
    </row>
    <row r="55" spans="1:16" x14ac:dyDescent="0.2">
      <c r="A55" s="1"/>
      <c r="B55" s="40"/>
      <c r="C55" s="49"/>
      <c r="D55" s="48"/>
      <c r="E55" s="48"/>
      <c r="F55" s="48"/>
      <c r="G55" s="48"/>
      <c r="H55" s="48"/>
      <c r="I55" s="48"/>
      <c r="J55" s="48"/>
      <c r="K55" s="48"/>
      <c r="L55" s="48"/>
      <c r="M55" s="2"/>
      <c r="N55" s="2"/>
      <c r="O55" s="2"/>
      <c r="P55" s="34"/>
    </row>
    <row r="56" spans="1:16" x14ac:dyDescent="0.2">
      <c r="A56" s="1"/>
      <c r="B56" s="40"/>
      <c r="C56" s="53"/>
      <c r="D56" s="48"/>
      <c r="E56" s="48"/>
      <c r="F56" s="48"/>
      <c r="G56" s="48"/>
      <c r="H56" s="48"/>
      <c r="I56" s="48"/>
      <c r="J56" s="48"/>
      <c r="K56" s="48"/>
      <c r="L56" s="48"/>
      <c r="M56" s="2"/>
      <c r="N56" s="2"/>
      <c r="O56" s="2"/>
      <c r="P56" s="34"/>
    </row>
    <row r="57" spans="1:16" x14ac:dyDescent="0.2">
      <c r="A57" s="1"/>
      <c r="B57" s="56"/>
      <c r="C57" s="2" t="s">
        <v>52</v>
      </c>
      <c r="D57" s="65">
        <f>D54</f>
        <v>16.046800000000001</v>
      </c>
      <c r="E57" s="66"/>
      <c r="F57" s="66"/>
      <c r="G57" s="66"/>
      <c r="H57" s="66"/>
      <c r="I57" s="66"/>
      <c r="J57" s="66"/>
      <c r="K57" s="66"/>
      <c r="L57" s="54">
        <f>SUM(D57:J57)</f>
        <v>16.046800000000001</v>
      </c>
      <c r="M57" s="2">
        <v>1</v>
      </c>
      <c r="N57" s="2">
        <f>M57*SUM(D57:K57)</f>
        <v>16.046800000000001</v>
      </c>
      <c r="O57" s="70">
        <f>N57/SUM($N$57:$N$58)</f>
        <v>2.3783783783783784E-2</v>
      </c>
      <c r="P57" s="73">
        <f>SUM(D57:J57)/SUM($D$57:$J$58)</f>
        <v>1</v>
      </c>
    </row>
    <row r="58" spans="1:16" x14ac:dyDescent="0.2">
      <c r="A58" s="1"/>
      <c r="B58" s="57"/>
      <c r="C58" s="2" t="s">
        <v>97</v>
      </c>
      <c r="D58" s="67"/>
      <c r="E58" s="69"/>
      <c r="F58" s="68"/>
      <c r="G58" s="68"/>
      <c r="H58" s="68"/>
      <c r="I58" s="68"/>
      <c r="J58" s="68"/>
      <c r="K58" s="69">
        <f>K54</f>
        <v>658.64820000000009</v>
      </c>
      <c r="L58" s="54">
        <f t="shared" ref="L58" si="12">SUM(D58:J58)</f>
        <v>0</v>
      </c>
      <c r="M58" s="2">
        <v>1</v>
      </c>
      <c r="N58" s="2">
        <f>M58*SUM(D58:K58)</f>
        <v>658.64820000000009</v>
      </c>
      <c r="O58" s="70">
        <f>N58/SUM($N$57:$N$58)</f>
        <v>0.97621621621621624</v>
      </c>
      <c r="P58" s="73">
        <f t="shared" ref="P58" si="13">SUM(D58:J58)/SUM($D$48:$J$50)</f>
        <v>0</v>
      </c>
    </row>
    <row r="59" spans="1:16" x14ac:dyDescent="0.2">
      <c r="A59" s="1"/>
      <c r="B59" s="40"/>
      <c r="C59" s="49"/>
      <c r="D59" s="55"/>
      <c r="E59" s="48"/>
      <c r="F59" s="55"/>
      <c r="G59" s="55"/>
      <c r="H59" s="55"/>
      <c r="I59" s="55"/>
      <c r="J59" s="55"/>
      <c r="K59" s="48"/>
      <c r="L59" s="54"/>
      <c r="M59" s="2"/>
      <c r="N59" s="2"/>
      <c r="O59" s="71"/>
      <c r="P59" s="74"/>
    </row>
    <row r="60" spans="1:16" ht="17" thickBot="1" x14ac:dyDescent="0.25">
      <c r="A60" s="1"/>
      <c r="B60" s="58"/>
      <c r="C60" s="59"/>
      <c r="D60" s="60"/>
      <c r="E60" s="60"/>
      <c r="F60" s="60"/>
      <c r="G60" s="60"/>
      <c r="H60" s="60"/>
      <c r="I60" s="60"/>
      <c r="J60" s="60"/>
      <c r="K60" s="60"/>
      <c r="L60" s="75"/>
      <c r="M60" s="62"/>
      <c r="N60" s="62"/>
      <c r="O60" s="72"/>
      <c r="P60" s="76"/>
    </row>
    <row r="61" spans="1: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abSelected="1" workbookViewId="0">
      <selection activeCell="C4" sqref="C4"/>
    </sheetView>
  </sheetViews>
  <sheetFormatPr baseColWidth="10" defaultRowHeight="16" x14ac:dyDescent="0.2"/>
  <cols>
    <col min="1" max="1" width="99.5" customWidth="1"/>
    <col min="3" max="3" width="73.6640625" customWidth="1"/>
  </cols>
  <sheetData>
    <row r="2" spans="1:3" x14ac:dyDescent="0.2">
      <c r="B2" t="s">
        <v>42</v>
      </c>
      <c r="C2" t="s">
        <v>107</v>
      </c>
    </row>
    <row r="3" spans="1:3" x14ac:dyDescent="0.2">
      <c r="A3" t="s">
        <v>7</v>
      </c>
    </row>
    <row r="4" spans="1:3" x14ac:dyDescent="0.2">
      <c r="A4" t="s">
        <v>8</v>
      </c>
      <c r="B4">
        <f>Analyse!O17</f>
        <v>2.0490563571947933E-3</v>
      </c>
      <c r="C4" t="str">
        <f>"- init." &amp; LEFT(A4, LEN(A4)-3)&amp; " " &amp; "=" &amp;" " &amp; B4*100</f>
        <v>- init.transport_car_using_compressed_natural_gas_share = 0.204905635719479</v>
      </c>
    </row>
    <row r="5" spans="1:3" x14ac:dyDescent="0.2">
      <c r="A5" t="s">
        <v>9</v>
      </c>
      <c r="B5">
        <f>Analyse!O18</f>
        <v>0.22599732956389937</v>
      </c>
      <c r="C5" t="str">
        <f>"- init." &amp; LEFT(A5, LEN(A5)-3)&amp; " " &amp; "=" &amp;" "&amp; B5*100</f>
        <v>- init.transport_car_using_diesel_mix_share = 22.5997329563899</v>
      </c>
    </row>
    <row r="6" spans="1:3" x14ac:dyDescent="0.2">
      <c r="A6" t="s">
        <v>10</v>
      </c>
      <c r="B6">
        <f>Analyse!O19</f>
        <v>2.7062547465111515E-3</v>
      </c>
      <c r="C6" t="str">
        <f t="shared" ref="C5:C40" si="0">"- init." &amp; LEFT(A6, LEN(A6)-3)&amp; " " &amp; "=" &amp;" " &amp; B6*100</f>
        <v>- init.transport_car_using_electricity_share = 0.270625474651115</v>
      </c>
    </row>
    <row r="7" spans="1:3" x14ac:dyDescent="0.2">
      <c r="A7" t="s">
        <v>11</v>
      </c>
      <c r="B7">
        <f>Analyse!O20</f>
        <v>0.73414379527337414</v>
      </c>
      <c r="C7" t="str">
        <f t="shared" si="0"/>
        <v>- init.transport_car_using_gasoline_mix_share = 73.4143795273374</v>
      </c>
    </row>
    <row r="8" spans="1:3" x14ac:dyDescent="0.2">
      <c r="A8" t="s">
        <v>12</v>
      </c>
      <c r="B8">
        <f>Analyse!O21</f>
        <v>0</v>
      </c>
      <c r="C8" t="str">
        <f t="shared" si="0"/>
        <v>- init.transport_car_using_hydrogen_share = 0</v>
      </c>
    </row>
    <row r="9" spans="1:3" x14ac:dyDescent="0.2">
      <c r="A9" t="s">
        <v>13</v>
      </c>
      <c r="B9">
        <f>Analyse!O22</f>
        <v>3.5103564059020535E-2</v>
      </c>
      <c r="C9" t="str">
        <f t="shared" si="0"/>
        <v>- init.transport_car_using_lpg_share = 3.51035640590205</v>
      </c>
    </row>
    <row r="10" spans="1:3" x14ac:dyDescent="0.2">
      <c r="A10" t="s">
        <v>14</v>
      </c>
      <c r="B10">
        <f>Analyse!N14</f>
        <v>3355.6708590029916</v>
      </c>
      <c r="C10" t="str">
        <f>"- init." &amp; LEFT(A10, LEN(A10)-3)&amp; " " &amp; "=" &amp;" " &amp; B10*10^6</f>
        <v>- init.transport_useful_demand_car_kms = 3355670859.00299</v>
      </c>
    </row>
    <row r="12" spans="1:3" x14ac:dyDescent="0.2">
      <c r="A12" t="s">
        <v>15</v>
      </c>
    </row>
    <row r="13" spans="1:3" x14ac:dyDescent="0.2">
      <c r="A13" t="s">
        <v>16</v>
      </c>
      <c r="B13" s="96">
        <f>Dashboard!F55</f>
        <v>3.1600000000000003E-2</v>
      </c>
      <c r="C13" t="str">
        <f t="shared" si="0"/>
        <v>- init.transport_road_mixer_diesel_biodiesel_share = 3.16</v>
      </c>
    </row>
    <row r="14" spans="1:3" x14ac:dyDescent="0.2">
      <c r="A14" t="s">
        <v>17</v>
      </c>
      <c r="B14" s="96">
        <f>Dashboard!F56</f>
        <v>0.96840000000000004</v>
      </c>
      <c r="C14" t="str">
        <f t="shared" si="0"/>
        <v>- init.transport_road_mixer_diesel_diesel_share = 96.84</v>
      </c>
    </row>
    <row r="16" spans="1:3" x14ac:dyDescent="0.2">
      <c r="A16" t="s">
        <v>18</v>
      </c>
    </row>
    <row r="17" spans="1:3" x14ac:dyDescent="0.2">
      <c r="A17" t="s">
        <v>19</v>
      </c>
      <c r="B17" s="102">
        <f>Dashboard!F58</f>
        <v>3.0700000000000002E-2</v>
      </c>
      <c r="C17" t="str">
        <f t="shared" si="0"/>
        <v>- init.transport_road_mixer_gasoline_ethanol_share = 3.07</v>
      </c>
    </row>
    <row r="18" spans="1:3" x14ac:dyDescent="0.2">
      <c r="A18" t="s">
        <v>20</v>
      </c>
      <c r="B18" s="102">
        <f>Dashboard!F59</f>
        <v>0.96730000000000005</v>
      </c>
      <c r="C18" t="str">
        <f t="shared" si="0"/>
        <v>- init.transport_road_mixer_gasoline_gasoline_share = 96.73</v>
      </c>
    </row>
    <row r="20" spans="1:3" x14ac:dyDescent="0.2">
      <c r="A20" t="s">
        <v>21</v>
      </c>
    </row>
    <row r="21" spans="1:3" x14ac:dyDescent="0.2">
      <c r="A21" t="s">
        <v>22</v>
      </c>
      <c r="B21">
        <f>Analyse!O40</f>
        <v>1</v>
      </c>
      <c r="C21" t="str">
        <f t="shared" si="0"/>
        <v>- init.transport_ship_using_diesel_mix_share = 100</v>
      </c>
    </row>
    <row r="22" spans="1:3" x14ac:dyDescent="0.2">
      <c r="A22" t="s">
        <v>23</v>
      </c>
      <c r="B22">
        <f>Analyse!O41</f>
        <v>0</v>
      </c>
      <c r="C22" t="str">
        <f t="shared" si="0"/>
        <v>- init.transport_ship_using_lng_mix_share = 0</v>
      </c>
    </row>
    <row r="23" spans="1:3" x14ac:dyDescent="0.2">
      <c r="A23" t="s">
        <v>24</v>
      </c>
      <c r="B23">
        <f>Analyse!N37</f>
        <v>1.3557942000000001</v>
      </c>
      <c r="C23" t="str">
        <f>"- init." &amp; LEFT(A23, LEN(A23)-3)&amp; " " &amp; "=" &amp;" " &amp; B23*10^6</f>
        <v>- init.transport_useful_demand_ship_kms = 1355794.2</v>
      </c>
    </row>
    <row r="25" spans="1:3" x14ac:dyDescent="0.2">
      <c r="A25" t="s">
        <v>25</v>
      </c>
    </row>
    <row r="26" spans="1:3" x14ac:dyDescent="0.2">
      <c r="A26" t="s">
        <v>26</v>
      </c>
      <c r="B26">
        <f>Analyse!N54</f>
        <v>674.69500000000005</v>
      </c>
      <c r="C26" t="str">
        <f>"- init." &amp; LEFT(A26, LEN(A26)-3)&amp; " " &amp; "=" &amp;" " &amp; B26*10^6</f>
        <v>- init.transport_useful_demand_planes = 674695000</v>
      </c>
    </row>
    <row r="28" spans="1:3" x14ac:dyDescent="0.2">
      <c r="A28" t="s">
        <v>27</v>
      </c>
    </row>
    <row r="29" spans="1:3" x14ac:dyDescent="0.2">
      <c r="A29" t="s">
        <v>28</v>
      </c>
      <c r="B29">
        <f>Analyse!O48</f>
        <v>0</v>
      </c>
      <c r="C29" t="str">
        <f t="shared" si="0"/>
        <v>- init.transport_train_using_coal_share = 0</v>
      </c>
    </row>
    <row r="30" spans="1:3" x14ac:dyDescent="0.2">
      <c r="A30" t="s">
        <v>29</v>
      </c>
      <c r="B30">
        <f>Analyse!O49</f>
        <v>0</v>
      </c>
      <c r="C30" t="str">
        <f t="shared" si="0"/>
        <v>- init.transport_train_using_diesel_share = 0</v>
      </c>
    </row>
    <row r="31" spans="1:3" x14ac:dyDescent="0.2">
      <c r="A31" t="s">
        <v>30</v>
      </c>
      <c r="B31">
        <f>Analyse!O50</f>
        <v>1</v>
      </c>
      <c r="C31" t="str">
        <f t="shared" si="0"/>
        <v>- init.transport_train_using_electricity_share = 100</v>
      </c>
    </row>
    <row r="32" spans="1:3" x14ac:dyDescent="0.2">
      <c r="A32" t="s">
        <v>31</v>
      </c>
      <c r="B32">
        <f>Analyse!N45</f>
        <v>211.185</v>
      </c>
      <c r="C32" t="str">
        <f>"- init." &amp; LEFT(A32, LEN(A32)-3)&amp; " " &amp; "=" &amp;" " &amp; B32*10^6</f>
        <v>- init.transport_useful_demand_trains = 211185000</v>
      </c>
    </row>
    <row r="34" spans="1:3" x14ac:dyDescent="0.2">
      <c r="A34" t="s">
        <v>32</v>
      </c>
    </row>
    <row r="35" spans="1:3" x14ac:dyDescent="0.2">
      <c r="A35" t="s">
        <v>33</v>
      </c>
      <c r="B35">
        <f>Analyse!O28</f>
        <v>7.7112138954321622E-3</v>
      </c>
      <c r="C35" t="str">
        <f t="shared" si="0"/>
        <v>- init.transport_truck_using_compressed_natural_gas_share = 0.771121389543216</v>
      </c>
    </row>
    <row r="36" spans="1:3" x14ac:dyDescent="0.2">
      <c r="A36" t="s">
        <v>34</v>
      </c>
      <c r="B36">
        <f>Analyse!O29</f>
        <v>0.97902119073006466</v>
      </c>
      <c r="C36" t="str">
        <f t="shared" si="0"/>
        <v>- init.transport_truck_using_diesel_mix_share = 97.9021190730065</v>
      </c>
    </row>
    <row r="37" spans="1:3" x14ac:dyDescent="0.2">
      <c r="A37" t="s">
        <v>35</v>
      </c>
      <c r="B37">
        <f>Analyse!O30</f>
        <v>1.0900237959109046E-4</v>
      </c>
      <c r="C37" t="str">
        <f t="shared" si="0"/>
        <v>- init.transport_truck_using_electricity_share = 0.010900237959109</v>
      </c>
    </row>
    <row r="38" spans="1:3" x14ac:dyDescent="0.2">
      <c r="A38" t="s">
        <v>36</v>
      </c>
      <c r="B38">
        <f>Analyse!O31</f>
        <v>1.0385144692318925E-2</v>
      </c>
      <c r="C38" t="str">
        <f t="shared" si="0"/>
        <v>- init.transport_truck_using_gasoline_mix_share = 1.03851446923189</v>
      </c>
    </row>
    <row r="39" spans="1:3" x14ac:dyDescent="0.2">
      <c r="A39" t="s">
        <v>123</v>
      </c>
      <c r="B39">
        <f>Analyse!O32</f>
        <v>0</v>
      </c>
      <c r="C39" t="str">
        <f t="shared" si="0"/>
        <v>- init.transport_truck_using_hydrogen_share = 0</v>
      </c>
    </row>
    <row r="40" spans="1:3" x14ac:dyDescent="0.2">
      <c r="A40" t="s">
        <v>37</v>
      </c>
      <c r="B40">
        <f>Analyse!O33</f>
        <v>2.7734483025931875E-3</v>
      </c>
      <c r="C40" t="str">
        <f t="shared" si="0"/>
        <v>- init.transport_truck_using_lng_mix_share = 0.277344830259319</v>
      </c>
    </row>
    <row r="41" spans="1:3" x14ac:dyDescent="0.2">
      <c r="A41" t="s">
        <v>38</v>
      </c>
      <c r="B41">
        <f>Analyse!N25</f>
        <v>500.28734120275408</v>
      </c>
      <c r="C41" t="str">
        <f>"- init." &amp; LEFT(A41, LEN(A41)-3)&amp; " " &amp; "=" &amp;" " &amp; B41*10^6</f>
        <v>- init.transport_useful_demand_truck_kms = 500287341.202754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2017-07-20T08:10:24Z</dcterms:created>
  <dcterms:modified xsi:type="dcterms:W3CDTF">2017-09-21T11:16:39Z</dcterms:modified>
</cp:coreProperties>
</file>