
<file path=[Content_Types].xml><?xml version="1.0" encoding="utf-8"?>
<Types xmlns="http://schemas.openxmlformats.org/package/2006/content-types">
  <Default Extension="png" ContentType="image/png"/>
  <Default Extension="rels" ContentType="application/vnd.openxmlformats-package.relationships+xml"/>
  <Default Extension="tiff" ContentType="image/tiff"/>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5" rupBuild="10913"/>
  <workbookPr showInkAnnotation="0" codeName="ThisWorkbook" autoCompressPictures="0"/>
  <mc:AlternateContent xmlns:mc="http://schemas.openxmlformats.org/markup-compatibility/2006">
    <mc:Choice Requires="x15">
      <x15ac:absPath xmlns:x15ac="http://schemas.microsoft.com/office/spreadsheetml/2010/11/ac" url="/Users/michieldenhaan/Projects/etdataset/nodes_source_analyses/energy/energy/"/>
    </mc:Choice>
  </mc:AlternateContent>
  <xr:revisionPtr revIDLastSave="0" documentId="13_ncr:1_{3BA8BB07-C434-A74C-85B5-611144BDD628}" xr6:coauthVersionLast="45" xr6:coauthVersionMax="45" xr10:uidLastSave="{00000000-0000-0000-0000-000000000000}"/>
  <bookViews>
    <workbookView xWindow="0" yWindow="460" windowWidth="25600" windowHeight="27180" tabRatio="762" activeTab="1" xr2:uid="{00000000-000D-0000-FFFF-FFFF00000000}"/>
  </bookViews>
  <sheets>
    <sheet name="Cover sheet" sheetId="14" r:id="rId1"/>
    <sheet name="Dashboard" sheetId="12" r:id="rId2"/>
    <sheet name="Research data" sheetId="13" r:id="rId3"/>
    <sheet name="Sources" sheetId="15" r:id="rId4"/>
    <sheet name="Notes" sheetId="20" r:id="rId5"/>
  </sheets>
  <externalReferences>
    <externalReference r:id="rId6"/>
    <externalReference r:id="rId7"/>
  </externalReferences>
  <definedNames>
    <definedName name="exchange_rate_2011_2010">#REF!</definedName>
    <definedName name="Final_demand_residences">'[1]Fuel aggregation'!$L$11</definedName>
    <definedName name="hours_a_year">#REF!</definedName>
    <definedName name="km2_to_m2">#REF!</definedName>
    <definedName name="kW_to_MW">#REF!</definedName>
    <definedName name="kW_to_W">#REF!</definedName>
    <definedName name="kWp_to_MWp">#REF!</definedName>
    <definedName name="labor_cost">Notes!#REF!</definedName>
    <definedName name="licensing">Notes!#REF!</definedName>
    <definedName name="m2_to_km2">#REF!</definedName>
    <definedName name="overhead_GA">Notes!#REF!</definedName>
    <definedName name="sensitivity_07">'[2]Tornado Charts'!$I$48</definedName>
    <definedName name="STC">#REF!</definedName>
    <definedName name="STC_insolation">#REF!</definedName>
    <definedName name="tax_insurance">Notes!#REF!</definedName>
    <definedName name="W_to_MW">#REF!</definedName>
    <definedName name="Wp_to_kWp">#REF!</definedName>
    <definedName name="WP_to_MWp">#REF!</definedName>
  </definedNames>
  <calcPr calcId="191029"/>
  <extLst>
    <ext xmlns:x14="http://schemas.microsoft.com/office/spreadsheetml/2009/9/main" uri="{79F54976-1DA5-4618-B147-4CDE4B953A38}">
      <x14:workbookPr defaultImageDpi="32767"/>
    </ext>
    <ext xmlns:xcalcf="http://schemas.microsoft.com/office/spreadsheetml/2018/calcfeatures" uri="{B58B0392-4F1F-4190-BB64-5DF3571DCE5F}">
      <xcalcf:calcFeatures>
        <xcalcf:feature name="microsoft.com:RD"/>
        <xcalcf:feature name="microsoft.com:Single"/>
        <xcalcf:feature name="microsoft.com:FV"/>
        <xcalcf:feature name="microsoft.com:CNMTM"/>
      </xcalcf:calcFeatures>
    </ext>
    <ext xmlns:mx="http://schemas.microsoft.com/office/mac/excel/2008/main" uri="{7523E5D3-25F3-A5E0-1632-64F254C22452}">
      <mx:ArchID Flags="2"/>
    </ext>
  </extLst>
</workbook>
</file>

<file path=xl/calcChain.xml><?xml version="1.0" encoding="utf-8"?>
<calcChain xmlns="http://schemas.openxmlformats.org/spreadsheetml/2006/main">
  <c r="H19" i="13" l="1"/>
  <c r="H20" i="13"/>
  <c r="H21" i="13"/>
  <c r="E24" i="12"/>
  <c r="J25" i="13"/>
  <c r="D14" i="20"/>
  <c r="E185" i="20" l="1"/>
  <c r="D58" i="20"/>
  <c r="D50" i="20"/>
  <c r="D7" i="20"/>
  <c r="J13" i="13" s="1"/>
  <c r="D27" i="20"/>
  <c r="D22" i="20"/>
  <c r="D23" i="20" s="1"/>
  <c r="D6" i="20" s="1"/>
  <c r="J7" i="13" s="1"/>
  <c r="D25" i="20"/>
  <c r="D59" i="20"/>
  <c r="E45" i="20"/>
  <c r="E47" i="20" s="1"/>
  <c r="E48" i="20" s="1"/>
  <c r="D43" i="20"/>
  <c r="D208" i="20"/>
  <c r="E105" i="20"/>
  <c r="E113" i="20"/>
  <c r="E184" i="20"/>
  <c r="D67" i="20" l="1"/>
  <c r="D55" i="20"/>
  <c r="D56" i="20" s="1"/>
  <c r="D57" i="20" s="1"/>
  <c r="D51" i="20" s="1"/>
  <c r="D53" i="20" s="1"/>
  <c r="D212" i="20"/>
  <c r="D213" i="20" s="1"/>
  <c r="D214" i="20" s="1"/>
  <c r="D209" i="20"/>
  <c r="D218" i="20" s="1"/>
  <c r="D219" i="20" s="1"/>
  <c r="D220" i="20" s="1"/>
  <c r="E177" i="20" s="1"/>
  <c r="E191" i="20"/>
  <c r="E183" i="20"/>
  <c r="E179" i="20"/>
  <c r="E162" i="20"/>
  <c r="E159" i="20"/>
  <c r="D65" i="20" l="1"/>
  <c r="D66" i="20" s="1"/>
  <c r="D13" i="20" s="1"/>
  <c r="D68" i="20"/>
  <c r="D8" i="20"/>
  <c r="J16" i="13" s="1"/>
  <c r="D9" i="20"/>
  <c r="J17" i="13" s="1"/>
  <c r="E182" i="20"/>
  <c r="E186" i="20"/>
  <c r="E189" i="20" s="1"/>
  <c r="E143" i="20"/>
  <c r="E144" i="20" s="1"/>
  <c r="D15" i="20" l="1"/>
  <c r="F14" i="20" s="1"/>
  <c r="J8" i="13" s="1"/>
  <c r="E190" i="20"/>
  <c r="H127" i="20"/>
  <c r="F13" i="20" l="1"/>
  <c r="J9" i="13" s="1"/>
  <c r="E137" i="20"/>
  <c r="E138" i="20" s="1"/>
  <c r="E139" i="20" s="1"/>
  <c r="E140" i="20" s="1"/>
  <c r="H128" i="20"/>
  <c r="E81" i="20"/>
  <c r="E114" i="20"/>
  <c r="E122" i="20"/>
  <c r="E31" i="12"/>
  <c r="E32" i="12"/>
  <c r="H25" i="13"/>
  <c r="E30" i="12" s="1"/>
  <c r="H13" i="13"/>
  <c r="E17" i="12" s="1"/>
  <c r="E84" i="20"/>
  <c r="E21" i="13"/>
  <c r="E20" i="13"/>
  <c r="H18" i="13"/>
  <c r="H22" i="13"/>
  <c r="E25" i="12" s="1"/>
  <c r="H23" i="13"/>
  <c r="E19" i="13" l="1"/>
  <c r="E22" i="12"/>
  <c r="E145" i="20"/>
  <c r="E146" i="20" s="1"/>
  <c r="E147" i="20" s="1"/>
  <c r="E148" i="20" s="1"/>
  <c r="E106" i="20"/>
  <c r="E109" i="20" l="1"/>
  <c r="E110" i="20" s="1"/>
  <c r="E118" i="20" l="1"/>
  <c r="E119" i="20" s="1"/>
  <c r="E117" i="20"/>
  <c r="E121" i="20" l="1"/>
  <c r="H17" i="13" s="1"/>
  <c r="H16" i="13"/>
  <c r="E124" i="20"/>
  <c r="E101" i="20" s="1"/>
  <c r="H7" i="13"/>
  <c r="E12" i="12" s="1"/>
  <c r="E100" i="20" l="1"/>
  <c r="H9" i="13" s="1"/>
  <c r="E14" i="12" s="1"/>
  <c r="E127" i="20"/>
  <c r="E99" i="20"/>
  <c r="H8" i="13" s="1"/>
  <c r="E13" i="12" s="1"/>
  <c r="E102" i="20"/>
  <c r="E103" i="20" s="1"/>
  <c r="J10" i="13"/>
  <c r="E98" i="20"/>
  <c r="E18" i="13"/>
  <c r="E20" i="12"/>
  <c r="E21" i="12"/>
  <c r="D11" i="20" l="1"/>
  <c r="J12" i="13"/>
  <c r="H12" i="13" s="1"/>
  <c r="E16" i="12" s="1"/>
  <c r="J11" i="13"/>
  <c r="H10" i="13" s="1"/>
  <c r="E15" i="12" s="1"/>
  <c r="J127" i="20"/>
  <c r="E128" i="20"/>
  <c r="J128" i="20" l="1"/>
  <c r="E130" i="20"/>
  <c r="E132" i="20" s="1"/>
  <c r="E133" i="20" s="1"/>
  <c r="E134" i="20" s="1"/>
  <c r="I134" i="20" l="1"/>
  <c r="I140" i="20" s="1"/>
</calcChain>
</file>

<file path=xl/sharedStrings.xml><?xml version="1.0" encoding="utf-8"?>
<sst xmlns="http://schemas.openxmlformats.org/spreadsheetml/2006/main" count="461" uniqueCount="278">
  <si>
    <t>Source</t>
  </si>
  <si>
    <t>years</t>
  </si>
  <si>
    <t>-</t>
  </si>
  <si>
    <t>Value</t>
  </si>
  <si>
    <t>Other</t>
  </si>
  <si>
    <t>Initial investment costs</t>
  </si>
  <si>
    <t>Definition</t>
  </si>
  <si>
    <t>Unit</t>
  </si>
  <si>
    <t>Link</t>
  </si>
  <si>
    <t>Cover Sheet</t>
  </si>
  <si>
    <t>Document</t>
  </si>
  <si>
    <t>Country</t>
  </si>
  <si>
    <t>Organization</t>
  </si>
  <si>
    <t>Quintel Intelligence</t>
  </si>
  <si>
    <t>Definition on the sources</t>
  </si>
  <si>
    <t>Type</t>
  </si>
  <si>
    <t>Date published</t>
  </si>
  <si>
    <t>Date retrieved</t>
  </si>
  <si>
    <t>Attribute</t>
  </si>
  <si>
    <t>euro</t>
  </si>
  <si>
    <t>free_co2_factor</t>
  </si>
  <si>
    <t>initial_investment</t>
  </si>
  <si>
    <t>fixed_operation_and_maintenance_costs_per_year</t>
  </si>
  <si>
    <t>technical_lifetime</t>
  </si>
  <si>
    <t>Notes</t>
  </si>
  <si>
    <t>Legend</t>
  </si>
  <si>
    <t>Cells</t>
  </si>
  <si>
    <t>Intermediate (calculation)</t>
  </si>
  <si>
    <t>Result</t>
  </si>
  <si>
    <t>Manual input</t>
  </si>
  <si>
    <t>Reference to manual input or data input</t>
  </si>
  <si>
    <t>Tabs</t>
  </si>
  <si>
    <t>Introductory</t>
  </si>
  <si>
    <t>Dashboard</t>
  </si>
  <si>
    <t>Research data</t>
  </si>
  <si>
    <t>Sources</t>
  </si>
  <si>
    <t>Results</t>
  </si>
  <si>
    <t>Main calculations</t>
  </si>
  <si>
    <t>Additional calculations</t>
  </si>
  <si>
    <t>Output to csv</t>
  </si>
  <si>
    <t>Author</t>
  </si>
  <si>
    <t>Cost</t>
  </si>
  <si>
    <t>Technical</t>
  </si>
  <si>
    <t>Comments</t>
  </si>
  <si>
    <t>ETM Library URL</t>
  </si>
  <si>
    <t>Values</t>
  </si>
  <si>
    <t>euro/yr</t>
  </si>
  <si>
    <t>Page</t>
  </si>
  <si>
    <t>wacc</t>
  </si>
  <si>
    <t>%</t>
  </si>
  <si>
    <t>Weighted average cost of capita</t>
  </si>
  <si>
    <t>takes_part_in_ets</t>
  </si>
  <si>
    <t>yes=1, no=0</t>
  </si>
  <si>
    <t>land_use_per_unit</t>
  </si>
  <si>
    <t>km2</t>
  </si>
  <si>
    <t>construction_time</t>
  </si>
  <si>
    <t xml:space="preserve">Construction time of the plant </t>
  </si>
  <si>
    <t>Technical lifetime of the plant</t>
  </si>
  <si>
    <t>Land use of plant</t>
  </si>
  <si>
    <t>euro/flh</t>
  </si>
  <si>
    <r>
      <t xml:space="preserve">Variable operation and maintenance costs per </t>
    </r>
    <r>
      <rPr>
        <sz val="12"/>
        <color theme="1"/>
        <rFont val="Calibri"/>
        <family val="2"/>
        <scheme val="minor"/>
      </rPr>
      <t>flh</t>
    </r>
  </si>
  <si>
    <t>full_load_hours</t>
  </si>
  <si>
    <t>hrs/yr</t>
  </si>
  <si>
    <t>cost_of_installing</t>
  </si>
  <si>
    <r>
      <t>variable_operation_and_maintenance_costs_per_</t>
    </r>
    <r>
      <rPr>
        <sz val="12"/>
        <color theme="1"/>
        <rFont val="Calibri"/>
        <family val="2"/>
        <scheme val="minor"/>
      </rPr>
      <t>full_load_hour</t>
    </r>
  </si>
  <si>
    <t>variable_operation_and_maintenance_costs_for_ccs_per_full_load_hour</t>
  </si>
  <si>
    <t>Installation costs</t>
  </si>
  <si>
    <t>Decommissioning costs</t>
  </si>
  <si>
    <r>
      <t>Fixed operational and maintenance costs per year</t>
    </r>
    <r>
      <rPr>
        <sz val="12"/>
        <color theme="1"/>
        <rFont val="Calibri"/>
        <family val="2"/>
        <scheme val="minor"/>
      </rPr>
      <t xml:space="preserve"> (incl. ccs)</t>
    </r>
  </si>
  <si>
    <t>without ccs</t>
  </si>
  <si>
    <r>
      <t>decommis</t>
    </r>
    <r>
      <rPr>
        <sz val="12"/>
        <color theme="1"/>
        <rFont val="Calibri"/>
        <family val="2"/>
        <scheme val="minor"/>
      </rPr>
      <t>s</t>
    </r>
    <r>
      <rPr>
        <sz val="12"/>
        <color theme="1"/>
        <rFont val="Calibri"/>
        <family val="2"/>
        <scheme val="minor"/>
      </rPr>
      <t>ioning_costs</t>
    </r>
  </si>
  <si>
    <t>typical_input_capacity</t>
  </si>
  <si>
    <t xml:space="preserve">This sheet summarizes all node attributes formatted in the way they are used by the Energy Transition Model. Use the Excel formulas to find the original data and sources for these numbers. You can also use this document to update the attribute value. Once you have finished updating, save this document and run rake import:node NODE="nodename" to update the node attributes on ETSource. 
</t>
  </si>
  <si>
    <t>Marlieke Verweij</t>
  </si>
  <si>
    <t>input.electricity</t>
  </si>
  <si>
    <t>output.loss</t>
  </si>
  <si>
    <t>MWe</t>
  </si>
  <si>
    <t>energy density CO</t>
  </si>
  <si>
    <t>MJ/kg</t>
  </si>
  <si>
    <t>hr/yr</t>
  </si>
  <si>
    <t>yr</t>
  </si>
  <si>
    <t>Constants</t>
  </si>
  <si>
    <t>Molar masses</t>
  </si>
  <si>
    <t>H2</t>
  </si>
  <si>
    <t>g/mol</t>
  </si>
  <si>
    <t>CO</t>
  </si>
  <si>
    <t>CO2</t>
  </si>
  <si>
    <t>C11H24</t>
  </si>
  <si>
    <t>O2</t>
  </si>
  <si>
    <t>CH3OH</t>
  </si>
  <si>
    <t>C2H5OH</t>
  </si>
  <si>
    <t>kg/l</t>
  </si>
  <si>
    <t>Mwe</t>
  </si>
  <si>
    <t>M€</t>
  </si>
  <si>
    <t>€</t>
  </si>
  <si>
    <t>Subject</t>
  </si>
  <si>
    <t>Investment</t>
  </si>
  <si>
    <t>Lifetime</t>
  </si>
  <si>
    <t>yrs</t>
  </si>
  <si>
    <t>FLH</t>
  </si>
  <si>
    <t>Interest</t>
  </si>
  <si>
    <t>INPUT/OUTPUT SHARES</t>
  </si>
  <si>
    <t>€/year</t>
  </si>
  <si>
    <t>% capex</t>
  </si>
  <si>
    <t>Density kerosene</t>
  </si>
  <si>
    <t>interest</t>
  </si>
  <si>
    <t>input.co</t>
  </si>
  <si>
    <t>input.hydrogen</t>
  </si>
  <si>
    <t>output.kerosene</t>
  </si>
  <si>
    <t>output.diesel</t>
  </si>
  <si>
    <t>energy density H2</t>
  </si>
  <si>
    <t>energy density kerosene</t>
  </si>
  <si>
    <t>Produce</t>
  </si>
  <si>
    <t>Mt CO</t>
  </si>
  <si>
    <t>Mt kerosene</t>
  </si>
  <si>
    <t>Production</t>
  </si>
  <si>
    <t>Mt/day</t>
  </si>
  <si>
    <t>Mbbl/day</t>
  </si>
  <si>
    <t>For 50k bbl FT products/day</t>
  </si>
  <si>
    <t>NETL</t>
  </si>
  <si>
    <t>Power</t>
  </si>
  <si>
    <t>FT 32.2 MW</t>
  </si>
  <si>
    <t>B$</t>
  </si>
  <si>
    <t>NETL (w/o syngas prod.)</t>
  </si>
  <si>
    <t>Here, scaled</t>
  </si>
  <si>
    <t>Mwe here (scaled)</t>
  </si>
  <si>
    <t>Electricity consumption</t>
  </si>
  <si>
    <t>TWh</t>
  </si>
  <si>
    <t>Shares (partially) and cost estimate</t>
  </si>
  <si>
    <t>Costs, electricity requirements</t>
  </si>
  <si>
    <t>Investment, O&amp;M</t>
  </si>
  <si>
    <t>Quintel assumption: all output.diesel also is assumed as output.kerosene</t>
  </si>
  <si>
    <t xml:space="preserve">Power-to-Liquids Potentials and Perspectives for the Future Supply of Renewable Aviation Fuel.  </t>
  </si>
  <si>
    <t>DE</t>
  </si>
  <si>
    <t>Umwelt Bundesamt</t>
  </si>
  <si>
    <t xml:space="preserve"> Analysis of Natural Gas-to Liquid Transportation Fuels via Fischer-Tropsch</t>
  </si>
  <si>
    <t xml:space="preserve">NETL </t>
  </si>
  <si>
    <t>Gas to Liquids. Historical Developments and Future Prospects</t>
  </si>
  <si>
    <t>UK</t>
  </si>
  <si>
    <t xml:space="preserve">Oxford Energy Institute </t>
  </si>
  <si>
    <t>See https://github.com/quintel/documentation/blob/master/general/cost_calculations.md#weighted-average-cost-of-capital</t>
  </si>
  <si>
    <t>TWh/Mt CO</t>
  </si>
  <si>
    <t>TWh/Mt CO2</t>
  </si>
  <si>
    <t>Mt CO2</t>
  </si>
  <si>
    <t>kWh/t CO2</t>
  </si>
  <si>
    <t>Fischer Tropsch</t>
  </si>
  <si>
    <t>CO2 -&gt; CO PEM</t>
  </si>
  <si>
    <t>Totaal</t>
  </si>
  <si>
    <t>MJ/t CO2</t>
  </si>
  <si>
    <t>MJ/kg CO2</t>
  </si>
  <si>
    <t>ELEKTRICITEITSVRAAG</t>
  </si>
  <si>
    <t>WATERSTOFVRAAG</t>
  </si>
  <si>
    <t>-&gt;</t>
  </si>
  <si>
    <t>H20</t>
  </si>
  <si>
    <t>Mt H2 / Mt CO2</t>
  </si>
  <si>
    <t>Mt H2 / Mt CO</t>
  </si>
  <si>
    <t>kg H2 / kg CO2</t>
  </si>
  <si>
    <t>MJ H2 /kg CO2</t>
  </si>
  <si>
    <t>kg CO2 / MJ kerosine</t>
  </si>
  <si>
    <t>kg/MJ kerosine</t>
  </si>
  <si>
    <t>g/MJ kerosine</t>
  </si>
  <si>
    <t>mol/MJ kerosine</t>
  </si>
  <si>
    <t>mol CO2/MJ kerosine</t>
  </si>
  <si>
    <t>g CO2 / MJ kerosine</t>
  </si>
  <si>
    <t>PARAMETERS FOR PROCESS STEPS</t>
  </si>
  <si>
    <t>to</t>
  </si>
  <si>
    <t>CO2 Electrolysis (PEM)</t>
  </si>
  <si>
    <t>Overall lifetime</t>
  </si>
  <si>
    <t>Concentrated CO2</t>
  </si>
  <si>
    <t>Mt CO2/yr</t>
  </si>
  <si>
    <t>Efficiency</t>
  </si>
  <si>
    <t>Opus 12</t>
  </si>
  <si>
    <t>Yield</t>
  </si>
  <si>
    <t>Electricity req</t>
  </si>
  <si>
    <t>hrs</t>
  </si>
  <si>
    <t>Lifetime stack</t>
  </si>
  <si>
    <t>Lifetime rest</t>
  </si>
  <si>
    <t>Fraction for stack</t>
  </si>
  <si>
    <t>Overall cost</t>
  </si>
  <si>
    <t>€/kW</t>
  </si>
  <si>
    <t>euro/kW</t>
  </si>
  <si>
    <t>CO prod</t>
  </si>
  <si>
    <t>Mt/y</t>
  </si>
  <si>
    <t>GWh</t>
  </si>
  <si>
    <t>Peak factor</t>
  </si>
  <si>
    <t>O&amp;M</t>
  </si>
  <si>
    <t>Size</t>
  </si>
  <si>
    <t>PEM CO2</t>
  </si>
  <si>
    <t>Opus 12 uses PEM technology with a different catalyst layer at the cathode to convert CO2</t>
  </si>
  <si>
    <t>Reactions</t>
  </si>
  <si>
    <t>Anode</t>
  </si>
  <si>
    <t>2H2O -&gt; O2 + 4H+ + 4e-</t>
  </si>
  <si>
    <t>Cathode</t>
  </si>
  <si>
    <t>2CO2  + 4H+ +4e- -&gt; 2CO + 2H2O</t>
  </si>
  <si>
    <t>Net</t>
  </si>
  <si>
    <t>2CO2 -&gt; 2CO + O2</t>
  </si>
  <si>
    <t>reverse combustion'</t>
  </si>
  <si>
    <t>Can synthesize more complicated compounds this way</t>
  </si>
  <si>
    <t xml:space="preserve">Energy efficiency is </t>
  </si>
  <si>
    <t>55% currently, up to 75%</t>
  </si>
  <si>
    <t>kWh/L CO</t>
  </si>
  <si>
    <t>t CO2</t>
  </si>
  <si>
    <t>mol CO2</t>
  </si>
  <si>
    <t>Energy requirement is</t>
  </si>
  <si>
    <t>kL</t>
  </si>
  <si>
    <t>https://closingthecarboncycle.files.wordpress.com/2016/10/20160929-opus-12-closing-the-carbon-cycle.pdf</t>
  </si>
  <si>
    <t>kWh/ 510 kL</t>
  </si>
  <si>
    <t>kWh/t CO</t>
  </si>
  <si>
    <t>PEM-CO2&gt;CO</t>
  </si>
  <si>
    <t xml:space="preserve">Opus 12 </t>
  </si>
  <si>
    <t>Opportunities &amp; challenges in electrochemical CO2 utilization using a PEM electrolyzer</t>
  </si>
  <si>
    <t>Costs (except catalyst cost)</t>
  </si>
  <si>
    <t xml:space="preserve">ITM Power </t>
  </si>
  <si>
    <t>Scaling Electrolysis to 100 MW</t>
  </si>
  <si>
    <t>Investment costs</t>
  </si>
  <si>
    <t>Fuel cells and hydrogen joint undertaking</t>
  </si>
  <si>
    <t>EU</t>
  </si>
  <si>
    <t>http://refman.et-model.com/publications/2020</t>
  </si>
  <si>
    <t>http://www.fch.europa.eu/sites/default/files/study%20electrolyser_0-Logos_0.pdf</t>
  </si>
  <si>
    <t>Aalborg University</t>
  </si>
  <si>
    <t>DK</t>
  </si>
  <si>
    <t>http://refman.et-model.com/publications/2025</t>
  </si>
  <si>
    <t>http://vbn.aau.dk/files/80222058/Technology_data_for_SOEC_alkali_and_PEM_electrolysers.pdf</t>
  </si>
  <si>
    <t>PEM CO2 -&gt; CO</t>
  </si>
  <si>
    <t>CHEMICAL REACTION</t>
  </si>
  <si>
    <t>PEM</t>
  </si>
  <si>
    <t>Investment Fischer-Tropsch</t>
  </si>
  <si>
    <t>Opex Fischer Tropsch</t>
  </si>
  <si>
    <t>Fischer-Tropsch</t>
  </si>
  <si>
    <t>Capacity</t>
  </si>
  <si>
    <t>PJ</t>
  </si>
  <si>
    <t>Range</t>
  </si>
  <si>
    <t>0.17 - 570</t>
  </si>
  <si>
    <t>13-37</t>
  </si>
  <si>
    <t>OPEX</t>
  </si>
  <si>
    <t>mln euro/PJ</t>
  </si>
  <si>
    <t>0.65-1.85</t>
  </si>
  <si>
    <t>INPUT</t>
  </si>
  <si>
    <t>electricity</t>
  </si>
  <si>
    <t>hydrogen</t>
  </si>
  <si>
    <t>OUTPUT</t>
  </si>
  <si>
    <t>kerosene</t>
  </si>
  <si>
    <t>diesel</t>
  </si>
  <si>
    <t>other oil</t>
  </si>
  <si>
    <t>Total</t>
  </si>
  <si>
    <t>share</t>
  </si>
  <si>
    <t>Full load hours</t>
  </si>
  <si>
    <t>Capacity utilization factor</t>
  </si>
  <si>
    <t>Technical lifetime</t>
  </si>
  <si>
    <t xml:space="preserve">Progress ration </t>
  </si>
  <si>
    <t>MW</t>
  </si>
  <si>
    <t xml:space="preserve">Investment </t>
  </si>
  <si>
    <t>Hoeveel CO nodig voor 10 PJ olieproducten?</t>
  </si>
  <si>
    <t>PJ/year</t>
  </si>
  <si>
    <t>Capacity PEM</t>
  </si>
  <si>
    <t>MWh/year</t>
  </si>
  <si>
    <t>PEM electrolysis + Fischer-Tropsch</t>
  </si>
  <si>
    <t>hours</t>
  </si>
  <si>
    <t>The carbon conversion efficiency to fuels is 88%, the remaining 12% is converted into fuel that is not a FT fuel output (e.g. ethane/methane) and is used as purge gas and burned with air/oxygen to produce CO2 in a flue gas.</t>
  </si>
  <si>
    <t>kg/year</t>
  </si>
  <si>
    <t>ton/year</t>
  </si>
  <si>
    <t>electricty</t>
  </si>
  <si>
    <t>kWh</t>
  </si>
  <si>
    <t>kg/ton</t>
  </si>
  <si>
    <t>ton CO/ton CO2</t>
  </si>
  <si>
    <t>Mton/year</t>
  </si>
  <si>
    <t>total</t>
  </si>
  <si>
    <t>https://energy.nl/wp-content/uploads/2019/12/Technology-Factsheets-FT-fuel-production.pdf</t>
  </si>
  <si>
    <t>All specs</t>
  </si>
  <si>
    <t>Fischer-Tropsch fuel production</t>
  </si>
  <si>
    <t>NL</t>
  </si>
  <si>
    <t>TNO - Energy.nl</t>
  </si>
  <si>
    <t>TNO + other</t>
  </si>
  <si>
    <t>kg CO2/ MJ kerosene</t>
  </si>
  <si>
    <t xml:space="preserve">Totale input PEM en Fischer - Tropsch </t>
  </si>
  <si>
    <t>Source: Energy.nl</t>
  </si>
  <si>
    <t>A</t>
  </si>
  <si>
    <t>energy_production_synthetic_kerosene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</si>
</sst>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5">
    <numFmt numFmtId="164" formatCode="0.0"/>
    <numFmt numFmtId="165" formatCode="0.000"/>
    <numFmt numFmtId="166" formatCode="0.0000"/>
    <numFmt numFmtId="167" formatCode="0.00000"/>
    <numFmt numFmtId="168" formatCode="[$-413]mmm\-yy;@"/>
  </numFmts>
  <fonts count="43">
    <font>
      <sz val="12"/>
      <color theme="1"/>
      <name val="Lettertype hoofdtekst"/>
      <family val="2"/>
    </font>
    <font>
      <sz val="12"/>
      <color theme="1"/>
      <name val="Calibri"/>
      <family val="2"/>
      <scheme val="minor"/>
    </font>
    <font>
      <sz val="12"/>
      <color theme="1"/>
      <name val="Calibri"/>
      <family val="2"/>
      <scheme val="minor"/>
    </font>
    <font>
      <sz val="12"/>
      <color theme="1"/>
      <name val="Calibri"/>
      <family val="2"/>
      <scheme val="minor"/>
    </font>
    <font>
      <sz val="12"/>
      <color theme="1"/>
      <name val="Calibri"/>
      <family val="2"/>
      <scheme val="minor"/>
    </font>
    <font>
      <sz val="12"/>
      <color theme="1"/>
      <name val="Calibri"/>
      <family val="2"/>
      <scheme val="minor"/>
    </font>
    <font>
      <sz val="12"/>
      <color theme="1"/>
      <name val="Calibri"/>
      <family val="2"/>
      <scheme val="minor"/>
    </font>
    <font>
      <sz val="12"/>
      <color theme="1"/>
      <name val="Calibri"/>
      <family val="2"/>
      <scheme val="minor"/>
    </font>
    <font>
      <sz val="12"/>
      <color theme="1"/>
      <name val="Calibri"/>
      <family val="2"/>
      <scheme val="minor"/>
    </font>
    <font>
      <sz val="12"/>
      <color theme="1"/>
      <name val="Calibri"/>
      <family val="2"/>
      <scheme val="minor"/>
    </font>
    <font>
      <sz val="12"/>
      <color theme="1"/>
      <name val="Calibri"/>
      <family val="2"/>
      <scheme val="minor"/>
    </font>
    <font>
      <sz val="12"/>
      <color theme="1"/>
      <name val="Calibri"/>
      <family val="2"/>
      <scheme val="minor"/>
    </font>
    <font>
      <sz val="12"/>
      <color theme="1"/>
      <name val="Calibri"/>
      <family val="2"/>
      <scheme val="minor"/>
    </font>
    <font>
      <sz val="12"/>
      <color theme="1"/>
      <name val="Calibri"/>
      <family val="2"/>
      <scheme val="minor"/>
    </font>
    <font>
      <sz val="12"/>
      <color theme="1"/>
      <name val="Calibri"/>
      <family val="2"/>
      <scheme val="minor"/>
    </font>
    <font>
      <sz val="12"/>
      <color theme="1"/>
      <name val="Calibri"/>
      <family val="2"/>
      <scheme val="minor"/>
    </font>
    <font>
      <sz val="12"/>
      <color theme="1"/>
      <name val="Calibri"/>
      <family val="2"/>
      <scheme val="minor"/>
    </font>
    <font>
      <sz val="12"/>
      <color theme="1"/>
      <name val="Calibri"/>
      <family val="2"/>
      <scheme val="minor"/>
    </font>
    <font>
      <sz val="12"/>
      <color theme="1"/>
      <name val="Calibri"/>
      <family val="2"/>
      <scheme val="minor"/>
    </font>
    <font>
      <sz val="12"/>
      <color theme="1"/>
      <name val="Calibri"/>
      <family val="2"/>
      <scheme val="minor"/>
    </font>
    <font>
      <sz val="12"/>
      <color theme="1"/>
      <name val="Calibri"/>
      <family val="2"/>
      <scheme val="minor"/>
    </font>
    <font>
      <sz val="12"/>
      <color theme="1"/>
      <name val="Calibri"/>
      <family val="2"/>
      <scheme val="minor"/>
    </font>
    <font>
      <sz val="12"/>
      <color theme="1"/>
      <name val="Calibri"/>
      <family val="2"/>
      <scheme val="minor"/>
    </font>
    <font>
      <sz val="12"/>
      <color theme="1"/>
      <name val="Calibri"/>
      <family val="2"/>
      <scheme val="minor"/>
    </font>
    <font>
      <u/>
      <sz val="12"/>
      <color theme="10"/>
      <name val="Lettertype hoofdtekst"/>
      <family val="2"/>
    </font>
    <font>
      <u/>
      <sz val="12"/>
      <color theme="11"/>
      <name val="Lettertype hoofdtekst"/>
      <family val="2"/>
    </font>
    <font>
      <b/>
      <sz val="12"/>
      <color theme="1"/>
      <name val="Calibri"/>
      <family val="2"/>
      <scheme val="minor"/>
    </font>
    <font>
      <sz val="12"/>
      <color rgb="FF000000"/>
      <name val="Calibri"/>
      <family val="2"/>
      <scheme val="minor"/>
    </font>
    <font>
      <b/>
      <sz val="12"/>
      <color rgb="FF000000"/>
      <name val="Calibri"/>
      <family val="2"/>
      <scheme val="minor"/>
    </font>
    <font>
      <b/>
      <sz val="11"/>
      <color rgb="FF000000"/>
      <name val="Calibri"/>
      <family val="2"/>
      <scheme val="minor"/>
    </font>
    <font>
      <b/>
      <sz val="16"/>
      <color rgb="FF1F497D"/>
      <name val="Calibri"/>
      <family val="2"/>
      <scheme val="minor"/>
    </font>
    <font>
      <sz val="12"/>
      <name val="Calibri"/>
      <family val="2"/>
      <scheme val="minor"/>
    </font>
    <font>
      <b/>
      <sz val="12"/>
      <name val="Calibri"/>
      <family val="2"/>
      <scheme val="minor"/>
    </font>
    <font>
      <i/>
      <sz val="12"/>
      <color theme="1"/>
      <name val="Calibri"/>
      <family val="2"/>
      <scheme val="minor"/>
    </font>
    <font>
      <sz val="12"/>
      <color rgb="FF000000"/>
      <name val="Calibri"/>
      <family val="2"/>
    </font>
    <font>
      <sz val="8"/>
      <name val="Lettertype hoofdtekst"/>
      <family val="2"/>
    </font>
    <font>
      <sz val="10"/>
      <name val="Arial"/>
      <family val="2"/>
    </font>
    <font>
      <sz val="12"/>
      <name val="Calibri"/>
      <family val="2"/>
    </font>
    <font>
      <b/>
      <sz val="14"/>
      <color theme="1"/>
      <name val="Calibri"/>
      <family val="2"/>
      <scheme val="minor"/>
    </font>
    <font>
      <b/>
      <sz val="12"/>
      <color rgb="FFFF0000"/>
      <name val="Calibri"/>
      <family val="2"/>
      <scheme val="minor"/>
    </font>
    <font>
      <b/>
      <sz val="16"/>
      <color theme="0"/>
      <name val="Calibri"/>
      <family val="2"/>
      <scheme val="minor"/>
    </font>
    <font>
      <b/>
      <sz val="16"/>
      <name val="Calibri"/>
      <family val="2"/>
      <scheme val="minor"/>
    </font>
    <font>
      <b/>
      <sz val="14"/>
      <name val="Calibri"/>
      <family val="2"/>
      <scheme val="minor"/>
    </font>
  </fonts>
  <fills count="16">
    <fill>
      <patternFill patternType="none"/>
    </fill>
    <fill>
      <patternFill patternType="gray125"/>
    </fill>
    <fill>
      <patternFill patternType="solid">
        <fgColor theme="0"/>
        <bgColor indexed="64"/>
      </patternFill>
    </fill>
    <fill>
      <patternFill patternType="solid">
        <fgColor theme="0"/>
        <bgColor rgb="FF000000"/>
      </patternFill>
    </fill>
    <fill>
      <patternFill patternType="solid">
        <fgColor theme="2"/>
        <bgColor indexed="64"/>
      </patternFill>
    </fill>
    <fill>
      <patternFill patternType="solid">
        <fgColor rgb="FFFFFF00"/>
        <bgColor indexed="64"/>
      </patternFill>
    </fill>
    <fill>
      <patternFill patternType="solid">
        <fgColor theme="6" tint="0.39997558519241921"/>
        <bgColor indexed="64"/>
      </patternFill>
    </fill>
    <fill>
      <patternFill patternType="solid">
        <fgColor theme="6" tint="0.79998168889431442"/>
        <bgColor indexed="64"/>
      </patternFill>
    </fill>
    <fill>
      <patternFill patternType="solid">
        <fgColor theme="5" tint="0.39997558519241921"/>
        <bgColor indexed="64"/>
      </patternFill>
    </fill>
    <fill>
      <patternFill patternType="solid">
        <fgColor theme="8" tint="0.39997558519241921"/>
        <bgColor indexed="64"/>
      </patternFill>
    </fill>
    <fill>
      <patternFill patternType="solid">
        <fgColor theme="8" tint="0.79998168889431442"/>
        <bgColor indexed="64"/>
      </patternFill>
    </fill>
    <fill>
      <patternFill patternType="solid">
        <fgColor theme="7" tint="0.39997558519241921"/>
        <bgColor indexed="64"/>
      </patternFill>
    </fill>
    <fill>
      <patternFill patternType="solid">
        <fgColor rgb="FFFFFFFF"/>
        <bgColor rgb="FF000000"/>
      </patternFill>
    </fill>
    <fill>
      <patternFill patternType="solid">
        <fgColor indexed="65"/>
        <bgColor indexed="64"/>
      </patternFill>
    </fill>
    <fill>
      <patternFill patternType="solid">
        <fgColor theme="1"/>
        <bgColor indexed="64"/>
      </patternFill>
    </fill>
    <fill>
      <patternFill patternType="solid">
        <fgColor theme="2" tint="-0.499984740745262"/>
        <bgColor indexed="64"/>
      </patternFill>
    </fill>
  </fills>
  <borders count="29">
    <border>
      <left/>
      <right/>
      <top/>
      <bottom/>
      <diagonal/>
    </border>
    <border>
      <left style="thin">
        <color auto="1"/>
      </left>
      <right/>
      <top/>
      <bottom style="thin">
        <color auto="1"/>
      </bottom>
      <diagonal/>
    </border>
    <border>
      <left/>
      <right/>
      <top style="thin">
        <color auto="1"/>
      </top>
      <bottom/>
      <diagonal/>
    </border>
    <border>
      <left style="medium">
        <color auto="1"/>
      </left>
      <right/>
      <top style="medium">
        <color auto="1"/>
      </top>
      <bottom/>
      <diagonal/>
    </border>
    <border>
      <left/>
      <right/>
      <top style="medium">
        <color auto="1"/>
      </top>
      <bottom/>
      <diagonal/>
    </border>
    <border>
      <left/>
      <right style="medium">
        <color auto="1"/>
      </right>
      <top/>
      <bottom/>
      <diagonal/>
    </border>
    <border>
      <left style="medium">
        <color auto="1"/>
      </left>
      <right/>
      <top/>
      <bottom/>
      <diagonal/>
    </border>
    <border>
      <left style="thin">
        <color auto="1"/>
      </left>
      <right/>
      <top/>
      <bottom/>
      <diagonal/>
    </border>
    <border>
      <left/>
      <right style="thin">
        <color auto="1"/>
      </right>
      <top/>
      <bottom/>
      <diagonal/>
    </border>
    <border>
      <left/>
      <right/>
      <top/>
      <bottom style="thin">
        <color auto="1"/>
      </bottom>
      <diagonal/>
    </border>
    <border>
      <left style="medium">
        <color auto="1"/>
      </left>
      <right/>
      <top/>
      <bottom style="medium">
        <color auto="1"/>
      </bottom>
      <diagonal/>
    </border>
    <border>
      <left/>
      <right/>
      <top/>
      <bottom style="medium">
        <color auto="1"/>
      </bottom>
      <diagonal/>
    </border>
    <border>
      <left/>
      <right style="medium">
        <color auto="1"/>
      </right>
      <top/>
      <bottom style="medium">
        <color auto="1"/>
      </bottom>
      <diagonal/>
    </border>
    <border>
      <left/>
      <right style="thin">
        <color auto="1"/>
      </right>
      <top style="thin">
        <color auto="1"/>
      </top>
      <bottom/>
      <diagonal/>
    </border>
    <border>
      <left/>
      <right style="thin">
        <color auto="1"/>
      </right>
      <top/>
      <bottom style="thin">
        <color auto="1"/>
      </bottom>
      <diagonal/>
    </border>
    <border>
      <left/>
      <right style="medium">
        <color auto="1"/>
      </right>
      <top style="medium">
        <color auto="1"/>
      </top>
      <bottom/>
      <diagonal/>
    </border>
    <border>
      <left style="medium">
        <color auto="1"/>
      </left>
      <right/>
      <top/>
      <bottom style="thin">
        <color auto="1"/>
      </bottom>
      <diagonal/>
    </border>
    <border>
      <left style="thin">
        <color auto="1"/>
      </left>
      <right/>
      <top style="thin">
        <color auto="1"/>
      </top>
      <bottom/>
      <diagonal/>
    </border>
    <border>
      <left style="medium">
        <color auto="1"/>
      </left>
      <right style="medium">
        <color auto="1"/>
      </right>
      <top style="medium">
        <color auto="1"/>
      </top>
      <bottom style="medium">
        <color auto="1"/>
      </bottom>
      <diagonal/>
    </border>
    <border>
      <left/>
      <right style="medium">
        <color auto="1"/>
      </right>
      <top/>
      <bottom style="thin">
        <color auto="1"/>
      </bottom>
      <diagonal/>
    </border>
    <border>
      <left style="medium">
        <color auto="1"/>
      </left>
      <right style="medium">
        <color auto="1"/>
      </right>
      <top style="medium">
        <color auto="1"/>
      </top>
      <bottom/>
      <diagonal/>
    </border>
    <border>
      <left style="medium">
        <color auto="1"/>
      </left>
      <right style="medium">
        <color auto="1"/>
      </right>
      <top/>
      <bottom style="medium">
        <color auto="1"/>
      </bottom>
      <diagonal/>
    </border>
    <border>
      <left style="thin">
        <color theme="1"/>
      </left>
      <right style="thin">
        <color theme="1"/>
      </right>
      <top style="thin">
        <color theme="1"/>
      </top>
      <bottom style="thin">
        <color theme="1"/>
      </bottom>
      <diagonal/>
    </border>
    <border>
      <left style="thin">
        <color indexed="64"/>
      </left>
      <right style="thin">
        <color indexed="64"/>
      </right>
      <top style="thin">
        <color indexed="64"/>
      </top>
      <bottom style="thin">
        <color indexed="64"/>
      </bottom>
      <diagonal/>
    </border>
    <border>
      <left style="thin">
        <color theme="1"/>
      </left>
      <right style="thin">
        <color theme="1"/>
      </right>
      <top style="thin">
        <color theme="1"/>
      </top>
      <bottom/>
      <diagonal/>
    </border>
    <border>
      <left style="thin">
        <color indexed="64"/>
      </left>
      <right style="thin">
        <color indexed="64"/>
      </right>
      <top style="thin">
        <color indexed="64"/>
      </top>
      <bottom/>
      <diagonal/>
    </border>
    <border>
      <left style="thin">
        <color indexed="64"/>
      </left>
      <right style="thin">
        <color indexed="64"/>
      </right>
      <top/>
      <bottom/>
      <diagonal/>
    </border>
    <border>
      <left style="thin">
        <color indexed="64"/>
      </left>
      <right style="thin">
        <color indexed="64"/>
      </right>
      <top/>
      <bottom style="thin">
        <color indexed="64"/>
      </bottom>
      <diagonal/>
    </border>
    <border>
      <left style="medium">
        <color auto="1"/>
      </left>
      <right/>
      <top style="thin">
        <color indexed="64"/>
      </top>
      <bottom/>
      <diagonal/>
    </border>
  </borders>
  <cellStyleXfs count="496">
    <xf numFmtId="0" fontId="0" fillId="0" borderId="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36" fillId="0" borderId="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cellStyleXfs>
  <cellXfs count="225">
    <xf numFmtId="0" fontId="0" fillId="0" borderId="0" xfId="0"/>
    <xf numFmtId="0" fontId="27" fillId="3" borderId="7" xfId="0" applyFont="1" applyFill="1" applyBorder="1"/>
    <xf numFmtId="0" fontId="28" fillId="3" borderId="17" xfId="0" applyFont="1" applyFill="1" applyBorder="1"/>
    <xf numFmtId="0" fontId="27" fillId="3" borderId="13" xfId="0" applyFont="1" applyFill="1" applyBorder="1"/>
    <xf numFmtId="0" fontId="29" fillId="3" borderId="7" xfId="0" applyFont="1" applyFill="1" applyBorder="1" applyAlignment="1">
      <alignment vertical="center"/>
    </xf>
    <xf numFmtId="49" fontId="27" fillId="2" borderId="8" xfId="0" applyNumberFormat="1" applyFont="1" applyFill="1" applyBorder="1" applyAlignment="1">
      <alignment horizontal="left"/>
    </xf>
    <xf numFmtId="0" fontId="29" fillId="3" borderId="1" xfId="0" applyFont="1" applyFill="1" applyBorder="1" applyAlignment="1">
      <alignment vertical="center"/>
    </xf>
    <xf numFmtId="0" fontId="27" fillId="3" borderId="14" xfId="0" applyFont="1" applyFill="1" applyBorder="1"/>
    <xf numFmtId="0" fontId="27" fillId="3" borderId="0" xfId="0" applyFont="1" applyFill="1" applyBorder="1"/>
    <xf numFmtId="0" fontId="26" fillId="2" borderId="0" xfId="0" applyNumberFormat="1" applyFont="1" applyFill="1" applyBorder="1" applyAlignment="1" applyProtection="1">
      <alignment vertical="center"/>
    </xf>
    <xf numFmtId="1" fontId="26" fillId="2" borderId="0" xfId="0" applyNumberFormat="1" applyFont="1" applyFill="1" applyBorder="1" applyAlignment="1" applyProtection="1">
      <alignment horizontal="right" vertical="center"/>
    </xf>
    <xf numFmtId="2" fontId="26" fillId="2" borderId="0" xfId="0" applyNumberFormat="1" applyFont="1" applyFill="1" applyBorder="1" applyAlignment="1" applyProtection="1">
      <alignment horizontal="right" vertical="center"/>
    </xf>
    <xf numFmtId="0" fontId="26" fillId="2" borderId="0" xfId="0" applyFont="1" applyFill="1" applyBorder="1"/>
    <xf numFmtId="0" fontId="26" fillId="2" borderId="5" xfId="0" applyFont="1" applyFill="1" applyBorder="1"/>
    <xf numFmtId="0" fontId="26" fillId="2" borderId="9" xfId="0" applyFont="1" applyFill="1" applyBorder="1"/>
    <xf numFmtId="0" fontId="26" fillId="0" borderId="9" xfId="0" applyFont="1" applyFill="1" applyBorder="1"/>
    <xf numFmtId="0" fontId="28" fillId="0" borderId="9" xfId="0" applyFont="1" applyFill="1" applyBorder="1"/>
    <xf numFmtId="49" fontId="26" fillId="2" borderId="0" xfId="0" applyNumberFormat="1" applyFont="1" applyFill="1" applyBorder="1"/>
    <xf numFmtId="49" fontId="26" fillId="2" borderId="9" xfId="0" applyNumberFormat="1" applyFont="1" applyFill="1" applyBorder="1"/>
    <xf numFmtId="0" fontId="26" fillId="2" borderId="4" xfId="0" applyFont="1" applyFill="1" applyBorder="1"/>
    <xf numFmtId="0" fontId="28" fillId="0" borderId="0" xfId="0" applyFont="1" applyFill="1" applyBorder="1"/>
    <xf numFmtId="0" fontId="23" fillId="2" borderId="0" xfId="0" applyFont="1" applyFill="1" applyBorder="1"/>
    <xf numFmtId="0" fontId="27" fillId="0" borderId="0" xfId="0" applyFont="1" applyFill="1" applyBorder="1"/>
    <xf numFmtId="0" fontId="26" fillId="0" borderId="16" xfId="0" applyFont="1" applyFill="1" applyBorder="1"/>
    <xf numFmtId="0" fontId="26" fillId="2" borderId="6" xfId="0" applyFont="1" applyFill="1" applyBorder="1"/>
    <xf numFmtId="0" fontId="26" fillId="2" borderId="0" xfId="0" applyFont="1" applyFill="1"/>
    <xf numFmtId="0" fontId="27" fillId="3" borderId="17" xfId="0" applyFont="1" applyFill="1" applyBorder="1"/>
    <xf numFmtId="0" fontId="27" fillId="3" borderId="2" xfId="0" applyFont="1" applyFill="1" applyBorder="1"/>
    <xf numFmtId="0" fontId="23" fillId="2" borderId="2" xfId="0" applyFont="1" applyFill="1" applyBorder="1"/>
    <xf numFmtId="0" fontId="30" fillId="3" borderId="0" xfId="0" applyFont="1" applyFill="1" applyBorder="1"/>
    <xf numFmtId="0" fontId="23" fillId="2" borderId="7" xfId="0" applyFont="1" applyFill="1" applyBorder="1"/>
    <xf numFmtId="0" fontId="26" fillId="0" borderId="0" xfId="0" applyFont="1" applyFill="1" applyBorder="1"/>
    <xf numFmtId="0" fontId="28" fillId="3" borderId="0" xfId="0" applyFont="1" applyFill="1" applyBorder="1"/>
    <xf numFmtId="0" fontId="26" fillId="2" borderId="0" xfId="0" applyNumberFormat="1" applyFont="1" applyFill="1" applyBorder="1" applyAlignment="1" applyProtection="1">
      <alignment horizontal="left" vertical="center"/>
    </xf>
    <xf numFmtId="0" fontId="22" fillId="2" borderId="0" xfId="0" applyFont="1" applyFill="1"/>
    <xf numFmtId="0" fontId="22" fillId="2" borderId="0" xfId="0" applyFont="1" applyFill="1" applyBorder="1"/>
    <xf numFmtId="0" fontId="22" fillId="2" borderId="3" xfId="0" applyFont="1" applyFill="1" applyBorder="1"/>
    <xf numFmtId="0" fontId="22" fillId="2" borderId="15" xfId="0" applyFont="1" applyFill="1" applyBorder="1"/>
    <xf numFmtId="0" fontId="22" fillId="0" borderId="0" xfId="0" applyFont="1" applyFill="1" applyBorder="1"/>
    <xf numFmtId="0" fontId="22" fillId="2" borderId="6" xfId="0" applyFont="1" applyFill="1" applyBorder="1"/>
    <xf numFmtId="164" fontId="22" fillId="2" borderId="18" xfId="0" applyNumberFormat="1" applyFont="1" applyFill="1" applyBorder="1"/>
    <xf numFmtId="0" fontId="21" fillId="2" borderId="0" xfId="0" applyFont="1" applyFill="1"/>
    <xf numFmtId="0" fontId="21" fillId="2" borderId="3" xfId="0" applyFont="1" applyFill="1" applyBorder="1"/>
    <xf numFmtId="0" fontId="21" fillId="2" borderId="4" xfId="0" applyFont="1" applyFill="1" applyBorder="1"/>
    <xf numFmtId="0" fontId="21" fillId="2" borderId="6" xfId="0" applyFont="1" applyFill="1" applyBorder="1"/>
    <xf numFmtId="0" fontId="21" fillId="2" borderId="0" xfId="0" applyFont="1" applyFill="1" applyBorder="1"/>
    <xf numFmtId="2" fontId="21" fillId="2" borderId="0" xfId="0" applyNumberFormat="1" applyFont="1" applyFill="1" applyBorder="1" applyAlignment="1" applyProtection="1">
      <alignment horizontal="right" vertical="center"/>
    </xf>
    <xf numFmtId="2" fontId="21" fillId="2" borderId="0" xfId="0" applyNumberFormat="1" applyFont="1" applyFill="1"/>
    <xf numFmtId="10" fontId="21" fillId="2" borderId="0" xfId="0" applyNumberFormat="1" applyFont="1" applyFill="1" applyBorder="1" applyAlignment="1" applyProtection="1">
      <alignment horizontal="left" vertical="center" indent="2"/>
    </xf>
    <xf numFmtId="0" fontId="20" fillId="0" borderId="0" xfId="0" applyFont="1" applyFill="1"/>
    <xf numFmtId="0" fontId="19" fillId="0" borderId="0" xfId="0" applyFont="1" applyFill="1"/>
    <xf numFmtId="0" fontId="18" fillId="2" borderId="0" xfId="0" applyFont="1" applyFill="1" applyBorder="1"/>
    <xf numFmtId="0" fontId="18" fillId="2" borderId="0" xfId="0" applyFont="1" applyFill="1"/>
    <xf numFmtId="0" fontId="18" fillId="2" borderId="3" xfId="0" applyFont="1" applyFill="1" applyBorder="1"/>
    <xf numFmtId="0" fontId="18" fillId="2" borderId="4" xfId="0" applyFont="1" applyFill="1" applyBorder="1"/>
    <xf numFmtId="0" fontId="18" fillId="2" borderId="6" xfId="0" applyFont="1" applyFill="1" applyBorder="1"/>
    <xf numFmtId="49" fontId="18" fillId="2" borderId="0" xfId="0" applyNumberFormat="1" applyFont="1" applyFill="1"/>
    <xf numFmtId="49" fontId="18" fillId="2" borderId="4" xfId="0" applyNumberFormat="1" applyFont="1" applyFill="1" applyBorder="1"/>
    <xf numFmtId="49" fontId="18" fillId="2" borderId="0" xfId="0" applyNumberFormat="1" applyFont="1" applyFill="1" applyBorder="1"/>
    <xf numFmtId="0" fontId="18" fillId="2" borderId="16" xfId="0" applyFont="1" applyFill="1" applyBorder="1"/>
    <xf numFmtId="0" fontId="31" fillId="2" borderId="0" xfId="0" applyFont="1" applyFill="1"/>
    <xf numFmtId="0" fontId="31" fillId="2" borderId="3" xfId="0" applyFont="1" applyFill="1" applyBorder="1"/>
    <xf numFmtId="0" fontId="31" fillId="2" borderId="4" xfId="0" applyFont="1" applyFill="1" applyBorder="1"/>
    <xf numFmtId="0" fontId="31" fillId="2" borderId="15" xfId="0" applyFont="1" applyFill="1" applyBorder="1"/>
    <xf numFmtId="0" fontId="32" fillId="2" borderId="0" xfId="0" applyFont="1" applyFill="1"/>
    <xf numFmtId="0" fontId="31" fillId="2" borderId="9" xfId="0" applyFont="1" applyFill="1" applyBorder="1"/>
    <xf numFmtId="0" fontId="31" fillId="2" borderId="6" xfId="0" applyFont="1" applyFill="1" applyBorder="1"/>
    <xf numFmtId="0" fontId="31" fillId="2" borderId="0" xfId="0" applyFont="1" applyFill="1" applyBorder="1"/>
    <xf numFmtId="0" fontId="32" fillId="2" borderId="9" xfId="0" applyFont="1" applyFill="1" applyBorder="1"/>
    <xf numFmtId="0" fontId="26" fillId="2" borderId="17" xfId="0" applyFont="1" applyFill="1" applyBorder="1"/>
    <xf numFmtId="0" fontId="17" fillId="2" borderId="2" xfId="0" applyFont="1" applyFill="1" applyBorder="1"/>
    <xf numFmtId="0" fontId="26" fillId="2" borderId="7" xfId="0" applyFont="1" applyFill="1" applyBorder="1"/>
    <xf numFmtId="0" fontId="17" fillId="2" borderId="0" xfId="0" applyFont="1" applyFill="1" applyBorder="1"/>
    <xf numFmtId="0" fontId="33" fillId="2" borderId="0" xfId="0" applyFont="1" applyFill="1" applyBorder="1"/>
    <xf numFmtId="0" fontId="17" fillId="2" borderId="18" xfId="0" applyFont="1" applyFill="1" applyBorder="1"/>
    <xf numFmtId="0" fontId="17" fillId="4" borderId="0" xfId="0" applyFont="1" applyFill="1" applyBorder="1"/>
    <xf numFmtId="0" fontId="17" fillId="5" borderId="0" xfId="0" applyFont="1" applyFill="1" applyBorder="1"/>
    <xf numFmtId="0" fontId="17" fillId="6" borderId="0" xfId="0" applyFont="1" applyFill="1" applyBorder="1"/>
    <xf numFmtId="0" fontId="17" fillId="7" borderId="0" xfId="0" applyFont="1" applyFill="1" applyBorder="1"/>
    <xf numFmtId="0" fontId="17" fillId="2" borderId="7" xfId="0" applyFont="1" applyFill="1" applyBorder="1"/>
    <xf numFmtId="0" fontId="17" fillId="8" borderId="0" xfId="0" applyFont="1" applyFill="1" applyBorder="1"/>
    <xf numFmtId="0" fontId="17" fillId="9" borderId="0" xfId="0" applyFont="1" applyFill="1" applyBorder="1"/>
    <xf numFmtId="0" fontId="17" fillId="10" borderId="0" xfId="0" applyFont="1" applyFill="1" applyBorder="1"/>
    <xf numFmtId="0" fontId="17" fillId="11" borderId="0" xfId="0" applyFont="1" applyFill="1" applyBorder="1"/>
    <xf numFmtId="0" fontId="26" fillId="2" borderId="9" xfId="0" applyNumberFormat="1" applyFont="1" applyFill="1" applyBorder="1" applyAlignment="1" applyProtection="1">
      <alignment vertical="center"/>
    </xf>
    <xf numFmtId="165" fontId="21" fillId="2" borderId="0" xfId="0" applyNumberFormat="1" applyFont="1" applyFill="1" applyBorder="1" applyAlignment="1" applyProtection="1">
      <alignment vertical="center"/>
    </xf>
    <xf numFmtId="0" fontId="26" fillId="2" borderId="19" xfId="0" applyFont="1" applyFill="1" applyBorder="1"/>
    <xf numFmtId="0" fontId="22" fillId="2" borderId="5" xfId="0" applyFont="1" applyFill="1" applyBorder="1"/>
    <xf numFmtId="0" fontId="27" fillId="2" borderId="0" xfId="0" applyFont="1" applyFill="1" applyBorder="1"/>
    <xf numFmtId="0" fontId="32" fillId="2" borderId="16" xfId="0" applyFont="1" applyFill="1" applyBorder="1"/>
    <xf numFmtId="0" fontId="31" fillId="2" borderId="19" xfId="0" applyFont="1" applyFill="1" applyBorder="1"/>
    <xf numFmtId="0" fontId="16" fillId="0" borderId="0" xfId="0" applyFont="1" applyFill="1"/>
    <xf numFmtId="0" fontId="15" fillId="0" borderId="0" xfId="0" applyFont="1" applyFill="1" applyBorder="1"/>
    <xf numFmtId="0" fontId="15" fillId="2" borderId="18" xfId="0" applyFont="1" applyFill="1" applyBorder="1"/>
    <xf numFmtId="0" fontId="15" fillId="2" borderId="0" xfId="0" applyFont="1" applyFill="1"/>
    <xf numFmtId="0" fontId="15" fillId="2" borderId="6" xfId="0" applyFont="1" applyFill="1" applyBorder="1"/>
    <xf numFmtId="0" fontId="15" fillId="2" borderId="5" xfId="0" applyFont="1" applyFill="1" applyBorder="1"/>
    <xf numFmtId="164" fontId="15" fillId="2" borderId="18" xfId="0" applyNumberFormat="1" applyFont="1" applyFill="1" applyBorder="1"/>
    <xf numFmtId="0" fontId="15" fillId="2" borderId="0" xfId="0" applyFont="1" applyFill="1" applyBorder="1"/>
    <xf numFmtId="2" fontId="15" fillId="2" borderId="0" xfId="0" applyNumberFormat="1" applyFont="1" applyFill="1" applyBorder="1"/>
    <xf numFmtId="164" fontId="15" fillId="2" borderId="0" xfId="0" applyNumberFormat="1" applyFont="1" applyFill="1" applyBorder="1"/>
    <xf numFmtId="0" fontId="15" fillId="2" borderId="10" xfId="0" applyFont="1" applyFill="1" applyBorder="1"/>
    <xf numFmtId="0" fontId="15" fillId="2" borderId="11" xfId="0" applyFont="1" applyFill="1" applyBorder="1"/>
    <xf numFmtId="0" fontId="15" fillId="2" borderId="12" xfId="0" applyFont="1" applyFill="1" applyBorder="1"/>
    <xf numFmtId="2" fontId="15" fillId="2" borderId="0" xfId="0" applyNumberFormat="1" applyFont="1" applyFill="1" applyBorder="1" applyAlignment="1" applyProtection="1">
      <alignment horizontal="right" vertical="center"/>
    </xf>
    <xf numFmtId="1" fontId="15" fillId="2" borderId="0" xfId="0" applyNumberFormat="1" applyFont="1" applyFill="1" applyBorder="1" applyAlignment="1" applyProtection="1">
      <alignment horizontal="right" vertical="center"/>
    </xf>
    <xf numFmtId="2" fontId="15" fillId="2" borderId="18" xfId="0" applyNumberFormat="1" applyFont="1" applyFill="1" applyBorder="1" applyAlignment="1" applyProtection="1">
      <alignment horizontal="right" vertical="center"/>
    </xf>
    <xf numFmtId="0" fontId="15" fillId="0" borderId="0" xfId="0" applyFont="1" applyFill="1"/>
    <xf numFmtId="167" fontId="15" fillId="2" borderId="18" xfId="0" applyNumberFormat="1" applyFont="1" applyFill="1" applyBorder="1"/>
    <xf numFmtId="1" fontId="31" fillId="2" borderId="0" xfId="0" applyNumberFormat="1" applyFont="1" applyFill="1"/>
    <xf numFmtId="166" fontId="22" fillId="2" borderId="6" xfId="0" applyNumberFormat="1" applyFont="1" applyFill="1" applyBorder="1"/>
    <xf numFmtId="166" fontId="15" fillId="0" borderId="0" xfId="0" applyNumberFormat="1" applyFont="1" applyFill="1" applyBorder="1"/>
    <xf numFmtId="166" fontId="27" fillId="0" borderId="0" xfId="0" applyNumberFormat="1" applyFont="1" applyFill="1" applyBorder="1"/>
    <xf numFmtId="166" fontId="22" fillId="0" borderId="0" xfId="0" applyNumberFormat="1" applyFont="1" applyFill="1" applyBorder="1"/>
    <xf numFmtId="166" fontId="22" fillId="2" borderId="5" xfId="0" applyNumberFormat="1" applyFont="1" applyFill="1" applyBorder="1"/>
    <xf numFmtId="0" fontId="34" fillId="0" borderId="0" xfId="0" applyFont="1"/>
    <xf numFmtId="166" fontId="14" fillId="0" borderId="0" xfId="0" applyNumberFormat="1" applyFont="1" applyFill="1" applyBorder="1"/>
    <xf numFmtId="0" fontId="14" fillId="0" borderId="0" xfId="0" applyFont="1" applyFill="1" applyBorder="1"/>
    <xf numFmtId="0" fontId="13" fillId="2" borderId="0" xfId="0" applyFont="1" applyFill="1"/>
    <xf numFmtId="0" fontId="13" fillId="2" borderId="6" xfId="0" applyFont="1" applyFill="1" applyBorder="1"/>
    <xf numFmtId="2" fontId="13" fillId="2" borderId="18" xfId="0" applyNumberFormat="1" applyFont="1" applyFill="1" applyBorder="1" applyAlignment="1" applyProtection="1">
      <alignment horizontal="right" vertical="center"/>
    </xf>
    <xf numFmtId="2" fontId="13" fillId="2" borderId="0" xfId="0" applyNumberFormat="1" applyFont="1" applyFill="1" applyBorder="1"/>
    <xf numFmtId="0" fontId="13" fillId="0" borderId="0" xfId="0" applyFont="1" applyFill="1"/>
    <xf numFmtId="166" fontId="13" fillId="2" borderId="18" xfId="0" applyNumberFormat="1" applyFont="1" applyFill="1" applyBorder="1"/>
    <xf numFmtId="166" fontId="12" fillId="0" borderId="0" xfId="0" applyNumberFormat="1" applyFont="1" applyFill="1" applyBorder="1"/>
    <xf numFmtId="0" fontId="37" fillId="12" borderId="0" xfId="0" applyFont="1" applyFill="1"/>
    <xf numFmtId="0" fontId="37" fillId="12" borderId="6" xfId="0" applyFont="1" applyFill="1" applyBorder="1"/>
    <xf numFmtId="0" fontId="11" fillId="0" borderId="0" xfId="0" applyFont="1" applyFill="1" applyBorder="1"/>
    <xf numFmtId="2" fontId="21" fillId="2" borderId="18" xfId="0" applyNumberFormat="1" applyFont="1" applyFill="1" applyBorder="1" applyAlignment="1" applyProtection="1">
      <alignment horizontal="right" vertical="center"/>
    </xf>
    <xf numFmtId="2" fontId="15" fillId="2" borderId="20" xfId="0" applyNumberFormat="1" applyFont="1" applyFill="1" applyBorder="1" applyAlignment="1" applyProtection="1">
      <alignment horizontal="right" vertical="center"/>
    </xf>
    <xf numFmtId="2" fontId="15" fillId="2" borderId="0" xfId="0" applyNumberFormat="1" applyFont="1" applyFill="1"/>
    <xf numFmtId="0" fontId="34" fillId="12" borderId="18" xfId="0" applyFont="1" applyFill="1" applyBorder="1"/>
    <xf numFmtId="166" fontId="10" fillId="2" borderId="18" xfId="0" applyNumberFormat="1" applyFont="1" applyFill="1" applyBorder="1"/>
    <xf numFmtId="0" fontId="9" fillId="2" borderId="18" xfId="0" applyFont="1" applyFill="1" applyBorder="1"/>
    <xf numFmtId="0" fontId="26" fillId="13" borderId="0" xfId="0" applyFont="1" applyFill="1" applyBorder="1"/>
    <xf numFmtId="0" fontId="8" fillId="2" borderId="0" xfId="0" applyFont="1" applyFill="1" applyAlignment="1">
      <alignment vertical="center"/>
    </xf>
    <xf numFmtId="0" fontId="8" fillId="2" borderId="6" xfId="0" applyFont="1" applyFill="1" applyBorder="1" applyAlignment="1">
      <alignment vertical="center"/>
    </xf>
    <xf numFmtId="0" fontId="8" fillId="0" borderId="0" xfId="0" applyFont="1" applyFill="1" applyBorder="1" applyAlignment="1">
      <alignment vertical="center"/>
    </xf>
    <xf numFmtId="0" fontId="27" fillId="0" borderId="0" xfId="0" applyFont="1" applyFill="1" applyBorder="1" applyAlignment="1">
      <alignment vertical="center"/>
    </xf>
    <xf numFmtId="166" fontId="8" fillId="2" borderId="18" xfId="0" applyNumberFormat="1" applyFont="1" applyFill="1" applyBorder="1"/>
    <xf numFmtId="0" fontId="8" fillId="2" borderId="18" xfId="0" applyFont="1" applyFill="1" applyBorder="1" applyAlignment="1">
      <alignment vertical="center"/>
    </xf>
    <xf numFmtId="0" fontId="8" fillId="2" borderId="5" xfId="0" applyFont="1" applyFill="1" applyBorder="1" applyAlignment="1">
      <alignment vertical="center"/>
    </xf>
    <xf numFmtId="0" fontId="8" fillId="2" borderId="0" xfId="0" applyFont="1" applyFill="1" applyBorder="1" applyAlignment="1">
      <alignment vertical="center"/>
    </xf>
    <xf numFmtId="164" fontId="8" fillId="2" borderId="18" xfId="0" applyNumberFormat="1" applyFont="1" applyFill="1" applyBorder="1"/>
    <xf numFmtId="0" fontId="38" fillId="2" borderId="0" xfId="0" applyFont="1" applyFill="1" applyAlignment="1">
      <alignment vertical="center"/>
    </xf>
    <xf numFmtId="0" fontId="26" fillId="2" borderId="6" xfId="0" applyFont="1" applyFill="1" applyBorder="1" applyAlignment="1">
      <alignment vertical="center"/>
    </xf>
    <xf numFmtId="2" fontId="8" fillId="2" borderId="18" xfId="0" applyNumberFormat="1" applyFont="1" applyFill="1" applyBorder="1" applyAlignment="1">
      <alignment vertical="center"/>
    </xf>
    <xf numFmtId="0" fontId="26" fillId="0" borderId="0" xfId="0" applyFont="1" applyFill="1" applyBorder="1" applyAlignment="1">
      <alignment vertical="center"/>
    </xf>
    <xf numFmtId="0" fontId="38" fillId="2" borderId="5" xfId="0" applyFont="1" applyFill="1" applyBorder="1" applyAlignment="1">
      <alignment vertical="center"/>
    </xf>
    <xf numFmtId="0" fontId="32" fillId="2" borderId="6" xfId="0" applyFont="1" applyFill="1" applyBorder="1"/>
    <xf numFmtId="0" fontId="32" fillId="2" borderId="0" xfId="0" applyFont="1" applyFill="1" applyBorder="1"/>
    <xf numFmtId="2" fontId="26" fillId="13" borderId="0" xfId="0" applyNumberFormat="1" applyFont="1" applyFill="1" applyBorder="1"/>
    <xf numFmtId="0" fontId="0" fillId="13" borderId="0" xfId="0" applyFill="1" applyBorder="1"/>
    <xf numFmtId="1" fontId="15" fillId="2" borderId="18" xfId="0" applyNumberFormat="1" applyFont="1" applyFill="1" applyBorder="1" applyAlignment="1" applyProtection="1">
      <alignment horizontal="right" vertical="center"/>
    </xf>
    <xf numFmtId="0" fontId="21" fillId="2" borderId="18" xfId="0" applyFont="1" applyFill="1" applyBorder="1"/>
    <xf numFmtId="2" fontId="21" fillId="2" borderId="18" xfId="0" applyNumberFormat="1" applyFont="1" applyFill="1" applyBorder="1"/>
    <xf numFmtId="2" fontId="9" fillId="2" borderId="18" xfId="0" applyNumberFormat="1" applyFont="1" applyFill="1" applyBorder="1"/>
    <xf numFmtId="2" fontId="26" fillId="2" borderId="18" xfId="0" applyNumberFormat="1" applyFont="1" applyFill="1" applyBorder="1" applyAlignment="1" applyProtection="1">
      <alignment horizontal="right" vertical="center"/>
    </xf>
    <xf numFmtId="2" fontId="31" fillId="2" borderId="0" xfId="0" applyNumberFormat="1" applyFont="1" applyFill="1" applyBorder="1"/>
    <xf numFmtId="0" fontId="32" fillId="2" borderId="7" xfId="0" applyFont="1" applyFill="1" applyBorder="1"/>
    <xf numFmtId="2" fontId="32" fillId="2" borderId="0" xfId="0" applyNumberFormat="1" applyFont="1" applyFill="1" applyBorder="1"/>
    <xf numFmtId="0" fontId="7" fillId="0" borderId="0" xfId="0" applyFont="1" applyFill="1" applyBorder="1" applyAlignment="1">
      <alignment vertical="center"/>
    </xf>
    <xf numFmtId="0" fontId="7" fillId="0" borderId="0" xfId="0" applyFont="1" applyFill="1" applyBorder="1"/>
    <xf numFmtId="165" fontId="31" fillId="2" borderId="0" xfId="0" applyNumberFormat="1" applyFont="1" applyFill="1" applyBorder="1"/>
    <xf numFmtId="165" fontId="32" fillId="2" borderId="0" xfId="0" applyNumberFormat="1" applyFont="1" applyFill="1" applyBorder="1"/>
    <xf numFmtId="0" fontId="32" fillId="2" borderId="22" xfId="0" applyFont="1" applyFill="1" applyBorder="1"/>
    <xf numFmtId="165" fontId="32" fillId="2" borderId="22" xfId="0" applyNumberFormat="1" applyFont="1" applyFill="1" applyBorder="1"/>
    <xf numFmtId="0" fontId="6" fillId="2" borderId="0" xfId="0" applyFont="1" applyFill="1"/>
    <xf numFmtId="2" fontId="15" fillId="2" borderId="18" xfId="0" applyNumberFormat="1" applyFont="1" applyFill="1" applyBorder="1"/>
    <xf numFmtId="0" fontId="5" fillId="2" borderId="0" xfId="0" applyFont="1" applyFill="1"/>
    <xf numFmtId="0" fontId="4" fillId="2" borderId="0" xfId="0" applyFont="1" applyFill="1"/>
    <xf numFmtId="165" fontId="31" fillId="2" borderId="0" xfId="0" applyNumberFormat="1" applyFont="1" applyFill="1"/>
    <xf numFmtId="0" fontId="32" fillId="2" borderId="0" xfId="0" applyFont="1" applyFill="1" applyBorder="1" applyAlignment="1">
      <alignment horizontal="left"/>
    </xf>
    <xf numFmtId="0" fontId="32" fillId="2" borderId="0" xfId="0" quotePrefix="1" applyFont="1" applyFill="1" applyBorder="1" applyAlignment="1">
      <alignment horizontal="left"/>
    </xf>
    <xf numFmtId="2" fontId="39" fillId="2" borderId="0" xfId="0" applyNumberFormat="1" applyFont="1" applyFill="1"/>
    <xf numFmtId="0" fontId="32" fillId="2" borderId="0" xfId="0" quotePrefix="1" applyFont="1" applyFill="1" applyBorder="1"/>
    <xf numFmtId="0" fontId="3" fillId="0" borderId="0" xfId="0" applyFont="1"/>
    <xf numFmtId="0" fontId="40" fillId="14" borderId="0" xfId="0" applyFont="1" applyFill="1" applyAlignment="1">
      <alignment horizontal="center"/>
    </xf>
    <xf numFmtId="0" fontId="0" fillId="13" borderId="0" xfId="0" applyFill="1"/>
    <xf numFmtId="0" fontId="40" fillId="15" borderId="0" xfId="0" applyFont="1" applyFill="1" applyAlignment="1">
      <alignment horizontal="center"/>
    </xf>
    <xf numFmtId="0" fontId="31" fillId="2" borderId="2" xfId="0" applyFont="1" applyFill="1" applyBorder="1"/>
    <xf numFmtId="0" fontId="31" fillId="2" borderId="13" xfId="0" applyFont="1" applyFill="1" applyBorder="1"/>
    <xf numFmtId="0" fontId="32" fillId="2" borderId="17" xfId="0" applyFont="1" applyFill="1" applyBorder="1"/>
    <xf numFmtId="0" fontId="32" fillId="2" borderId="2" xfId="0" applyFont="1" applyFill="1" applyBorder="1"/>
    <xf numFmtId="0" fontId="31" fillId="2" borderId="8" xfId="0" applyFont="1" applyFill="1" applyBorder="1"/>
    <xf numFmtId="0" fontId="31" fillId="2" borderId="7" xfId="0" applyFont="1" applyFill="1" applyBorder="1"/>
    <xf numFmtId="2" fontId="31" fillId="2" borderId="0" xfId="0" applyNumberFormat="1" applyFont="1" applyFill="1"/>
    <xf numFmtId="0" fontId="31" fillId="5" borderId="0" xfId="0" applyFont="1" applyFill="1"/>
    <xf numFmtId="0" fontId="31" fillId="2" borderId="14" xfId="0" applyFont="1" applyFill="1" applyBorder="1"/>
    <xf numFmtId="0" fontId="31" fillId="2" borderId="1" xfId="0" applyFont="1" applyFill="1" applyBorder="1"/>
    <xf numFmtId="0" fontId="41" fillId="2" borderId="0" xfId="0" applyFont="1" applyFill="1"/>
    <xf numFmtId="2" fontId="32" fillId="2" borderId="0" xfId="0" applyNumberFormat="1" applyFont="1" applyFill="1"/>
    <xf numFmtId="0" fontId="3" fillId="2" borderId="0" xfId="0" applyFont="1" applyFill="1"/>
    <xf numFmtId="168" fontId="3" fillId="2" borderId="0" xfId="0" applyNumberFormat="1" applyFont="1" applyFill="1"/>
    <xf numFmtId="49" fontId="3" fillId="2" borderId="0" xfId="0" applyNumberFormat="1" applyFont="1" applyFill="1"/>
    <xf numFmtId="0" fontId="34" fillId="12" borderId="0" xfId="0" applyFont="1" applyFill="1"/>
    <xf numFmtId="17" fontId="34" fillId="12" borderId="0" xfId="0" applyNumberFormat="1" applyFont="1" applyFill="1" applyAlignment="1">
      <alignment horizontal="right"/>
    </xf>
    <xf numFmtId="49" fontId="34" fillId="12" borderId="0" xfId="0" applyNumberFormat="1" applyFont="1" applyFill="1"/>
    <xf numFmtId="17" fontId="3" fillId="2" borderId="0" xfId="0" applyNumberFormat="1" applyFont="1" applyFill="1" applyAlignment="1">
      <alignment horizontal="right"/>
    </xf>
    <xf numFmtId="0" fontId="32" fillId="2" borderId="24" xfId="0" applyFont="1" applyFill="1" applyBorder="1"/>
    <xf numFmtId="9" fontId="31" fillId="2" borderId="0" xfId="0" applyNumberFormat="1" applyFont="1" applyFill="1" applyBorder="1"/>
    <xf numFmtId="0" fontId="31" fillId="2" borderId="0" xfId="0" applyNumberFormat="1" applyFont="1" applyFill="1" applyBorder="1"/>
    <xf numFmtId="0" fontId="32" fillId="2" borderId="0" xfId="0" applyNumberFormat="1" applyFont="1" applyFill="1" applyBorder="1"/>
    <xf numFmtId="0" fontId="31" fillId="2" borderId="23" xfId="0" applyFont="1" applyFill="1" applyBorder="1"/>
    <xf numFmtId="0" fontId="31" fillId="2" borderId="25" xfId="0" applyNumberFormat="1" applyFont="1" applyFill="1" applyBorder="1"/>
    <xf numFmtId="0" fontId="31" fillId="2" borderId="26" xfId="0" applyNumberFormat="1" applyFont="1" applyFill="1" applyBorder="1"/>
    <xf numFmtId="0" fontId="31" fillId="2" borderId="27" xfId="0" applyNumberFormat="1" applyFont="1" applyFill="1" applyBorder="1"/>
    <xf numFmtId="0" fontId="31" fillId="2" borderId="25" xfId="0" applyFont="1" applyFill="1" applyBorder="1"/>
    <xf numFmtId="0" fontId="31" fillId="2" borderId="26" xfId="0" applyFont="1" applyFill="1" applyBorder="1"/>
    <xf numFmtId="0" fontId="31" fillId="2" borderId="27" xfId="0" applyFont="1" applyFill="1" applyBorder="1"/>
    <xf numFmtId="0" fontId="39" fillId="2" borderId="0" xfId="0" applyFont="1" applyFill="1" applyBorder="1"/>
    <xf numFmtId="1" fontId="31" fillId="2" borderId="0" xfId="0" applyNumberFormat="1" applyFont="1" applyFill="1" applyBorder="1"/>
    <xf numFmtId="0" fontId="32" fillId="2" borderId="28" xfId="0" applyFont="1" applyFill="1" applyBorder="1"/>
    <xf numFmtId="0" fontId="2" fillId="2" borderId="0" xfId="0" applyFont="1" applyFill="1"/>
    <xf numFmtId="1" fontId="21" fillId="2" borderId="21" xfId="0" applyNumberFormat="1" applyFont="1" applyFill="1" applyBorder="1"/>
    <xf numFmtId="0" fontId="42" fillId="2" borderId="0" xfId="0" applyFont="1" applyFill="1" applyBorder="1"/>
    <xf numFmtId="0" fontId="34" fillId="12" borderId="17" xfId="0" applyFont="1" applyFill="1" applyBorder="1" applyAlignment="1">
      <alignment horizontal="left" vertical="top" wrapText="1"/>
    </xf>
    <xf numFmtId="0" fontId="34" fillId="12" borderId="2" xfId="0" applyFont="1" applyFill="1" applyBorder="1" applyAlignment="1">
      <alignment horizontal="left" vertical="top" wrapText="1"/>
    </xf>
    <xf numFmtId="0" fontId="34" fillId="12" borderId="13" xfId="0" applyFont="1" applyFill="1" applyBorder="1" applyAlignment="1">
      <alignment horizontal="left" vertical="top" wrapText="1"/>
    </xf>
    <xf numFmtId="0" fontId="34" fillId="12" borderId="7" xfId="0" applyFont="1" applyFill="1" applyBorder="1" applyAlignment="1">
      <alignment horizontal="left" vertical="top" wrapText="1"/>
    </xf>
    <xf numFmtId="0" fontId="34" fillId="12" borderId="0" xfId="0" applyFont="1" applyFill="1" applyBorder="1" applyAlignment="1">
      <alignment horizontal="left" vertical="top" wrapText="1"/>
    </xf>
    <xf numFmtId="0" fontId="34" fillId="12" borderId="8" xfId="0" applyFont="1" applyFill="1" applyBorder="1" applyAlignment="1">
      <alignment horizontal="left" vertical="top" wrapText="1"/>
    </xf>
    <xf numFmtId="0" fontId="34" fillId="12" borderId="1" xfId="0" applyFont="1" applyFill="1" applyBorder="1" applyAlignment="1">
      <alignment horizontal="left" vertical="top" wrapText="1"/>
    </xf>
    <xf numFmtId="0" fontId="34" fillId="12" borderId="9" xfId="0" applyFont="1" applyFill="1" applyBorder="1" applyAlignment="1">
      <alignment horizontal="left" vertical="top" wrapText="1"/>
    </xf>
    <xf numFmtId="0" fontId="34" fillId="12" borderId="14" xfId="0" applyFont="1" applyFill="1" applyBorder="1" applyAlignment="1">
      <alignment horizontal="left" vertical="top" wrapText="1"/>
    </xf>
  </cellXfs>
  <cellStyles count="496">
    <cellStyle name="Followed Hyperlink" xfId="2" builtinId="9" hidden="1"/>
    <cellStyle name="Followed Hyperlink" xfId="4" builtinId="9" hidden="1"/>
    <cellStyle name="Followed Hyperlink" xfId="6" builtinId="9" hidden="1"/>
    <cellStyle name="Followed Hyperlink" xfId="8" builtinId="9" hidden="1"/>
    <cellStyle name="Followed Hyperlink" xfId="10" builtinId="9" hidden="1"/>
    <cellStyle name="Followed Hyperlink" xfId="12" builtinId="9" hidden="1"/>
    <cellStyle name="Followed Hyperlink" xfId="14" builtinId="9" hidden="1"/>
    <cellStyle name="Followed Hyperlink" xfId="16" builtinId="9" hidden="1"/>
    <cellStyle name="Followed Hyperlink" xfId="18" builtinId="9" hidden="1"/>
    <cellStyle name="Followed Hyperlink" xfId="20" builtinId="9" hidden="1"/>
    <cellStyle name="Followed Hyperlink" xfId="22" builtinId="9" hidden="1"/>
    <cellStyle name="Followed Hyperlink" xfId="24" builtinId="9" hidden="1"/>
    <cellStyle name="Followed Hyperlink" xfId="26" builtinId="9" hidden="1"/>
    <cellStyle name="Followed Hyperlink" xfId="28" builtinId="9" hidden="1"/>
    <cellStyle name="Followed Hyperlink" xfId="30" builtinId="9" hidden="1"/>
    <cellStyle name="Followed Hyperlink" xfId="32" builtinId="9" hidden="1"/>
    <cellStyle name="Followed Hyperlink" xfId="34" builtinId="9" hidden="1"/>
    <cellStyle name="Followed Hyperlink" xfId="36" builtinId="9" hidden="1"/>
    <cellStyle name="Followed Hyperlink" xfId="38" builtinId="9" hidden="1"/>
    <cellStyle name="Followed Hyperlink" xfId="40" builtinId="9" hidden="1"/>
    <cellStyle name="Followed Hyperlink" xfId="42" builtinId="9" hidden="1"/>
    <cellStyle name="Followed Hyperlink" xfId="44" builtinId="9" hidden="1"/>
    <cellStyle name="Followed Hyperlink" xfId="46" builtinId="9" hidden="1"/>
    <cellStyle name="Followed Hyperlink" xfId="48" builtinId="9" hidden="1"/>
    <cellStyle name="Followed Hyperlink" xfId="50" builtinId="9" hidden="1"/>
    <cellStyle name="Followed Hyperlink" xfId="52" builtinId="9" hidden="1"/>
    <cellStyle name="Followed Hyperlink" xfId="54" builtinId="9" hidden="1"/>
    <cellStyle name="Followed Hyperlink" xfId="56" builtinId="9" hidden="1"/>
    <cellStyle name="Followed Hyperlink" xfId="58" builtinId="9" hidden="1"/>
    <cellStyle name="Followed Hyperlink" xfId="60" builtinId="9" hidden="1"/>
    <cellStyle name="Followed Hyperlink" xfId="62" builtinId="9" hidden="1"/>
    <cellStyle name="Followed Hyperlink" xfId="64" builtinId="9" hidden="1"/>
    <cellStyle name="Followed Hyperlink" xfId="66" builtinId="9" hidden="1"/>
    <cellStyle name="Followed Hyperlink" xfId="68" builtinId="9" hidden="1"/>
    <cellStyle name="Followed Hyperlink" xfId="70" builtinId="9" hidden="1"/>
    <cellStyle name="Followed Hyperlink" xfId="72" builtinId="9" hidden="1"/>
    <cellStyle name="Followed Hyperlink" xfId="74" builtinId="9" hidden="1"/>
    <cellStyle name="Followed Hyperlink" xfId="76" builtinId="9" hidden="1"/>
    <cellStyle name="Followed Hyperlink" xfId="78" builtinId="9" hidden="1"/>
    <cellStyle name="Followed Hyperlink" xfId="80" builtinId="9" hidden="1"/>
    <cellStyle name="Followed Hyperlink" xfId="82" builtinId="9" hidden="1"/>
    <cellStyle name="Followed Hyperlink" xfId="84" builtinId="9" hidden="1"/>
    <cellStyle name="Followed Hyperlink" xfId="86" builtinId="9" hidden="1"/>
    <cellStyle name="Followed Hyperlink" xfId="88" builtinId="9" hidden="1"/>
    <cellStyle name="Followed Hyperlink" xfId="90" builtinId="9" hidden="1"/>
    <cellStyle name="Followed Hyperlink" xfId="92" builtinId="9" hidden="1"/>
    <cellStyle name="Followed Hyperlink" xfId="94" builtinId="9" hidden="1"/>
    <cellStyle name="Followed Hyperlink" xfId="96" builtinId="9" hidden="1"/>
    <cellStyle name="Followed Hyperlink" xfId="98" builtinId="9" hidden="1"/>
    <cellStyle name="Followed Hyperlink" xfId="100" builtinId="9" hidden="1"/>
    <cellStyle name="Followed Hyperlink" xfId="102" builtinId="9" hidden="1"/>
    <cellStyle name="Followed Hyperlink" xfId="104" builtinId="9" hidden="1"/>
    <cellStyle name="Followed Hyperlink" xfId="106" builtinId="9" hidden="1"/>
    <cellStyle name="Followed Hyperlink" xfId="108" builtinId="9" hidden="1"/>
    <cellStyle name="Followed Hyperlink" xfId="110" builtinId="9" hidden="1"/>
    <cellStyle name="Followed Hyperlink" xfId="112" builtinId="9" hidden="1"/>
    <cellStyle name="Followed Hyperlink" xfId="114" builtinId="9" hidden="1"/>
    <cellStyle name="Followed Hyperlink" xfId="116" builtinId="9" hidden="1"/>
    <cellStyle name="Followed Hyperlink" xfId="118" builtinId="9" hidden="1"/>
    <cellStyle name="Followed Hyperlink" xfId="120" builtinId="9" hidden="1"/>
    <cellStyle name="Followed Hyperlink" xfId="122" builtinId="9" hidden="1"/>
    <cellStyle name="Followed Hyperlink" xfId="124" builtinId="9" hidden="1"/>
    <cellStyle name="Followed Hyperlink" xfId="126" builtinId="9" hidden="1"/>
    <cellStyle name="Followed Hyperlink" xfId="128" builtinId="9" hidden="1"/>
    <cellStyle name="Followed Hyperlink" xfId="130" builtinId="9" hidden="1"/>
    <cellStyle name="Followed Hyperlink" xfId="132" builtinId="9" hidden="1"/>
    <cellStyle name="Followed Hyperlink" xfId="134" builtinId="9" hidden="1"/>
    <cellStyle name="Followed Hyperlink" xfId="136" builtinId="9" hidden="1"/>
    <cellStyle name="Followed Hyperlink" xfId="138" builtinId="9" hidden="1"/>
    <cellStyle name="Followed Hyperlink" xfId="140" builtinId="9" hidden="1"/>
    <cellStyle name="Followed Hyperlink" xfId="142" builtinId="9" hidden="1"/>
    <cellStyle name="Followed Hyperlink" xfId="144" builtinId="9" hidden="1"/>
    <cellStyle name="Followed Hyperlink" xfId="146" builtinId="9" hidden="1"/>
    <cellStyle name="Followed Hyperlink" xfId="148" builtinId="9" hidden="1"/>
    <cellStyle name="Followed Hyperlink" xfId="150" builtinId="9" hidden="1"/>
    <cellStyle name="Followed Hyperlink" xfId="152" builtinId="9" hidden="1"/>
    <cellStyle name="Followed Hyperlink" xfId="154" builtinId="9" hidden="1"/>
    <cellStyle name="Followed Hyperlink" xfId="156" builtinId="9" hidden="1"/>
    <cellStyle name="Followed Hyperlink" xfId="158" builtinId="9" hidden="1"/>
    <cellStyle name="Followed Hyperlink" xfId="160" builtinId="9" hidden="1"/>
    <cellStyle name="Followed Hyperlink" xfId="162" builtinId="9" hidden="1"/>
    <cellStyle name="Followed Hyperlink" xfId="164" builtinId="9" hidden="1"/>
    <cellStyle name="Followed Hyperlink" xfId="166" builtinId="9" hidden="1"/>
    <cellStyle name="Followed Hyperlink" xfId="168" builtinId="9" hidden="1"/>
    <cellStyle name="Followed Hyperlink" xfId="170" builtinId="9" hidden="1"/>
    <cellStyle name="Followed Hyperlink" xfId="172" builtinId="9" hidden="1"/>
    <cellStyle name="Followed Hyperlink" xfId="174" builtinId="9" hidden="1"/>
    <cellStyle name="Followed Hyperlink" xfId="176" builtinId="9" hidden="1"/>
    <cellStyle name="Followed Hyperlink" xfId="177" builtinId="9" hidden="1"/>
    <cellStyle name="Followed Hyperlink" xfId="178" builtinId="9" hidden="1"/>
    <cellStyle name="Followed Hyperlink" xfId="179" builtinId="9" hidden="1"/>
    <cellStyle name="Followed Hyperlink" xfId="180" builtinId="9" hidden="1"/>
    <cellStyle name="Followed Hyperlink" xfId="181" builtinId="9" hidden="1"/>
    <cellStyle name="Followed Hyperlink" xfId="182" builtinId="9" hidden="1"/>
    <cellStyle name="Followed Hyperlink" xfId="183" builtinId="9" hidden="1"/>
    <cellStyle name="Followed Hyperlink" xfId="184" builtinId="9" hidden="1"/>
    <cellStyle name="Followed Hyperlink" xfId="185" builtinId="9" hidden="1"/>
    <cellStyle name="Followed Hyperlink" xfId="186" builtinId="9" hidden="1"/>
    <cellStyle name="Followed Hyperlink" xfId="187" builtinId="9" hidden="1"/>
    <cellStyle name="Followed Hyperlink" xfId="188" builtinId="9" hidden="1"/>
    <cellStyle name="Followed Hyperlink" xfId="189" builtinId="9" hidden="1"/>
    <cellStyle name="Followed Hyperlink" xfId="190" builtinId="9" hidden="1"/>
    <cellStyle name="Followed Hyperlink" xfId="191" builtinId="9" hidden="1"/>
    <cellStyle name="Followed Hyperlink" xfId="192" builtinId="9" hidden="1"/>
    <cellStyle name="Followed Hyperlink" xfId="193" builtinId="9" hidden="1"/>
    <cellStyle name="Followed Hyperlink" xfId="194" builtinId="9" hidden="1"/>
    <cellStyle name="Followed Hyperlink" xfId="195" builtinId="9" hidden="1"/>
    <cellStyle name="Followed Hyperlink" xfId="196" builtinId="9" hidden="1"/>
    <cellStyle name="Followed Hyperlink" xfId="197" builtinId="9" hidden="1"/>
    <cellStyle name="Followed Hyperlink" xfId="198" builtinId="9" hidden="1"/>
    <cellStyle name="Followed Hyperlink" xfId="199" builtinId="9" hidden="1"/>
    <cellStyle name="Followed Hyperlink" xfId="200" builtinId="9" hidden="1"/>
    <cellStyle name="Followed Hyperlink" xfId="201" builtinId="9" hidden="1"/>
    <cellStyle name="Followed Hyperlink" xfId="202" builtinId="9" hidden="1"/>
    <cellStyle name="Followed Hyperlink" xfId="203" builtinId="9" hidden="1"/>
    <cellStyle name="Followed Hyperlink" xfId="204" builtinId="9" hidden="1"/>
    <cellStyle name="Followed Hyperlink" xfId="205" builtinId="9" hidden="1"/>
    <cellStyle name="Followed Hyperlink" xfId="206" builtinId="9" hidden="1"/>
    <cellStyle name="Followed Hyperlink" xfId="207" builtinId="9" hidden="1"/>
    <cellStyle name="Followed Hyperlink" xfId="208" builtinId="9" hidden="1"/>
    <cellStyle name="Followed Hyperlink" xfId="209" builtinId="9" hidden="1"/>
    <cellStyle name="Followed Hyperlink" xfId="210" builtinId="9" hidden="1"/>
    <cellStyle name="Followed Hyperlink" xfId="211" builtinId="9" hidden="1"/>
    <cellStyle name="Followed Hyperlink" xfId="212" builtinId="9" hidden="1"/>
    <cellStyle name="Followed Hyperlink" xfId="213" builtinId="9" hidden="1"/>
    <cellStyle name="Followed Hyperlink" xfId="214" builtinId="9" hidden="1"/>
    <cellStyle name="Followed Hyperlink" xfId="215" builtinId="9" hidden="1"/>
    <cellStyle name="Followed Hyperlink" xfId="216" builtinId="9" hidden="1"/>
    <cellStyle name="Followed Hyperlink" xfId="217" builtinId="9" hidden="1"/>
    <cellStyle name="Followed Hyperlink" xfId="218" builtinId="9" hidden="1"/>
    <cellStyle name="Followed Hyperlink" xfId="219" builtinId="9" hidden="1"/>
    <cellStyle name="Followed Hyperlink" xfId="220" builtinId="9" hidden="1"/>
    <cellStyle name="Followed Hyperlink" xfId="221" builtinId="9" hidden="1"/>
    <cellStyle name="Followed Hyperlink" xfId="222" builtinId="9" hidden="1"/>
    <cellStyle name="Followed Hyperlink" xfId="223" builtinId="9" hidden="1"/>
    <cellStyle name="Followed Hyperlink" xfId="224" builtinId="9" hidden="1"/>
    <cellStyle name="Followed Hyperlink" xfId="225" builtinId="9" hidden="1"/>
    <cellStyle name="Followed Hyperlink" xfId="226" builtinId="9" hidden="1"/>
    <cellStyle name="Followed Hyperlink" xfId="227" builtinId="9" hidden="1"/>
    <cellStyle name="Followed Hyperlink" xfId="228" builtinId="9" hidden="1"/>
    <cellStyle name="Followed Hyperlink" xfId="229" builtinId="9" hidden="1"/>
    <cellStyle name="Followed Hyperlink" xfId="230" builtinId="9" hidden="1"/>
    <cellStyle name="Followed Hyperlink" xfId="231" builtinId="9" hidden="1"/>
    <cellStyle name="Followed Hyperlink" xfId="232" builtinId="9" hidden="1"/>
    <cellStyle name="Followed Hyperlink" xfId="233" builtinId="9" hidden="1"/>
    <cellStyle name="Followed Hyperlink" xfId="234" builtinId="9" hidden="1"/>
    <cellStyle name="Followed Hyperlink" xfId="235" builtinId="9" hidden="1"/>
    <cellStyle name="Followed Hyperlink" xfId="236" builtinId="9" hidden="1"/>
    <cellStyle name="Followed Hyperlink" xfId="237" builtinId="9" hidden="1"/>
    <cellStyle name="Followed Hyperlink" xfId="238" builtinId="9" hidden="1"/>
    <cellStyle name="Followed Hyperlink" xfId="239" builtinId="9" hidden="1"/>
    <cellStyle name="Followed Hyperlink" xfId="240" builtinId="9" hidden="1"/>
    <cellStyle name="Followed Hyperlink" xfId="241" builtinId="9" hidden="1"/>
    <cellStyle name="Followed Hyperlink" xfId="242" builtinId="9" hidden="1"/>
    <cellStyle name="Followed Hyperlink" xfId="243" builtinId="9" hidden="1"/>
    <cellStyle name="Followed Hyperlink" xfId="244" builtinId="9" hidden="1"/>
    <cellStyle name="Followed Hyperlink" xfId="245" builtinId="9" hidden="1"/>
    <cellStyle name="Followed Hyperlink" xfId="246" builtinId="9" hidden="1"/>
    <cellStyle name="Followed Hyperlink" xfId="247" builtinId="9" hidden="1"/>
    <cellStyle name="Followed Hyperlink" xfId="248" builtinId="9" hidden="1"/>
    <cellStyle name="Followed Hyperlink" xfId="249" builtinId="9" hidden="1"/>
    <cellStyle name="Followed Hyperlink" xfId="250" builtinId="9" hidden="1"/>
    <cellStyle name="Followed Hyperlink" xfId="251" builtinId="9" hidden="1"/>
    <cellStyle name="Followed Hyperlink" xfId="252" builtinId="9" hidden="1"/>
    <cellStyle name="Followed Hyperlink" xfId="253" builtinId="9" hidden="1"/>
    <cellStyle name="Followed Hyperlink" xfId="254" builtinId="9" hidden="1"/>
    <cellStyle name="Followed Hyperlink" xfId="255" builtinId="9" hidden="1"/>
    <cellStyle name="Followed Hyperlink" xfId="256" builtinId="9" hidden="1"/>
    <cellStyle name="Followed Hyperlink" xfId="257" builtinId="9" hidden="1"/>
    <cellStyle name="Followed Hyperlink" xfId="258" builtinId="9" hidden="1"/>
    <cellStyle name="Followed Hyperlink" xfId="259" builtinId="9" hidden="1"/>
    <cellStyle name="Followed Hyperlink" xfId="260" builtinId="9" hidden="1"/>
    <cellStyle name="Followed Hyperlink" xfId="261" builtinId="9" hidden="1"/>
    <cellStyle name="Followed Hyperlink" xfId="262" builtinId="9" hidden="1"/>
    <cellStyle name="Followed Hyperlink" xfId="263" builtinId="9" hidden="1"/>
    <cellStyle name="Followed Hyperlink" xfId="264" builtinId="9" hidden="1"/>
    <cellStyle name="Followed Hyperlink" xfId="265" builtinId="9" hidden="1"/>
    <cellStyle name="Followed Hyperlink" xfId="266" builtinId="9" hidden="1"/>
    <cellStyle name="Followed Hyperlink" xfId="267" builtinId="9" hidden="1"/>
    <cellStyle name="Followed Hyperlink" xfId="268" builtinId="9" hidden="1"/>
    <cellStyle name="Followed Hyperlink" xfId="269" builtinId="9" hidden="1"/>
    <cellStyle name="Followed Hyperlink" xfId="270" builtinId="9" hidden="1"/>
    <cellStyle name="Followed Hyperlink" xfId="271" builtinId="9" hidden="1"/>
    <cellStyle name="Followed Hyperlink" xfId="272" builtinId="9" hidden="1"/>
    <cellStyle name="Followed Hyperlink" xfId="273" builtinId="9" hidden="1"/>
    <cellStyle name="Followed Hyperlink" xfId="275" builtinId="9" hidden="1"/>
    <cellStyle name="Followed Hyperlink" xfId="276" builtinId="9" hidden="1"/>
    <cellStyle name="Followed Hyperlink" xfId="277" builtinId="9" hidden="1"/>
    <cellStyle name="Followed Hyperlink" xfId="278" builtinId="9" hidden="1"/>
    <cellStyle name="Followed Hyperlink" xfId="279" builtinId="9" hidden="1"/>
    <cellStyle name="Followed Hyperlink" xfId="280" builtinId="9" hidden="1"/>
    <cellStyle name="Followed Hyperlink" xfId="281" builtinId="9" hidden="1"/>
    <cellStyle name="Followed Hyperlink" xfId="282" builtinId="9" hidden="1"/>
    <cellStyle name="Followed Hyperlink" xfId="283" builtinId="9" hidden="1"/>
    <cellStyle name="Followed Hyperlink" xfId="284" builtinId="9" hidden="1"/>
    <cellStyle name="Followed Hyperlink" xfId="285" builtinId="9" hidden="1"/>
    <cellStyle name="Followed Hyperlink" xfId="286" builtinId="9" hidden="1"/>
    <cellStyle name="Followed Hyperlink" xfId="287" builtinId="9" hidden="1"/>
    <cellStyle name="Followed Hyperlink" xfId="288" builtinId="9" hidden="1"/>
    <cellStyle name="Followed Hyperlink" xfId="289" builtinId="9" hidden="1"/>
    <cellStyle name="Followed Hyperlink" xfId="290" builtinId="9" hidden="1"/>
    <cellStyle name="Followed Hyperlink" xfId="291" builtinId="9" hidden="1"/>
    <cellStyle name="Followed Hyperlink" xfId="292" builtinId="9" hidden="1"/>
    <cellStyle name="Followed Hyperlink" xfId="293" builtinId="9" hidden="1"/>
    <cellStyle name="Followed Hyperlink" xfId="294" builtinId="9" hidden="1"/>
    <cellStyle name="Followed Hyperlink" xfId="295" builtinId="9" hidden="1"/>
    <cellStyle name="Followed Hyperlink" xfId="296" builtinId="9" hidden="1"/>
    <cellStyle name="Followed Hyperlink" xfId="297" builtinId="9" hidden="1"/>
    <cellStyle name="Followed Hyperlink" xfId="298" builtinId="9" hidden="1"/>
    <cellStyle name="Followed Hyperlink" xfId="299" builtinId="9" hidden="1"/>
    <cellStyle name="Followed Hyperlink" xfId="300" builtinId="9" hidden="1"/>
    <cellStyle name="Followed Hyperlink" xfId="301" builtinId="9" hidden="1"/>
    <cellStyle name="Followed Hyperlink" xfId="302" builtinId="9" hidden="1"/>
    <cellStyle name="Followed Hyperlink" xfId="303" builtinId="9" hidden="1"/>
    <cellStyle name="Followed Hyperlink" xfId="304" builtinId="9" hidden="1"/>
    <cellStyle name="Followed Hyperlink" xfId="305" builtinId="9" hidden="1"/>
    <cellStyle name="Followed Hyperlink" xfId="306" builtinId="9" hidden="1"/>
    <cellStyle name="Followed Hyperlink" xfId="307" builtinId="9" hidden="1"/>
    <cellStyle name="Followed Hyperlink" xfId="308" builtinId="9" hidden="1"/>
    <cellStyle name="Followed Hyperlink" xfId="309" builtinId="9" hidden="1"/>
    <cellStyle name="Followed Hyperlink" xfId="310" builtinId="9" hidden="1"/>
    <cellStyle name="Followed Hyperlink" xfId="311" builtinId="9" hidden="1"/>
    <cellStyle name="Followed Hyperlink" xfId="312" builtinId="9" hidden="1"/>
    <cellStyle name="Followed Hyperlink" xfId="313" builtinId="9" hidden="1"/>
    <cellStyle name="Followed Hyperlink" xfId="314" builtinId="9" hidden="1"/>
    <cellStyle name="Followed Hyperlink" xfId="315" builtinId="9" hidden="1"/>
    <cellStyle name="Followed Hyperlink" xfId="316" builtinId="9" hidden="1"/>
    <cellStyle name="Followed Hyperlink" xfId="317" builtinId="9" hidden="1"/>
    <cellStyle name="Followed Hyperlink" xfId="318" builtinId="9" hidden="1"/>
    <cellStyle name="Followed Hyperlink" xfId="319" builtinId="9" hidden="1"/>
    <cellStyle name="Followed Hyperlink" xfId="320" builtinId="9" hidden="1"/>
    <cellStyle name="Followed Hyperlink" xfId="321" builtinId="9" hidden="1"/>
    <cellStyle name="Followed Hyperlink" xfId="322" builtinId="9" hidden="1"/>
    <cellStyle name="Followed Hyperlink" xfId="323" builtinId="9" hidden="1"/>
    <cellStyle name="Followed Hyperlink" xfId="324" builtinId="9" hidden="1"/>
    <cellStyle name="Followed Hyperlink" xfId="325" builtinId="9" hidden="1"/>
    <cellStyle name="Followed Hyperlink" xfId="326" builtinId="9" hidden="1"/>
    <cellStyle name="Followed Hyperlink" xfId="327" builtinId="9" hidden="1"/>
    <cellStyle name="Followed Hyperlink" xfId="328" builtinId="9" hidden="1"/>
    <cellStyle name="Followed Hyperlink" xfId="329" builtinId="9" hidden="1"/>
    <cellStyle name="Followed Hyperlink" xfId="330" builtinId="9" hidden="1"/>
    <cellStyle name="Followed Hyperlink" xfId="331" builtinId="9" hidden="1"/>
    <cellStyle name="Followed Hyperlink" xfId="332" builtinId="9" hidden="1"/>
    <cellStyle name="Followed Hyperlink" xfId="333" builtinId="9" hidden="1"/>
    <cellStyle name="Followed Hyperlink" xfId="334" builtinId="9" hidden="1"/>
    <cellStyle name="Followed Hyperlink" xfId="335" builtinId="9" hidden="1"/>
    <cellStyle name="Followed Hyperlink" xfId="336" builtinId="9" hidden="1"/>
    <cellStyle name="Followed Hyperlink" xfId="337" builtinId="9" hidden="1"/>
    <cellStyle name="Followed Hyperlink" xfId="338" builtinId="9" hidden="1"/>
    <cellStyle name="Followed Hyperlink" xfId="339" builtinId="9" hidden="1"/>
    <cellStyle name="Followed Hyperlink" xfId="340" builtinId="9" hidden="1"/>
    <cellStyle name="Followed Hyperlink" xfId="341" builtinId="9" hidden="1"/>
    <cellStyle name="Followed Hyperlink" xfId="342" builtinId="9" hidden="1"/>
    <cellStyle name="Followed Hyperlink" xfId="343" builtinId="9" hidden="1"/>
    <cellStyle name="Followed Hyperlink" xfId="344" builtinId="9" hidden="1"/>
    <cellStyle name="Followed Hyperlink" xfId="345" builtinId="9" hidden="1"/>
    <cellStyle name="Followed Hyperlink" xfId="346" builtinId="9" hidden="1"/>
    <cellStyle name="Followed Hyperlink" xfId="347" builtinId="9" hidden="1"/>
    <cellStyle name="Followed Hyperlink" xfId="348" builtinId="9" hidden="1"/>
    <cellStyle name="Followed Hyperlink" xfId="349" builtinId="9" hidden="1"/>
    <cellStyle name="Followed Hyperlink" xfId="350" builtinId="9" hidden="1"/>
    <cellStyle name="Followed Hyperlink" xfId="351" builtinId="9" hidden="1"/>
    <cellStyle name="Followed Hyperlink" xfId="352" builtinId="9" hidden="1"/>
    <cellStyle name="Followed Hyperlink" xfId="353" builtinId="9" hidden="1"/>
    <cellStyle name="Followed Hyperlink" xfId="354" builtinId="9" hidden="1"/>
    <cellStyle name="Followed Hyperlink" xfId="355" builtinId="9" hidden="1"/>
    <cellStyle name="Followed Hyperlink" xfId="356" builtinId="9" hidden="1"/>
    <cellStyle name="Followed Hyperlink" xfId="357" builtinId="9" hidden="1"/>
    <cellStyle name="Followed Hyperlink" xfId="358" builtinId="9" hidden="1"/>
    <cellStyle name="Followed Hyperlink" xfId="359" builtinId="9" hidden="1"/>
    <cellStyle name="Followed Hyperlink" xfId="360" builtinId="9" hidden="1"/>
    <cellStyle name="Followed Hyperlink" xfId="361" builtinId="9" hidden="1"/>
    <cellStyle name="Followed Hyperlink" xfId="362" builtinId="9" hidden="1"/>
    <cellStyle name="Followed Hyperlink" xfId="363" builtinId="9" hidden="1"/>
    <cellStyle name="Followed Hyperlink" xfId="364" builtinId="9" hidden="1"/>
    <cellStyle name="Followed Hyperlink" xfId="365" builtinId="9" hidden="1"/>
    <cellStyle name="Followed Hyperlink" xfId="366" builtinId="9" hidden="1"/>
    <cellStyle name="Followed Hyperlink" xfId="367" builtinId="9" hidden="1"/>
    <cellStyle name="Followed Hyperlink" xfId="368" builtinId="9" hidden="1"/>
    <cellStyle name="Followed Hyperlink" xfId="369" builtinId="9" hidden="1"/>
    <cellStyle name="Followed Hyperlink" xfId="370" builtinId="9" hidden="1"/>
    <cellStyle name="Followed Hyperlink" xfId="371" builtinId="9" hidden="1"/>
    <cellStyle name="Followed Hyperlink" xfId="372" builtinId="9" hidden="1"/>
    <cellStyle name="Followed Hyperlink" xfId="373" builtinId="9" hidden="1"/>
    <cellStyle name="Followed Hyperlink" xfId="374" builtinId="9" hidden="1"/>
    <cellStyle name="Followed Hyperlink" xfId="375" builtinId="9" hidden="1"/>
    <cellStyle name="Followed Hyperlink" xfId="376" builtinId="9" hidden="1"/>
    <cellStyle name="Followed Hyperlink" xfId="377" builtinId="9" hidden="1"/>
    <cellStyle name="Followed Hyperlink" xfId="378" builtinId="9" hidden="1"/>
    <cellStyle name="Followed Hyperlink" xfId="379" builtinId="9" hidden="1"/>
    <cellStyle name="Followed Hyperlink" xfId="380" builtinId="9" hidden="1"/>
    <cellStyle name="Followed Hyperlink" xfId="381" builtinId="9" hidden="1"/>
    <cellStyle name="Followed Hyperlink" xfId="382" builtinId="9" hidden="1"/>
    <cellStyle name="Followed Hyperlink" xfId="383" builtinId="9" hidden="1"/>
    <cellStyle name="Followed Hyperlink" xfId="384" builtinId="9" hidden="1"/>
    <cellStyle name="Followed Hyperlink" xfId="385" builtinId="9" hidden="1"/>
    <cellStyle name="Followed Hyperlink" xfId="386" builtinId="9" hidden="1"/>
    <cellStyle name="Followed Hyperlink" xfId="387" builtinId="9" hidden="1"/>
    <cellStyle name="Followed Hyperlink" xfId="388" builtinId="9" hidden="1"/>
    <cellStyle name="Followed Hyperlink" xfId="389" builtinId="9" hidden="1"/>
    <cellStyle name="Followed Hyperlink" xfId="390" builtinId="9" hidden="1"/>
    <cellStyle name="Followed Hyperlink" xfId="391" builtinId="9" hidden="1"/>
    <cellStyle name="Followed Hyperlink" xfId="392" builtinId="9" hidden="1"/>
    <cellStyle name="Followed Hyperlink" xfId="393" builtinId="9" hidden="1"/>
    <cellStyle name="Followed Hyperlink" xfId="394" builtinId="9" hidden="1"/>
    <cellStyle name="Followed Hyperlink" xfId="395" builtinId="9" hidden="1"/>
    <cellStyle name="Followed Hyperlink" xfId="396" builtinId="9" hidden="1"/>
    <cellStyle name="Followed Hyperlink" xfId="397" builtinId="9" hidden="1"/>
    <cellStyle name="Followed Hyperlink" xfId="398" builtinId="9" hidden="1"/>
    <cellStyle name="Followed Hyperlink" xfId="399" builtinId="9" hidden="1"/>
    <cellStyle name="Followed Hyperlink" xfId="400" builtinId="9" hidden="1"/>
    <cellStyle name="Followed Hyperlink" xfId="401" builtinId="9" hidden="1"/>
    <cellStyle name="Followed Hyperlink" xfId="402" builtinId="9" hidden="1"/>
    <cellStyle name="Followed Hyperlink" xfId="403" builtinId="9" hidden="1"/>
    <cellStyle name="Followed Hyperlink" xfId="404" builtinId="9" hidden="1"/>
    <cellStyle name="Followed Hyperlink" xfId="405" builtinId="9" hidden="1"/>
    <cellStyle name="Followed Hyperlink" xfId="406" builtinId="9" hidden="1"/>
    <cellStyle name="Followed Hyperlink" xfId="407" builtinId="9" hidden="1"/>
    <cellStyle name="Followed Hyperlink" xfId="408" builtinId="9" hidden="1"/>
    <cellStyle name="Followed Hyperlink" xfId="409" builtinId="9" hidden="1"/>
    <cellStyle name="Followed Hyperlink" xfId="410" builtinId="9" hidden="1"/>
    <cellStyle name="Followed Hyperlink" xfId="411" builtinId="9" hidden="1"/>
    <cellStyle name="Followed Hyperlink" xfId="412" builtinId="9" hidden="1"/>
    <cellStyle name="Followed Hyperlink" xfId="413" builtinId="9" hidden="1"/>
    <cellStyle name="Followed Hyperlink" xfId="414" builtinId="9" hidden="1"/>
    <cellStyle name="Followed Hyperlink" xfId="415" builtinId="9" hidden="1"/>
    <cellStyle name="Followed Hyperlink" xfId="416" builtinId="9" hidden="1"/>
    <cellStyle name="Followed Hyperlink" xfId="417" builtinId="9" hidden="1"/>
    <cellStyle name="Followed Hyperlink" xfId="418" builtinId="9" hidden="1"/>
    <cellStyle name="Followed Hyperlink" xfId="419" builtinId="9" hidden="1"/>
    <cellStyle name="Followed Hyperlink" xfId="420" builtinId="9" hidden="1"/>
    <cellStyle name="Followed Hyperlink" xfId="421" builtinId="9" hidden="1"/>
    <cellStyle name="Followed Hyperlink" xfId="422" builtinId="9" hidden="1"/>
    <cellStyle name="Followed Hyperlink" xfId="423" builtinId="9" hidden="1"/>
    <cellStyle name="Followed Hyperlink" xfId="424" builtinId="9" hidden="1"/>
    <cellStyle name="Followed Hyperlink" xfId="425" builtinId="9" hidden="1"/>
    <cellStyle name="Followed Hyperlink" xfId="426" builtinId="9" hidden="1"/>
    <cellStyle name="Followed Hyperlink" xfId="427" builtinId="9" hidden="1"/>
    <cellStyle name="Followed Hyperlink" xfId="428" builtinId="9" hidden="1"/>
    <cellStyle name="Followed Hyperlink" xfId="429" builtinId="9" hidden="1"/>
    <cellStyle name="Followed Hyperlink" xfId="430" builtinId="9" hidden="1"/>
    <cellStyle name="Followed Hyperlink" xfId="431" builtinId="9" hidden="1"/>
    <cellStyle name="Followed Hyperlink" xfId="432" builtinId="9" hidden="1"/>
    <cellStyle name="Followed Hyperlink" xfId="433" builtinId="9" hidden="1"/>
    <cellStyle name="Followed Hyperlink" xfId="434" builtinId="9" hidden="1"/>
    <cellStyle name="Followed Hyperlink" xfId="435" builtinId="9" hidden="1"/>
    <cellStyle name="Followed Hyperlink" xfId="436" builtinId="9" hidden="1"/>
    <cellStyle name="Followed Hyperlink" xfId="437" builtinId="9" hidden="1"/>
    <cellStyle name="Followed Hyperlink" xfId="438" builtinId="9" hidden="1"/>
    <cellStyle name="Followed Hyperlink" xfId="439" builtinId="9" hidden="1"/>
    <cellStyle name="Followed Hyperlink" xfId="440" builtinId="9" hidden="1"/>
    <cellStyle name="Followed Hyperlink" xfId="441" builtinId="9" hidden="1"/>
    <cellStyle name="Followed Hyperlink" xfId="442" builtinId="9" hidden="1"/>
    <cellStyle name="Followed Hyperlink" xfId="443" builtinId="9" hidden="1"/>
    <cellStyle name="Followed Hyperlink" xfId="444" builtinId="9" hidden="1"/>
    <cellStyle name="Followed Hyperlink" xfId="445" builtinId="9" hidden="1"/>
    <cellStyle name="Followed Hyperlink" xfId="446" builtinId="9" hidden="1"/>
    <cellStyle name="Followed Hyperlink" xfId="447" builtinId="9" hidden="1"/>
    <cellStyle name="Followed Hyperlink" xfId="448" builtinId="9" hidden="1"/>
    <cellStyle name="Followed Hyperlink" xfId="449" builtinId="9" hidden="1"/>
    <cellStyle name="Followed Hyperlink" xfId="450" builtinId="9" hidden="1"/>
    <cellStyle name="Followed Hyperlink" xfId="451" builtinId="9" hidden="1"/>
    <cellStyle name="Followed Hyperlink" xfId="452" builtinId="9" hidden="1"/>
    <cellStyle name="Followed Hyperlink" xfId="453" builtinId="9" hidden="1"/>
    <cellStyle name="Followed Hyperlink" xfId="454" builtinId="9" hidden="1"/>
    <cellStyle name="Followed Hyperlink" xfId="455" builtinId="9" hidden="1"/>
    <cellStyle name="Followed Hyperlink" xfId="456" builtinId="9" hidden="1"/>
    <cellStyle name="Followed Hyperlink" xfId="457" builtinId="9" hidden="1"/>
    <cellStyle name="Followed Hyperlink" xfId="458" builtinId="9" hidden="1"/>
    <cellStyle name="Followed Hyperlink" xfId="459" builtinId="9" hidden="1"/>
    <cellStyle name="Followed Hyperlink" xfId="460" builtinId="9" hidden="1"/>
    <cellStyle name="Followed Hyperlink" xfId="461" builtinId="9" hidden="1"/>
    <cellStyle name="Followed Hyperlink" xfId="462" builtinId="9" hidden="1"/>
    <cellStyle name="Followed Hyperlink" xfId="463" builtinId="9" hidden="1"/>
    <cellStyle name="Followed Hyperlink" xfId="464" builtinId="9" hidden="1"/>
    <cellStyle name="Followed Hyperlink" xfId="465" builtinId="9" hidden="1"/>
    <cellStyle name="Followed Hyperlink" xfId="466" builtinId="9" hidden="1"/>
    <cellStyle name="Followed Hyperlink" xfId="467" builtinId="9" hidden="1"/>
    <cellStyle name="Followed Hyperlink" xfId="468" builtinId="9" hidden="1"/>
    <cellStyle name="Followed Hyperlink" xfId="469" builtinId="9" hidden="1"/>
    <cellStyle name="Followed Hyperlink" xfId="470" builtinId="9" hidden="1"/>
    <cellStyle name="Followed Hyperlink" xfId="471" builtinId="9" hidden="1"/>
    <cellStyle name="Followed Hyperlink" xfId="472" builtinId="9" hidden="1"/>
    <cellStyle name="Followed Hyperlink" xfId="473" builtinId="9" hidden="1"/>
    <cellStyle name="Followed Hyperlink" xfId="474" builtinId="9" hidden="1"/>
    <cellStyle name="Followed Hyperlink" xfId="475" builtinId="9" hidden="1"/>
    <cellStyle name="Followed Hyperlink" xfId="476" builtinId="9" hidden="1"/>
    <cellStyle name="Followed Hyperlink" xfId="477" builtinId="9" hidden="1"/>
    <cellStyle name="Followed Hyperlink" xfId="478" builtinId="9" hidden="1"/>
    <cellStyle name="Followed Hyperlink" xfId="479" builtinId="9" hidden="1"/>
    <cellStyle name="Followed Hyperlink" xfId="480" builtinId="9" hidden="1"/>
    <cellStyle name="Followed Hyperlink" xfId="481" builtinId="9" hidden="1"/>
    <cellStyle name="Followed Hyperlink" xfId="482" builtinId="9" hidden="1"/>
    <cellStyle name="Followed Hyperlink" xfId="483" builtinId="9" hidden="1"/>
    <cellStyle name="Followed Hyperlink" xfId="484" builtinId="9" hidden="1"/>
    <cellStyle name="Followed Hyperlink" xfId="485" builtinId="9" hidden="1"/>
    <cellStyle name="Followed Hyperlink" xfId="486" builtinId="9" hidden="1"/>
    <cellStyle name="Followed Hyperlink" xfId="487" builtinId="9" hidden="1"/>
    <cellStyle name="Followed Hyperlink" xfId="488" builtinId="9" hidden="1"/>
    <cellStyle name="Followed Hyperlink" xfId="489" builtinId="9" hidden="1"/>
    <cellStyle name="Followed Hyperlink" xfId="490" builtinId="9" hidden="1"/>
    <cellStyle name="Followed Hyperlink" xfId="491" builtinId="9" hidden="1"/>
    <cellStyle name="Followed Hyperlink" xfId="493" builtinId="9" hidden="1"/>
    <cellStyle name="Followed Hyperlink" xfId="495" builtinId="9" hidden="1"/>
    <cellStyle name="Hyperlink" xfId="1" builtinId="8" hidden="1"/>
    <cellStyle name="Hyperlink" xfId="3" builtinId="8" hidden="1"/>
    <cellStyle name="Hyperlink" xfId="5" builtinId="8" hidden="1"/>
    <cellStyle name="Hyperlink" xfId="7" builtinId="8" hidden="1"/>
    <cellStyle name="Hyperlink" xfId="9" builtinId="8" hidden="1"/>
    <cellStyle name="Hyperlink" xfId="11" builtinId="8" hidden="1"/>
    <cellStyle name="Hyperlink" xfId="13" builtinId="8" hidden="1"/>
    <cellStyle name="Hyperlink" xfId="15" builtinId="8" hidden="1"/>
    <cellStyle name="Hyperlink" xfId="17" builtinId="8" hidden="1"/>
    <cellStyle name="Hyperlink" xfId="19" builtinId="8" hidden="1"/>
    <cellStyle name="Hyperlink" xfId="21" builtinId="8" hidden="1"/>
    <cellStyle name="Hyperlink" xfId="23" builtinId="8" hidden="1"/>
    <cellStyle name="Hyperlink" xfId="25" builtinId="8" hidden="1"/>
    <cellStyle name="Hyperlink" xfId="27" builtinId="8" hidden="1"/>
    <cellStyle name="Hyperlink" xfId="29" builtinId="8" hidden="1"/>
    <cellStyle name="Hyperlink" xfId="31" builtinId="8" hidden="1"/>
    <cellStyle name="Hyperlink" xfId="33" builtinId="8" hidden="1"/>
    <cellStyle name="Hyperlink" xfId="35" builtinId="8" hidden="1"/>
    <cellStyle name="Hyperlink" xfId="37" builtinId="8" hidden="1"/>
    <cellStyle name="Hyperlink" xfId="39" builtinId="8" hidden="1"/>
    <cellStyle name="Hyperlink" xfId="41" builtinId="8" hidden="1"/>
    <cellStyle name="Hyperlink" xfId="43" builtinId="8" hidden="1"/>
    <cellStyle name="Hyperlink" xfId="45" builtinId="8" hidden="1"/>
    <cellStyle name="Hyperlink" xfId="47" builtinId="8" hidden="1"/>
    <cellStyle name="Hyperlink" xfId="49" builtinId="8" hidden="1"/>
    <cellStyle name="Hyperlink" xfId="51" builtinId="8" hidden="1"/>
    <cellStyle name="Hyperlink" xfId="53" builtinId="8" hidden="1"/>
    <cellStyle name="Hyperlink" xfId="55" builtinId="8" hidden="1"/>
    <cellStyle name="Hyperlink" xfId="57" builtinId="8" hidden="1"/>
    <cellStyle name="Hyperlink" xfId="59" builtinId="8" hidden="1"/>
    <cellStyle name="Hyperlink" xfId="61" builtinId="8" hidden="1"/>
    <cellStyle name="Hyperlink" xfId="63" builtinId="8" hidden="1"/>
    <cellStyle name="Hyperlink" xfId="65" builtinId="8" hidden="1"/>
    <cellStyle name="Hyperlink" xfId="67" builtinId="8" hidden="1"/>
    <cellStyle name="Hyperlink" xfId="69" builtinId="8" hidden="1"/>
    <cellStyle name="Hyperlink" xfId="71" builtinId="8" hidden="1"/>
    <cellStyle name="Hyperlink" xfId="73" builtinId="8" hidden="1"/>
    <cellStyle name="Hyperlink" xfId="75" builtinId="8" hidden="1"/>
    <cellStyle name="Hyperlink" xfId="77" builtinId="8" hidden="1"/>
    <cellStyle name="Hyperlink" xfId="79" builtinId="8" hidden="1"/>
    <cellStyle name="Hyperlink" xfId="81" builtinId="8" hidden="1"/>
    <cellStyle name="Hyperlink" xfId="83" builtinId="8" hidden="1"/>
    <cellStyle name="Hyperlink" xfId="85" builtinId="8" hidden="1"/>
    <cellStyle name="Hyperlink" xfId="87" builtinId="8" hidden="1"/>
    <cellStyle name="Hyperlink" xfId="89" builtinId="8" hidden="1"/>
    <cellStyle name="Hyperlink" xfId="91" builtinId="8" hidden="1"/>
    <cellStyle name="Hyperlink" xfId="93" builtinId="8" hidden="1"/>
    <cellStyle name="Hyperlink" xfId="95" builtinId="8" hidden="1"/>
    <cellStyle name="Hyperlink" xfId="97" builtinId="8" hidden="1"/>
    <cellStyle name="Hyperlink" xfId="99" builtinId="8" hidden="1"/>
    <cellStyle name="Hyperlink" xfId="101" builtinId="8" hidden="1"/>
    <cellStyle name="Hyperlink" xfId="103" builtinId="8" hidden="1"/>
    <cellStyle name="Hyperlink" xfId="105" builtinId="8" hidden="1"/>
    <cellStyle name="Hyperlink" xfId="107" builtinId="8" hidden="1"/>
    <cellStyle name="Hyperlink" xfId="109" builtinId="8" hidden="1"/>
    <cellStyle name="Hyperlink" xfId="111" builtinId="8" hidden="1"/>
    <cellStyle name="Hyperlink" xfId="113" builtinId="8" hidden="1"/>
    <cellStyle name="Hyperlink" xfId="115" builtinId="8" hidden="1"/>
    <cellStyle name="Hyperlink" xfId="117" builtinId="8" hidden="1"/>
    <cellStyle name="Hyperlink" xfId="119" builtinId="8" hidden="1"/>
    <cellStyle name="Hyperlink" xfId="121" builtinId="8" hidden="1"/>
    <cellStyle name="Hyperlink" xfId="123" builtinId="8" hidden="1"/>
    <cellStyle name="Hyperlink" xfId="125" builtinId="8" hidden="1"/>
    <cellStyle name="Hyperlink" xfId="127" builtinId="8" hidden="1"/>
    <cellStyle name="Hyperlink" xfId="129" builtinId="8" hidden="1"/>
    <cellStyle name="Hyperlink" xfId="131" builtinId="8" hidden="1"/>
    <cellStyle name="Hyperlink" xfId="133" builtinId="8" hidden="1"/>
    <cellStyle name="Hyperlink" xfId="135" builtinId="8" hidden="1"/>
    <cellStyle name="Hyperlink" xfId="137" builtinId="8" hidden="1"/>
    <cellStyle name="Hyperlink" xfId="139" builtinId="8" hidden="1"/>
    <cellStyle name="Hyperlink" xfId="141" builtinId="8" hidden="1"/>
    <cellStyle name="Hyperlink" xfId="143" builtinId="8" hidden="1"/>
    <cellStyle name="Hyperlink" xfId="145" builtinId="8" hidden="1"/>
    <cellStyle name="Hyperlink" xfId="147" builtinId="8" hidden="1"/>
    <cellStyle name="Hyperlink" xfId="149" builtinId="8" hidden="1"/>
    <cellStyle name="Hyperlink" xfId="151" builtinId="8" hidden="1"/>
    <cellStyle name="Hyperlink" xfId="153" builtinId="8" hidden="1"/>
    <cellStyle name="Hyperlink" xfId="155" builtinId="8" hidden="1"/>
    <cellStyle name="Hyperlink" xfId="157" builtinId="8" hidden="1"/>
    <cellStyle name="Hyperlink" xfId="159" builtinId="8" hidden="1"/>
    <cellStyle name="Hyperlink" xfId="161" builtinId="8" hidden="1"/>
    <cellStyle name="Hyperlink" xfId="163" builtinId="8" hidden="1"/>
    <cellStyle name="Hyperlink" xfId="165" builtinId="8" hidden="1"/>
    <cellStyle name="Hyperlink" xfId="167" builtinId="8" hidden="1"/>
    <cellStyle name="Hyperlink" xfId="169" builtinId="8" hidden="1"/>
    <cellStyle name="Hyperlink" xfId="171" builtinId="8" hidden="1"/>
    <cellStyle name="Hyperlink" xfId="173" builtinId="8" hidden="1"/>
    <cellStyle name="Hyperlink" xfId="175" builtinId="8" hidden="1"/>
    <cellStyle name="Hyperlink" xfId="492" builtinId="8" hidden="1"/>
    <cellStyle name="Hyperlink" xfId="494" builtinId="8" hidden="1"/>
    <cellStyle name="Normal" xfId="0" builtinId="0"/>
    <cellStyle name="Normal 2" xfId="274" xr:uid="{00000000-0005-0000-0000-0000EF010000}"/>
  </cellStyles>
  <dxfs count="0"/>
  <tableStyles count="0" defaultTableStyle="TableStyleMedium9" defaultPivotStyle="PivotStyleMedium4"/>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3" Type="http://schemas.openxmlformats.org/officeDocument/2006/relationships/worksheet" Target="worksheets/sheet3.xml"/><Relationship Id="rId7" Type="http://schemas.openxmlformats.org/officeDocument/2006/relationships/externalLink" Target="externalLinks/externalLink2.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externalLink" Target="externalLinks/externalLink1.xml"/><Relationship Id="rId11" Type="http://schemas.openxmlformats.org/officeDocument/2006/relationships/calcChain" Target="calcChain.xml"/><Relationship Id="rId5" Type="http://schemas.openxmlformats.org/officeDocument/2006/relationships/worksheet" Target="worksheets/sheet5.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s>
</file>

<file path=xl/drawings/_rels/drawing1.xml.rels><?xml version="1.0" encoding="UTF-8" standalone="yes"?>
<Relationships xmlns="http://schemas.openxmlformats.org/package/2006/relationships"><Relationship Id="rId3" Type="http://schemas.openxmlformats.org/officeDocument/2006/relationships/image" Target="../media/image3.tiff"/><Relationship Id="rId2" Type="http://schemas.openxmlformats.org/officeDocument/2006/relationships/image" Target="../media/image2.png"/><Relationship Id="rId1" Type="http://schemas.openxmlformats.org/officeDocument/2006/relationships/image" Target="../media/image1.png"/><Relationship Id="rId4" Type="http://schemas.openxmlformats.org/officeDocument/2006/relationships/image" Target="../media/image4.tiff"/></Relationships>
</file>

<file path=xl/drawings/drawing1.xml><?xml version="1.0" encoding="utf-8"?>
<xdr:wsDr xmlns:xdr="http://schemas.openxmlformats.org/drawingml/2006/spreadsheetDrawing" xmlns:a="http://schemas.openxmlformats.org/drawingml/2006/main">
  <xdr:twoCellAnchor editAs="oneCell">
    <xdr:from>
      <xdr:col>21</xdr:col>
      <xdr:colOff>482600</xdr:colOff>
      <xdr:row>151</xdr:row>
      <xdr:rowOff>0</xdr:rowOff>
    </xdr:from>
    <xdr:to>
      <xdr:col>28</xdr:col>
      <xdr:colOff>444500</xdr:colOff>
      <xdr:row>179</xdr:row>
      <xdr:rowOff>63500</xdr:rowOff>
    </xdr:to>
    <xdr:pic>
      <xdr:nvPicPr>
        <xdr:cNvPr id="4" name="Picture 3">
          <a:extLst>
            <a:ext uri="{FF2B5EF4-FFF2-40B4-BE49-F238E27FC236}">
              <a16:creationId xmlns:a16="http://schemas.microsoft.com/office/drawing/2014/main" id="{1A951AD9-3883-4A46-83D3-792C8E99FF1C}"/>
            </a:ext>
          </a:extLst>
        </xdr:cNvPr>
        <xdr:cNvPicPr>
          <a:picLocks noChangeAspect="1"/>
        </xdr:cNvPicPr>
      </xdr:nvPicPr>
      <xdr:blipFill>
        <a:blip xmlns:r="http://schemas.openxmlformats.org/officeDocument/2006/relationships" r:embed="rId1"/>
        <a:stretch>
          <a:fillRect/>
        </a:stretch>
      </xdr:blipFill>
      <xdr:spPr>
        <a:xfrm>
          <a:off x="21501100" y="16573500"/>
          <a:ext cx="6718300" cy="5892800"/>
        </a:xfrm>
        <a:prstGeom prst="rect">
          <a:avLst/>
        </a:prstGeom>
      </xdr:spPr>
    </xdr:pic>
    <xdr:clientData/>
  </xdr:twoCellAnchor>
  <xdr:twoCellAnchor editAs="oneCell">
    <xdr:from>
      <xdr:col>14</xdr:col>
      <xdr:colOff>279400</xdr:colOff>
      <xdr:row>155</xdr:row>
      <xdr:rowOff>114300</xdr:rowOff>
    </xdr:from>
    <xdr:to>
      <xdr:col>21</xdr:col>
      <xdr:colOff>520700</xdr:colOff>
      <xdr:row>180</xdr:row>
      <xdr:rowOff>76200</xdr:rowOff>
    </xdr:to>
    <xdr:pic>
      <xdr:nvPicPr>
        <xdr:cNvPr id="5" name="Picture 4">
          <a:extLst>
            <a:ext uri="{FF2B5EF4-FFF2-40B4-BE49-F238E27FC236}">
              <a16:creationId xmlns:a16="http://schemas.microsoft.com/office/drawing/2014/main" id="{A61B7118-1D99-2B44-B8D3-B2BBF43F7472}"/>
            </a:ext>
          </a:extLst>
        </xdr:cNvPr>
        <xdr:cNvPicPr>
          <a:picLocks noChangeAspect="1"/>
        </xdr:cNvPicPr>
      </xdr:nvPicPr>
      <xdr:blipFill>
        <a:blip xmlns:r="http://schemas.openxmlformats.org/officeDocument/2006/relationships" r:embed="rId2"/>
        <a:stretch>
          <a:fillRect/>
        </a:stretch>
      </xdr:blipFill>
      <xdr:spPr>
        <a:xfrm>
          <a:off x="14427200" y="17500600"/>
          <a:ext cx="7112000" cy="5118100"/>
        </a:xfrm>
        <a:prstGeom prst="rect">
          <a:avLst/>
        </a:prstGeom>
      </xdr:spPr>
    </xdr:pic>
    <xdr:clientData/>
  </xdr:twoCellAnchor>
  <xdr:twoCellAnchor editAs="oneCell">
    <xdr:from>
      <xdr:col>10</xdr:col>
      <xdr:colOff>101600</xdr:colOff>
      <xdr:row>195</xdr:row>
      <xdr:rowOff>50800</xdr:rowOff>
    </xdr:from>
    <xdr:to>
      <xdr:col>17</xdr:col>
      <xdr:colOff>284787</xdr:colOff>
      <xdr:row>208</xdr:row>
      <xdr:rowOff>114151</xdr:rowOff>
    </xdr:to>
    <xdr:pic>
      <xdr:nvPicPr>
        <xdr:cNvPr id="8" name="Picture 7">
          <a:extLst>
            <a:ext uri="{FF2B5EF4-FFF2-40B4-BE49-F238E27FC236}">
              <a16:creationId xmlns:a16="http://schemas.microsoft.com/office/drawing/2014/main" id="{F50D3BDF-7874-1B44-B299-BB8BE608DDC7}"/>
            </a:ext>
          </a:extLst>
        </xdr:cNvPr>
        <xdr:cNvPicPr>
          <a:picLocks noChangeAspect="1"/>
        </xdr:cNvPicPr>
      </xdr:nvPicPr>
      <xdr:blipFill>
        <a:blip xmlns:r="http://schemas.openxmlformats.org/officeDocument/2006/relationships" r:embed="rId3"/>
        <a:stretch>
          <a:fillRect/>
        </a:stretch>
      </xdr:blipFill>
      <xdr:spPr>
        <a:xfrm>
          <a:off x="9956800" y="38735000"/>
          <a:ext cx="7485687" cy="2704951"/>
        </a:xfrm>
        <a:prstGeom prst="rect">
          <a:avLst/>
        </a:prstGeom>
      </xdr:spPr>
    </xdr:pic>
    <xdr:clientData/>
  </xdr:twoCellAnchor>
  <xdr:twoCellAnchor editAs="oneCell">
    <xdr:from>
      <xdr:col>10</xdr:col>
      <xdr:colOff>301467</xdr:colOff>
      <xdr:row>208</xdr:row>
      <xdr:rowOff>184075</xdr:rowOff>
    </xdr:from>
    <xdr:to>
      <xdr:col>13</xdr:col>
      <xdr:colOff>377019</xdr:colOff>
      <xdr:row>226</xdr:row>
      <xdr:rowOff>57075</xdr:rowOff>
    </xdr:to>
    <xdr:pic>
      <xdr:nvPicPr>
        <xdr:cNvPr id="9" name="Picture 8">
          <a:extLst>
            <a:ext uri="{FF2B5EF4-FFF2-40B4-BE49-F238E27FC236}">
              <a16:creationId xmlns:a16="http://schemas.microsoft.com/office/drawing/2014/main" id="{19EAE3E6-A5AA-5344-98D0-18149ECC6C27}"/>
            </a:ext>
          </a:extLst>
        </xdr:cNvPr>
        <xdr:cNvPicPr>
          <a:picLocks noChangeAspect="1"/>
        </xdr:cNvPicPr>
      </xdr:nvPicPr>
      <xdr:blipFill>
        <a:blip xmlns:r="http://schemas.openxmlformats.org/officeDocument/2006/relationships" r:embed="rId4"/>
        <a:stretch>
          <a:fillRect/>
        </a:stretch>
      </xdr:blipFill>
      <xdr:spPr>
        <a:xfrm>
          <a:off x="10156667" y="41509875"/>
          <a:ext cx="2971152" cy="3530600"/>
        </a:xfrm>
        <a:prstGeom prst="rect">
          <a:avLst/>
        </a:prstGeom>
      </xdr:spPr>
    </xdr:pic>
    <xdr:clientData/>
  </xdr:twoCellAnchor>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Users/dorinevandervlies/Projects/etdataset/nodes_source_analyses/industry/6_residences_analysis.xlsx" TargetMode="External"/></Relationships>
</file>

<file path=xl/externalLinks/_rels/externalLink2.xml.rels><?xml version="1.0" encoding="UTF-8" standalone="yes"?>
<Relationships xmlns="http://schemas.openxmlformats.org/package/2006/relationships"><Relationship Id="rId1" Type="http://schemas.openxmlformats.org/officeDocument/2006/relationships/externalLinkPath" Target="/Users/robterwel/Downloads/01D_Current_Central_Hydrogen_Production_from_Natural_Gas_without_CO2_Sequestration_version_3.1.xlsm"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Cover Sheet"/>
      <sheetName val="Changelog"/>
      <sheetName val="Contents"/>
      <sheetName val="Introduction"/>
      <sheetName val="Dataflow"/>
      <sheetName val="Assumptions"/>
      <sheetName val="Dashboard"/>
      <sheetName val="Corrected energy balance step 2"/>
      <sheetName val="technical_specs"/>
      <sheetName val="Application Shares"/>
      <sheetName val="Technology Shares"/>
      <sheetName val="Houses Shares"/>
      <sheetName val="Final demand per energy carrier"/>
      <sheetName val="Technology split final demand"/>
      <sheetName val="Electricity producer Shares"/>
      <sheetName val="Fuel aggregation"/>
      <sheetName val="Useful-final demand percentage"/>
      <sheetName val="csv_final_demand_coal"/>
      <sheetName val="csv_final_demand_crude_oil"/>
      <sheetName val="csv_final_demand_network_gas"/>
      <sheetName val="csv_final_demand_woodpellets"/>
      <sheetName val="csv_final_demand_electricity"/>
      <sheetName val="csv_final_demand_steam"/>
      <sheetName val="csv_cooling_electricity"/>
      <sheetName val="csv_heating_network_gas"/>
      <sheetName val="csv_heating_electricity"/>
      <sheetName val="csv_heating_heat_pump"/>
      <sheetName val="csv_water_network_gas"/>
      <sheetName val="csv_water_electricity"/>
      <sheetName val="csv_cooking_electricity"/>
      <sheetName val="csv_lighting_electricity"/>
      <sheetName val="csv_appliances_electricity"/>
      <sheetName val="csv_solar_thermal_heater"/>
      <sheetName val="csv_cooling_old-new"/>
      <sheetName val="csv_heating_old-new"/>
      <sheetName val="csv_cooling_insulation_old"/>
      <sheetName val="csv_cooling_insulation_new"/>
      <sheetName val="csv_heating_insulation_new"/>
      <sheetName val="csv_heating_insulation_old"/>
      <sheetName val="csv_heating_micro_chp_gas"/>
      <sheetName val="csv_water_micro_chp_gas"/>
      <sheetName val="csv_water_fuell_cell_gas"/>
      <sheetName val="csv_solar_space_heating_chld"/>
      <sheetName val="csv_solar_hot_water_chld"/>
      <sheetName val="csv_add_on_space_heating_child"/>
      <sheetName val="csv_add_on_hot water_child"/>
      <sheetName val="csv_hot_water_from_el_add_on"/>
      <sheetName val="csv_export_to_area_analysis"/>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ow r="11">
          <cell r="L11">
            <v>0</v>
          </cell>
        </row>
      </sheetData>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Set>
  </externalBook>
</externalLink>
</file>

<file path=xl/externalLinks/externalLink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Title"/>
      <sheetName val="Description"/>
      <sheetName val="ProcessFlow"/>
      <sheetName val="Input_Sheet_Template"/>
      <sheetName val="Replacement Costs"/>
      <sheetName val="Capital Costs"/>
      <sheetName val="Plant Scaling"/>
      <sheetName val="Carbon Sequestration"/>
      <sheetName val="Results"/>
      <sheetName val="Tornado Charts"/>
      <sheetName val="Cash Flow Analysis"/>
      <sheetName val="Energy Feed &amp; Utility Prices"/>
      <sheetName val="Non-Energy Material Prices"/>
      <sheetName val="AEO Data"/>
      <sheetName val="HyARC Physical Property Data"/>
      <sheetName val="Debt Financing Calculations"/>
      <sheetName val="Depreciation"/>
      <sheetName val="Constants and Conversions"/>
      <sheetName val="Lists"/>
      <sheetName val="ProcessFlow - blank"/>
      <sheetName val="Description - blank"/>
      <sheetName val="Title - blank"/>
    </sheetNames>
    <sheetDataSet>
      <sheetData sheetId="0"/>
      <sheetData sheetId="1"/>
      <sheetData sheetId="2"/>
      <sheetData sheetId="3"/>
      <sheetData sheetId="4"/>
      <sheetData sheetId="5"/>
      <sheetData sheetId="6"/>
      <sheetData sheetId="7"/>
      <sheetData sheetId="8"/>
      <sheetData sheetId="9">
        <row r="48">
          <cell r="I48">
            <v>1</v>
          </cell>
        </row>
      </sheetData>
      <sheetData sheetId="10"/>
      <sheetData sheetId="11"/>
      <sheetData sheetId="12"/>
      <sheetData sheetId="13"/>
      <sheetData sheetId="14"/>
      <sheetData sheetId="15"/>
      <sheetData sheetId="16"/>
      <sheetData sheetId="17"/>
      <sheetData sheetId="18"/>
      <sheetData sheetId="19"/>
      <sheetData sheetId="20"/>
      <sheetData sheetId="21"/>
    </sheetDataSet>
  </externalBook>
</externalLink>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30000"/>
              </a:schemeClr>
            </a:gs>
            <a:gs pos="100000">
              <a:schemeClr val="phClr">
                <a:tint val="50000"/>
                <a:shade val="100000"/>
                <a:satMod val="350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bodyPr/>
      <a:lstStyle/>
      <a:style>
        <a:lnRef idx="1">
          <a:schemeClr val="accent1"/>
        </a:lnRef>
        <a:fillRef idx="3">
          <a:schemeClr val="accent1"/>
        </a:fillRef>
        <a:effectRef idx="2">
          <a:schemeClr val="accent1"/>
        </a:effectRef>
        <a:fontRef idx="minor">
          <a:schemeClr val="lt1"/>
        </a:fontRef>
      </a:style>
    </a:spDef>
    <a:lnDef>
      <a:spPr/>
      <a:bodyPr/>
      <a:lstStyle/>
      <a:style>
        <a:lnRef idx="2">
          <a:schemeClr val="accent1"/>
        </a:lnRef>
        <a:fillRef idx="0">
          <a:schemeClr val="accent1"/>
        </a:fillRef>
        <a:effectRef idx="1">
          <a:schemeClr val="accent1"/>
        </a:effectRef>
        <a:fontRef idx="minor">
          <a:schemeClr val="tx1"/>
        </a:fontRef>
      </a:style>
    </a:lnDef>
  </a:objectDefaults>
  <a:extraClrSchemeLst/>
</a:theme>
</file>

<file path=xl/worksheets/_rels/sheet5.xml.rels><?xml version="1.0" encoding="UTF-8" standalone="yes"?>
<Relationships xmlns="http://schemas.openxmlformats.org/package/2006/relationships"><Relationship Id="rId1" Type="http://schemas.openxmlformats.org/officeDocument/2006/relationships/drawing" Target="../drawings/drawing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codeName="Sheet1">
    <tabColor theme="0"/>
  </sheetPr>
  <dimension ref="A1:C23"/>
  <sheetViews>
    <sheetView workbookViewId="0">
      <selection activeCell="C5" sqref="C5"/>
    </sheetView>
  </sheetViews>
  <sheetFormatPr baseColWidth="10" defaultColWidth="10.83203125" defaultRowHeight="16"/>
  <cols>
    <col min="1" max="1" width="3.5" style="30" customWidth="1"/>
    <col min="2" max="2" width="11.5" style="21" customWidth="1"/>
    <col min="3" max="3" width="38.5" style="21" customWidth="1"/>
    <col min="4" max="16384" width="10.83203125" style="21"/>
  </cols>
  <sheetData>
    <row r="1" spans="1:3" s="28" customFormat="1">
      <c r="A1" s="26"/>
      <c r="B1" s="27"/>
      <c r="C1" s="27"/>
    </row>
    <row r="2" spans="1:3" ht="21">
      <c r="A2" s="1"/>
      <c r="B2" s="29" t="s">
        <v>9</v>
      </c>
      <c r="C2" s="29"/>
    </row>
    <row r="3" spans="1:3">
      <c r="A3" s="1"/>
      <c r="B3" s="8"/>
      <c r="C3" s="8"/>
    </row>
    <row r="4" spans="1:3">
      <c r="A4" s="1"/>
      <c r="B4" s="2" t="s">
        <v>10</v>
      </c>
      <c r="C4" s="3" t="s">
        <v>277</v>
      </c>
    </row>
    <row r="5" spans="1:3">
      <c r="A5" s="1"/>
      <c r="B5" s="4" t="s">
        <v>40</v>
      </c>
      <c r="C5" s="5" t="s">
        <v>73</v>
      </c>
    </row>
    <row r="6" spans="1:3">
      <c r="A6" s="1"/>
      <c r="B6" s="6" t="s">
        <v>12</v>
      </c>
      <c r="C6" s="7" t="s">
        <v>13</v>
      </c>
    </row>
    <row r="7" spans="1:3">
      <c r="A7" s="1"/>
      <c r="B7" s="8"/>
      <c r="C7" s="8"/>
    </row>
    <row r="8" spans="1:3">
      <c r="A8" s="1"/>
      <c r="B8" s="8"/>
      <c r="C8" s="8"/>
    </row>
    <row r="9" spans="1:3">
      <c r="A9" s="1"/>
      <c r="B9" s="69" t="s">
        <v>25</v>
      </c>
      <c r="C9" s="70"/>
    </row>
    <row r="10" spans="1:3">
      <c r="A10" s="1"/>
      <c r="B10" s="71"/>
      <c r="C10" s="72"/>
    </row>
    <row r="11" spans="1:3">
      <c r="A11" s="1"/>
      <c r="B11" s="71" t="s">
        <v>26</v>
      </c>
      <c r="C11" s="73" t="s">
        <v>27</v>
      </c>
    </row>
    <row r="12" spans="1:3" ht="17" thickBot="1">
      <c r="A12" s="1"/>
      <c r="B12" s="71"/>
      <c r="C12" s="12" t="s">
        <v>28</v>
      </c>
    </row>
    <row r="13" spans="1:3" ht="17" thickBot="1">
      <c r="A13" s="1"/>
      <c r="B13" s="71"/>
      <c r="C13" s="74" t="s">
        <v>29</v>
      </c>
    </row>
    <row r="14" spans="1:3">
      <c r="A14" s="1"/>
      <c r="B14" s="71"/>
      <c r="C14" s="72" t="s">
        <v>30</v>
      </c>
    </row>
    <row r="15" spans="1:3">
      <c r="A15" s="1"/>
      <c r="B15" s="71"/>
      <c r="C15" s="72"/>
    </row>
    <row r="16" spans="1:3">
      <c r="A16" s="1"/>
      <c r="B16" s="71" t="s">
        <v>31</v>
      </c>
      <c r="C16" s="75" t="s">
        <v>32</v>
      </c>
    </row>
    <row r="17" spans="1:3">
      <c r="A17" s="1"/>
      <c r="B17" s="71"/>
      <c r="C17" s="76" t="s">
        <v>33</v>
      </c>
    </row>
    <row r="18" spans="1:3">
      <c r="A18" s="1"/>
      <c r="B18" s="71"/>
      <c r="C18" s="77" t="s">
        <v>34</v>
      </c>
    </row>
    <row r="19" spans="1:3">
      <c r="A19" s="1"/>
      <c r="B19" s="71"/>
      <c r="C19" s="78" t="s">
        <v>35</v>
      </c>
    </row>
    <row r="20" spans="1:3">
      <c r="A20" s="1"/>
      <c r="B20" s="79"/>
      <c r="C20" s="80" t="s">
        <v>36</v>
      </c>
    </row>
    <row r="21" spans="1:3">
      <c r="A21" s="1"/>
      <c r="B21" s="79"/>
      <c r="C21" s="81" t="s">
        <v>37</v>
      </c>
    </row>
    <row r="22" spans="1:3">
      <c r="A22" s="1"/>
      <c r="B22" s="79"/>
      <c r="C22" s="82" t="s">
        <v>38</v>
      </c>
    </row>
    <row r="23" spans="1:3">
      <c r="B23" s="79"/>
      <c r="C23" s="83" t="s">
        <v>39</v>
      </c>
    </row>
  </sheetData>
  <pageMargins left="0.75" right="0.75" top="1" bottom="1" header="0.5" footer="0.5"/>
  <pageSetup paperSize="9" orientation="portrait" horizontalDpi="4294967292" verticalDpi="429496729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codeName="Sheet2">
    <tabColor rgb="FFFFFF00"/>
  </sheetPr>
  <dimension ref="A1:K44"/>
  <sheetViews>
    <sheetView tabSelected="1" workbookViewId="0">
      <selection activeCell="G24" sqref="G24"/>
    </sheetView>
  </sheetViews>
  <sheetFormatPr baseColWidth="10" defaultColWidth="10.83203125" defaultRowHeight="16"/>
  <cols>
    <col min="1" max="2" width="3.5" style="34" customWidth="1"/>
    <col min="3" max="3" width="51.5" style="34" customWidth="1"/>
    <col min="4" max="5" width="14.6640625" style="34" customWidth="1"/>
    <col min="6" max="6" width="4.5" style="34" customWidth="1"/>
    <col min="7" max="7" width="49.5" style="34" customWidth="1"/>
    <col min="8" max="8" width="20.83203125" style="34" customWidth="1"/>
    <col min="9" max="9" width="42.5" style="34" customWidth="1"/>
    <col min="10" max="10" width="5.5" style="34" customWidth="1"/>
    <col min="11" max="16384" width="10.83203125" style="34"/>
  </cols>
  <sheetData>
    <row r="1" spans="1:11">
      <c r="D1" s="35"/>
    </row>
    <row r="2" spans="1:11">
      <c r="B2" s="216" t="s">
        <v>72</v>
      </c>
      <c r="C2" s="217"/>
      <c r="D2" s="217"/>
      <c r="E2" s="218"/>
      <c r="F2" s="35"/>
      <c r="G2" s="35"/>
    </row>
    <row r="3" spans="1:11">
      <c r="B3" s="219"/>
      <c r="C3" s="220"/>
      <c r="D3" s="220"/>
      <c r="E3" s="221"/>
      <c r="F3" s="35"/>
      <c r="G3" s="35"/>
    </row>
    <row r="4" spans="1:11">
      <c r="B4" s="219"/>
      <c r="C4" s="220"/>
      <c r="D4" s="220"/>
      <c r="E4" s="221"/>
      <c r="F4" s="35"/>
      <c r="G4" s="35"/>
    </row>
    <row r="5" spans="1:11">
      <c r="B5" s="222"/>
      <c r="C5" s="223"/>
      <c r="D5" s="223"/>
      <c r="E5" s="224"/>
      <c r="F5" s="35"/>
      <c r="G5" s="35"/>
    </row>
    <row r="6" spans="1:11">
      <c r="C6" s="35"/>
      <c r="D6" s="35"/>
      <c r="E6" s="35"/>
      <c r="F6" s="35"/>
      <c r="G6" s="35"/>
    </row>
    <row r="7" spans="1:11" ht="17" thickBot="1">
      <c r="D7" s="35"/>
    </row>
    <row r="8" spans="1:11">
      <c r="B8" s="36"/>
      <c r="C8" s="19"/>
      <c r="D8" s="19"/>
      <c r="E8" s="19"/>
      <c r="F8" s="19"/>
      <c r="G8" s="19"/>
      <c r="H8" s="19"/>
      <c r="I8" s="19"/>
      <c r="J8" s="37"/>
    </row>
    <row r="9" spans="1:11" s="25" customFormat="1">
      <c r="B9" s="23"/>
      <c r="C9" s="15" t="s">
        <v>18</v>
      </c>
      <c r="D9" s="16" t="s">
        <v>7</v>
      </c>
      <c r="E9" s="14" t="s">
        <v>3</v>
      </c>
      <c r="F9" s="15"/>
      <c r="G9" s="15" t="s">
        <v>6</v>
      </c>
      <c r="H9" s="15"/>
      <c r="I9" s="15" t="s">
        <v>0</v>
      </c>
      <c r="J9" s="86"/>
    </row>
    <row r="10" spans="1:11" s="25" customFormat="1">
      <c r="B10" s="24"/>
      <c r="C10" s="12"/>
      <c r="D10" s="32"/>
      <c r="E10" s="12"/>
      <c r="F10" s="12"/>
      <c r="G10" s="12"/>
      <c r="H10" s="12"/>
      <c r="I10" s="12"/>
      <c r="J10" s="13"/>
    </row>
    <row r="11" spans="1:11" s="25" customFormat="1" ht="17" thickBot="1">
      <c r="B11" s="24"/>
      <c r="C11" s="12" t="s">
        <v>42</v>
      </c>
      <c r="D11" s="32"/>
      <c r="E11" s="12"/>
      <c r="F11" s="12"/>
      <c r="G11" s="12"/>
      <c r="H11" s="12"/>
      <c r="I11" s="12"/>
      <c r="J11" s="13"/>
    </row>
    <row r="12" spans="1:11" s="144" customFormat="1" ht="16" customHeight="1" thickBot="1">
      <c r="B12" s="145"/>
      <c r="C12" s="137" t="s">
        <v>71</v>
      </c>
      <c r="D12" s="138" t="s">
        <v>76</v>
      </c>
      <c r="E12" s="146">
        <f>'Research data'!H7</f>
        <v>333.7872840396272</v>
      </c>
      <c r="F12" s="137"/>
      <c r="G12" s="147"/>
      <c r="I12" s="140"/>
      <c r="J12" s="148"/>
    </row>
    <row r="13" spans="1:11" s="144" customFormat="1" ht="16" customHeight="1" thickBot="1">
      <c r="B13" s="145"/>
      <c r="C13" s="161" t="s">
        <v>107</v>
      </c>
      <c r="D13" s="138"/>
      <c r="E13" s="146">
        <f>'Research data'!H8</f>
        <v>7.6406122221098702E-2</v>
      </c>
      <c r="F13" s="137"/>
      <c r="G13" s="147"/>
      <c r="I13" s="140"/>
      <c r="J13" s="148"/>
    </row>
    <row r="14" spans="1:11" ht="17" thickBot="1">
      <c r="A14" s="25"/>
      <c r="B14" s="24"/>
      <c r="C14" s="92" t="s">
        <v>74</v>
      </c>
      <c r="D14" s="20" t="s">
        <v>2</v>
      </c>
      <c r="E14" s="146">
        <f>'Research data'!H9</f>
        <v>0.92359387777890134</v>
      </c>
      <c r="F14" s="38"/>
      <c r="G14" s="92"/>
      <c r="H14" s="31"/>
      <c r="I14" s="133"/>
      <c r="J14" s="13"/>
      <c r="K14" s="25"/>
    </row>
    <row r="15" spans="1:11" ht="17" thickBot="1">
      <c r="A15" s="94"/>
      <c r="B15" s="95"/>
      <c r="C15" s="162" t="s">
        <v>108</v>
      </c>
      <c r="D15" s="22" t="s">
        <v>2</v>
      </c>
      <c r="E15" s="146">
        <f>'Research data'!H10</f>
        <v>0.76583932824392909</v>
      </c>
      <c r="F15" s="92"/>
      <c r="G15" s="127"/>
      <c r="H15" s="92"/>
      <c r="I15" s="133"/>
      <c r="J15" s="96"/>
      <c r="K15" s="35"/>
    </row>
    <row r="16" spans="1:11" ht="17" thickBot="1">
      <c r="B16" s="95"/>
      <c r="C16" s="92" t="s">
        <v>75</v>
      </c>
      <c r="D16" s="22" t="s">
        <v>2</v>
      </c>
      <c r="E16" s="146">
        <f>'Research data'!H12</f>
        <v>0.23416067175607091</v>
      </c>
      <c r="F16" s="92"/>
      <c r="G16" s="92"/>
      <c r="H16" s="92"/>
      <c r="I16" s="133"/>
      <c r="J16" s="96"/>
    </row>
    <row r="17" spans="1:11" s="135" customFormat="1" ht="16" customHeight="1" thickBot="1">
      <c r="B17" s="136"/>
      <c r="C17" s="137" t="s">
        <v>61</v>
      </c>
      <c r="D17" s="138" t="s">
        <v>2</v>
      </c>
      <c r="E17" s="146">
        <f>'Research data'!H13</f>
        <v>8322</v>
      </c>
      <c r="F17" s="137"/>
      <c r="G17" s="137"/>
      <c r="I17" s="140"/>
      <c r="J17" s="141"/>
      <c r="K17" s="142"/>
    </row>
    <row r="18" spans="1:11">
      <c r="B18" s="39"/>
      <c r="C18" s="35"/>
      <c r="D18" s="35"/>
      <c r="E18" s="35"/>
      <c r="F18" s="35"/>
      <c r="G18" s="35"/>
      <c r="H18" s="35"/>
      <c r="I18" s="35"/>
      <c r="J18" s="87"/>
    </row>
    <row r="19" spans="1:11" ht="17" thickBot="1">
      <c r="B19" s="39"/>
      <c r="C19" s="12" t="s">
        <v>41</v>
      </c>
      <c r="D19" s="35"/>
      <c r="E19" s="35"/>
      <c r="F19" s="35"/>
      <c r="G19" s="35"/>
      <c r="H19" s="35"/>
      <c r="I19" s="35"/>
      <c r="J19" s="87"/>
    </row>
    <row r="20" spans="1:11" ht="17" thickBot="1">
      <c r="B20" s="39"/>
      <c r="C20" s="38" t="s">
        <v>21</v>
      </c>
      <c r="D20" s="22" t="s">
        <v>19</v>
      </c>
      <c r="E20" s="143">
        <f>'Research data'!H16</f>
        <v>484027777.77777779</v>
      </c>
      <c r="F20" s="38"/>
      <c r="G20" s="38" t="s">
        <v>5</v>
      </c>
      <c r="H20" s="38"/>
      <c r="I20" s="131"/>
      <c r="J20" s="87"/>
    </row>
    <row r="21" spans="1:11" ht="15" customHeight="1" thickBot="1">
      <c r="B21" s="39"/>
      <c r="C21" s="38" t="s">
        <v>22</v>
      </c>
      <c r="D21" s="22" t="s">
        <v>46</v>
      </c>
      <c r="E21" s="143">
        <f>'Research data'!H17</f>
        <v>17520833.333333336</v>
      </c>
      <c r="F21" s="38"/>
      <c r="G21" s="117" t="s">
        <v>68</v>
      </c>
      <c r="H21" s="38"/>
      <c r="I21" s="131"/>
      <c r="J21" s="87"/>
    </row>
    <row r="22" spans="1:11" ht="17" thickBot="1">
      <c r="B22" s="110"/>
      <c r="C22" s="116" t="s">
        <v>64</v>
      </c>
      <c r="D22" s="112" t="s">
        <v>59</v>
      </c>
      <c r="E22" s="143">
        <f>'Research data'!H18</f>
        <v>0</v>
      </c>
      <c r="F22" s="113"/>
      <c r="G22" s="111" t="s">
        <v>60</v>
      </c>
      <c r="H22" s="113"/>
      <c r="I22" s="131"/>
      <c r="J22" s="114"/>
    </row>
    <row r="23" spans="1:11" ht="17" thickBot="1">
      <c r="B23" s="110"/>
      <c r="C23" s="116" t="s">
        <v>65</v>
      </c>
      <c r="D23" s="112" t="s">
        <v>59</v>
      </c>
      <c r="E23" s="143">
        <v>0</v>
      </c>
      <c r="F23" s="113"/>
      <c r="G23" s="111"/>
      <c r="H23" s="113"/>
      <c r="I23" s="131"/>
      <c r="J23" s="114"/>
    </row>
    <row r="24" spans="1:11" ht="17" thickBot="1">
      <c r="B24" s="110"/>
      <c r="C24" s="116" t="s">
        <v>63</v>
      </c>
      <c r="D24" s="112"/>
      <c r="E24" s="143">
        <f>'Research data'!H19</f>
        <v>0</v>
      </c>
      <c r="F24" s="113"/>
      <c r="G24" s="116" t="s">
        <v>66</v>
      </c>
      <c r="H24" s="113"/>
      <c r="I24" s="123"/>
      <c r="J24" s="114"/>
    </row>
    <row r="25" spans="1:11" ht="17" thickBot="1">
      <c r="B25" s="110"/>
      <c r="C25" s="124" t="s">
        <v>70</v>
      </c>
      <c r="D25" s="112"/>
      <c r="E25" s="40">
        <f>'Research data'!H22</f>
        <v>0</v>
      </c>
      <c r="F25" s="113"/>
      <c r="G25" s="116" t="s">
        <v>67</v>
      </c>
      <c r="H25" s="113"/>
      <c r="I25" s="132"/>
      <c r="J25" s="114"/>
    </row>
    <row r="26" spans="1:11" ht="17" thickBot="1">
      <c r="A26" s="94"/>
      <c r="B26" s="95"/>
      <c r="C26" s="92" t="s">
        <v>48</v>
      </c>
      <c r="D26" s="22" t="s">
        <v>49</v>
      </c>
      <c r="E26" s="168">
        <v>7.0000000000000007E-2</v>
      </c>
      <c r="F26" s="92"/>
      <c r="G26" s="92" t="s">
        <v>50</v>
      </c>
      <c r="H26" s="92"/>
      <c r="I26" s="133" t="s">
        <v>140</v>
      </c>
      <c r="J26" s="96"/>
    </row>
    <row r="27" spans="1:11" ht="17" thickBot="1">
      <c r="A27" s="94"/>
      <c r="B27" s="95"/>
      <c r="C27" s="92" t="s">
        <v>51</v>
      </c>
      <c r="D27" s="22" t="s">
        <v>52</v>
      </c>
      <c r="E27" s="97">
        <v>0</v>
      </c>
      <c r="F27" s="92"/>
      <c r="G27" s="92"/>
      <c r="H27" s="92"/>
      <c r="I27" s="93"/>
      <c r="J27" s="96"/>
    </row>
    <row r="28" spans="1:11">
      <c r="A28" s="94"/>
      <c r="B28" s="95"/>
      <c r="C28" s="92"/>
      <c r="D28" s="22"/>
      <c r="E28" s="100"/>
      <c r="F28" s="92"/>
      <c r="G28" s="92"/>
      <c r="H28" s="92"/>
      <c r="I28" s="98"/>
      <c r="J28" s="96"/>
    </row>
    <row r="29" spans="1:11" ht="17" thickBot="1">
      <c r="A29" s="94"/>
      <c r="B29" s="95"/>
      <c r="C29" s="12" t="s">
        <v>4</v>
      </c>
      <c r="D29" s="88"/>
      <c r="E29" s="100"/>
      <c r="F29" s="98"/>
      <c r="H29" s="98"/>
      <c r="I29" s="98"/>
      <c r="J29" s="96"/>
    </row>
    <row r="30" spans="1:11" ht="17" thickBot="1">
      <c r="A30" s="94"/>
      <c r="B30" s="95"/>
      <c r="C30" s="92" t="s">
        <v>23</v>
      </c>
      <c r="D30" s="22" t="s">
        <v>1</v>
      </c>
      <c r="E30" s="97">
        <f>'Research data'!H25</f>
        <v>25</v>
      </c>
      <c r="F30" s="92"/>
      <c r="G30" s="92" t="s">
        <v>57</v>
      </c>
      <c r="H30" s="92"/>
      <c r="I30" s="131"/>
      <c r="J30" s="96"/>
    </row>
    <row r="31" spans="1:11" ht="17" thickBot="1">
      <c r="A31" s="94"/>
      <c r="B31" s="95"/>
      <c r="C31" s="92" t="s">
        <v>55</v>
      </c>
      <c r="D31" s="22" t="s">
        <v>1</v>
      </c>
      <c r="E31" s="97">
        <f>'Research data'!H26</f>
        <v>0</v>
      </c>
      <c r="F31" s="92"/>
      <c r="G31" s="92" t="s">
        <v>56</v>
      </c>
      <c r="H31" s="92"/>
      <c r="I31" s="93"/>
      <c r="J31" s="96"/>
    </row>
    <row r="32" spans="1:11" ht="17" thickBot="1">
      <c r="A32" s="94"/>
      <c r="B32" s="95"/>
      <c r="C32" s="92" t="s">
        <v>53</v>
      </c>
      <c r="D32" s="22" t="s">
        <v>54</v>
      </c>
      <c r="E32" s="97">
        <f>'Research data'!H27</f>
        <v>0</v>
      </c>
      <c r="F32" s="92"/>
      <c r="G32" s="92" t="s">
        <v>58</v>
      </c>
      <c r="H32" s="92"/>
      <c r="I32" s="133"/>
      <c r="J32" s="96"/>
    </row>
    <row r="33" spans="1:10" ht="17" thickBot="1">
      <c r="A33" s="94"/>
      <c r="B33" s="95"/>
      <c r="C33" s="92" t="s">
        <v>20</v>
      </c>
      <c r="D33" s="22" t="s">
        <v>2</v>
      </c>
      <c r="E33" s="97">
        <v>0</v>
      </c>
      <c r="F33" s="92"/>
      <c r="G33" s="92"/>
      <c r="H33" s="92"/>
      <c r="I33" s="133"/>
      <c r="J33" s="96"/>
    </row>
    <row r="34" spans="1:10" ht="17" thickBot="1">
      <c r="A34" s="94"/>
      <c r="B34" s="101"/>
      <c r="C34" s="102"/>
      <c r="D34" s="102"/>
      <c r="E34" s="102"/>
      <c r="F34" s="102"/>
      <c r="G34" s="102"/>
      <c r="H34" s="102"/>
      <c r="I34" s="102"/>
      <c r="J34" s="103"/>
    </row>
    <row r="35" spans="1:10">
      <c r="A35" s="94"/>
      <c r="B35" s="94"/>
      <c r="C35" s="94"/>
      <c r="D35" s="94"/>
      <c r="E35" s="94"/>
      <c r="F35" s="94"/>
      <c r="G35" s="94"/>
      <c r="H35" s="94"/>
      <c r="I35" s="94"/>
      <c r="J35" s="94"/>
    </row>
    <row r="36" spans="1:10">
      <c r="A36" s="94"/>
      <c r="B36" s="94"/>
      <c r="C36" s="94"/>
      <c r="D36" s="94"/>
      <c r="E36" s="94"/>
      <c r="F36" s="94"/>
      <c r="G36" s="94"/>
      <c r="H36" s="94"/>
      <c r="I36" s="94"/>
      <c r="J36" s="94"/>
    </row>
    <row r="37" spans="1:10">
      <c r="A37" s="94"/>
      <c r="B37" s="94"/>
      <c r="C37" s="94"/>
      <c r="D37" s="94"/>
      <c r="E37" s="94"/>
      <c r="F37" s="94"/>
      <c r="G37" s="94"/>
      <c r="H37" s="94"/>
      <c r="I37" s="94"/>
      <c r="J37" s="94"/>
    </row>
    <row r="38" spans="1:10">
      <c r="A38" s="94"/>
      <c r="B38" s="94"/>
      <c r="E38" s="94"/>
      <c r="F38" s="94"/>
      <c r="G38" s="94"/>
      <c r="H38" s="94"/>
      <c r="I38" s="94"/>
      <c r="J38" s="94"/>
    </row>
    <row r="39" spans="1:10">
      <c r="A39" s="94"/>
      <c r="B39" s="94"/>
      <c r="C39" s="94"/>
      <c r="D39" s="94"/>
      <c r="E39" s="94"/>
      <c r="F39" s="94"/>
      <c r="G39" s="94"/>
      <c r="H39" s="94"/>
      <c r="I39" s="94"/>
      <c r="J39" s="94"/>
    </row>
    <row r="40" spans="1:10">
      <c r="A40" s="94"/>
      <c r="B40" s="94"/>
      <c r="C40" s="94"/>
      <c r="D40" s="94"/>
      <c r="E40" s="94"/>
      <c r="F40" s="94"/>
      <c r="G40" s="94"/>
      <c r="H40" s="94"/>
      <c r="I40" s="94"/>
      <c r="J40" s="94"/>
    </row>
    <row r="41" spans="1:10">
      <c r="A41" s="94"/>
      <c r="B41" s="94"/>
      <c r="C41" s="94"/>
      <c r="D41" s="94"/>
      <c r="E41" s="94"/>
      <c r="F41" s="94"/>
      <c r="G41" s="94"/>
      <c r="H41" s="94"/>
      <c r="I41" s="94"/>
      <c r="J41" s="94"/>
    </row>
    <row r="42" spans="1:10">
      <c r="A42" s="94"/>
      <c r="B42" s="94"/>
      <c r="C42" s="94"/>
      <c r="D42" s="94"/>
      <c r="E42" s="94"/>
      <c r="F42" s="94"/>
      <c r="G42" s="94"/>
      <c r="H42" s="94"/>
      <c r="I42" s="94"/>
      <c r="J42" s="94"/>
    </row>
    <row r="43" spans="1:10">
      <c r="A43" s="94"/>
    </row>
    <row r="44" spans="1:10">
      <c r="A44" s="94"/>
    </row>
  </sheetData>
  <mergeCells count="1">
    <mergeCell ref="B2:E5"/>
  </mergeCells>
  <pageMargins left="0.75" right="0.75" top="1" bottom="1" header="0.5" footer="0.5"/>
  <pageSetup paperSize="9" orientation="portrait" horizontalDpi="4294967292" verticalDpi="429496729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codeName="Sheet3">
    <tabColor theme="6" tint="0.39997558519241921"/>
  </sheetPr>
  <dimension ref="A2:P28"/>
  <sheetViews>
    <sheetView workbookViewId="0">
      <selection activeCell="H7" sqref="H7"/>
    </sheetView>
  </sheetViews>
  <sheetFormatPr baseColWidth="10" defaultColWidth="10.83203125" defaultRowHeight="16"/>
  <cols>
    <col min="1" max="1" width="3.5" style="41" customWidth="1"/>
    <col min="2" max="2" width="3" style="41" customWidth="1"/>
    <col min="3" max="3" width="61" style="41" customWidth="1"/>
    <col min="4" max="4" width="16.5" style="41" hidden="1" customWidth="1"/>
    <col min="5" max="5" width="13.83203125" style="41" hidden="1" customWidth="1"/>
    <col min="6" max="6" width="10" style="41" customWidth="1"/>
    <col min="7" max="7" width="3" style="41" customWidth="1"/>
    <col min="8" max="8" width="14.83203125" style="41" customWidth="1"/>
    <col min="9" max="9" width="2.5" style="41" customWidth="1"/>
    <col min="10" max="10" width="13.5" style="41" customWidth="1"/>
    <col min="11" max="12" width="2.5" style="41" customWidth="1"/>
    <col min="13" max="13" width="23.5" style="41" customWidth="1"/>
    <col min="14" max="14" width="11" style="41" customWidth="1"/>
    <col min="15" max="15" width="2.5" style="41" customWidth="1"/>
    <col min="16" max="16" width="22.5" style="41" customWidth="1"/>
    <col min="17" max="16384" width="10.83203125" style="41"/>
  </cols>
  <sheetData>
    <row r="2" spans="1:16" ht="17" thickBot="1"/>
    <row r="3" spans="1:16">
      <c r="B3" s="42"/>
      <c r="C3" s="43"/>
      <c r="D3" s="43"/>
      <c r="E3" s="43"/>
      <c r="F3" s="43"/>
      <c r="G3" s="43"/>
      <c r="H3" s="43"/>
      <c r="I3" s="43"/>
      <c r="J3" s="43"/>
      <c r="K3" s="43"/>
      <c r="L3" s="43"/>
      <c r="M3" s="43"/>
      <c r="N3" s="43"/>
      <c r="O3" s="43"/>
      <c r="P3" s="43"/>
    </row>
    <row r="4" spans="1:16" s="25" customFormat="1">
      <c r="B4" s="24"/>
      <c r="C4" s="84" t="s">
        <v>18</v>
      </c>
      <c r="D4" s="9"/>
      <c r="E4" s="9"/>
      <c r="F4" s="84" t="s">
        <v>7</v>
      </c>
      <c r="G4" s="84"/>
      <c r="H4" s="84" t="s">
        <v>45</v>
      </c>
      <c r="I4" s="84"/>
      <c r="J4" s="84" t="s">
        <v>272</v>
      </c>
      <c r="K4" s="84"/>
      <c r="L4" s="84"/>
      <c r="M4" s="84" t="s">
        <v>43</v>
      </c>
    </row>
    <row r="5" spans="1:16" ht="18" customHeight="1">
      <c r="B5" s="44"/>
      <c r="C5" s="48"/>
      <c r="D5" s="48"/>
      <c r="E5" s="48"/>
      <c r="F5" s="45"/>
      <c r="G5" s="45"/>
      <c r="H5" s="46"/>
      <c r="I5" s="46"/>
      <c r="J5" s="46"/>
      <c r="K5" s="46"/>
      <c r="L5" s="46"/>
      <c r="M5" s="50"/>
    </row>
    <row r="6" spans="1:16" ht="18" customHeight="1" thickBot="1">
      <c r="B6" s="44"/>
      <c r="C6" s="12" t="s">
        <v>42</v>
      </c>
      <c r="D6" s="32"/>
      <c r="E6" s="12"/>
      <c r="F6" s="32"/>
      <c r="G6" s="33"/>
      <c r="H6" s="10"/>
      <c r="I6" s="10"/>
      <c r="J6" s="10"/>
      <c r="K6" s="10"/>
    </row>
    <row r="7" spans="1:16" ht="18" customHeight="1" thickBot="1">
      <c r="B7" s="44"/>
      <c r="C7" s="137" t="s">
        <v>71</v>
      </c>
      <c r="D7" s="138" t="s">
        <v>76</v>
      </c>
      <c r="E7" s="146"/>
      <c r="F7" s="138" t="s">
        <v>76</v>
      </c>
      <c r="G7" s="85"/>
      <c r="H7" s="128">
        <f>J7</f>
        <v>333.7872840396272</v>
      </c>
      <c r="I7" s="46"/>
      <c r="J7" s="155">
        <f>Notes!D6</f>
        <v>333.7872840396272</v>
      </c>
      <c r="K7" s="46"/>
    </row>
    <row r="8" spans="1:16" s="34" customFormat="1" ht="17" thickBot="1">
      <c r="A8" s="25"/>
      <c r="B8" s="24"/>
      <c r="C8" s="161" t="s">
        <v>107</v>
      </c>
      <c r="D8" s="20" t="s">
        <v>2</v>
      </c>
      <c r="E8" s="40"/>
      <c r="F8" s="20" t="s">
        <v>2</v>
      </c>
      <c r="G8" s="92"/>
      <c r="H8" s="128">
        <f t="shared" ref="H8:H12" si="0">J8</f>
        <v>7.6406122221098702E-2</v>
      </c>
      <c r="J8" s="155">
        <f>Notes!F14</f>
        <v>7.6406122221098702E-2</v>
      </c>
      <c r="K8" s="25"/>
    </row>
    <row r="9" spans="1:16" s="34" customFormat="1" ht="17" thickBot="1">
      <c r="A9" s="94"/>
      <c r="B9" s="95"/>
      <c r="C9" s="92" t="s">
        <v>74</v>
      </c>
      <c r="D9" s="22" t="s">
        <v>2</v>
      </c>
      <c r="E9" s="40"/>
      <c r="F9" s="22" t="s">
        <v>2</v>
      </c>
      <c r="G9" s="127"/>
      <c r="H9" s="128">
        <f t="shared" si="0"/>
        <v>0.92359387777890134</v>
      </c>
      <c r="J9" s="155">
        <f>Notes!F13</f>
        <v>0.92359387777890134</v>
      </c>
      <c r="K9" s="35"/>
    </row>
    <row r="10" spans="1:16" s="34" customFormat="1" ht="17" thickBot="1">
      <c r="A10" s="94"/>
      <c r="B10" s="95"/>
      <c r="C10" s="162" t="s">
        <v>108</v>
      </c>
      <c r="D10" s="22" t="s">
        <v>2</v>
      </c>
      <c r="E10" s="40"/>
      <c r="F10" s="22" t="s">
        <v>2</v>
      </c>
      <c r="G10" s="92"/>
      <c r="H10" s="128">
        <f>J10+J11</f>
        <v>0.76583932824392909</v>
      </c>
      <c r="J10" s="155">
        <f>Notes!E101</f>
        <v>0.46801292281573448</v>
      </c>
      <c r="K10" s="35"/>
    </row>
    <row r="11" spans="1:16" s="34" customFormat="1" ht="17" thickBot="1">
      <c r="B11" s="95"/>
      <c r="C11" s="162" t="s">
        <v>109</v>
      </c>
      <c r="D11" s="22" t="s">
        <v>2</v>
      </c>
      <c r="E11" s="40"/>
      <c r="F11" s="22" t="s">
        <v>2</v>
      </c>
      <c r="G11" s="92"/>
      <c r="H11" s="128"/>
      <c r="J11" s="155">
        <f>Notes!E102</f>
        <v>0.29782640542819461</v>
      </c>
      <c r="M11" s="167" t="s">
        <v>131</v>
      </c>
    </row>
    <row r="12" spans="1:16" s="34" customFormat="1" ht="17" thickBot="1">
      <c r="B12" s="95"/>
      <c r="C12" s="92" t="s">
        <v>75</v>
      </c>
      <c r="D12" s="22"/>
      <c r="E12" s="40"/>
      <c r="F12" s="22" t="s">
        <v>2</v>
      </c>
      <c r="G12" s="92"/>
      <c r="H12" s="128">
        <f t="shared" si="0"/>
        <v>0.23416067175607091</v>
      </c>
      <c r="J12" s="155">
        <f>Notes!E103</f>
        <v>0.23416067175607091</v>
      </c>
    </row>
    <row r="13" spans="1:16" ht="17" thickBot="1">
      <c r="A13" s="94"/>
      <c r="B13" s="95"/>
      <c r="C13" s="137" t="s">
        <v>61</v>
      </c>
      <c r="D13" s="138" t="s">
        <v>2</v>
      </c>
      <c r="E13" s="139"/>
      <c r="F13" s="138" t="s">
        <v>62</v>
      </c>
      <c r="H13" s="156">
        <f t="shared" ref="H13" si="1">J13</f>
        <v>8322</v>
      </c>
      <c r="I13" s="92"/>
      <c r="J13" s="214">
        <f>Notes!D7</f>
        <v>8322</v>
      </c>
      <c r="K13" s="94"/>
    </row>
    <row r="14" spans="1:16">
      <c r="B14" s="44"/>
      <c r="C14" s="35"/>
      <c r="D14" s="35"/>
      <c r="E14" s="35"/>
      <c r="F14" s="35"/>
      <c r="H14" s="47"/>
      <c r="I14" s="92"/>
      <c r="J14" s="130"/>
      <c r="K14" s="94"/>
      <c r="L14" s="46"/>
      <c r="M14" s="115"/>
    </row>
    <row r="15" spans="1:16" ht="17" thickBot="1">
      <c r="A15" s="94"/>
      <c r="B15" s="95"/>
      <c r="C15" s="12" t="s">
        <v>41</v>
      </c>
      <c r="D15" s="35"/>
      <c r="E15" s="35"/>
      <c r="F15" s="35"/>
      <c r="H15" s="11"/>
      <c r="I15" s="105"/>
      <c r="J15" s="104"/>
      <c r="K15" s="105"/>
      <c r="L15" s="104"/>
      <c r="M15" s="50"/>
    </row>
    <row r="16" spans="1:16" ht="17" thickBot="1">
      <c r="A16" s="94"/>
      <c r="B16" s="95"/>
      <c r="C16" s="38" t="s">
        <v>21</v>
      </c>
      <c r="D16" s="22" t="s">
        <v>19</v>
      </c>
      <c r="E16" s="143"/>
      <c r="F16" s="22" t="s">
        <v>19</v>
      </c>
      <c r="H16" s="153">
        <f>J16</f>
        <v>484027777.77777779</v>
      </c>
      <c r="I16" s="11"/>
      <c r="J16" s="128">
        <f>Notes!D8</f>
        <v>484027777.77777779</v>
      </c>
      <c r="K16" s="11"/>
      <c r="L16" s="104"/>
      <c r="M16" s="91"/>
    </row>
    <row r="17" spans="1:13" ht="17" thickBot="1">
      <c r="A17" s="94"/>
      <c r="B17" s="95"/>
      <c r="C17" s="38" t="s">
        <v>22</v>
      </c>
      <c r="D17" s="22" t="s">
        <v>46</v>
      </c>
      <c r="E17" s="40">
        <v>0</v>
      </c>
      <c r="F17" s="22" t="s">
        <v>46</v>
      </c>
      <c r="H17" s="106">
        <f>J17</f>
        <v>17520833.333333336</v>
      </c>
      <c r="I17" s="104"/>
      <c r="J17" s="128">
        <f>Notes!D9</f>
        <v>17520833.333333336</v>
      </c>
      <c r="K17" s="104"/>
      <c r="M17" s="91"/>
    </row>
    <row r="18" spans="1:13" ht="17" thickBot="1">
      <c r="A18" s="94"/>
      <c r="B18" s="95"/>
      <c r="C18" s="116" t="s">
        <v>64</v>
      </c>
      <c r="D18" s="112" t="s">
        <v>59</v>
      </c>
      <c r="E18" s="40">
        <f>'Research data'!H16</f>
        <v>484027777.77777779</v>
      </c>
      <c r="F18" s="112" t="s">
        <v>59</v>
      </c>
      <c r="H18" s="106">
        <f>J18</f>
        <v>0</v>
      </c>
      <c r="J18" s="128"/>
      <c r="L18" s="104"/>
      <c r="M18" s="107"/>
    </row>
    <row r="19" spans="1:13" ht="17" thickBot="1">
      <c r="A19" s="94"/>
      <c r="B19" s="95"/>
      <c r="C19" s="116" t="s">
        <v>63</v>
      </c>
      <c r="D19" s="112"/>
      <c r="E19" s="40">
        <f>'Research data'!H18</f>
        <v>0</v>
      </c>
      <c r="F19" s="112"/>
      <c r="H19" s="106">
        <f t="shared" ref="H19:H21" si="2">J19</f>
        <v>0</v>
      </c>
      <c r="J19" s="129"/>
      <c r="L19" s="99"/>
      <c r="M19" s="107"/>
    </row>
    <row r="20" spans="1:13" ht="17" thickBot="1">
      <c r="A20" s="94"/>
      <c r="B20" s="95"/>
      <c r="C20" s="124" t="s">
        <v>70</v>
      </c>
      <c r="D20" s="112"/>
      <c r="E20" s="40" t="e">
        <f>'Research data'!#REF!</f>
        <v>#REF!</v>
      </c>
      <c r="F20" s="112"/>
      <c r="H20" s="106">
        <f t="shared" si="2"/>
        <v>0</v>
      </c>
      <c r="J20" s="129"/>
      <c r="L20" s="99"/>
      <c r="M20" s="107"/>
    </row>
    <row r="21" spans="1:13" ht="17" thickBot="1">
      <c r="A21" s="118"/>
      <c r="B21" s="119"/>
      <c r="C21" s="116" t="s">
        <v>65</v>
      </c>
      <c r="D21" s="112"/>
      <c r="E21" s="40">
        <f>'Research data'!H19</f>
        <v>0</v>
      </c>
      <c r="F21" s="112"/>
      <c r="G21" s="118"/>
      <c r="H21" s="106">
        <f t="shared" si="2"/>
        <v>0</v>
      </c>
      <c r="I21" s="121"/>
      <c r="J21" s="120"/>
      <c r="K21" s="121"/>
      <c r="L21" s="118"/>
      <c r="M21" s="122" t="s">
        <v>69</v>
      </c>
    </row>
    <row r="22" spans="1:13" ht="17" thickBot="1">
      <c r="A22" s="94"/>
      <c r="B22" s="95"/>
      <c r="C22" s="92" t="s">
        <v>51</v>
      </c>
      <c r="D22" s="22" t="s">
        <v>52</v>
      </c>
      <c r="E22" s="97">
        <v>0</v>
      </c>
      <c r="F22" s="22" t="s">
        <v>52</v>
      </c>
      <c r="H22" s="106">
        <f>J22</f>
        <v>0</v>
      </c>
      <c r="I22" s="99"/>
      <c r="J22" s="106"/>
      <c r="K22" s="99"/>
      <c r="L22" s="99"/>
      <c r="M22" s="107"/>
    </row>
    <row r="23" spans="1:13" ht="17" thickBot="1">
      <c r="A23" s="118"/>
      <c r="B23" s="119"/>
      <c r="C23" s="92"/>
      <c r="D23" s="22"/>
      <c r="E23" s="100"/>
      <c r="F23" s="22"/>
      <c r="G23" s="118"/>
      <c r="H23" s="120">
        <f>J23</f>
        <v>0</v>
      </c>
      <c r="I23" s="121"/>
      <c r="J23" s="120"/>
      <c r="K23" s="121"/>
      <c r="L23" s="118"/>
      <c r="M23" s="115" t="s">
        <v>69</v>
      </c>
    </row>
    <row r="24" spans="1:13" ht="17" thickBot="1">
      <c r="C24" s="12" t="s">
        <v>4</v>
      </c>
      <c r="D24" s="88"/>
      <c r="E24" s="100"/>
      <c r="F24" s="88"/>
      <c r="H24" s="47"/>
      <c r="J24" s="47"/>
      <c r="M24" s="49"/>
    </row>
    <row r="25" spans="1:13" ht="17" thickBot="1">
      <c r="B25" s="44"/>
      <c r="C25" s="92" t="s">
        <v>23</v>
      </c>
      <c r="D25" s="22" t="s">
        <v>1</v>
      </c>
      <c r="E25" s="97"/>
      <c r="F25" s="22" t="s">
        <v>1</v>
      </c>
      <c r="H25" s="106">
        <f>J25</f>
        <v>25</v>
      </c>
      <c r="J25" s="155">
        <f>Notes!D32</f>
        <v>25</v>
      </c>
      <c r="M25" s="91"/>
    </row>
    <row r="26" spans="1:13" ht="17" thickBot="1">
      <c r="A26" s="94"/>
      <c r="B26" s="95"/>
      <c r="C26" s="92" t="s">
        <v>55</v>
      </c>
      <c r="D26" s="22" t="s">
        <v>1</v>
      </c>
      <c r="E26" s="97"/>
      <c r="F26" s="22" t="s">
        <v>1</v>
      </c>
      <c r="H26" s="106">
        <v>0</v>
      </c>
      <c r="I26" s="11"/>
      <c r="J26" s="157"/>
      <c r="K26" s="11"/>
      <c r="L26" s="11"/>
      <c r="M26" s="115"/>
    </row>
    <row r="27" spans="1:13" ht="17" thickBot="1">
      <c r="A27" s="94"/>
      <c r="B27" s="95"/>
      <c r="C27" s="92" t="s">
        <v>53</v>
      </c>
      <c r="D27" s="22" t="s">
        <v>54</v>
      </c>
      <c r="E27" s="108"/>
      <c r="F27" s="22" t="s">
        <v>54</v>
      </c>
      <c r="H27" s="106">
        <v>0</v>
      </c>
      <c r="I27" s="104"/>
      <c r="J27" s="128"/>
      <c r="K27" s="104"/>
      <c r="L27" s="105"/>
      <c r="M27" s="115"/>
    </row>
    <row r="28" spans="1:13" ht="17" thickBot="1">
      <c r="A28" s="94"/>
      <c r="B28" s="95"/>
      <c r="C28" s="92" t="s">
        <v>20</v>
      </c>
      <c r="D28" s="22" t="s">
        <v>2</v>
      </c>
      <c r="E28" s="97">
        <v>0</v>
      </c>
      <c r="F28" s="22" t="s">
        <v>2</v>
      </c>
      <c r="H28" s="106">
        <v>0</v>
      </c>
      <c r="I28" s="105"/>
      <c r="J28" s="154"/>
      <c r="K28" s="105"/>
      <c r="L28" s="105"/>
      <c r="M28" s="115"/>
    </row>
  </sheetData>
  <pageMargins left="0.75" right="0.75" top="1" bottom="1" header="0.5" footer="0.5"/>
  <pageSetup paperSize="9" orientation="portrait" horizontalDpi="4294967292" verticalDpi="429496729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codeName="Sheet4">
    <tabColor theme="6" tint="0.79998168889431442"/>
  </sheetPr>
  <dimension ref="B1:J19"/>
  <sheetViews>
    <sheetView topLeftCell="A3" workbookViewId="0">
      <selection activeCell="F19" sqref="F19"/>
    </sheetView>
  </sheetViews>
  <sheetFormatPr baseColWidth="10" defaultColWidth="33.1640625" defaultRowHeight="16"/>
  <cols>
    <col min="1" max="1" width="3.5" style="52" customWidth="1"/>
    <col min="2" max="2" width="16.33203125" style="52" customWidth="1"/>
    <col min="3" max="3" width="24.5" style="52" customWidth="1"/>
    <col min="4" max="4" width="32.83203125" style="52" customWidth="1"/>
    <col min="5" max="5" width="6.1640625" style="52" customWidth="1"/>
    <col min="6" max="6" width="16.33203125" style="52" customWidth="1"/>
    <col min="7" max="7" width="78" style="52" customWidth="1"/>
    <col min="8" max="8" width="12.5" style="56" customWidth="1"/>
    <col min="9" max="9" width="31.5" style="56" customWidth="1"/>
    <col min="10" max="10" width="98.5" style="52" customWidth="1"/>
    <col min="11" max="16384" width="33.1640625" style="52"/>
  </cols>
  <sheetData>
    <row r="1" spans="2:10" ht="17" thickBot="1"/>
    <row r="2" spans="2:10">
      <c r="B2" s="53"/>
      <c r="C2" s="54"/>
      <c r="D2" s="54"/>
      <c r="E2" s="54"/>
      <c r="F2" s="54"/>
      <c r="G2" s="54"/>
      <c r="H2" s="57"/>
      <c r="I2" s="57"/>
      <c r="J2" s="54"/>
    </row>
    <row r="3" spans="2:10">
      <c r="B3" s="55"/>
      <c r="C3" s="12" t="s">
        <v>14</v>
      </c>
      <c r="D3" s="12"/>
      <c r="E3" s="12"/>
      <c r="F3" s="12"/>
      <c r="G3" s="12"/>
      <c r="H3" s="17"/>
      <c r="I3" s="17"/>
      <c r="J3" s="51"/>
    </row>
    <row r="4" spans="2:10">
      <c r="B4" s="55"/>
      <c r="C4" s="51"/>
      <c r="D4" s="51"/>
      <c r="E4" s="51"/>
      <c r="F4" s="51"/>
      <c r="G4" s="51"/>
      <c r="H4" s="58"/>
      <c r="I4" s="58"/>
      <c r="J4" s="51"/>
    </row>
    <row r="5" spans="2:10">
      <c r="B5" s="59"/>
      <c r="C5" s="14" t="s">
        <v>15</v>
      </c>
      <c r="D5" s="14" t="s">
        <v>0</v>
      </c>
      <c r="E5" s="14" t="s">
        <v>11</v>
      </c>
      <c r="F5" s="14" t="s">
        <v>16</v>
      </c>
      <c r="G5" s="14" t="s">
        <v>95</v>
      </c>
      <c r="H5" s="18" t="s">
        <v>17</v>
      </c>
      <c r="I5" s="18" t="s">
        <v>44</v>
      </c>
      <c r="J5" s="14" t="s">
        <v>8</v>
      </c>
    </row>
    <row r="6" spans="2:10">
      <c r="B6" s="51"/>
      <c r="C6" s="12"/>
      <c r="D6" s="12"/>
      <c r="E6" s="12"/>
      <c r="F6" s="12"/>
      <c r="G6" s="12"/>
      <c r="H6" s="17"/>
      <c r="I6" s="17"/>
      <c r="J6" s="12"/>
    </row>
    <row r="7" spans="2:10">
      <c r="B7" s="213" t="s">
        <v>228</v>
      </c>
      <c r="C7" s="213" t="s">
        <v>268</v>
      </c>
      <c r="D7" s="213" t="s">
        <v>271</v>
      </c>
      <c r="E7" s="213" t="s">
        <v>270</v>
      </c>
      <c r="F7" s="52">
        <v>2020</v>
      </c>
      <c r="G7" s="52" t="s">
        <v>269</v>
      </c>
      <c r="I7" s="56" t="s">
        <v>267</v>
      </c>
    </row>
    <row r="8" spans="2:10">
      <c r="B8" s="213"/>
      <c r="C8" s="213"/>
    </row>
    <row r="9" spans="2:10" s="192" customFormat="1">
      <c r="B9" s="192" t="s">
        <v>208</v>
      </c>
      <c r="H9" s="193">
        <v>42979</v>
      </c>
      <c r="I9" s="194"/>
    </row>
    <row r="10" spans="2:10" s="192" customFormat="1">
      <c r="C10" s="192" t="s">
        <v>170</v>
      </c>
      <c r="D10" s="192" t="s">
        <v>209</v>
      </c>
      <c r="F10" s="192">
        <v>2017</v>
      </c>
      <c r="G10" s="192" t="s">
        <v>210</v>
      </c>
      <c r="H10" s="193">
        <v>42979</v>
      </c>
      <c r="I10" s="194"/>
    </row>
    <row r="11" spans="2:10" s="192" customFormat="1">
      <c r="C11" s="192" t="s">
        <v>211</v>
      </c>
      <c r="D11" s="192" t="s">
        <v>212</v>
      </c>
      <c r="F11" s="192">
        <v>2017</v>
      </c>
      <c r="G11" s="192" t="s">
        <v>213</v>
      </c>
      <c r="H11" s="193">
        <v>42979</v>
      </c>
      <c r="I11" s="194"/>
    </row>
    <row r="12" spans="2:10" s="192" customFormat="1">
      <c r="C12" s="192" t="s">
        <v>214</v>
      </c>
      <c r="D12" s="125" t="s">
        <v>215</v>
      </c>
      <c r="E12" s="195" t="s">
        <v>216</v>
      </c>
      <c r="F12" s="195">
        <v>2015</v>
      </c>
      <c r="G12" s="195">
        <v>2015</v>
      </c>
      <c r="H12" s="196">
        <v>42339</v>
      </c>
      <c r="I12" s="197" t="s">
        <v>217</v>
      </c>
      <c r="J12" s="195" t="s">
        <v>218</v>
      </c>
    </row>
    <row r="13" spans="2:10" s="192" customFormat="1">
      <c r="C13" s="192" t="s">
        <v>214</v>
      </c>
      <c r="D13" s="192" t="s">
        <v>219</v>
      </c>
      <c r="E13" s="192" t="s">
        <v>220</v>
      </c>
      <c r="F13" s="192">
        <v>2013</v>
      </c>
      <c r="G13" s="192">
        <v>2013</v>
      </c>
      <c r="H13" s="198">
        <v>42373</v>
      </c>
      <c r="I13" s="194" t="s">
        <v>221</v>
      </c>
      <c r="J13" s="192" t="s">
        <v>222</v>
      </c>
    </row>
    <row r="14" spans="2:10">
      <c r="B14" s="213"/>
      <c r="C14" s="213"/>
    </row>
    <row r="16" spans="2:10">
      <c r="B16" s="52" t="s">
        <v>128</v>
      </c>
      <c r="D16" s="169" t="s">
        <v>134</v>
      </c>
      <c r="E16" s="169" t="s">
        <v>133</v>
      </c>
      <c r="F16" s="52">
        <v>2016</v>
      </c>
      <c r="G16" s="52" t="s">
        <v>132</v>
      </c>
    </row>
    <row r="17" spans="2:7">
      <c r="B17" s="52" t="s">
        <v>129</v>
      </c>
      <c r="D17" s="169" t="s">
        <v>136</v>
      </c>
      <c r="F17" s="52">
        <v>2013</v>
      </c>
      <c r="G17" s="170" t="s">
        <v>135</v>
      </c>
    </row>
    <row r="18" spans="2:7">
      <c r="B18" s="52" t="s">
        <v>130</v>
      </c>
      <c r="D18" s="169" t="s">
        <v>139</v>
      </c>
      <c r="E18" s="169" t="s">
        <v>138</v>
      </c>
      <c r="F18" s="52">
        <v>2013</v>
      </c>
      <c r="G18" s="52" t="s">
        <v>137</v>
      </c>
    </row>
    <row r="19" spans="2:7">
      <c r="F19" s="213" t="s">
        <v>276</v>
      </c>
    </row>
  </sheetData>
  <phoneticPr fontId="35" type="noConversion"/>
  <pageMargins left="0.75" right="0.75" top="1" bottom="1" header="0.5" footer="0.5"/>
  <pageSetup paperSize="9" orientation="portrait" horizontalDpi="4294967292" verticalDpi="429496729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tabColor theme="6" tint="0.79998168889431442"/>
  </sheetPr>
  <dimension ref="A1:P294"/>
  <sheetViews>
    <sheetView zoomScaleNormal="100" workbookViewId="0">
      <selection activeCell="G19" sqref="G19"/>
    </sheetView>
  </sheetViews>
  <sheetFormatPr baseColWidth="10" defaultColWidth="10.83203125" defaultRowHeight="16"/>
  <cols>
    <col min="1" max="2" width="3.5" style="60" customWidth="1"/>
    <col min="3" max="3" width="18.5" style="60" customWidth="1"/>
    <col min="4" max="4" width="19" style="60" customWidth="1"/>
    <col min="5" max="5" width="17" style="60" customWidth="1"/>
    <col min="6" max="6" width="6.1640625" style="60" customWidth="1"/>
    <col min="7" max="13" width="10.83203125" style="60"/>
    <col min="14" max="14" width="15.6640625" style="60" customWidth="1"/>
    <col min="15" max="15" width="10.83203125" style="60"/>
    <col min="16" max="16" width="12.1640625" style="60" customWidth="1"/>
    <col min="17" max="16384" width="10.83203125" style="60"/>
  </cols>
  <sheetData>
    <row r="1" spans="1:14" ht="17" thickBot="1"/>
    <row r="2" spans="1:14">
      <c r="B2" s="61"/>
      <c r="C2" s="62"/>
      <c r="D2" s="62"/>
      <c r="E2" s="62"/>
      <c r="F2" s="62"/>
      <c r="G2" s="62"/>
      <c r="H2" s="62"/>
      <c r="I2" s="62"/>
      <c r="J2" s="62"/>
      <c r="K2" s="62"/>
      <c r="L2" s="62"/>
      <c r="M2" s="62"/>
      <c r="N2" s="63"/>
    </row>
    <row r="3" spans="1:14" ht="17" customHeight="1">
      <c r="A3" s="64"/>
      <c r="B3" s="89"/>
      <c r="C3" s="68" t="s">
        <v>0</v>
      </c>
      <c r="D3" s="68" t="s">
        <v>47</v>
      </c>
      <c r="E3" s="68" t="s">
        <v>24</v>
      </c>
      <c r="F3" s="68"/>
      <c r="G3" s="68"/>
      <c r="H3" s="65"/>
      <c r="I3" s="65"/>
      <c r="J3" s="65"/>
      <c r="K3" s="65"/>
      <c r="L3" s="65"/>
      <c r="M3" s="65"/>
      <c r="N3" s="90"/>
    </row>
    <row r="4" spans="1:14" ht="17" customHeight="1">
      <c r="A4" s="64"/>
      <c r="B4" s="149"/>
      <c r="C4" s="150"/>
      <c r="D4" s="150"/>
      <c r="E4" s="150"/>
      <c r="F4" s="150"/>
      <c r="G4" s="150"/>
      <c r="H4" s="67"/>
      <c r="I4" s="67"/>
      <c r="J4" s="67"/>
      <c r="K4" s="67"/>
      <c r="L4" s="67"/>
      <c r="M4" s="67"/>
      <c r="N4" s="67"/>
    </row>
    <row r="5" spans="1:14" ht="17" customHeight="1">
      <c r="A5" s="64"/>
      <c r="B5" s="149"/>
      <c r="C5" s="150" t="s">
        <v>256</v>
      </c>
      <c r="D5" s="150"/>
      <c r="E5" s="150"/>
      <c r="F5" s="150"/>
      <c r="G5" s="150"/>
      <c r="H5" s="67"/>
      <c r="I5" s="67"/>
      <c r="J5" s="67"/>
      <c r="K5" s="67"/>
      <c r="L5" s="67"/>
      <c r="M5" s="67"/>
      <c r="N5" s="67"/>
    </row>
    <row r="6" spans="1:14" ht="17" customHeight="1">
      <c r="A6" s="64"/>
      <c r="B6" s="149"/>
      <c r="C6" s="67" t="s">
        <v>229</v>
      </c>
      <c r="D6" s="158">
        <f>D23</f>
        <v>333.7872840396272</v>
      </c>
      <c r="E6" s="67" t="s">
        <v>250</v>
      </c>
      <c r="F6" s="210" t="s">
        <v>228</v>
      </c>
      <c r="G6" s="150"/>
      <c r="H6" s="67"/>
      <c r="I6" s="67"/>
      <c r="J6" s="67"/>
      <c r="K6" s="67"/>
      <c r="L6" s="67"/>
      <c r="M6" s="67"/>
      <c r="N6" s="67"/>
    </row>
    <row r="7" spans="1:14" ht="17" customHeight="1">
      <c r="A7" s="64"/>
      <c r="B7" s="149"/>
      <c r="C7" s="67" t="s">
        <v>246</v>
      </c>
      <c r="D7" s="211">
        <f>D30</f>
        <v>8322</v>
      </c>
      <c r="E7" s="67" t="s">
        <v>257</v>
      </c>
      <c r="F7" s="210" t="s">
        <v>228</v>
      </c>
      <c r="G7" s="150"/>
      <c r="H7" s="67"/>
      <c r="I7" s="67"/>
      <c r="J7" s="67"/>
      <c r="K7" s="67"/>
      <c r="L7" s="67"/>
      <c r="M7" s="67"/>
      <c r="N7" s="67"/>
    </row>
    <row r="8" spans="1:14" ht="17" customHeight="1">
      <c r="A8" s="64"/>
      <c r="B8" s="149"/>
      <c r="C8" s="67" t="s">
        <v>96</v>
      </c>
      <c r="D8" s="201">
        <f>D25+D51</f>
        <v>484027777.77777779</v>
      </c>
      <c r="E8" s="67" t="s">
        <v>19</v>
      </c>
      <c r="F8" s="150"/>
      <c r="G8" s="150"/>
      <c r="H8" s="67"/>
      <c r="I8" s="67"/>
      <c r="J8" s="67"/>
      <c r="K8" s="67"/>
      <c r="L8" s="67"/>
      <c r="M8" s="67"/>
      <c r="N8" s="67"/>
    </row>
    <row r="9" spans="1:14" ht="17" customHeight="1">
      <c r="A9" s="64"/>
      <c r="B9" s="149"/>
      <c r="C9" s="67" t="s">
        <v>234</v>
      </c>
      <c r="D9" s="201">
        <f>D27+D53</f>
        <v>17520833.333333336</v>
      </c>
      <c r="E9" s="67" t="s">
        <v>19</v>
      </c>
      <c r="F9" s="150"/>
      <c r="G9" s="150"/>
      <c r="H9" s="67"/>
      <c r="I9" s="67"/>
      <c r="J9" s="67"/>
      <c r="K9" s="67"/>
      <c r="L9" s="67"/>
      <c r="M9" s="67"/>
      <c r="N9" s="67"/>
    </row>
    <row r="10" spans="1:14" ht="17" customHeight="1">
      <c r="A10" s="64"/>
      <c r="B10" s="149"/>
      <c r="C10" s="67"/>
      <c r="D10" s="202"/>
      <c r="E10" s="150"/>
      <c r="F10" s="150"/>
      <c r="G10" s="150"/>
      <c r="H10" s="67"/>
      <c r="I10" s="67"/>
      <c r="J10" s="67"/>
      <c r="K10" s="67"/>
      <c r="L10" s="67"/>
      <c r="M10" s="67"/>
      <c r="N10" s="67"/>
    </row>
    <row r="11" spans="1:14" ht="17" customHeight="1">
      <c r="A11" s="64"/>
      <c r="B11" s="149"/>
      <c r="C11" s="67"/>
      <c r="D11" s="163">
        <f>(D67*1000)/(SUM(E101,E102)*1000000000)</f>
        <v>1.0870437202667023</v>
      </c>
      <c r="E11" s="67" t="s">
        <v>273</v>
      </c>
      <c r="F11" s="150"/>
      <c r="G11" s="150"/>
      <c r="H11" s="67"/>
      <c r="I11" s="67"/>
      <c r="J11" s="67"/>
      <c r="K11" s="67"/>
      <c r="L11" s="67"/>
      <c r="M11" s="67"/>
      <c r="N11" s="67"/>
    </row>
    <row r="12" spans="1:14" ht="17" customHeight="1">
      <c r="A12" s="64"/>
      <c r="B12" s="159"/>
      <c r="C12" s="150" t="s">
        <v>274</v>
      </c>
      <c r="D12" s="158"/>
      <c r="F12" s="67" t="s">
        <v>245</v>
      </c>
      <c r="G12" s="150"/>
      <c r="H12" s="67"/>
      <c r="I12" s="67"/>
      <c r="J12" s="67"/>
      <c r="K12" s="67"/>
      <c r="L12" s="67"/>
      <c r="M12" s="67"/>
      <c r="N12" s="67"/>
    </row>
    <row r="13" spans="1:14" ht="17" customHeight="1">
      <c r="A13" s="64"/>
      <c r="B13" s="149"/>
      <c r="C13" s="67" t="s">
        <v>238</v>
      </c>
      <c r="D13" s="158">
        <f>D66+D40</f>
        <v>11.000040367795471</v>
      </c>
      <c r="E13" s="67" t="s">
        <v>230</v>
      </c>
      <c r="F13" s="67">
        <f>D13/D15</f>
        <v>0.92359387777890134</v>
      </c>
      <c r="G13" s="150"/>
      <c r="H13" s="67"/>
      <c r="I13" s="67"/>
      <c r="J13" s="67"/>
      <c r="K13" s="67"/>
      <c r="L13" s="67"/>
      <c r="M13" s="67"/>
      <c r="N13" s="67"/>
    </row>
    <row r="14" spans="1:14" ht="17" customHeight="1">
      <c r="A14" s="64"/>
      <c r="B14" s="149"/>
      <c r="C14" s="67" t="s">
        <v>239</v>
      </c>
      <c r="D14" s="67">
        <f>D41</f>
        <v>0.91</v>
      </c>
      <c r="E14" s="67" t="s">
        <v>230</v>
      </c>
      <c r="F14" s="67">
        <f>D14/D15</f>
        <v>7.6406122221098702E-2</v>
      </c>
      <c r="G14" s="150"/>
      <c r="H14" s="67"/>
      <c r="I14" s="67"/>
      <c r="J14" s="67"/>
      <c r="K14" s="67"/>
      <c r="L14" s="67"/>
      <c r="M14" s="67"/>
      <c r="N14" s="67"/>
    </row>
    <row r="15" spans="1:14" ht="17" customHeight="1">
      <c r="A15" s="64"/>
      <c r="B15" s="149"/>
      <c r="C15" s="67" t="s">
        <v>266</v>
      </c>
      <c r="D15" s="158">
        <f>SUM(D13:D14)</f>
        <v>11.910040367795471</v>
      </c>
      <c r="E15" s="67"/>
      <c r="F15" s="67"/>
      <c r="G15" s="150"/>
      <c r="H15" s="67"/>
      <c r="I15" s="67"/>
      <c r="J15" s="67"/>
      <c r="K15" s="67"/>
      <c r="L15" s="67"/>
      <c r="M15" s="67"/>
      <c r="N15" s="67"/>
    </row>
    <row r="16" spans="1:14" ht="17" customHeight="1">
      <c r="A16" s="64"/>
      <c r="B16" s="149"/>
      <c r="C16" s="67"/>
      <c r="D16" s="202"/>
      <c r="E16" s="150"/>
      <c r="F16" s="150"/>
      <c r="G16" s="150"/>
      <c r="H16" s="67"/>
      <c r="I16" s="67"/>
      <c r="J16" s="67"/>
      <c r="K16" s="67"/>
      <c r="L16" s="67"/>
      <c r="M16" s="67"/>
      <c r="N16" s="67"/>
    </row>
    <row r="17" spans="1:14" ht="17" customHeight="1">
      <c r="A17" s="64"/>
      <c r="B17" s="149"/>
      <c r="C17" s="150"/>
      <c r="D17" s="150"/>
      <c r="E17" s="150"/>
      <c r="F17" s="150"/>
      <c r="G17" s="150"/>
      <c r="H17" s="67"/>
      <c r="I17" s="67"/>
      <c r="J17" s="67"/>
      <c r="K17" s="67"/>
      <c r="L17" s="67"/>
      <c r="M17" s="67"/>
      <c r="N17" s="67"/>
    </row>
    <row r="18" spans="1:14" ht="17" customHeight="1">
      <c r="A18" s="64"/>
      <c r="B18" s="149"/>
      <c r="C18" s="150"/>
      <c r="D18" s="150"/>
      <c r="E18" s="150"/>
      <c r="F18" s="150"/>
      <c r="G18" s="150"/>
      <c r="H18" s="67"/>
      <c r="I18" s="67"/>
      <c r="J18" s="67"/>
      <c r="K18" s="67"/>
      <c r="L18" s="67"/>
      <c r="M18" s="67"/>
      <c r="N18" s="67"/>
    </row>
    <row r="19" spans="1:14" ht="17" customHeight="1">
      <c r="A19" s="64"/>
      <c r="B19" s="149"/>
      <c r="C19" s="150" t="s">
        <v>275</v>
      </c>
      <c r="D19" s="150"/>
      <c r="E19" s="150"/>
      <c r="F19" s="150"/>
      <c r="G19" s="150"/>
      <c r="H19" s="67"/>
      <c r="I19" s="67"/>
      <c r="J19" s="67"/>
      <c r="K19" s="67"/>
      <c r="L19" s="67"/>
      <c r="M19" s="67"/>
      <c r="N19" s="67"/>
    </row>
    <row r="20" spans="1:14" ht="17" customHeight="1">
      <c r="A20" s="64"/>
      <c r="B20" s="149"/>
      <c r="C20" s="215" t="s">
        <v>228</v>
      </c>
      <c r="D20" s="150"/>
      <c r="E20" s="150"/>
      <c r="F20" s="150" t="s">
        <v>231</v>
      </c>
      <c r="H20" s="67"/>
      <c r="I20" s="67"/>
      <c r="J20" s="67"/>
      <c r="K20" s="67"/>
      <c r="L20" s="67"/>
      <c r="M20" s="67"/>
      <c r="N20" s="67"/>
    </row>
    <row r="21" spans="1:14" ht="17" customHeight="1">
      <c r="A21" s="64"/>
      <c r="B21" s="149"/>
      <c r="C21" s="67" t="s">
        <v>229</v>
      </c>
      <c r="D21" s="203">
        <v>10</v>
      </c>
      <c r="E21" s="67" t="s">
        <v>253</v>
      </c>
      <c r="F21" s="60" t="s">
        <v>232</v>
      </c>
      <c r="H21" s="67"/>
      <c r="I21" s="67"/>
      <c r="J21" s="67"/>
      <c r="K21" s="67"/>
      <c r="L21" s="67"/>
      <c r="M21" s="67"/>
      <c r="N21" s="67"/>
    </row>
    <row r="22" spans="1:14" ht="17" customHeight="1">
      <c r="A22" s="64"/>
      <c r="B22" s="149"/>
      <c r="C22" s="67"/>
      <c r="D22" s="67">
        <f>(D21/3.6)*1000000</f>
        <v>2777777.7777777775</v>
      </c>
      <c r="E22" s="67" t="s">
        <v>255</v>
      </c>
      <c r="H22" s="67"/>
      <c r="I22" s="67"/>
      <c r="J22" s="67"/>
      <c r="K22" s="67"/>
      <c r="L22" s="67"/>
      <c r="M22" s="67"/>
      <c r="N22" s="67"/>
    </row>
    <row r="23" spans="1:14" ht="17" customHeight="1">
      <c r="A23" s="64"/>
      <c r="B23" s="149"/>
      <c r="C23" s="67"/>
      <c r="D23" s="158">
        <f>D22/D30</f>
        <v>333.7872840396272</v>
      </c>
      <c r="E23" s="67" t="s">
        <v>250</v>
      </c>
      <c r="H23" s="67"/>
      <c r="I23" s="67"/>
      <c r="J23" s="67"/>
      <c r="K23" s="67"/>
      <c r="L23" s="67"/>
      <c r="M23" s="67"/>
      <c r="N23" s="67"/>
    </row>
    <row r="24" spans="1:14" ht="17" customHeight="1">
      <c r="A24" s="64"/>
      <c r="B24" s="149"/>
      <c r="C24" s="67" t="s">
        <v>96</v>
      </c>
      <c r="D24" s="203">
        <v>30</v>
      </c>
      <c r="E24" s="67" t="s">
        <v>235</v>
      </c>
      <c r="F24" s="60" t="s">
        <v>233</v>
      </c>
      <c r="H24" s="67"/>
      <c r="I24" s="67"/>
      <c r="J24" s="67"/>
      <c r="K24" s="67"/>
      <c r="L24" s="67"/>
      <c r="M24" s="67"/>
      <c r="N24" s="67"/>
    </row>
    <row r="25" spans="1:14" ht="17" customHeight="1">
      <c r="A25" s="64"/>
      <c r="B25" s="149"/>
      <c r="C25" s="67"/>
      <c r="D25" s="67">
        <f>D24*1000000*D21</f>
        <v>300000000</v>
      </c>
      <c r="E25" s="67" t="s">
        <v>19</v>
      </c>
      <c r="H25" s="67"/>
      <c r="I25" s="67"/>
      <c r="J25" s="67"/>
      <c r="K25" s="67"/>
      <c r="L25" s="67"/>
      <c r="M25" s="67"/>
      <c r="N25" s="67"/>
    </row>
    <row r="26" spans="1:14" ht="17" customHeight="1">
      <c r="A26" s="64"/>
      <c r="B26" s="149"/>
      <c r="C26" s="67" t="s">
        <v>234</v>
      </c>
      <c r="D26" s="203">
        <v>1.2</v>
      </c>
      <c r="E26" s="67" t="s">
        <v>235</v>
      </c>
      <c r="F26" s="67" t="s">
        <v>236</v>
      </c>
      <c r="G26" s="150"/>
      <c r="H26" s="67"/>
      <c r="I26" s="67"/>
      <c r="J26" s="67"/>
      <c r="K26" s="67"/>
      <c r="L26" s="67"/>
      <c r="M26" s="67"/>
      <c r="N26" s="67"/>
    </row>
    <row r="27" spans="1:14" ht="17" customHeight="1">
      <c r="A27" s="64"/>
      <c r="B27" s="149"/>
      <c r="C27" s="67"/>
      <c r="D27" s="67">
        <f>D26*D21*1000000</f>
        <v>12000000</v>
      </c>
      <c r="E27" s="67" t="s">
        <v>19</v>
      </c>
      <c r="F27" s="67"/>
      <c r="G27" s="150"/>
      <c r="H27" s="67"/>
      <c r="I27" s="67"/>
      <c r="J27" s="67"/>
      <c r="K27" s="67"/>
      <c r="L27" s="67"/>
      <c r="M27" s="67"/>
      <c r="N27" s="67"/>
    </row>
    <row r="28" spans="1:14" ht="17" customHeight="1">
      <c r="A28" s="64"/>
      <c r="B28" s="149"/>
      <c r="C28" s="67" t="s">
        <v>170</v>
      </c>
      <c r="D28" s="200">
        <v>0.88</v>
      </c>
      <c r="E28" s="67" t="s">
        <v>258</v>
      </c>
      <c r="F28" s="67"/>
      <c r="G28" s="150"/>
      <c r="H28" s="67"/>
      <c r="I28" s="67"/>
      <c r="J28" s="67"/>
      <c r="K28" s="67"/>
      <c r="L28" s="67"/>
      <c r="M28" s="67"/>
      <c r="N28" s="67"/>
    </row>
    <row r="29" spans="1:14" ht="17" customHeight="1">
      <c r="A29" s="64"/>
      <c r="B29" s="149"/>
      <c r="C29" s="67"/>
      <c r="D29" s="200"/>
      <c r="E29" s="67"/>
      <c r="F29" s="67"/>
      <c r="G29" s="150"/>
      <c r="H29" s="67"/>
      <c r="I29" s="67"/>
      <c r="J29" s="67"/>
      <c r="K29" s="67"/>
      <c r="L29" s="67"/>
      <c r="M29" s="67"/>
      <c r="N29" s="67"/>
    </row>
    <row r="30" spans="1:14" ht="17" customHeight="1">
      <c r="A30" s="64"/>
      <c r="B30" s="149"/>
      <c r="C30" s="67" t="s">
        <v>246</v>
      </c>
      <c r="D30" s="204">
        <v>8322</v>
      </c>
      <c r="E30" s="67"/>
      <c r="F30" s="67"/>
      <c r="G30" s="150"/>
      <c r="H30" s="67"/>
      <c r="I30" s="67"/>
      <c r="J30" s="67"/>
      <c r="K30" s="67"/>
      <c r="L30" s="67"/>
      <c r="M30" s="67"/>
      <c r="N30" s="67"/>
    </row>
    <row r="31" spans="1:14" ht="17" customHeight="1">
      <c r="A31" s="64"/>
      <c r="B31" s="149"/>
      <c r="C31" s="67" t="s">
        <v>247</v>
      </c>
      <c r="D31" s="205">
        <v>1</v>
      </c>
      <c r="E31" s="67"/>
      <c r="F31" s="67"/>
      <c r="G31" s="150"/>
      <c r="H31" s="67"/>
      <c r="I31" s="67"/>
      <c r="J31" s="67"/>
      <c r="K31" s="67"/>
      <c r="L31" s="67"/>
      <c r="M31" s="67"/>
      <c r="N31" s="67"/>
    </row>
    <row r="32" spans="1:14" ht="17" customHeight="1">
      <c r="A32" s="64"/>
      <c r="B32" s="149"/>
      <c r="C32" s="67" t="s">
        <v>248</v>
      </c>
      <c r="D32" s="205">
        <v>25</v>
      </c>
      <c r="E32" s="67"/>
      <c r="F32" s="67"/>
      <c r="G32" s="150"/>
      <c r="H32" s="67"/>
      <c r="I32" s="67"/>
      <c r="J32" s="67"/>
      <c r="K32" s="67"/>
      <c r="L32" s="67"/>
      <c r="M32" s="67"/>
      <c r="N32" s="67"/>
    </row>
    <row r="33" spans="1:14" ht="17" customHeight="1">
      <c r="A33" s="64"/>
      <c r="B33" s="149"/>
      <c r="C33" s="67" t="s">
        <v>249</v>
      </c>
      <c r="D33" s="206">
        <v>0.9</v>
      </c>
      <c r="E33" s="67"/>
      <c r="F33" s="67"/>
      <c r="G33" s="150"/>
      <c r="H33" s="67"/>
      <c r="I33" s="67"/>
      <c r="J33" s="67"/>
      <c r="K33" s="67"/>
      <c r="L33" s="67"/>
      <c r="M33" s="67"/>
      <c r="N33" s="67"/>
    </row>
    <row r="34" spans="1:14" ht="17" customHeight="1">
      <c r="B34" s="149"/>
      <c r="C34" s="67"/>
      <c r="D34" s="67"/>
      <c r="E34" s="67"/>
      <c r="F34" s="67"/>
      <c r="G34" s="150"/>
      <c r="H34" s="67"/>
      <c r="I34" s="67"/>
      <c r="J34" s="67"/>
      <c r="K34" s="67"/>
      <c r="L34" s="67"/>
      <c r="M34" s="67"/>
      <c r="N34" s="67"/>
    </row>
    <row r="35" spans="1:14" ht="17" customHeight="1">
      <c r="A35" s="64"/>
      <c r="B35" s="149"/>
      <c r="C35" s="150" t="s">
        <v>240</v>
      </c>
      <c r="D35" s="67"/>
      <c r="E35" s="67"/>
      <c r="F35" s="67" t="s">
        <v>245</v>
      </c>
      <c r="G35" s="150"/>
      <c r="H35" s="67"/>
      <c r="I35" s="67"/>
      <c r="J35" s="67"/>
      <c r="K35" s="67"/>
      <c r="L35" s="67"/>
      <c r="M35" s="67"/>
      <c r="N35" s="67"/>
    </row>
    <row r="36" spans="1:14" ht="17" customHeight="1">
      <c r="A36" s="64"/>
      <c r="B36" s="149"/>
      <c r="C36" s="67" t="s">
        <v>241</v>
      </c>
      <c r="D36" s="207">
        <v>0.5</v>
      </c>
      <c r="E36" s="67" t="s">
        <v>230</v>
      </c>
      <c r="F36" s="67"/>
      <c r="G36" s="150"/>
      <c r="H36" s="67"/>
      <c r="I36" s="67"/>
      <c r="J36" s="67"/>
      <c r="K36" s="67"/>
      <c r="L36" s="67"/>
      <c r="M36" s="67"/>
      <c r="N36" s="67"/>
    </row>
    <row r="37" spans="1:14" ht="17" customHeight="1">
      <c r="A37" s="64"/>
      <c r="B37" s="149"/>
      <c r="C37" s="67" t="s">
        <v>242</v>
      </c>
      <c r="D37" s="208">
        <v>0.25</v>
      </c>
      <c r="E37" s="67" t="s">
        <v>230</v>
      </c>
      <c r="F37" s="67"/>
      <c r="G37" s="150"/>
      <c r="H37" s="67"/>
      <c r="I37" s="67"/>
      <c r="J37" s="67"/>
      <c r="K37" s="67"/>
      <c r="L37" s="67"/>
      <c r="M37" s="67"/>
      <c r="N37" s="67"/>
    </row>
    <row r="38" spans="1:14" ht="17" customHeight="1">
      <c r="A38" s="64"/>
      <c r="B38" s="149"/>
      <c r="C38" s="67" t="s">
        <v>243</v>
      </c>
      <c r="D38" s="209">
        <v>0.25</v>
      </c>
      <c r="E38" s="67" t="s">
        <v>230</v>
      </c>
      <c r="F38" s="67"/>
      <c r="G38" s="150"/>
      <c r="H38" s="67"/>
      <c r="I38" s="67"/>
      <c r="J38" s="67"/>
      <c r="K38" s="67"/>
      <c r="L38" s="67"/>
      <c r="M38" s="67"/>
      <c r="N38" s="67"/>
    </row>
    <row r="39" spans="1:14" ht="17" customHeight="1">
      <c r="A39" s="64"/>
      <c r="B39" s="149"/>
      <c r="C39" s="150" t="s">
        <v>237</v>
      </c>
      <c r="D39" s="67"/>
      <c r="E39" s="67"/>
      <c r="F39" s="67"/>
      <c r="G39" s="150"/>
      <c r="H39" s="67"/>
      <c r="I39" s="67"/>
      <c r="J39" s="67"/>
      <c r="K39" s="67"/>
      <c r="L39" s="67"/>
      <c r="M39" s="67"/>
      <c r="N39" s="67"/>
    </row>
    <row r="40" spans="1:14" ht="17" customHeight="1">
      <c r="A40" s="64"/>
      <c r="B40" s="149"/>
      <c r="C40" s="67" t="s">
        <v>238</v>
      </c>
      <c r="D40" s="207">
        <v>0.02</v>
      </c>
      <c r="E40" s="67" t="s">
        <v>230</v>
      </c>
      <c r="F40" s="67"/>
      <c r="G40" s="150"/>
      <c r="H40" s="67"/>
      <c r="I40" s="67"/>
      <c r="J40" s="67"/>
      <c r="K40" s="67"/>
      <c r="L40" s="67"/>
      <c r="M40" s="67"/>
      <c r="N40" s="67"/>
    </row>
    <row r="41" spans="1:14" ht="17" customHeight="1">
      <c r="A41" s="64"/>
      <c r="B41" s="149"/>
      <c r="C41" s="67" t="s">
        <v>239</v>
      </c>
      <c r="D41" s="208">
        <v>0.91</v>
      </c>
      <c r="E41" s="67" t="s">
        <v>230</v>
      </c>
      <c r="F41" s="67"/>
      <c r="G41" s="150"/>
      <c r="H41" s="67"/>
      <c r="I41" s="67"/>
      <c r="J41" s="67"/>
      <c r="K41" s="67"/>
      <c r="L41" s="67"/>
      <c r="M41" s="67"/>
      <c r="N41" s="67"/>
    </row>
    <row r="42" spans="1:14" ht="17" customHeight="1">
      <c r="A42" s="64"/>
      <c r="B42" s="149"/>
      <c r="C42" s="67" t="s">
        <v>85</v>
      </c>
      <c r="D42" s="209">
        <v>0.53</v>
      </c>
      <c r="E42" s="67" t="s">
        <v>230</v>
      </c>
      <c r="F42" s="67"/>
      <c r="G42" s="150"/>
      <c r="H42" s="67"/>
      <c r="I42" s="67"/>
      <c r="J42" s="67"/>
      <c r="K42" s="67"/>
      <c r="L42" s="67"/>
      <c r="M42" s="67"/>
      <c r="N42" s="67"/>
    </row>
    <row r="43" spans="1:14" ht="17" customHeight="1">
      <c r="A43" s="64"/>
      <c r="B43" s="149"/>
      <c r="C43" s="67" t="s">
        <v>244</v>
      </c>
      <c r="D43" s="67">
        <f>SUM(D40:D42)</f>
        <v>1.46</v>
      </c>
      <c r="E43" s="67" t="s">
        <v>230</v>
      </c>
      <c r="F43" s="67"/>
      <c r="G43" s="150"/>
      <c r="H43" s="67"/>
      <c r="I43" s="67"/>
      <c r="J43" s="67"/>
      <c r="K43" s="67"/>
      <c r="L43" s="67"/>
      <c r="M43" s="67"/>
      <c r="N43" s="67"/>
    </row>
    <row r="44" spans="1:14" ht="17" customHeight="1">
      <c r="A44" s="64"/>
      <c r="B44" s="149"/>
      <c r="C44" s="67"/>
      <c r="D44" s="67"/>
      <c r="E44" s="67"/>
      <c r="F44" s="67"/>
      <c r="G44" s="150"/>
      <c r="H44" s="67"/>
      <c r="I44" s="67"/>
      <c r="J44" s="67"/>
      <c r="K44" s="67"/>
      <c r="L44" s="67"/>
      <c r="M44" s="67"/>
      <c r="N44" s="67"/>
    </row>
    <row r="45" spans="1:14" ht="17" customHeight="1">
      <c r="A45" s="64"/>
      <c r="B45" s="149"/>
      <c r="C45" s="67" t="s">
        <v>252</v>
      </c>
      <c r="D45" s="67"/>
      <c r="E45" s="67">
        <f>D21*D42</f>
        <v>5.3000000000000007</v>
      </c>
      <c r="F45" s="67" t="s">
        <v>253</v>
      </c>
      <c r="G45" s="150"/>
      <c r="H45" s="67"/>
      <c r="I45" s="67"/>
      <c r="J45" s="67"/>
      <c r="K45" s="67"/>
      <c r="L45" s="67"/>
      <c r="M45" s="67"/>
      <c r="N45" s="67"/>
    </row>
    <row r="46" spans="1:14" ht="17" customHeight="1">
      <c r="A46" s="64"/>
      <c r="B46" s="149"/>
      <c r="C46" s="67"/>
      <c r="D46" s="67"/>
      <c r="E46" s="67">
        <v>1000</v>
      </c>
      <c r="F46" s="67" t="s">
        <v>263</v>
      </c>
      <c r="G46" s="150"/>
      <c r="H46" s="67"/>
      <c r="I46" s="67"/>
      <c r="J46" s="67"/>
      <c r="K46" s="67"/>
      <c r="L46" s="67"/>
      <c r="M46" s="67"/>
      <c r="N46" s="67"/>
    </row>
    <row r="47" spans="1:14" ht="17" customHeight="1">
      <c r="A47" s="64"/>
      <c r="B47" s="149"/>
      <c r="C47" s="67"/>
      <c r="D47" s="67"/>
      <c r="E47" s="67">
        <f>E45*1000000000/E91</f>
        <v>529470529.47052956</v>
      </c>
      <c r="F47" s="67" t="s">
        <v>259</v>
      </c>
      <c r="G47" s="150"/>
      <c r="H47" s="67"/>
      <c r="I47" s="67"/>
      <c r="J47" s="67"/>
      <c r="K47" s="67"/>
      <c r="L47" s="67"/>
      <c r="M47" s="67"/>
      <c r="N47" s="67"/>
    </row>
    <row r="48" spans="1:14" ht="17" customHeight="1">
      <c r="A48" s="64"/>
      <c r="B48" s="149"/>
      <c r="C48" s="67"/>
      <c r="D48" s="67"/>
      <c r="E48" s="67">
        <f>E47/E46</f>
        <v>529470.52947052952</v>
      </c>
      <c r="F48" s="67" t="s">
        <v>260</v>
      </c>
      <c r="G48" s="150"/>
      <c r="H48" s="67"/>
      <c r="I48" s="67"/>
      <c r="J48" s="67"/>
      <c r="K48" s="67"/>
      <c r="L48" s="67"/>
      <c r="M48" s="67"/>
      <c r="N48" s="67"/>
    </row>
    <row r="49" spans="1:14" ht="17" customHeight="1">
      <c r="A49" s="64"/>
      <c r="B49" s="149"/>
      <c r="C49" s="215" t="s">
        <v>225</v>
      </c>
      <c r="D49" s="67"/>
      <c r="E49" s="67"/>
      <c r="F49" s="67"/>
      <c r="G49" s="150"/>
      <c r="H49" s="67"/>
      <c r="I49" s="67"/>
      <c r="J49" s="67"/>
      <c r="K49" s="67"/>
      <c r="L49" s="67"/>
      <c r="M49" s="67"/>
      <c r="N49" s="67"/>
    </row>
    <row r="50" spans="1:14" ht="17" customHeight="1">
      <c r="A50" s="64"/>
      <c r="B50" s="149"/>
      <c r="C50" s="67" t="s">
        <v>251</v>
      </c>
      <c r="D50" s="67">
        <f>E184</f>
        <v>1000</v>
      </c>
      <c r="E50" s="67" t="s">
        <v>180</v>
      </c>
      <c r="F50" s="67"/>
      <c r="G50" s="150"/>
      <c r="H50" s="67"/>
      <c r="I50" s="67"/>
      <c r="J50" s="67"/>
      <c r="K50" s="67"/>
      <c r="L50" s="67"/>
      <c r="M50" s="67"/>
      <c r="N50" s="67"/>
    </row>
    <row r="51" spans="1:14" ht="17" customHeight="1">
      <c r="A51" s="64"/>
      <c r="B51" s="149"/>
      <c r="C51" s="67"/>
      <c r="D51" s="67">
        <f>D50*D57*1000</f>
        <v>184027777.77777779</v>
      </c>
      <c r="E51" s="67"/>
      <c r="F51" s="67"/>
      <c r="G51" s="150"/>
      <c r="H51" s="67"/>
      <c r="I51" s="67"/>
      <c r="J51" s="67"/>
      <c r="K51" s="67"/>
      <c r="L51" s="67"/>
      <c r="M51" s="67"/>
      <c r="N51" s="67"/>
    </row>
    <row r="52" spans="1:14" ht="17" customHeight="1">
      <c r="A52" s="64"/>
      <c r="B52" s="149"/>
      <c r="C52" s="67" t="s">
        <v>234</v>
      </c>
      <c r="D52" s="67">
        <v>3</v>
      </c>
      <c r="E52" s="67" t="s">
        <v>49</v>
      </c>
      <c r="F52" s="67"/>
      <c r="G52" s="150"/>
      <c r="H52" s="67"/>
      <c r="I52" s="67"/>
      <c r="J52" s="67"/>
      <c r="K52" s="67"/>
      <c r="L52" s="67"/>
      <c r="M52" s="67"/>
      <c r="N52" s="67"/>
    </row>
    <row r="53" spans="1:14" ht="17" customHeight="1">
      <c r="A53" s="64"/>
      <c r="B53" s="149"/>
      <c r="C53" s="67"/>
      <c r="D53" s="67">
        <f>D51*D52/100</f>
        <v>5520833.333333334</v>
      </c>
      <c r="E53" s="67" t="s">
        <v>19</v>
      </c>
      <c r="F53" s="67"/>
      <c r="G53" s="150"/>
      <c r="H53" s="67"/>
      <c r="I53" s="67"/>
      <c r="J53" s="67"/>
      <c r="K53" s="67"/>
      <c r="L53" s="67"/>
      <c r="M53" s="67"/>
      <c r="N53" s="67"/>
    </row>
    <row r="54" spans="1:14" ht="17" customHeight="1">
      <c r="A54" s="64"/>
      <c r="B54" s="149"/>
      <c r="C54" s="67"/>
      <c r="D54" s="67"/>
      <c r="E54" s="67"/>
      <c r="F54" s="67"/>
      <c r="G54" s="150"/>
      <c r="H54" s="67"/>
      <c r="I54" s="67"/>
      <c r="J54" s="67"/>
      <c r="K54" s="67"/>
      <c r="L54" s="67"/>
      <c r="M54" s="67"/>
      <c r="N54" s="67"/>
    </row>
    <row r="55" spans="1:14" ht="17" customHeight="1">
      <c r="A55" s="64"/>
      <c r="B55" s="149"/>
      <c r="C55" s="67" t="s">
        <v>254</v>
      </c>
      <c r="D55" s="67">
        <f>E45</f>
        <v>5.3000000000000007</v>
      </c>
      <c r="E55" s="67" t="s">
        <v>253</v>
      </c>
      <c r="F55" s="67"/>
      <c r="G55" s="150"/>
      <c r="H55" s="67"/>
      <c r="I55" s="67"/>
      <c r="J55" s="67"/>
      <c r="K55" s="67"/>
      <c r="L55" s="67"/>
      <c r="M55" s="67"/>
      <c r="N55" s="67"/>
    </row>
    <row r="56" spans="1:14" ht="17" customHeight="1">
      <c r="A56" s="64"/>
      <c r="B56" s="149"/>
      <c r="C56" s="67"/>
      <c r="D56" s="67">
        <f>(D55/3.6)*1000000</f>
        <v>1472222.2222222222</v>
      </c>
      <c r="E56" s="67" t="s">
        <v>255</v>
      </c>
      <c r="F56" s="67"/>
      <c r="G56" s="150"/>
      <c r="H56" s="67"/>
      <c r="I56" s="67"/>
      <c r="J56" s="67"/>
      <c r="K56" s="67"/>
      <c r="L56" s="67"/>
      <c r="M56" s="67"/>
      <c r="N56" s="67"/>
    </row>
    <row r="57" spans="1:14" ht="17" customHeight="1">
      <c r="A57" s="64"/>
      <c r="B57" s="149"/>
      <c r="C57" s="67"/>
      <c r="D57" s="158">
        <f>D56/D58</f>
        <v>184.02777777777777</v>
      </c>
      <c r="E57" s="67" t="s">
        <v>250</v>
      </c>
      <c r="F57" s="67"/>
      <c r="G57" s="150"/>
      <c r="H57" s="67"/>
      <c r="I57" s="67"/>
      <c r="J57" s="67"/>
      <c r="K57" s="67"/>
      <c r="L57" s="67"/>
      <c r="M57" s="67"/>
      <c r="N57" s="67"/>
    </row>
    <row r="58" spans="1:14" ht="17" customHeight="1">
      <c r="A58" s="64"/>
      <c r="B58" s="149"/>
      <c r="C58" s="67" t="s">
        <v>246</v>
      </c>
      <c r="D58" s="67">
        <f>E165</f>
        <v>8000</v>
      </c>
      <c r="E58" s="67"/>
      <c r="F58" s="67"/>
      <c r="G58" s="150"/>
      <c r="H58" s="67"/>
      <c r="I58" s="67"/>
      <c r="J58" s="67"/>
      <c r="K58" s="67"/>
      <c r="L58" s="67"/>
      <c r="M58" s="67"/>
      <c r="N58" s="67"/>
    </row>
    <row r="59" spans="1:14" ht="17" customHeight="1">
      <c r="A59" s="64"/>
      <c r="B59" s="149"/>
      <c r="C59" s="67" t="s">
        <v>248</v>
      </c>
      <c r="D59" s="67">
        <f>E174</f>
        <v>25</v>
      </c>
      <c r="E59" s="67"/>
      <c r="F59" s="67"/>
      <c r="G59" s="150"/>
      <c r="H59" s="67"/>
      <c r="I59" s="67"/>
      <c r="J59" s="67"/>
      <c r="K59" s="67"/>
      <c r="L59" s="67"/>
      <c r="M59" s="67"/>
      <c r="N59" s="67"/>
    </row>
    <row r="60" spans="1:14" ht="17" customHeight="1">
      <c r="A60" s="64"/>
      <c r="B60" s="149"/>
      <c r="C60" s="67"/>
      <c r="D60" s="67">
        <v>0.63600000000000001</v>
      </c>
      <c r="E60" s="67" t="s">
        <v>264</v>
      </c>
      <c r="F60" s="67"/>
      <c r="G60" s="150"/>
      <c r="H60" s="67"/>
      <c r="I60" s="67"/>
      <c r="J60" s="67"/>
      <c r="K60" s="67"/>
      <c r="L60" s="67"/>
      <c r="M60" s="67"/>
      <c r="N60" s="67"/>
    </row>
    <row r="61" spans="1:14" ht="17" customHeight="1">
      <c r="A61" s="64"/>
      <c r="B61" s="149"/>
      <c r="C61" s="67"/>
      <c r="D61" s="67"/>
      <c r="E61" s="67"/>
      <c r="F61" s="67"/>
      <c r="G61" s="150"/>
      <c r="H61" s="67"/>
      <c r="I61" s="67"/>
      <c r="J61" s="67"/>
      <c r="K61" s="67"/>
      <c r="L61" s="67"/>
      <c r="M61" s="67"/>
      <c r="N61" s="67"/>
    </row>
    <row r="62" spans="1:14" ht="17" customHeight="1">
      <c r="A62" s="64"/>
      <c r="B62" s="149"/>
      <c r="C62" s="64" t="s">
        <v>240</v>
      </c>
      <c r="D62" s="67"/>
      <c r="E62" s="67"/>
      <c r="F62" s="67"/>
      <c r="G62" s="150"/>
      <c r="H62" s="67"/>
      <c r="I62" s="67"/>
      <c r="J62" s="67"/>
      <c r="K62" s="67"/>
      <c r="L62" s="67"/>
      <c r="M62" s="67"/>
      <c r="N62" s="67"/>
    </row>
    <row r="63" spans="1:14" ht="17" customHeight="1">
      <c r="A63" s="64"/>
      <c r="B63" s="149"/>
      <c r="C63" s="67" t="s">
        <v>85</v>
      </c>
      <c r="D63" s="67">
        <v>5.3</v>
      </c>
      <c r="E63" s="67" t="s">
        <v>230</v>
      </c>
      <c r="F63" s="67"/>
      <c r="G63" s="150"/>
      <c r="H63" s="67"/>
      <c r="I63" s="67"/>
      <c r="J63" s="67"/>
      <c r="K63" s="67"/>
      <c r="L63" s="67"/>
      <c r="M63" s="67"/>
      <c r="N63" s="67"/>
    </row>
    <row r="64" spans="1:14" ht="17" customHeight="1">
      <c r="A64" s="64"/>
      <c r="B64" s="149"/>
      <c r="C64" s="150" t="s">
        <v>237</v>
      </c>
      <c r="D64" s="158"/>
      <c r="F64" s="67"/>
      <c r="G64" s="150"/>
      <c r="H64" s="67"/>
      <c r="I64" s="67"/>
      <c r="J64" s="67"/>
      <c r="K64" s="67"/>
      <c r="L64" s="67"/>
      <c r="M64" s="67"/>
      <c r="N64" s="67"/>
    </row>
    <row r="65" spans="1:14" ht="17" customHeight="1">
      <c r="A65" s="64"/>
      <c r="B65" s="149"/>
      <c r="C65" s="67" t="s">
        <v>261</v>
      </c>
      <c r="D65" s="158">
        <f>E48*E177</f>
        <v>3050011213.2765198</v>
      </c>
      <c r="E65" s="60" t="s">
        <v>262</v>
      </c>
      <c r="F65" s="67"/>
      <c r="G65" s="150"/>
      <c r="H65" s="67"/>
      <c r="I65" s="67"/>
      <c r="J65" s="67"/>
      <c r="K65" s="67"/>
      <c r="L65" s="67"/>
      <c r="M65" s="67"/>
      <c r="N65" s="67"/>
    </row>
    <row r="66" spans="1:14" ht="17" customHeight="1">
      <c r="A66" s="64"/>
      <c r="B66" s="159"/>
      <c r="C66" s="67"/>
      <c r="D66" s="158">
        <f>D65*3.6/1000000000</f>
        <v>10.980040367795471</v>
      </c>
      <c r="E66" s="60" t="s">
        <v>230</v>
      </c>
      <c r="F66" s="67"/>
      <c r="G66" s="150"/>
      <c r="H66" s="67"/>
      <c r="I66" s="67"/>
      <c r="J66" s="67"/>
      <c r="K66" s="67"/>
      <c r="L66" s="67"/>
      <c r="M66" s="67"/>
      <c r="N66" s="67"/>
    </row>
    <row r="67" spans="1:14">
      <c r="B67" s="185"/>
      <c r="C67" s="60" t="s">
        <v>86</v>
      </c>
      <c r="D67" s="60">
        <f>E48/D60</f>
        <v>832500.83250083262</v>
      </c>
      <c r="E67" s="60" t="s">
        <v>260</v>
      </c>
    </row>
    <row r="68" spans="1:14">
      <c r="B68" s="185"/>
      <c r="D68" s="60">
        <f>D67/1000000</f>
        <v>0.83250083250083262</v>
      </c>
      <c r="E68" s="60" t="s">
        <v>265</v>
      </c>
    </row>
    <row r="69" spans="1:14" ht="17" customHeight="1">
      <c r="A69" s="64"/>
      <c r="B69" s="159"/>
      <c r="C69" s="67"/>
      <c r="D69" s="158"/>
      <c r="F69" s="67"/>
      <c r="G69" s="150"/>
      <c r="H69" s="67"/>
      <c r="I69" s="67"/>
      <c r="J69" s="67"/>
      <c r="K69" s="67"/>
      <c r="L69" s="67"/>
      <c r="M69" s="67"/>
      <c r="N69" s="67"/>
    </row>
    <row r="70" spans="1:14" ht="17" customHeight="1">
      <c r="A70" s="64"/>
      <c r="B70" s="149"/>
      <c r="C70" s="67"/>
      <c r="D70" s="67"/>
      <c r="E70" s="67"/>
      <c r="F70" s="67"/>
      <c r="G70" s="150"/>
      <c r="H70" s="67"/>
      <c r="I70" s="67"/>
      <c r="J70" s="67"/>
      <c r="K70" s="67"/>
      <c r="L70" s="67"/>
      <c r="M70" s="67"/>
      <c r="N70" s="67"/>
    </row>
    <row r="71" spans="1:14" s="180" customFormat="1" ht="17" customHeight="1">
      <c r="A71" s="183"/>
      <c r="B71" s="212"/>
      <c r="G71" s="183"/>
    </row>
    <row r="72" spans="1:14" ht="17" customHeight="1">
      <c r="A72" s="64"/>
      <c r="B72" s="149"/>
      <c r="C72" s="150"/>
      <c r="D72" s="150"/>
      <c r="E72" s="150"/>
      <c r="F72" s="150"/>
      <c r="G72" s="150"/>
      <c r="H72" s="67"/>
      <c r="I72" s="67"/>
      <c r="J72" s="67"/>
      <c r="K72" s="67"/>
      <c r="L72" s="67"/>
      <c r="M72" s="67"/>
      <c r="N72" s="67"/>
    </row>
    <row r="73" spans="1:14" ht="17" customHeight="1">
      <c r="A73" s="64"/>
      <c r="B73" s="149"/>
      <c r="C73" s="150" t="s">
        <v>224</v>
      </c>
      <c r="D73" s="150"/>
      <c r="E73" s="150"/>
      <c r="F73" s="150"/>
      <c r="G73" s="150"/>
      <c r="H73" s="67"/>
      <c r="I73" s="67"/>
      <c r="J73" s="67"/>
      <c r="K73" s="67"/>
      <c r="L73" s="67"/>
      <c r="M73" s="67"/>
      <c r="N73" s="67"/>
    </row>
    <row r="74" spans="1:14" ht="17" customHeight="1">
      <c r="A74" s="64"/>
      <c r="B74" s="149"/>
      <c r="C74" s="150"/>
      <c r="D74" s="150" t="s">
        <v>86</v>
      </c>
      <c r="E74" s="150" t="s">
        <v>225</v>
      </c>
      <c r="F74" s="172" t="s">
        <v>85</v>
      </c>
      <c r="G74" s="172" t="s">
        <v>83</v>
      </c>
      <c r="H74" s="172"/>
      <c r="I74" s="172" t="s">
        <v>87</v>
      </c>
      <c r="J74" s="172" t="s">
        <v>153</v>
      </c>
      <c r="K74" s="67"/>
      <c r="L74" s="67"/>
      <c r="M74" s="67"/>
      <c r="N74" s="67"/>
    </row>
    <row r="75" spans="1:14" ht="17" customHeight="1">
      <c r="A75" s="64"/>
      <c r="B75" s="149"/>
      <c r="C75" s="150"/>
      <c r="D75" s="172">
        <v>11</v>
      </c>
      <c r="E75" s="175" t="s">
        <v>152</v>
      </c>
      <c r="F75" s="172">
        <v>11</v>
      </c>
      <c r="G75" s="172">
        <v>23</v>
      </c>
      <c r="H75" s="173" t="s">
        <v>152</v>
      </c>
      <c r="I75" s="172">
        <v>1</v>
      </c>
      <c r="J75" s="172">
        <v>11</v>
      </c>
      <c r="L75" s="67"/>
      <c r="M75" s="67"/>
      <c r="N75" s="67"/>
    </row>
    <row r="76" spans="1:14" ht="17" customHeight="1">
      <c r="A76" s="64"/>
      <c r="B76" s="149"/>
      <c r="C76" s="150" t="s">
        <v>81</v>
      </c>
      <c r="D76" s="150"/>
      <c r="L76" s="67"/>
      <c r="M76" s="67"/>
      <c r="N76" s="67"/>
    </row>
    <row r="77" spans="1:14" ht="17" customHeight="1">
      <c r="A77" s="64"/>
      <c r="B77" s="149"/>
      <c r="C77" s="67" t="s">
        <v>82</v>
      </c>
      <c r="D77" s="67"/>
      <c r="E77" s="67"/>
      <c r="F77" s="150"/>
      <c r="G77" s="150"/>
      <c r="H77" s="67"/>
      <c r="I77" s="67"/>
      <c r="J77" s="67"/>
      <c r="K77" s="67"/>
      <c r="L77" s="67"/>
      <c r="M77" s="67"/>
      <c r="N77" s="67"/>
    </row>
    <row r="78" spans="1:14" ht="17" customHeight="1">
      <c r="A78" s="64"/>
      <c r="B78" s="149"/>
      <c r="C78" s="67" t="s">
        <v>83</v>
      </c>
      <c r="E78" s="67">
        <v>2.016</v>
      </c>
      <c r="F78" s="67" t="s">
        <v>84</v>
      </c>
      <c r="G78" s="150"/>
      <c r="H78" s="150"/>
      <c r="I78" s="67"/>
      <c r="J78" s="67"/>
      <c r="K78" s="67"/>
      <c r="L78" s="67"/>
      <c r="M78" s="67"/>
      <c r="N78" s="67"/>
    </row>
    <row r="79" spans="1:14" ht="17" customHeight="1">
      <c r="A79" s="64"/>
      <c r="B79" s="149"/>
      <c r="C79" s="67" t="s">
        <v>85</v>
      </c>
      <c r="E79" s="67">
        <v>28</v>
      </c>
      <c r="F79" s="67" t="s">
        <v>84</v>
      </c>
      <c r="G79" s="150"/>
      <c r="H79" s="150"/>
      <c r="I79" s="67"/>
      <c r="J79" s="67"/>
      <c r="K79" s="67"/>
      <c r="L79" s="67"/>
      <c r="M79" s="67"/>
      <c r="N79" s="67"/>
    </row>
    <row r="80" spans="1:14" ht="17" customHeight="1">
      <c r="A80" s="64"/>
      <c r="B80" s="149"/>
      <c r="C80" s="67" t="s">
        <v>86</v>
      </c>
      <c r="E80" s="67">
        <v>44</v>
      </c>
      <c r="F80" s="67" t="s">
        <v>84</v>
      </c>
      <c r="G80" s="150"/>
      <c r="H80" s="150"/>
      <c r="I80" s="67"/>
      <c r="J80" s="67"/>
      <c r="K80" s="67"/>
      <c r="L80" s="67"/>
      <c r="M80" s="67"/>
      <c r="N80" s="67"/>
    </row>
    <row r="81" spans="1:14" ht="17" customHeight="1">
      <c r="A81" s="64"/>
      <c r="B81" s="149"/>
      <c r="C81" s="67" t="s">
        <v>87</v>
      </c>
      <c r="E81" s="67">
        <f>12*11+1.008*24</f>
        <v>156.19200000000001</v>
      </c>
      <c r="F81" s="67" t="s">
        <v>84</v>
      </c>
      <c r="G81" s="150"/>
      <c r="H81" s="150"/>
      <c r="I81" s="67"/>
      <c r="J81" s="67"/>
      <c r="K81" s="67"/>
      <c r="L81" s="67"/>
      <c r="M81" s="67"/>
      <c r="N81" s="67"/>
    </row>
    <row r="82" spans="1:14" ht="17" customHeight="1">
      <c r="A82" s="64"/>
      <c r="B82" s="149"/>
      <c r="C82" s="67" t="s">
        <v>88</v>
      </c>
      <c r="E82" s="67">
        <v>32</v>
      </c>
      <c r="F82" s="67" t="s">
        <v>84</v>
      </c>
      <c r="G82" s="150"/>
      <c r="H82" s="150"/>
      <c r="I82" s="67"/>
      <c r="J82" s="67"/>
      <c r="K82" s="67"/>
      <c r="L82" s="67"/>
      <c r="M82" s="67"/>
      <c r="N82" s="67"/>
    </row>
    <row r="83" spans="1:14" ht="17" customHeight="1">
      <c r="A83" s="64"/>
      <c r="B83" s="149"/>
      <c r="C83" s="67" t="s">
        <v>89</v>
      </c>
      <c r="E83" s="67">
        <v>32.031999999999996</v>
      </c>
      <c r="F83" s="67" t="s">
        <v>84</v>
      </c>
      <c r="G83" s="150"/>
      <c r="H83" s="150"/>
      <c r="I83" s="67"/>
      <c r="J83" s="67"/>
      <c r="K83" s="67"/>
      <c r="L83" s="67"/>
      <c r="M83" s="67"/>
      <c r="N83" s="67"/>
    </row>
    <row r="84" spans="1:14" ht="17" customHeight="1">
      <c r="A84" s="64"/>
      <c r="B84" s="149"/>
      <c r="C84" s="67" t="s">
        <v>90</v>
      </c>
      <c r="E84" s="67">
        <f>2*12+6*1.008+16</f>
        <v>46.048000000000002</v>
      </c>
      <c r="F84" s="67" t="s">
        <v>84</v>
      </c>
      <c r="G84" s="67">
        <v>0.78900000000000003</v>
      </c>
      <c r="H84" s="67" t="s">
        <v>91</v>
      </c>
      <c r="I84" s="67"/>
      <c r="J84" s="67"/>
      <c r="K84" s="67"/>
      <c r="L84" s="67"/>
      <c r="M84" s="67"/>
      <c r="N84" s="67"/>
    </row>
    <row r="85" spans="1:14" ht="17" customHeight="1">
      <c r="A85" s="64"/>
      <c r="B85" s="149"/>
      <c r="C85" s="67"/>
      <c r="E85" s="67"/>
      <c r="F85" s="67"/>
      <c r="G85" s="67"/>
      <c r="H85" s="67"/>
      <c r="I85" s="67"/>
      <c r="J85" s="67"/>
      <c r="K85" s="67"/>
      <c r="L85" s="67"/>
      <c r="M85" s="67"/>
      <c r="N85" s="67"/>
    </row>
    <row r="86" spans="1:14" ht="17" customHeight="1">
      <c r="A86" s="64"/>
      <c r="B86" s="149"/>
      <c r="C86" s="67" t="s">
        <v>104</v>
      </c>
      <c r="E86" s="60">
        <v>0.747</v>
      </c>
      <c r="F86" s="67" t="s">
        <v>91</v>
      </c>
      <c r="G86" s="67"/>
      <c r="H86" s="67"/>
      <c r="I86" s="67"/>
      <c r="J86" s="67"/>
      <c r="K86" s="67"/>
      <c r="L86" s="67"/>
      <c r="M86" s="67"/>
      <c r="N86" s="67"/>
    </row>
    <row r="87" spans="1:14" ht="17" customHeight="1">
      <c r="A87" s="64"/>
      <c r="B87" s="149"/>
      <c r="C87" s="67" t="s">
        <v>105</v>
      </c>
      <c r="E87" s="60">
        <v>0.05</v>
      </c>
      <c r="F87" s="67"/>
      <c r="G87" s="67"/>
      <c r="H87" s="67"/>
      <c r="I87" s="67"/>
      <c r="J87" s="67"/>
      <c r="K87" s="67"/>
      <c r="L87" s="67"/>
      <c r="M87" s="67"/>
      <c r="N87" s="67"/>
    </row>
    <row r="88" spans="1:14" ht="17" customHeight="1">
      <c r="A88" s="64"/>
      <c r="B88" s="149"/>
      <c r="C88" s="67"/>
      <c r="D88" s="67"/>
      <c r="E88" s="67"/>
      <c r="F88" s="150"/>
      <c r="G88" s="150"/>
      <c r="H88" s="67"/>
      <c r="I88" s="67"/>
      <c r="J88" s="67"/>
      <c r="K88" s="67"/>
      <c r="L88" s="67"/>
      <c r="M88" s="67"/>
      <c r="N88" s="67"/>
    </row>
    <row r="89" spans="1:14" ht="17" customHeight="1">
      <c r="A89" s="64"/>
      <c r="B89" s="149"/>
      <c r="C89" s="92" t="s">
        <v>23</v>
      </c>
      <c r="D89" s="150"/>
      <c r="E89" s="67">
        <v>30</v>
      </c>
      <c r="F89" s="150"/>
      <c r="G89" s="67" t="s">
        <v>80</v>
      </c>
      <c r="H89" s="67"/>
      <c r="I89" s="67"/>
      <c r="J89" s="67"/>
      <c r="K89" s="67"/>
      <c r="L89" s="67"/>
      <c r="M89" s="67"/>
      <c r="N89" s="67"/>
    </row>
    <row r="90" spans="1:14" ht="17" customHeight="1">
      <c r="A90" s="64"/>
      <c r="B90" s="159"/>
      <c r="C90" s="67" t="s">
        <v>61</v>
      </c>
      <c r="D90" s="150"/>
      <c r="E90" s="67">
        <v>8000</v>
      </c>
      <c r="F90" s="150"/>
      <c r="G90" s="67" t="s">
        <v>79</v>
      </c>
      <c r="H90" s="67"/>
      <c r="I90" s="67"/>
      <c r="J90" s="67"/>
      <c r="K90" s="67"/>
      <c r="L90" s="67"/>
      <c r="M90" s="67"/>
      <c r="N90" s="67"/>
    </row>
    <row r="91" spans="1:14" ht="17" customHeight="1">
      <c r="A91" s="64"/>
      <c r="B91" s="159"/>
      <c r="C91" s="67" t="s">
        <v>77</v>
      </c>
      <c r="D91" s="150"/>
      <c r="E91" s="67">
        <v>10.01</v>
      </c>
      <c r="F91" s="150"/>
      <c r="G91" s="67" t="s">
        <v>78</v>
      </c>
      <c r="H91" s="67"/>
      <c r="I91" s="67"/>
      <c r="J91" s="67"/>
      <c r="K91" s="67"/>
      <c r="L91" s="67"/>
      <c r="M91" s="67"/>
      <c r="N91" s="67"/>
    </row>
    <row r="92" spans="1:14" ht="17" customHeight="1">
      <c r="A92" s="64"/>
      <c r="B92" s="159"/>
      <c r="C92" s="67" t="s">
        <v>110</v>
      </c>
      <c r="E92" s="67">
        <v>120.1</v>
      </c>
      <c r="G92" s="67" t="s">
        <v>78</v>
      </c>
      <c r="H92" s="67"/>
      <c r="I92" s="67"/>
      <c r="J92" s="67"/>
      <c r="K92" s="67"/>
      <c r="L92" s="67"/>
      <c r="M92" s="67"/>
      <c r="N92" s="67"/>
    </row>
    <row r="93" spans="1:14" ht="17" customHeight="1">
      <c r="A93" s="64"/>
      <c r="B93" s="159"/>
      <c r="C93" s="67" t="s">
        <v>111</v>
      </c>
      <c r="E93" s="67">
        <v>43.15</v>
      </c>
      <c r="G93" s="67" t="s">
        <v>78</v>
      </c>
      <c r="H93" s="67"/>
      <c r="I93" s="67"/>
      <c r="J93" s="67"/>
      <c r="K93" s="67"/>
      <c r="L93" s="67"/>
      <c r="M93" s="67"/>
      <c r="N93" s="67"/>
    </row>
    <row r="94" spans="1:14" ht="18" customHeight="1" thickBot="1">
      <c r="A94" s="64"/>
      <c r="G94" s="67"/>
      <c r="H94" s="67"/>
      <c r="I94" s="67"/>
      <c r="J94" s="67"/>
      <c r="K94" s="67"/>
      <c r="L94" s="67"/>
      <c r="M94" s="67"/>
      <c r="N94" s="67"/>
    </row>
    <row r="95" spans="1:14">
      <c r="A95" s="64"/>
      <c r="B95" s="61"/>
      <c r="C95" s="62"/>
      <c r="D95" s="62"/>
      <c r="E95" s="62"/>
      <c r="F95" s="62"/>
      <c r="G95" s="62"/>
      <c r="H95" s="62"/>
      <c r="I95" s="62"/>
      <c r="J95" s="62"/>
      <c r="K95" s="62"/>
      <c r="L95" s="62"/>
      <c r="M95" s="62"/>
      <c r="N95" s="63"/>
    </row>
    <row r="96" spans="1:14" ht="17" customHeight="1">
      <c r="B96" s="89"/>
      <c r="C96" s="68"/>
      <c r="D96" s="68"/>
      <c r="E96" s="68"/>
      <c r="F96" s="68"/>
      <c r="G96" s="68"/>
      <c r="H96" s="65"/>
      <c r="I96" s="65"/>
      <c r="J96" s="65"/>
      <c r="K96" s="65"/>
      <c r="L96" s="65"/>
      <c r="M96" s="65"/>
      <c r="N96" s="90"/>
    </row>
    <row r="97" spans="1:15" ht="17" customHeight="1">
      <c r="A97" s="64"/>
      <c r="B97" s="149"/>
      <c r="C97" s="150" t="s">
        <v>101</v>
      </c>
      <c r="D97" s="150"/>
      <c r="E97" s="150"/>
      <c r="F97" s="150"/>
      <c r="G97" s="150"/>
      <c r="H97" s="67"/>
      <c r="I97" s="67"/>
      <c r="J97" s="67"/>
      <c r="K97" s="67"/>
      <c r="L97" s="67"/>
      <c r="M97" s="67"/>
      <c r="N97" s="67"/>
    </row>
    <row r="98" spans="1:15">
      <c r="A98" s="64"/>
      <c r="B98" s="149"/>
      <c r="C98" s="161" t="s">
        <v>106</v>
      </c>
      <c r="D98" s="150"/>
      <c r="E98" s="160">
        <f>E91*E105/(E91*E105+E106/E81*E78*23*E92+E124*3.6)</f>
        <v>0.35033447203974477</v>
      </c>
      <c r="F98" s="150"/>
      <c r="G98" s="150"/>
      <c r="H98" s="67"/>
      <c r="I98" s="67"/>
      <c r="J98" s="67"/>
      <c r="K98" s="67"/>
      <c r="L98" s="67"/>
      <c r="M98" s="67"/>
      <c r="N98" s="67"/>
    </row>
    <row r="99" spans="1:15">
      <c r="A99" s="64"/>
      <c r="B99" s="66"/>
      <c r="C99" s="161" t="s">
        <v>107</v>
      </c>
      <c r="D99" s="134"/>
      <c r="E99" s="151">
        <f>E106/E81*E78*23*E92/(E91*E105+E106/E81*E78*23*E92+E124*3.6)</f>
        <v>0.63278977088645771</v>
      </c>
      <c r="F99" s="67"/>
      <c r="G99" s="67"/>
      <c r="H99" s="67"/>
      <c r="I99" s="67"/>
      <c r="J99" s="67"/>
      <c r="K99" s="67"/>
      <c r="L99" s="67"/>
      <c r="M99" s="67"/>
      <c r="N99" s="67"/>
      <c r="O99" s="67"/>
    </row>
    <row r="100" spans="1:15">
      <c r="B100" s="66"/>
      <c r="C100" s="92" t="s">
        <v>74</v>
      </c>
      <c r="D100" s="134"/>
      <c r="E100" s="160">
        <f>E124*3.6/(E91*E105+E106/E81*E78*23*E92+E124*3.6)</f>
        <v>1.6875757073797529E-2</v>
      </c>
      <c r="N100" s="67"/>
      <c r="O100" s="67"/>
    </row>
    <row r="101" spans="1:15">
      <c r="B101" s="66"/>
      <c r="C101" s="162" t="s">
        <v>108</v>
      </c>
      <c r="D101" s="134"/>
      <c r="E101" s="151">
        <f>0.55/0.9*E106*E93/(E91*E105+E106/E81*E78*23*E92+E124*3.6)</f>
        <v>0.46801292281573448</v>
      </c>
      <c r="N101" s="67"/>
      <c r="O101" s="67"/>
    </row>
    <row r="102" spans="1:15">
      <c r="B102" s="66"/>
      <c r="C102" s="162" t="s">
        <v>109</v>
      </c>
      <c r="D102" s="152"/>
      <c r="E102" s="160">
        <f>0.35/0.9*E106*E93/(E91*E105+E106/E81*E78*23*E92+E124*3.6)</f>
        <v>0.29782640542819461</v>
      </c>
      <c r="N102" s="67"/>
      <c r="O102" s="67"/>
    </row>
    <row r="103" spans="1:15">
      <c r="B103" s="66"/>
      <c r="C103" s="67" t="s">
        <v>75</v>
      </c>
      <c r="D103" s="67"/>
      <c r="E103" s="151">
        <f>1-E102-E101</f>
        <v>0.23416067175607091</v>
      </c>
      <c r="N103" s="67"/>
      <c r="O103" s="67"/>
    </row>
    <row r="104" spans="1:15">
      <c r="B104" s="66"/>
      <c r="D104" s="67"/>
      <c r="E104" s="67"/>
      <c r="F104" s="67"/>
      <c r="G104" s="67"/>
      <c r="H104" s="67"/>
      <c r="I104" s="67"/>
      <c r="J104" s="67"/>
      <c r="K104" s="67"/>
      <c r="L104" s="67"/>
      <c r="M104" s="67"/>
      <c r="N104" s="67"/>
      <c r="O104" s="67"/>
    </row>
    <row r="105" spans="1:15">
      <c r="B105" s="66"/>
      <c r="C105" s="60" t="s">
        <v>112</v>
      </c>
      <c r="D105" s="150"/>
      <c r="E105" s="164">
        <f>1/E80*E79</f>
        <v>0.63636363636363635</v>
      </c>
      <c r="F105" s="150"/>
      <c r="G105" s="150" t="s">
        <v>113</v>
      </c>
      <c r="H105" s="67"/>
      <c r="I105" s="67"/>
      <c r="J105" s="67"/>
      <c r="K105" s="67"/>
      <c r="L105" s="67"/>
      <c r="M105" s="67"/>
      <c r="N105" s="67"/>
      <c r="O105" s="67"/>
    </row>
    <row r="106" spans="1:15">
      <c r="A106" s="64"/>
      <c r="B106" s="66"/>
      <c r="D106" s="150"/>
      <c r="E106" s="164">
        <f>E105/E79/11*E81</f>
        <v>0.32271074380165293</v>
      </c>
      <c r="F106" s="150"/>
      <c r="G106" s="150" t="s">
        <v>114</v>
      </c>
      <c r="H106" s="67"/>
      <c r="I106" s="67"/>
      <c r="J106" s="67"/>
      <c r="K106" s="67"/>
      <c r="L106" s="67"/>
      <c r="M106" s="67"/>
      <c r="N106" s="67"/>
      <c r="O106" s="67"/>
    </row>
    <row r="107" spans="1:15">
      <c r="A107" s="64"/>
      <c r="B107" s="66"/>
      <c r="D107" s="67"/>
      <c r="E107" s="163"/>
      <c r="F107" s="67"/>
      <c r="G107" s="67"/>
      <c r="H107" s="67"/>
      <c r="I107" s="67"/>
      <c r="J107" s="67"/>
      <c r="K107" s="67"/>
      <c r="L107" s="67"/>
      <c r="M107" s="67"/>
      <c r="N107" s="67"/>
      <c r="O107" s="67"/>
    </row>
    <row r="108" spans="1:15">
      <c r="B108" s="66"/>
      <c r="C108" s="60" t="s">
        <v>99</v>
      </c>
      <c r="D108" s="158"/>
      <c r="E108" s="166">
        <v>8000</v>
      </c>
      <c r="F108" s="67"/>
      <c r="G108" s="67"/>
      <c r="H108" s="67"/>
      <c r="I108" s="67"/>
      <c r="J108" s="67"/>
      <c r="K108" s="67"/>
      <c r="L108" s="67"/>
      <c r="M108" s="67"/>
      <c r="N108" s="67"/>
      <c r="O108" s="67"/>
    </row>
    <row r="109" spans="1:15">
      <c r="B109" s="66"/>
      <c r="C109" s="60" t="s">
        <v>115</v>
      </c>
      <c r="D109" s="158"/>
      <c r="E109" s="163">
        <f>E106/(E108/8760)/365.25</f>
        <v>9.6746958100700888E-4</v>
      </c>
      <c r="F109" s="67"/>
      <c r="G109" s="67" t="s">
        <v>116</v>
      </c>
      <c r="H109" s="67"/>
      <c r="I109" s="67"/>
      <c r="J109" s="67"/>
      <c r="K109" s="67"/>
      <c r="L109" s="67"/>
      <c r="M109" s="67"/>
      <c r="N109" s="67"/>
      <c r="O109" s="67"/>
    </row>
    <row r="110" spans="1:15">
      <c r="B110" s="66"/>
      <c r="D110" s="160"/>
      <c r="E110" s="164">
        <f>E109/E86/159*1000</f>
        <v>8.1455345996734006E-3</v>
      </c>
      <c r="F110" s="67"/>
      <c r="G110" s="67" t="s">
        <v>117</v>
      </c>
      <c r="H110" s="67"/>
      <c r="I110" s="67"/>
      <c r="J110" s="67"/>
      <c r="K110" s="67"/>
      <c r="L110" s="67"/>
      <c r="M110" s="67"/>
      <c r="N110" s="67"/>
      <c r="O110" s="67"/>
    </row>
    <row r="111" spans="1:15">
      <c r="B111" s="66"/>
      <c r="D111" s="67"/>
      <c r="E111" s="67"/>
      <c r="F111" s="67"/>
      <c r="G111" s="67"/>
      <c r="H111" s="67"/>
      <c r="I111" s="67"/>
      <c r="J111" s="67"/>
      <c r="K111" s="67"/>
      <c r="L111" s="67"/>
      <c r="M111" s="67"/>
      <c r="N111" s="67"/>
      <c r="O111" s="67"/>
    </row>
    <row r="112" spans="1:15">
      <c r="B112" s="66"/>
      <c r="C112" s="60" t="s">
        <v>118</v>
      </c>
      <c r="D112" s="67"/>
      <c r="E112" s="163"/>
      <c r="F112" s="67"/>
      <c r="G112" s="67"/>
      <c r="H112" s="67" t="s">
        <v>119</v>
      </c>
      <c r="I112" s="67"/>
      <c r="J112" s="67"/>
      <c r="K112" s="67"/>
      <c r="L112" s="67"/>
      <c r="M112" s="67"/>
      <c r="N112" s="67"/>
      <c r="O112" s="67"/>
    </row>
    <row r="113" spans="1:15">
      <c r="B113" s="66"/>
      <c r="C113" s="60" t="s">
        <v>120</v>
      </c>
      <c r="D113" s="67"/>
      <c r="E113" s="67">
        <f>262.9-195.5-2</f>
        <v>65.399999999999977</v>
      </c>
      <c r="F113" s="67"/>
      <c r="G113" s="67" t="s">
        <v>92</v>
      </c>
      <c r="H113" s="67" t="s">
        <v>121</v>
      </c>
      <c r="I113" s="67"/>
      <c r="J113" s="67"/>
      <c r="K113" s="67"/>
      <c r="L113" s="67"/>
      <c r="M113" s="67"/>
      <c r="N113" s="67"/>
      <c r="O113" s="67"/>
    </row>
    <row r="114" spans="1:15">
      <c r="B114" s="66"/>
      <c r="C114" s="60" t="s">
        <v>96</v>
      </c>
      <c r="D114" s="67"/>
      <c r="E114" s="67">
        <f>2.749689-1.029011</f>
        <v>1.7206780000000002</v>
      </c>
      <c r="F114" s="67"/>
      <c r="G114" s="67" t="s">
        <v>122</v>
      </c>
      <c r="H114" s="67" t="s">
        <v>123</v>
      </c>
      <c r="I114" s="67"/>
      <c r="J114" s="67"/>
      <c r="K114" s="67"/>
      <c r="L114" s="67"/>
      <c r="M114" s="67"/>
      <c r="N114" s="67"/>
      <c r="O114" s="67"/>
    </row>
    <row r="115" spans="1:15">
      <c r="B115" s="66"/>
      <c r="D115" s="150"/>
      <c r="E115" s="150"/>
      <c r="F115" s="150"/>
      <c r="G115" s="150"/>
      <c r="H115" s="67"/>
      <c r="I115" s="67"/>
      <c r="J115" s="67"/>
      <c r="K115" s="67"/>
      <c r="L115" s="67"/>
      <c r="M115" s="67"/>
      <c r="N115" s="67"/>
      <c r="O115" s="67"/>
    </row>
    <row r="116" spans="1:15">
      <c r="A116" s="64"/>
      <c r="B116" s="66"/>
      <c r="C116" s="60" t="s">
        <v>124</v>
      </c>
      <c r="D116" s="150"/>
      <c r="E116" s="150"/>
      <c r="F116" s="150"/>
      <c r="G116" s="150"/>
      <c r="H116" s="67"/>
      <c r="I116" s="67"/>
      <c r="J116" s="67"/>
      <c r="K116" s="67"/>
      <c r="L116" s="67"/>
      <c r="M116" s="67"/>
      <c r="N116" s="67"/>
      <c r="O116" s="67"/>
    </row>
    <row r="117" spans="1:15">
      <c r="A117" s="64"/>
      <c r="B117" s="66"/>
      <c r="C117" s="67" t="s">
        <v>120</v>
      </c>
      <c r="D117" s="67"/>
      <c r="E117" s="150">
        <f>E113*E110*1000/50</f>
        <v>10.654359256372805</v>
      </c>
      <c r="F117" s="67"/>
      <c r="G117" s="67" t="s">
        <v>125</v>
      </c>
      <c r="H117" s="67"/>
      <c r="I117" s="67"/>
      <c r="J117" s="67"/>
      <c r="K117" s="67"/>
      <c r="L117" s="67"/>
      <c r="M117" s="67"/>
      <c r="N117" s="67"/>
      <c r="O117" s="67"/>
    </row>
    <row r="118" spans="1:15">
      <c r="B118" s="66"/>
      <c r="C118" s="150" t="s">
        <v>226</v>
      </c>
      <c r="D118" s="158"/>
      <c r="E118" s="150">
        <f>E110*1000/50*E114*1000/1.18</f>
        <v>237.55664718469203</v>
      </c>
      <c r="G118" s="60" t="s">
        <v>93</v>
      </c>
    </row>
    <row r="119" spans="1:15">
      <c r="B119" s="66"/>
      <c r="C119" s="150"/>
      <c r="D119" s="158"/>
      <c r="E119" s="150">
        <f>E118*1000000</f>
        <v>237556647.18469203</v>
      </c>
      <c r="G119" s="60" t="s">
        <v>94</v>
      </c>
    </row>
    <row r="120" spans="1:15">
      <c r="B120" s="66"/>
      <c r="C120" s="150" t="s">
        <v>227</v>
      </c>
      <c r="D120" s="158"/>
      <c r="E120" s="199">
        <v>5</v>
      </c>
      <c r="G120" s="60" t="s">
        <v>103</v>
      </c>
    </row>
    <row r="121" spans="1:15">
      <c r="B121" s="66"/>
      <c r="C121" s="150"/>
      <c r="D121" s="158"/>
      <c r="E121" s="150">
        <f>E119*E120/100</f>
        <v>11877832.359234599</v>
      </c>
      <c r="G121" s="60" t="s">
        <v>102</v>
      </c>
    </row>
    <row r="122" spans="1:15">
      <c r="B122" s="66"/>
      <c r="C122" s="150" t="s">
        <v>100</v>
      </c>
      <c r="D122" s="160"/>
      <c r="E122" s="150">
        <f>$AS$86</f>
        <v>0</v>
      </c>
    </row>
    <row r="123" spans="1:15">
      <c r="B123" s="66"/>
      <c r="C123" s="150" t="s">
        <v>97</v>
      </c>
      <c r="D123" s="67"/>
      <c r="E123" s="165">
        <v>30</v>
      </c>
      <c r="G123" s="60" t="s">
        <v>98</v>
      </c>
    </row>
    <row r="124" spans="1:15">
      <c r="B124" s="66"/>
      <c r="C124" s="67" t="s">
        <v>126</v>
      </c>
      <c r="D124" s="67"/>
      <c r="E124" s="67">
        <f>E117*E108/1000000</f>
        <v>8.5234874050982443E-2</v>
      </c>
      <c r="G124" s="60" t="s">
        <v>127</v>
      </c>
    </row>
    <row r="125" spans="1:15">
      <c r="B125" s="66"/>
      <c r="C125" s="67"/>
      <c r="D125" s="67"/>
      <c r="E125" s="67"/>
    </row>
    <row r="126" spans="1:15">
      <c r="B126" s="66"/>
      <c r="C126" s="67"/>
      <c r="E126" s="109"/>
    </row>
    <row r="127" spans="1:15">
      <c r="B127" s="66"/>
      <c r="E127" s="60">
        <f>E124/E105</f>
        <v>0.13394051636582954</v>
      </c>
      <c r="G127" s="60" t="s">
        <v>141</v>
      </c>
      <c r="H127" s="171">
        <f>E105</f>
        <v>0.63636363636363635</v>
      </c>
      <c r="I127" s="60" t="s">
        <v>113</v>
      </c>
      <c r="J127" s="60">
        <f>E127*H127</f>
        <v>8.5234874050982429E-2</v>
      </c>
    </row>
    <row r="128" spans="1:15">
      <c r="B128" s="66"/>
      <c r="E128" s="60">
        <f>E127*(E79/E80)</f>
        <v>8.5234874050982429E-2</v>
      </c>
      <c r="G128" s="60" t="s">
        <v>142</v>
      </c>
      <c r="H128" s="60">
        <f>E105*(E80/E79)</f>
        <v>1</v>
      </c>
      <c r="I128" s="60" t="s">
        <v>143</v>
      </c>
      <c r="J128" s="60">
        <f>E128*H128</f>
        <v>8.5234874050982429E-2</v>
      </c>
    </row>
    <row r="129" spans="2:9">
      <c r="B129" s="66"/>
      <c r="D129" s="60" t="s">
        <v>150</v>
      </c>
    </row>
    <row r="130" spans="2:9">
      <c r="B130" s="66"/>
      <c r="D130" s="60" t="s">
        <v>145</v>
      </c>
      <c r="E130" s="60">
        <f>E128*1000</f>
        <v>85.234874050982427</v>
      </c>
      <c r="G130" s="60" t="s">
        <v>144</v>
      </c>
    </row>
    <row r="131" spans="2:9">
      <c r="B131" s="66"/>
      <c r="D131" s="60" t="s">
        <v>146</v>
      </c>
      <c r="E131" s="60">
        <v>5760</v>
      </c>
      <c r="G131" s="60" t="s">
        <v>144</v>
      </c>
    </row>
    <row r="132" spans="2:9">
      <c r="B132" s="66"/>
      <c r="D132" s="60" t="s">
        <v>147</v>
      </c>
      <c r="E132" s="60">
        <f>SUM(E130:E131)</f>
        <v>5845.2348740509824</v>
      </c>
      <c r="G132" s="60" t="s">
        <v>144</v>
      </c>
    </row>
    <row r="133" spans="2:9">
      <c r="B133" s="66"/>
      <c r="E133" s="60">
        <f>E132*3.6</f>
        <v>21042.845546583536</v>
      </c>
      <c r="G133" s="60" t="s">
        <v>148</v>
      </c>
    </row>
    <row r="134" spans="2:9">
      <c r="B134" s="66"/>
      <c r="E134" s="174">
        <f>E133/1000</f>
        <v>21.042845546583536</v>
      </c>
      <c r="F134" s="174"/>
      <c r="G134" s="174" t="s">
        <v>149</v>
      </c>
      <c r="I134" s="60">
        <f>E134/SUM(E134,E140)</f>
        <v>0.7418672552168154</v>
      </c>
    </row>
    <row r="135" spans="2:9">
      <c r="B135" s="66"/>
    </row>
    <row r="136" spans="2:9">
      <c r="B136" s="66"/>
      <c r="D136" s="60" t="s">
        <v>151</v>
      </c>
    </row>
    <row r="137" spans="2:9">
      <c r="B137" s="66"/>
      <c r="E137" s="60">
        <f>(E105/E79)*(G75/F75)*E78</f>
        <v>9.5801652892561984E-2</v>
      </c>
      <c r="G137" s="60" t="s">
        <v>155</v>
      </c>
    </row>
    <row r="138" spans="2:9">
      <c r="B138" s="66"/>
      <c r="E138" s="60">
        <f>E137*(E79/E80)</f>
        <v>6.0964688204357624E-2</v>
      </c>
      <c r="G138" s="60" t="s">
        <v>154</v>
      </c>
    </row>
    <row r="139" spans="2:9">
      <c r="B139" s="66"/>
      <c r="E139" s="60">
        <f>E138</f>
        <v>6.0964688204357624E-2</v>
      </c>
      <c r="G139" s="60" t="s">
        <v>156</v>
      </c>
    </row>
    <row r="140" spans="2:9">
      <c r="B140" s="66"/>
      <c r="E140" s="174">
        <f>E139*E92</f>
        <v>7.3218590533433501</v>
      </c>
      <c r="F140" s="174"/>
      <c r="G140" s="174" t="s">
        <v>157</v>
      </c>
      <c r="I140" s="60">
        <f>1-I134</f>
        <v>0.2581327447831846</v>
      </c>
    </row>
    <row r="141" spans="2:9">
      <c r="B141" s="66"/>
    </row>
    <row r="142" spans="2:9">
      <c r="B142" s="66"/>
      <c r="G142" s="60" t="s">
        <v>158</v>
      </c>
    </row>
    <row r="143" spans="2:9">
      <c r="B143" s="66"/>
      <c r="E143" s="186">
        <f>1/E93</f>
        <v>2.3174971031286212E-2</v>
      </c>
      <c r="G143" s="60" t="s">
        <v>159</v>
      </c>
    </row>
    <row r="144" spans="2:9">
      <c r="B144" s="66"/>
      <c r="E144" s="186">
        <f>E143*1000</f>
        <v>23.174971031286212</v>
      </c>
      <c r="G144" s="60" t="s">
        <v>160</v>
      </c>
    </row>
    <row r="145" spans="2:14">
      <c r="B145" s="66"/>
      <c r="E145" s="186">
        <f>E144/E81</f>
        <v>0.14837489135990456</v>
      </c>
      <c r="G145" s="60" t="s">
        <v>161</v>
      </c>
    </row>
    <row r="146" spans="2:14">
      <c r="B146" s="66"/>
      <c r="E146" s="186">
        <f>E145*D75</f>
        <v>1.6321238049589502</v>
      </c>
      <c r="G146" s="60" t="s">
        <v>162</v>
      </c>
    </row>
    <row r="147" spans="2:14">
      <c r="B147" s="66"/>
      <c r="E147" s="186">
        <f>E146*E80</f>
        <v>71.813447418193803</v>
      </c>
      <c r="G147" s="60" t="s">
        <v>163</v>
      </c>
    </row>
    <row r="148" spans="2:14">
      <c r="B148" s="66"/>
      <c r="E148" s="186">
        <f>E147/1000</f>
        <v>7.1813447418193802E-2</v>
      </c>
      <c r="G148" s="60" t="s">
        <v>158</v>
      </c>
    </row>
    <row r="149" spans="2:14">
      <c r="B149" s="66"/>
    </row>
    <row r="150" spans="2:14" ht="17" thickBot="1">
      <c r="B150" s="66"/>
    </row>
    <row r="151" spans="2:14">
      <c r="B151" s="66"/>
      <c r="C151" s="62"/>
      <c r="D151" s="62"/>
      <c r="E151" s="62"/>
      <c r="F151" s="62"/>
      <c r="G151" s="62"/>
      <c r="H151" s="62"/>
      <c r="I151" s="62"/>
      <c r="J151" s="62"/>
      <c r="K151" s="62"/>
      <c r="L151" s="62"/>
      <c r="M151" s="62"/>
      <c r="N151" s="63"/>
    </row>
    <row r="152" spans="2:14">
      <c r="B152" s="66"/>
      <c r="C152" s="68" t="s">
        <v>0</v>
      </c>
      <c r="D152" s="68" t="s">
        <v>47</v>
      </c>
      <c r="E152" s="68" t="s">
        <v>24</v>
      </c>
      <c r="F152" s="68"/>
      <c r="G152" s="68"/>
      <c r="H152" s="65"/>
      <c r="I152" s="65"/>
      <c r="J152" s="65"/>
      <c r="K152" s="65"/>
      <c r="L152" s="65"/>
      <c r="M152" s="65"/>
      <c r="N152" s="90"/>
    </row>
    <row r="153" spans="2:14" ht="21">
      <c r="B153" s="66"/>
      <c r="C153" s="190" t="s">
        <v>223</v>
      </c>
      <c r="D153" s="64"/>
      <c r="E153" s="64"/>
      <c r="F153" s="64"/>
      <c r="G153" s="64"/>
    </row>
    <row r="154" spans="2:14">
      <c r="B154" s="66"/>
      <c r="C154" s="64" t="s">
        <v>81</v>
      </c>
      <c r="D154" s="64"/>
      <c r="E154" s="64"/>
      <c r="F154" s="64"/>
      <c r="G154" s="64"/>
    </row>
    <row r="155" spans="2:14">
      <c r="B155" s="66"/>
      <c r="C155" s="60" t="s">
        <v>82</v>
      </c>
      <c r="F155" s="64"/>
      <c r="G155" s="64"/>
    </row>
    <row r="156" spans="2:14">
      <c r="B156" s="66"/>
      <c r="C156" s="60" t="s">
        <v>83</v>
      </c>
      <c r="E156" s="60">
        <v>2.016</v>
      </c>
      <c r="F156" s="60" t="s">
        <v>84</v>
      </c>
      <c r="G156" s="64"/>
      <c r="H156" s="64"/>
    </row>
    <row r="157" spans="2:14">
      <c r="B157" s="66"/>
      <c r="C157" s="60" t="s">
        <v>85</v>
      </c>
      <c r="E157" s="60">
        <v>28</v>
      </c>
      <c r="F157" s="60" t="s">
        <v>84</v>
      </c>
      <c r="G157" s="64"/>
      <c r="H157" s="64"/>
    </row>
    <row r="158" spans="2:14">
      <c r="B158" s="66"/>
      <c r="C158" s="60" t="s">
        <v>86</v>
      </c>
      <c r="E158" s="60">
        <v>44</v>
      </c>
      <c r="F158" s="60" t="s">
        <v>84</v>
      </c>
      <c r="G158" s="64"/>
      <c r="H158" s="64"/>
    </row>
    <row r="159" spans="2:14">
      <c r="B159" s="66"/>
      <c r="C159" s="60" t="s">
        <v>87</v>
      </c>
      <c r="E159" s="60">
        <f>12*11+1.008*24</f>
        <v>156.19200000000001</v>
      </c>
      <c r="F159" s="60" t="s">
        <v>84</v>
      </c>
      <c r="G159" s="64"/>
      <c r="H159" s="64"/>
    </row>
    <row r="160" spans="2:14">
      <c r="B160" s="66"/>
      <c r="C160" s="60" t="s">
        <v>88</v>
      </c>
      <c r="E160" s="60">
        <v>32</v>
      </c>
      <c r="F160" s="60" t="s">
        <v>84</v>
      </c>
      <c r="G160" s="64"/>
      <c r="H160" s="64"/>
    </row>
    <row r="161" spans="2:14">
      <c r="B161" s="66"/>
      <c r="C161" s="60" t="s">
        <v>89</v>
      </c>
      <c r="E161" s="60">
        <v>32.031999999999996</v>
      </c>
      <c r="F161" s="60" t="s">
        <v>84</v>
      </c>
      <c r="G161" s="64"/>
      <c r="H161" s="64"/>
    </row>
    <row r="162" spans="2:14">
      <c r="B162" s="66"/>
      <c r="C162" s="60" t="s">
        <v>90</v>
      </c>
      <c r="E162" s="60">
        <f>2*12+6*1.008+16</f>
        <v>46.048000000000002</v>
      </c>
      <c r="F162" s="60" t="s">
        <v>84</v>
      </c>
      <c r="G162" s="60">
        <v>0.78900000000000003</v>
      </c>
      <c r="H162" s="60" t="s">
        <v>91</v>
      </c>
    </row>
    <row r="163" spans="2:14">
      <c r="B163" s="66"/>
      <c r="F163" s="64"/>
      <c r="G163" s="64"/>
    </row>
    <row r="164" spans="2:14">
      <c r="B164" s="66"/>
      <c r="C164" s="176" t="s">
        <v>23</v>
      </c>
      <c r="D164" s="64"/>
      <c r="E164" s="60">
        <v>20</v>
      </c>
      <c r="F164" s="64"/>
      <c r="G164" s="60" t="s">
        <v>80</v>
      </c>
    </row>
    <row r="165" spans="2:14">
      <c r="B165" s="66"/>
      <c r="C165" s="60" t="s">
        <v>61</v>
      </c>
      <c r="D165" s="64"/>
      <c r="E165" s="60">
        <v>8000</v>
      </c>
      <c r="F165" s="64"/>
      <c r="G165" s="60" t="s">
        <v>79</v>
      </c>
    </row>
    <row r="166" spans="2:14">
      <c r="B166" s="66"/>
      <c r="C166" s="60" t="s">
        <v>77</v>
      </c>
      <c r="D166" s="64"/>
      <c r="E166" s="60">
        <v>10.01</v>
      </c>
      <c r="F166" s="64"/>
      <c r="G166" s="60" t="s">
        <v>78</v>
      </c>
    </row>
    <row r="167" spans="2:14" ht="17" thickBot="1">
      <c r="B167" s="66"/>
    </row>
    <row r="168" spans="2:14">
      <c r="B168" s="66"/>
      <c r="C168" s="62"/>
      <c r="D168" s="62"/>
      <c r="E168" s="62"/>
      <c r="F168" s="62"/>
      <c r="G168" s="62"/>
      <c r="H168" s="62"/>
      <c r="I168" s="62"/>
      <c r="J168" s="62"/>
      <c r="K168" s="62"/>
      <c r="L168" s="62"/>
      <c r="M168" s="62"/>
      <c r="N168" s="63"/>
    </row>
    <row r="169" spans="2:14">
      <c r="B169" s="66"/>
      <c r="C169" s="68" t="s">
        <v>0</v>
      </c>
      <c r="D169" s="68" t="s">
        <v>47</v>
      </c>
      <c r="E169" s="68" t="s">
        <v>24</v>
      </c>
      <c r="F169" s="68"/>
      <c r="G169" s="68"/>
      <c r="H169" s="65"/>
      <c r="I169" s="65"/>
      <c r="J169" s="65"/>
      <c r="K169" s="65"/>
      <c r="L169" s="65"/>
      <c r="M169" s="65"/>
      <c r="N169" s="90"/>
    </row>
    <row r="170" spans="2:14">
      <c r="B170" s="66"/>
      <c r="C170" s="64" t="s">
        <v>164</v>
      </c>
      <c r="D170" s="64"/>
      <c r="E170" s="64"/>
      <c r="F170" s="64"/>
      <c r="G170" s="64"/>
    </row>
    <row r="171" spans="2:14">
      <c r="B171" s="66"/>
      <c r="C171" s="60" t="s">
        <v>168</v>
      </c>
      <c r="D171" s="60">
        <v>1</v>
      </c>
      <c r="E171" s="60" t="s">
        <v>169</v>
      </c>
      <c r="F171" s="64"/>
    </row>
    <row r="172" spans="2:14" ht="21">
      <c r="B172" s="66"/>
      <c r="C172" s="177" t="s">
        <v>86</v>
      </c>
      <c r="D172" s="178" t="s">
        <v>165</v>
      </c>
      <c r="E172" s="179" t="s">
        <v>85</v>
      </c>
      <c r="G172" s="64"/>
    </row>
    <row r="173" spans="2:14">
      <c r="B173" s="66"/>
      <c r="C173" s="182" t="s">
        <v>166</v>
      </c>
      <c r="D173" s="180"/>
      <c r="E173" s="183"/>
      <c r="F173" s="180"/>
      <c r="G173" s="183"/>
      <c r="H173" s="181"/>
    </row>
    <row r="174" spans="2:14">
      <c r="B174" s="66"/>
      <c r="C174" s="185" t="s">
        <v>167</v>
      </c>
      <c r="E174" s="60">
        <v>25</v>
      </c>
      <c r="H174" s="184"/>
    </row>
    <row r="175" spans="2:14">
      <c r="B175" s="66"/>
      <c r="C175" s="185" t="s">
        <v>170</v>
      </c>
      <c r="E175" s="60">
        <v>0.7</v>
      </c>
      <c r="H175" s="184" t="s">
        <v>171</v>
      </c>
    </row>
    <row r="176" spans="2:14">
      <c r="B176" s="126"/>
      <c r="C176" s="185" t="s">
        <v>172</v>
      </c>
      <c r="E176" s="60">
        <v>0.97</v>
      </c>
      <c r="H176" s="184"/>
    </row>
    <row r="177" spans="2:10">
      <c r="B177" s="126"/>
      <c r="C177" s="185" t="s">
        <v>173</v>
      </c>
      <c r="E177" s="186">
        <f>D220</f>
        <v>5760.4928763958414</v>
      </c>
      <c r="G177" s="60" t="s">
        <v>144</v>
      </c>
      <c r="H177" s="184"/>
    </row>
    <row r="178" spans="2:10">
      <c r="B178" s="126"/>
      <c r="C178" s="185" t="s">
        <v>97</v>
      </c>
      <c r="E178" s="60">
        <v>80000</v>
      </c>
      <c r="G178" s="60" t="s">
        <v>174</v>
      </c>
      <c r="H178" s="184"/>
    </row>
    <row r="179" spans="2:10">
      <c r="B179" s="126"/>
      <c r="C179" s="185" t="s">
        <v>175</v>
      </c>
      <c r="E179" s="60">
        <f>E178/E187</f>
        <v>10</v>
      </c>
      <c r="G179" s="60" t="s">
        <v>98</v>
      </c>
      <c r="H179" s="184"/>
    </row>
    <row r="180" spans="2:10">
      <c r="B180" s="126"/>
      <c r="C180" s="185" t="s">
        <v>176</v>
      </c>
      <c r="E180" s="60">
        <v>30</v>
      </c>
      <c r="G180" s="60" t="s">
        <v>98</v>
      </c>
      <c r="H180" s="184"/>
    </row>
    <row r="181" spans="2:10">
      <c r="B181" s="126"/>
      <c r="C181" s="185" t="s">
        <v>177</v>
      </c>
      <c r="E181" s="60">
        <v>0.15</v>
      </c>
      <c r="H181" s="184"/>
    </row>
    <row r="182" spans="2:10">
      <c r="B182" s="126"/>
      <c r="C182" s="185" t="s">
        <v>178</v>
      </c>
      <c r="E182" s="60">
        <f>E184+E181*E184*(E180-E179)/E179</f>
        <v>1300</v>
      </c>
      <c r="G182" s="60" t="s">
        <v>179</v>
      </c>
      <c r="H182" s="184"/>
    </row>
    <row r="183" spans="2:10">
      <c r="B183" s="126"/>
      <c r="C183" s="185" t="s">
        <v>175</v>
      </c>
      <c r="E183" s="60">
        <f>E178/E187</f>
        <v>10</v>
      </c>
      <c r="G183" s="60" t="s">
        <v>98</v>
      </c>
      <c r="H183" s="184"/>
      <c r="I183" s="60">
        <v>930</v>
      </c>
      <c r="J183" s="60" t="s">
        <v>180</v>
      </c>
    </row>
    <row r="184" spans="2:10">
      <c r="B184" s="126"/>
      <c r="C184" s="185" t="s">
        <v>96</v>
      </c>
      <c r="E184" s="187">
        <f>(I183+I184)/2</f>
        <v>1000</v>
      </c>
      <c r="G184" s="60" t="s">
        <v>179</v>
      </c>
      <c r="H184" s="184"/>
      <c r="I184" s="60">
        <v>1070</v>
      </c>
      <c r="J184" s="60" t="s">
        <v>180</v>
      </c>
    </row>
    <row r="185" spans="2:10">
      <c r="B185" s="126"/>
      <c r="C185" s="185" t="s">
        <v>181</v>
      </c>
      <c r="E185" s="186">
        <f>D171*(E157/E158)*E176</f>
        <v>0.6172727272727272</v>
      </c>
      <c r="G185" s="60" t="s">
        <v>182</v>
      </c>
      <c r="H185" s="184"/>
    </row>
    <row r="186" spans="2:10">
      <c r="B186" s="126"/>
      <c r="C186" s="185" t="s">
        <v>173</v>
      </c>
      <c r="E186" s="186">
        <f>E185*D219</f>
        <v>2262.7787307032586</v>
      </c>
      <c r="G186" s="60" t="s">
        <v>183</v>
      </c>
      <c r="H186" s="184"/>
    </row>
    <row r="187" spans="2:10">
      <c r="B187" s="126"/>
      <c r="C187" s="185" t="s">
        <v>99</v>
      </c>
      <c r="E187" s="60">
        <v>8000</v>
      </c>
      <c r="G187" s="60" t="s">
        <v>174</v>
      </c>
      <c r="H187" s="184"/>
      <c r="I187" s="125"/>
    </row>
    <row r="188" spans="2:10">
      <c r="B188" s="126"/>
      <c r="C188" s="185" t="s">
        <v>184</v>
      </c>
      <c r="E188" s="60">
        <v>1</v>
      </c>
      <c r="H188" s="184"/>
    </row>
    <row r="189" spans="2:10">
      <c r="B189" s="126"/>
      <c r="C189" s="185" t="s">
        <v>186</v>
      </c>
      <c r="E189" s="186">
        <f>E186/E187*1000*E188</f>
        <v>282.84734133790732</v>
      </c>
      <c r="G189" s="60" t="s">
        <v>92</v>
      </c>
      <c r="H189" s="184"/>
    </row>
    <row r="190" spans="2:10">
      <c r="B190" s="126"/>
      <c r="C190" s="185" t="s">
        <v>96</v>
      </c>
      <c r="E190" s="186">
        <f>E182*E189/1000</f>
        <v>367.70154373927949</v>
      </c>
      <c r="G190" s="60" t="s">
        <v>93</v>
      </c>
      <c r="H190" s="184"/>
    </row>
    <row r="191" spans="2:10">
      <c r="B191" s="126"/>
      <c r="C191" s="185" t="s">
        <v>100</v>
      </c>
      <c r="E191" s="60">
        <f>$AS$86</f>
        <v>0</v>
      </c>
      <c r="H191" s="184"/>
    </row>
    <row r="192" spans="2:10">
      <c r="B192" s="126"/>
      <c r="C192" s="185"/>
      <c r="H192" s="184"/>
    </row>
    <row r="193" spans="2:8">
      <c r="B193" s="126"/>
      <c r="C193" s="189" t="s">
        <v>185</v>
      </c>
      <c r="D193" s="65"/>
      <c r="E193" s="65">
        <v>3</v>
      </c>
      <c r="F193" s="65"/>
      <c r="G193" s="65" t="s">
        <v>49</v>
      </c>
      <c r="H193" s="188"/>
    </row>
    <row r="194" spans="2:8">
      <c r="B194" s="126"/>
    </row>
    <row r="195" spans="2:8" ht="21">
      <c r="B195" s="126"/>
      <c r="C195" s="190" t="s">
        <v>187</v>
      </c>
    </row>
    <row r="196" spans="2:8">
      <c r="B196" s="126"/>
    </row>
    <row r="197" spans="2:8">
      <c r="B197" s="126"/>
      <c r="C197" s="60" t="s">
        <v>188</v>
      </c>
    </row>
    <row r="198" spans="2:8">
      <c r="B198" s="126"/>
    </row>
    <row r="199" spans="2:8">
      <c r="B199" s="126"/>
      <c r="C199" s="60" t="s">
        <v>189</v>
      </c>
      <c r="D199" s="60" t="s">
        <v>190</v>
      </c>
      <c r="E199" s="60" t="s">
        <v>191</v>
      </c>
    </row>
    <row r="200" spans="2:8">
      <c r="B200" s="126"/>
      <c r="D200" s="60" t="s">
        <v>192</v>
      </c>
      <c r="E200" s="60" t="s">
        <v>193</v>
      </c>
    </row>
    <row r="201" spans="2:8">
      <c r="B201" s="126"/>
      <c r="D201" s="60" t="s">
        <v>194</v>
      </c>
      <c r="E201" s="60" t="s">
        <v>195</v>
      </c>
      <c r="G201" s="60" t="s">
        <v>196</v>
      </c>
    </row>
    <row r="202" spans="2:8">
      <c r="B202" s="126"/>
    </row>
    <row r="203" spans="2:8">
      <c r="B203" s="126"/>
      <c r="C203" s="60" t="s">
        <v>197</v>
      </c>
    </row>
    <row r="204" spans="2:8">
      <c r="B204" s="126"/>
    </row>
    <row r="205" spans="2:8">
      <c r="B205" s="126"/>
    </row>
    <row r="206" spans="2:8">
      <c r="B206" s="126"/>
      <c r="C206" s="60" t="s">
        <v>198</v>
      </c>
    </row>
    <row r="207" spans="2:8">
      <c r="B207" s="126"/>
    </row>
    <row r="208" spans="2:8">
      <c r="B208" s="126"/>
      <c r="D208" s="60">
        <f>E175*100</f>
        <v>70</v>
      </c>
      <c r="E208" s="60" t="s">
        <v>49</v>
      </c>
      <c r="F208" s="60" t="s">
        <v>199</v>
      </c>
    </row>
    <row r="209" spans="2:16">
      <c r="B209" s="126"/>
      <c r="D209" s="60">
        <f>0.0032/(D208/100)</f>
        <v>4.5714285714285718E-3</v>
      </c>
      <c r="E209" s="60" t="s">
        <v>200</v>
      </c>
    </row>
    <row r="210" spans="2:16">
      <c r="B210" s="126"/>
    </row>
    <row r="211" spans="2:16">
      <c r="B211" s="126"/>
      <c r="D211" s="186">
        <v>1</v>
      </c>
      <c r="E211" s="60" t="s">
        <v>201</v>
      </c>
    </row>
    <row r="212" spans="2:16">
      <c r="B212" s="126"/>
      <c r="D212" s="186">
        <f>D211/44</f>
        <v>2.2727272727272728E-2</v>
      </c>
      <c r="E212" s="60" t="s">
        <v>202</v>
      </c>
    </row>
    <row r="213" spans="2:16">
      <c r="B213" s="126"/>
      <c r="D213" s="186">
        <f>D212*28</f>
        <v>0.63636363636363635</v>
      </c>
      <c r="E213" s="60" t="s">
        <v>201</v>
      </c>
    </row>
    <row r="214" spans="2:16">
      <c r="B214" s="126"/>
      <c r="D214" s="186">
        <f>0.636/D213</f>
        <v>0.99942857142857144</v>
      </c>
    </row>
    <row r="215" spans="2:16">
      <c r="B215" s="126"/>
      <c r="D215" s="186"/>
    </row>
    <row r="216" spans="2:16">
      <c r="B216" s="126"/>
      <c r="C216" s="60" t="s">
        <v>203</v>
      </c>
      <c r="D216" s="186"/>
    </row>
    <row r="217" spans="2:16">
      <c r="B217" s="126"/>
      <c r="D217" s="186">
        <v>510</v>
      </c>
      <c r="E217" s="60" t="s">
        <v>204</v>
      </c>
      <c r="P217" s="60" t="s">
        <v>205</v>
      </c>
    </row>
    <row r="218" spans="2:16">
      <c r="B218" s="126"/>
      <c r="D218" s="186">
        <f>D209*D217*1000</f>
        <v>2331.4285714285716</v>
      </c>
      <c r="E218" s="60" t="s">
        <v>206</v>
      </c>
    </row>
    <row r="219" spans="2:16">
      <c r="B219" s="126"/>
      <c r="D219" s="191">
        <f>D218*1000/636</f>
        <v>3665.7681940700809</v>
      </c>
      <c r="E219" s="60" t="s">
        <v>207</v>
      </c>
    </row>
    <row r="220" spans="2:16">
      <c r="B220" s="126"/>
      <c r="D220" s="186">
        <f>D219/(E157/E158)</f>
        <v>5760.4928763958414</v>
      </c>
      <c r="E220" s="60" t="s">
        <v>144</v>
      </c>
    </row>
    <row r="221" spans="2:16">
      <c r="B221" s="126"/>
    </row>
    <row r="222" spans="2:16">
      <c r="B222" s="126"/>
    </row>
    <row r="223" spans="2:16">
      <c r="B223" s="126"/>
    </row>
    <row r="224" spans="2:16">
      <c r="B224" s="126"/>
    </row>
    <row r="225" spans="1:2">
      <c r="B225" s="126"/>
    </row>
    <row r="226" spans="1:2">
      <c r="B226" s="126"/>
    </row>
    <row r="227" spans="1:2">
      <c r="B227" s="126"/>
    </row>
    <row r="228" spans="1:2">
      <c r="A228" s="125"/>
      <c r="B228" s="126"/>
    </row>
    <row r="229" spans="1:2">
      <c r="A229" s="125"/>
      <c r="B229" s="126"/>
    </row>
    <row r="230" spans="1:2">
      <c r="A230" s="125"/>
      <c r="B230" s="126"/>
    </row>
    <row r="231" spans="1:2">
      <c r="A231" s="125"/>
      <c r="B231" s="126"/>
    </row>
    <row r="232" spans="1:2">
      <c r="A232" s="125"/>
      <c r="B232" s="126"/>
    </row>
    <row r="233" spans="1:2">
      <c r="A233" s="125"/>
      <c r="B233" s="126"/>
    </row>
    <row r="234" spans="1:2">
      <c r="A234" s="125"/>
      <c r="B234" s="126"/>
    </row>
    <row r="235" spans="1:2">
      <c r="A235" s="125"/>
      <c r="B235" s="126"/>
    </row>
    <row r="236" spans="1:2">
      <c r="A236" s="125"/>
      <c r="B236" s="126"/>
    </row>
    <row r="237" spans="1:2">
      <c r="A237" s="125"/>
      <c r="B237" s="126"/>
    </row>
    <row r="238" spans="1:2">
      <c r="A238" s="125"/>
      <c r="B238" s="126"/>
    </row>
    <row r="239" spans="1:2">
      <c r="A239" s="125"/>
      <c r="B239" s="126"/>
    </row>
    <row r="240" spans="1:2">
      <c r="A240" s="125"/>
      <c r="B240" s="126"/>
    </row>
    <row r="241" spans="1:1">
      <c r="A241" s="125"/>
    </row>
    <row r="242" spans="1:1">
      <c r="A242" s="125"/>
    </row>
    <row r="243" spans="1:1">
      <c r="A243" s="125"/>
    </row>
    <row r="244" spans="1:1">
      <c r="A244" s="125"/>
    </row>
    <row r="245" spans="1:1">
      <c r="A245" s="125"/>
    </row>
    <row r="246" spans="1:1">
      <c r="A246" s="125"/>
    </row>
    <row r="247" spans="1:1">
      <c r="A247" s="125"/>
    </row>
    <row r="248" spans="1:1">
      <c r="A248" s="125"/>
    </row>
    <row r="249" spans="1:1">
      <c r="A249" s="125"/>
    </row>
    <row r="250" spans="1:1">
      <c r="A250" s="125"/>
    </row>
    <row r="251" spans="1:1">
      <c r="A251" s="125"/>
    </row>
    <row r="252" spans="1:1">
      <c r="A252" s="125"/>
    </row>
    <row r="253" spans="1:1">
      <c r="A253" s="125"/>
    </row>
    <row r="254" spans="1:1">
      <c r="A254" s="125"/>
    </row>
    <row r="255" spans="1:1">
      <c r="A255" s="125"/>
    </row>
    <row r="256" spans="1:1">
      <c r="A256" s="125"/>
    </row>
    <row r="257" spans="1:1">
      <c r="A257" s="125"/>
    </row>
    <row r="258" spans="1:1">
      <c r="A258" s="125"/>
    </row>
    <row r="259" spans="1:1">
      <c r="A259" s="125"/>
    </row>
    <row r="260" spans="1:1">
      <c r="A260" s="125"/>
    </row>
    <row r="261" spans="1:1">
      <c r="A261" s="125"/>
    </row>
    <row r="262" spans="1:1">
      <c r="A262" s="125"/>
    </row>
    <row r="263" spans="1:1">
      <c r="A263" s="125"/>
    </row>
    <row r="264" spans="1:1">
      <c r="A264" s="125"/>
    </row>
    <row r="265" spans="1:1">
      <c r="A265" s="125"/>
    </row>
    <row r="266" spans="1:1">
      <c r="A266" s="125"/>
    </row>
    <row r="267" spans="1:1">
      <c r="A267" s="125"/>
    </row>
    <row r="268" spans="1:1">
      <c r="A268" s="125"/>
    </row>
    <row r="269" spans="1:1">
      <c r="A269" s="125"/>
    </row>
    <row r="270" spans="1:1">
      <c r="A270" s="125"/>
    </row>
    <row r="271" spans="1:1">
      <c r="A271" s="125"/>
    </row>
    <row r="272" spans="1:1">
      <c r="A272" s="125"/>
    </row>
    <row r="273" spans="1:1">
      <c r="A273" s="125"/>
    </row>
    <row r="274" spans="1:1">
      <c r="A274" s="125"/>
    </row>
    <row r="275" spans="1:1">
      <c r="A275" s="125"/>
    </row>
    <row r="276" spans="1:1">
      <c r="A276" s="125"/>
    </row>
    <row r="277" spans="1:1">
      <c r="A277" s="125"/>
    </row>
    <row r="278" spans="1:1">
      <c r="A278" s="125"/>
    </row>
    <row r="279" spans="1:1">
      <c r="A279" s="125"/>
    </row>
    <row r="280" spans="1:1">
      <c r="A280" s="125"/>
    </row>
    <row r="281" spans="1:1">
      <c r="A281" s="125"/>
    </row>
    <row r="282" spans="1:1">
      <c r="A282" s="125"/>
    </row>
    <row r="283" spans="1:1">
      <c r="A283" s="125"/>
    </row>
    <row r="284" spans="1:1">
      <c r="A284" s="125"/>
    </row>
    <row r="285" spans="1:1">
      <c r="A285" s="125"/>
    </row>
    <row r="286" spans="1:1">
      <c r="A286" s="125"/>
    </row>
    <row r="287" spans="1:1">
      <c r="A287" s="125"/>
    </row>
    <row r="288" spans="1:1">
      <c r="A288" s="125"/>
    </row>
    <row r="289" spans="1:1">
      <c r="A289" s="125"/>
    </row>
    <row r="290" spans="1:1">
      <c r="A290" s="125"/>
    </row>
    <row r="291" spans="1:1">
      <c r="A291" s="125"/>
    </row>
    <row r="292" spans="1:1">
      <c r="A292" s="125"/>
    </row>
    <row r="293" spans="1:1">
      <c r="A293" s="125"/>
    </row>
    <row r="294" spans="1:1">
      <c r="A294" s="125"/>
    </row>
  </sheetData>
  <pageMargins left="0.75" right="0.75" top="1" bottom="1" header="0.5" footer="0.5"/>
  <pageSetup paperSize="9" orientation="portrait" horizontalDpi="4294967292" verticalDpi="4294967292"/>
  <drawing r:id="rId1"/>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5</vt:i4>
      </vt:variant>
    </vt:vector>
  </HeadingPairs>
  <TitlesOfParts>
    <vt:vector size="5" baseType="lpstr">
      <vt:lpstr>Cover sheet</vt:lpstr>
      <vt:lpstr>Dashboard</vt:lpstr>
      <vt:lpstr>Research data</vt:lpstr>
      <vt:lpstr>Sources</vt:lpstr>
      <vt:lpstr>Notes</vt:lpstr>
    </vt:vector>
  </TitlesOfParts>
  <Company>Quintel Intelligence</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Nick Rothengatter</dc:creator>
  <cp:lastModifiedBy>Michiel den Haan</cp:lastModifiedBy>
  <cp:lastPrinted>2015-02-13T09:40:54Z</cp:lastPrinted>
  <dcterms:created xsi:type="dcterms:W3CDTF">2011-10-26T09:05:09Z</dcterms:created>
  <dcterms:modified xsi:type="dcterms:W3CDTF">2020-09-17T11:16:51Z</dcterms:modified>
</cp:coreProperties>
</file>