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molecules/molecules/"/>
    </mc:Choice>
  </mc:AlternateContent>
  <xr:revisionPtr revIDLastSave="0" documentId="13_ncr:1_{CD8737AB-1B4C-6442-9265-4F124914A354}" xr6:coauthVersionLast="45" xr6:coauthVersionMax="45" xr10:uidLastSave="{00000000-0000-0000-0000-000000000000}"/>
  <bookViews>
    <workbookView xWindow="0" yWindow="460" windowWidth="25600" windowHeight="2718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7" i="13" l="1"/>
  <c r="D14" i="20" l="1"/>
  <c r="E185" i="20" l="1"/>
  <c r="D58" i="20"/>
  <c r="D50" i="20"/>
  <c r="D7" i="20"/>
  <c r="D27" i="20"/>
  <c r="D22" i="20"/>
  <c r="D23" i="20" s="1"/>
  <c r="D6" i="20" s="1"/>
  <c r="D25" i="20"/>
  <c r="D59" i="20"/>
  <c r="E45" i="20"/>
  <c r="E47" i="20" s="1"/>
  <c r="E48" i="20" s="1"/>
  <c r="D43" i="20"/>
  <c r="D208" i="20"/>
  <c r="E105" i="20"/>
  <c r="E113" i="20"/>
  <c r="E184" i="20"/>
  <c r="D67" i="20" l="1"/>
  <c r="D55" i="20"/>
  <c r="D56" i="20" s="1"/>
  <c r="D57" i="20" s="1"/>
  <c r="D51" i="20" s="1"/>
  <c r="D53" i="20" s="1"/>
  <c r="D212" i="20"/>
  <c r="D213" i="20" s="1"/>
  <c r="D214" i="20" s="1"/>
  <c r="D209" i="20"/>
  <c r="D218" i="20" s="1"/>
  <c r="D219" i="20" s="1"/>
  <c r="D220" i="20" s="1"/>
  <c r="E177" i="20" s="1"/>
  <c r="E191" i="20"/>
  <c r="E183" i="20"/>
  <c r="E179" i="20"/>
  <c r="E162" i="20"/>
  <c r="E159" i="20"/>
  <c r="D65" i="20" l="1"/>
  <c r="D66" i="20" s="1"/>
  <c r="D13" i="20" s="1"/>
  <c r="D68" i="20"/>
  <c r="D8" i="20"/>
  <c r="D9" i="20"/>
  <c r="E182" i="20"/>
  <c r="E186" i="20"/>
  <c r="E189" i="20" s="1"/>
  <c r="E143" i="20"/>
  <c r="E144" i="20" s="1"/>
  <c r="D15" i="20" l="1"/>
  <c r="F14" i="20" s="1"/>
  <c r="E190" i="20"/>
  <c r="H127" i="20"/>
  <c r="F13" i="20" l="1"/>
  <c r="E137" i="20"/>
  <c r="E138" i="20" s="1"/>
  <c r="E139" i="20" s="1"/>
  <c r="E140" i="20" s="1"/>
  <c r="H128" i="20"/>
  <c r="E81" i="20"/>
  <c r="E114" i="20"/>
  <c r="E122" i="20"/>
  <c r="E84" i="20"/>
  <c r="E145" i="20" l="1"/>
  <c r="E146" i="20" s="1"/>
  <c r="E147" i="20" s="1"/>
  <c r="E148" i="20" s="1"/>
  <c r="E106" i="20"/>
  <c r="E109" i="20" l="1"/>
  <c r="E110" i="20" s="1"/>
  <c r="E118" i="20" l="1"/>
  <c r="E119" i="20" s="1"/>
  <c r="E117" i="20"/>
  <c r="E121" i="20" l="1"/>
  <c r="E124" i="20"/>
  <c r="E101" i="20" s="1"/>
  <c r="H7" i="13"/>
  <c r="E12" i="12" s="1"/>
  <c r="E100" i="20" l="1"/>
  <c r="E127" i="20"/>
  <c r="E99" i="20"/>
  <c r="E102" i="20"/>
  <c r="E103" i="20" s="1"/>
  <c r="E98" i="20"/>
  <c r="D11" i="20" l="1"/>
  <c r="J127" i="20"/>
  <c r="E128" i="20"/>
  <c r="J128" i="20" l="1"/>
  <c r="E130" i="20"/>
  <c r="E132" i="20" s="1"/>
  <c r="E133" i="20" s="1"/>
  <c r="E134" i="20" s="1"/>
  <c r="I134" i="20" l="1"/>
  <c r="I140" i="20" s="1"/>
</calcChain>
</file>

<file path=xl/sharedStrings.xml><?xml version="1.0" encoding="utf-8"?>
<sst xmlns="http://schemas.openxmlformats.org/spreadsheetml/2006/main" count="369" uniqueCount="247">
  <si>
    <t>Source</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</si>
  <si>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</si>
  <si>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</si>
  <si>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</si>
  <si>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</si>
  <si>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</si>
  <si>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</si>
  <si>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</si>
  <si>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</si>
  <si>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</si>
  <si>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</si>
  <si>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</si>
  <si>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</si>
  <si>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</si>
  <si>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</si>
  <si>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</si>
  <si>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</si>
  <si>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</si>
  <si>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</si>
  <si>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</si>
  <si>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</si>
  <si>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</si>
  <si>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</si>
  <si>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</si>
  <si>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</si>
  <si>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</si>
  <si>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</si>
  <si>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</si>
  <si>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</si>
  <si>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</si>
  <si>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</si>
  <si>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</si>
  <si>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</si>
  <si>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</si>
  <si>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</si>
  <si>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</si>
  <si>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ETM Library URL</t>
  </si>
  <si>
    <t>Values</t>
  </si>
  <si>
    <t>Page</t>
  </si>
  <si>
    <t>%</t>
  </si>
  <si>
    <t>full_load_hours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</si>
  <si>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</si>
  <si>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</si>
  <si>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input.electricity</t>
  </si>
  <si>
    <t>output.loss</t>
  </si>
  <si>
    <t>MWe</t>
  </si>
  <si>
    <t>energy density CO</t>
  </si>
  <si>
    <t>MJ/kg</t>
  </si>
  <si>
    <t>hr/yr</t>
  </si>
  <si>
    <t>yr</t>
  </si>
  <si>
    <t>Constants</t>
  </si>
  <si>
    <t>Molar masses</t>
  </si>
  <si>
    <t>H2</t>
  </si>
  <si>
    <t>g/mol</t>
  </si>
  <si>
    <t>CO</t>
  </si>
  <si>
    <t>CO2</t>
  </si>
  <si>
    <t>C11H24</t>
  </si>
  <si>
    <t>O2</t>
  </si>
  <si>
    <t>CH3OH</t>
  </si>
  <si>
    <t>C2H5OH</t>
  </si>
  <si>
    <t>kg/l</t>
  </si>
  <si>
    <t>Mwe</t>
  </si>
  <si>
    <t>M€</t>
  </si>
  <si>
    <t>€</t>
  </si>
  <si>
    <t>Subject</t>
  </si>
  <si>
    <t>Investment</t>
  </si>
  <si>
    <t>Lifetime</t>
  </si>
  <si>
    <t>yrs</t>
  </si>
  <si>
    <t>FLH</t>
  </si>
  <si>
    <t>Interest</t>
  </si>
  <si>
    <t>INPUT/OUTPUT SHARES</t>
  </si>
  <si>
    <t>€/year</t>
  </si>
  <si>
    <t>% capex</t>
  </si>
  <si>
    <t>Density kerosene</t>
  </si>
  <si>
    <t>interest</t>
  </si>
  <si>
    <t>input.co</t>
  </si>
  <si>
    <t>input.hydrogen</t>
  </si>
  <si>
    <t>output.kerosene</t>
  </si>
  <si>
    <t>output.diesel</t>
  </si>
  <si>
    <t>energy density H2</t>
  </si>
  <si>
    <t>energy density kerosene</t>
  </si>
  <si>
    <t>Produce</t>
  </si>
  <si>
    <t>Mt CO</t>
  </si>
  <si>
    <t>Mt kerosene</t>
  </si>
  <si>
    <t>Production</t>
  </si>
  <si>
    <t>Mt/day</t>
  </si>
  <si>
    <t>Mbbl/day</t>
  </si>
  <si>
    <t>For 50k bbl FT products/day</t>
  </si>
  <si>
    <t>NETL</t>
  </si>
  <si>
    <t>Power</t>
  </si>
  <si>
    <t>FT 32.2 MW</t>
  </si>
  <si>
    <t>B$</t>
  </si>
  <si>
    <t>NETL (w/o syngas prod.)</t>
  </si>
  <si>
    <t>Here, scaled</t>
  </si>
  <si>
    <t>Mwe here (scaled)</t>
  </si>
  <si>
    <t>Electricity consumption</t>
  </si>
  <si>
    <t>TWh</t>
  </si>
  <si>
    <t>Shares (partially) and cost estimate</t>
  </si>
  <si>
    <t>Costs, electricity requirements</t>
  </si>
  <si>
    <t>Investment, O&amp;M</t>
  </si>
  <si>
    <t xml:space="preserve">Power-to-Liquids Potentials and Perspectives for the Future Supply of Renewable Aviation Fuel.  </t>
  </si>
  <si>
    <t>DE</t>
  </si>
  <si>
    <t>Umwelt Bundesamt</t>
  </si>
  <si>
    <t xml:space="preserve"> Analysis of Natural Gas-to Liquid Transportation Fuels via Fischer-Tropsch</t>
  </si>
  <si>
    <t xml:space="preserve">NETL </t>
  </si>
  <si>
    <t>Gas to Liquids. Historical Developments and Future Prospects</t>
  </si>
  <si>
    <t>UK</t>
  </si>
  <si>
    <t xml:space="preserve">Oxford Energy Institute </t>
  </si>
  <si>
    <t>TWh/Mt CO</t>
  </si>
  <si>
    <t>TWh/Mt CO2</t>
  </si>
  <si>
    <t>Mt CO2</t>
  </si>
  <si>
    <t>kWh/t CO2</t>
  </si>
  <si>
    <t>Fischer Tropsch</t>
  </si>
  <si>
    <t>CO2 -&gt; CO PEM</t>
  </si>
  <si>
    <t>Totaal</t>
  </si>
  <si>
    <t>MJ/t CO2</t>
  </si>
  <si>
    <t>MJ/kg CO2</t>
  </si>
  <si>
    <t>ELEKTRICITEITSVRAAG</t>
  </si>
  <si>
    <t>WATERSTOFVRAAG</t>
  </si>
  <si>
    <t>-&gt;</t>
  </si>
  <si>
    <t>H20</t>
  </si>
  <si>
    <t>Mt H2 / Mt CO2</t>
  </si>
  <si>
    <t>Mt H2 / Mt CO</t>
  </si>
  <si>
    <t>kg H2 / kg CO2</t>
  </si>
  <si>
    <t>MJ H2 /kg CO2</t>
  </si>
  <si>
    <t>kg CO2 / MJ kerosine</t>
  </si>
  <si>
    <t>kg/MJ kerosine</t>
  </si>
  <si>
    <t>g/MJ kerosine</t>
  </si>
  <si>
    <t>mol/MJ kerosine</t>
  </si>
  <si>
    <t>mol CO2/MJ kerosine</t>
  </si>
  <si>
    <t>g CO2 / MJ kerosine</t>
  </si>
  <si>
    <t>PARAMETERS FOR PROCESS STEPS</t>
  </si>
  <si>
    <t>to</t>
  </si>
  <si>
    <t>CO2 Electrolysis (PEM)</t>
  </si>
  <si>
    <t>Overall lifetime</t>
  </si>
  <si>
    <t>Concentrated CO2</t>
  </si>
  <si>
    <t>Mt CO2/yr</t>
  </si>
  <si>
    <t>Efficiency</t>
  </si>
  <si>
    <t>Opus 12</t>
  </si>
  <si>
    <t>Yield</t>
  </si>
  <si>
    <t>Electricity req</t>
  </si>
  <si>
    <t>hrs</t>
  </si>
  <si>
    <t>Lifetime stack</t>
  </si>
  <si>
    <t>Lifetime rest</t>
  </si>
  <si>
    <t>Fraction for stack</t>
  </si>
  <si>
    <t>Overall cost</t>
  </si>
  <si>
    <t>€/kW</t>
  </si>
  <si>
    <t>euro/kW</t>
  </si>
  <si>
    <t>CO prod</t>
  </si>
  <si>
    <t>Mt/y</t>
  </si>
  <si>
    <t>GWh</t>
  </si>
  <si>
    <t>Peak factor</t>
  </si>
  <si>
    <t>O&amp;M</t>
  </si>
  <si>
    <t>Size</t>
  </si>
  <si>
    <t>PEM CO2</t>
  </si>
  <si>
    <t>Opus 12 uses PEM technology with a different catalyst layer at the cathode to convert CO2</t>
  </si>
  <si>
    <t>Reactions</t>
  </si>
  <si>
    <t>Anode</t>
  </si>
  <si>
    <t>2H2O -&gt; O2 + 4H+ + 4e-</t>
  </si>
  <si>
    <t>Cathode</t>
  </si>
  <si>
    <t>2CO2  + 4H+ +4e- -&gt; 2CO + 2H2O</t>
  </si>
  <si>
    <t>Net</t>
  </si>
  <si>
    <t>2CO2 -&gt; 2CO + O2</t>
  </si>
  <si>
    <t>reverse combustion'</t>
  </si>
  <si>
    <t>Can synthesize more complicated compounds this way</t>
  </si>
  <si>
    <t xml:space="preserve">Energy efficiency is </t>
  </si>
  <si>
    <t>55% currently, up to 75%</t>
  </si>
  <si>
    <t>kWh/L CO</t>
  </si>
  <si>
    <t>t CO2</t>
  </si>
  <si>
    <t>mol CO2</t>
  </si>
  <si>
    <t>Energy requirement is</t>
  </si>
  <si>
    <t>kL</t>
  </si>
  <si>
    <t>https://closingthecarboncycle.files.wordpress.com/2016/10/20160929-opus-12-closing-the-carbon-cycle.pdf</t>
  </si>
  <si>
    <t>kWh/ 510 kL</t>
  </si>
  <si>
    <t>kWh/t CO</t>
  </si>
  <si>
    <t>PEM-CO2&gt;CO</t>
  </si>
  <si>
    <t xml:space="preserve">Opus 12 </t>
  </si>
  <si>
    <t>Opportunities &amp; challenges in electrochemical CO2 utilization using a PEM electrolyzer</t>
  </si>
  <si>
    <t>Costs (except catalyst cost)</t>
  </si>
  <si>
    <t xml:space="preserve">ITM Power </t>
  </si>
  <si>
    <t>Scaling Electrolysis to 100 MW</t>
  </si>
  <si>
    <t>Investment costs</t>
  </si>
  <si>
    <t>Fuel cells and hydrogen joint undertaking</t>
  </si>
  <si>
    <t>EU</t>
  </si>
  <si>
    <t>http://refman.et-model.com/publications/2020</t>
  </si>
  <si>
    <t>http://www.fch.europa.eu/sites/default/files/study%20electrolyser_0-Logos_0.pdf</t>
  </si>
  <si>
    <t>Aalborg University</t>
  </si>
  <si>
    <t>DK</t>
  </si>
  <si>
    <t>http://refman.et-model.com/publications/2025</t>
  </si>
  <si>
    <t>http://vbn.aau.dk/files/80222058/Technology_data_for_SOEC_alkali_and_PEM_electrolysers.pdf</t>
  </si>
  <si>
    <t>PEM CO2 -&gt; CO</t>
  </si>
  <si>
    <t>CHEMICAL REACTION</t>
  </si>
  <si>
    <t>PEM</t>
  </si>
  <si>
    <t>Investment Fischer-Tropsch</t>
  </si>
  <si>
    <t>Opex Fischer Tropsch</t>
  </si>
  <si>
    <t>Fischer-Tropsch</t>
  </si>
  <si>
    <t>Capacity</t>
  </si>
  <si>
    <t>PJ</t>
  </si>
  <si>
    <t>Range</t>
  </si>
  <si>
    <t>0.17 - 570</t>
  </si>
  <si>
    <t>13-37</t>
  </si>
  <si>
    <t>OPEX</t>
  </si>
  <si>
    <t>mln euro/PJ</t>
  </si>
  <si>
    <t>0.65-1.85</t>
  </si>
  <si>
    <t>INPUT</t>
  </si>
  <si>
    <t>electricity</t>
  </si>
  <si>
    <t>hydrogen</t>
  </si>
  <si>
    <t>OUTPUT</t>
  </si>
  <si>
    <t>kerosene</t>
  </si>
  <si>
    <t>diesel</t>
  </si>
  <si>
    <t>other oil</t>
  </si>
  <si>
    <t>Total</t>
  </si>
  <si>
    <t>share</t>
  </si>
  <si>
    <t>Full load hours</t>
  </si>
  <si>
    <t>Capacity utilization factor</t>
  </si>
  <si>
    <t>Technical lifetime</t>
  </si>
  <si>
    <t xml:space="preserve">Progress ration </t>
  </si>
  <si>
    <t>MW</t>
  </si>
  <si>
    <t xml:space="preserve">Investment </t>
  </si>
  <si>
    <t>Hoeveel CO nodig voor 10 PJ olieproducten?</t>
  </si>
  <si>
    <t>PJ/year</t>
  </si>
  <si>
    <t>Capacity PEM</t>
  </si>
  <si>
    <t>MWh/year</t>
  </si>
  <si>
    <t>PEM electrolysis + Fischer-Tropsch</t>
  </si>
  <si>
    <t>hours</t>
  </si>
  <si>
    <t>The carbon conversion efficiency to fuels is 88%, the remaining 12% is converted into fuel that is not a FT fuel output (e.g. ethane/methane) and is used as purge gas and burned with air/oxygen to produce CO2 in a flue gas.</t>
  </si>
  <si>
    <t>kg/year</t>
  </si>
  <si>
    <t>ton/year</t>
  </si>
  <si>
    <t>electricty</t>
  </si>
  <si>
    <t>kWh</t>
  </si>
  <si>
    <t>kg/ton</t>
  </si>
  <si>
    <t>ton CO/ton CO2</t>
  </si>
  <si>
    <t>Mton/year</t>
  </si>
  <si>
    <t>total</t>
  </si>
  <si>
    <t>https://energy.nl/wp-content/uploads/2019/12/Technology-Factsheets-FT-fuel-production.pdf</t>
  </si>
  <si>
    <t>All specs</t>
  </si>
  <si>
    <t>Fischer-Tropsch fuel production</t>
  </si>
  <si>
    <t>NL</t>
  </si>
  <si>
    <t>TNO - Energy.nl</t>
  </si>
  <si>
    <t>TNO + other</t>
  </si>
  <si>
    <t>kg CO2/ MJ kerosene</t>
  </si>
  <si>
    <t xml:space="preserve">Totale input PEM en Fischer - Tropsch </t>
  </si>
  <si>
    <t>Source: Energy.nl</t>
  </si>
  <si>
    <t>A</t>
  </si>
  <si>
    <t>from_energy.conversion</t>
  </si>
  <si>
    <t>kg CO2/MJ</t>
  </si>
  <si>
    <t>molecules_production_synthetic_kerosene_co2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</si>
</sst>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
    <numFmt numFmtId="168" formatCode="[$-413]mmm\-yy;@"/>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2"/>
      <color rgb="FFFF0000"/>
      <name val="Calibri"/>
      <family val="2"/>
      <scheme val="minor"/>
    </font>
    <font>
      <b/>
      <sz val="16"/>
      <color theme="0"/>
      <name val="Calibri"/>
      <family val="2"/>
      <scheme val="minor"/>
    </font>
    <font>
      <b/>
      <sz val="16"/>
      <name val="Calibri"/>
      <family val="2"/>
      <scheme val="minor"/>
    </font>
    <font>
      <b/>
      <sz val="14"/>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
      <patternFill patternType="solid">
        <fgColor theme="1"/>
        <bgColor indexed="64"/>
      </patternFill>
    </fill>
    <fill>
      <patternFill patternType="solid">
        <fgColor theme="2" tint="-0.499984740745262"/>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top style="thin">
        <color indexed="64"/>
      </top>
      <bottom/>
      <diagonal/>
    </border>
  </borders>
  <cellStyleXfs count="49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7"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70">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5" xfId="0" applyFont="1" applyFill="1" applyBorder="1"/>
    <xf numFmtId="0" fontId="17" fillId="2" borderId="9" xfId="0" applyFont="1" applyFill="1" applyBorder="1"/>
    <xf numFmtId="0" fontId="17" fillId="0" borderId="9" xfId="0" applyFont="1" applyFill="1" applyBorder="1"/>
    <xf numFmtId="0" fontId="19" fillId="0" borderId="9" xfId="0" applyFont="1" applyFill="1" applyBorder="1"/>
    <xf numFmtId="49" fontId="17" fillId="2" borderId="0" xfId="0" applyNumberFormat="1" applyFont="1" applyFill="1" applyBorder="1"/>
    <xf numFmtId="49" fontId="17" fillId="2" borderId="9" xfId="0" applyNumberFormat="1" applyFont="1" applyFill="1" applyBorder="1"/>
    <xf numFmtId="0" fontId="17" fillId="2" borderId="4" xfId="0" applyFont="1" applyFill="1" applyBorder="1"/>
    <xf numFmtId="0" fontId="14" fillId="2" borderId="0" xfId="0" applyFont="1" applyFill="1" applyBorder="1"/>
    <xf numFmtId="0" fontId="17" fillId="0" borderId="16"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1" fillId="0" borderId="0" xfId="0" applyFont="1" applyFill="1"/>
    <xf numFmtId="0" fontId="10" fillId="2" borderId="0"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49" fontId="10" fillId="2" borderId="0" xfId="0" applyNumberFormat="1" applyFont="1" applyFill="1"/>
    <xf numFmtId="49" fontId="10" fillId="2" borderId="4" xfId="0" applyNumberFormat="1" applyFont="1" applyFill="1" applyBorder="1"/>
    <xf numFmtId="49" fontId="10" fillId="2" borderId="0" xfId="0" applyNumberFormat="1" applyFont="1" applyFill="1" applyBorder="1"/>
    <xf numFmtId="0" fontId="10" fillId="2" borderId="16"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15" xfId="0" applyFont="1" applyFill="1" applyBorder="1"/>
    <xf numFmtId="0" fontId="23" fillId="2" borderId="0" xfId="0" applyFont="1" applyFill="1"/>
    <xf numFmtId="0" fontId="22" fillId="2" borderId="9" xfId="0" applyFont="1" applyFill="1" applyBorder="1"/>
    <xf numFmtId="0" fontId="22" fillId="2" borderId="6" xfId="0" applyFont="1" applyFill="1" applyBorder="1"/>
    <xf numFmtId="0" fontId="22" fillId="2" borderId="0" xfId="0" applyFont="1" applyFill="1" applyBorder="1"/>
    <xf numFmtId="0" fontId="23" fillId="2" borderId="9" xfId="0" applyFont="1" applyFill="1" applyBorder="1"/>
    <xf numFmtId="0" fontId="17" fillId="2" borderId="17" xfId="0" applyFont="1" applyFill="1" applyBorder="1"/>
    <xf numFmtId="0" fontId="9" fillId="2" borderId="2" xfId="0" applyFont="1" applyFill="1" applyBorder="1"/>
    <xf numFmtId="0" fontId="17"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7" fillId="2" borderId="9"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0" fontId="17" fillId="2" borderId="19" xfId="0" applyFont="1" applyFill="1" applyBorder="1"/>
    <xf numFmtId="0" fontId="23" fillId="2" borderId="16" xfId="0" applyFont="1" applyFill="1" applyBorder="1"/>
    <xf numFmtId="0" fontId="22" fillId="2" borderId="19" xfId="0" applyFont="1" applyFill="1" applyBorder="1"/>
    <xf numFmtId="0" fontId="8" fillId="0" borderId="0" xfId="0" applyFont="1" applyFill="1" applyBorder="1"/>
    <xf numFmtId="0" fontId="8" fillId="2" borderId="0" xfId="0" applyFont="1" applyFill="1"/>
    <xf numFmtId="0" fontId="8" fillId="2" borderId="10" xfId="0" applyFont="1" applyFill="1" applyBorder="1"/>
    <xf numFmtId="0" fontId="8" fillId="2" borderId="11" xfId="0" applyFont="1" applyFill="1" applyBorder="1"/>
    <xf numFmtId="0" fontId="8" fillId="2" borderId="12" xfId="0" applyFont="1" applyFill="1" applyBorder="1"/>
    <xf numFmtId="1" fontId="22" fillId="2" borderId="0" xfId="0" applyNumberFormat="1" applyFont="1" applyFill="1"/>
    <xf numFmtId="0" fontId="28" fillId="12" borderId="0" xfId="0" applyFont="1" applyFill="1"/>
    <xf numFmtId="0" fontId="28" fillId="12" borderId="6" xfId="0" applyFont="1" applyFill="1" applyBorder="1"/>
    <xf numFmtId="0" fontId="17" fillId="13" borderId="0" xfId="0" applyFont="1" applyFill="1" applyBorder="1"/>
    <xf numFmtId="0" fontId="7" fillId="0" borderId="0" xfId="0" applyFont="1" applyFill="1" applyBorder="1" applyAlignment="1">
      <alignment vertical="center"/>
    </xf>
    <xf numFmtId="0" fontId="18" fillId="0" borderId="0" xfId="0" applyFont="1" applyFill="1" applyBorder="1" applyAlignment="1">
      <alignment vertical="center"/>
    </xf>
    <xf numFmtId="0" fontId="7" fillId="2" borderId="18" xfId="0" applyFont="1" applyFill="1" applyBorder="1" applyAlignment="1">
      <alignment vertical="center"/>
    </xf>
    <xf numFmtId="0" fontId="29" fillId="2" borderId="0" xfId="0" applyFont="1" applyFill="1" applyAlignment="1">
      <alignment vertical="center"/>
    </xf>
    <xf numFmtId="0" fontId="17" fillId="2" borderId="6" xfId="0" applyFont="1" applyFill="1" applyBorder="1" applyAlignment="1">
      <alignment vertical="center"/>
    </xf>
    <xf numFmtId="2" fontId="7" fillId="2" borderId="18" xfId="0" applyNumberFormat="1" applyFont="1" applyFill="1" applyBorder="1" applyAlignment="1">
      <alignment vertical="center"/>
    </xf>
    <xf numFmtId="0" fontId="17" fillId="0" borderId="0" xfId="0" applyFont="1" applyFill="1" applyBorder="1" applyAlignment="1">
      <alignment vertical="center"/>
    </xf>
    <xf numFmtId="0" fontId="29" fillId="2" borderId="5" xfId="0" applyFont="1" applyFill="1" applyBorder="1" applyAlignment="1">
      <alignment vertical="center"/>
    </xf>
    <xf numFmtId="0" fontId="23" fillId="2" borderId="6" xfId="0" applyFont="1" applyFill="1" applyBorder="1"/>
    <xf numFmtId="0" fontId="23" fillId="2" borderId="0" xfId="0" applyFont="1" applyFill="1" applyBorder="1"/>
    <xf numFmtId="2" fontId="17" fillId="13" borderId="0" xfId="0" applyNumberFormat="1" applyFont="1" applyFill="1" applyBorder="1"/>
    <xf numFmtId="0" fontId="0" fillId="13" borderId="0" xfId="0" applyFill="1" applyBorder="1"/>
    <xf numFmtId="2" fontId="22" fillId="2" borderId="0" xfId="0" applyNumberFormat="1" applyFont="1" applyFill="1" applyBorder="1"/>
    <xf numFmtId="0" fontId="23" fillId="2" borderId="7" xfId="0" applyFont="1" applyFill="1" applyBorder="1"/>
    <xf numFmtId="2" fontId="23" fillId="2" borderId="0" xfId="0" applyNumberFormat="1" applyFont="1" applyFill="1" applyBorder="1"/>
    <xf numFmtId="0" fontId="6" fillId="0" borderId="0" xfId="0" applyFont="1" applyFill="1" applyBorder="1" applyAlignment="1">
      <alignment vertical="center"/>
    </xf>
    <xf numFmtId="0" fontId="6" fillId="0" borderId="0" xfId="0" applyFont="1" applyFill="1" applyBorder="1"/>
    <xf numFmtId="165" fontId="22" fillId="2" borderId="0" xfId="0" applyNumberFormat="1" applyFont="1" applyFill="1" applyBorder="1"/>
    <xf numFmtId="165" fontId="23" fillId="2" borderId="0" xfId="0" applyNumberFormat="1" applyFont="1" applyFill="1" applyBorder="1"/>
    <xf numFmtId="0" fontId="23" fillId="2" borderId="20" xfId="0" applyFont="1" applyFill="1" applyBorder="1"/>
    <xf numFmtId="165" fontId="23" fillId="2" borderId="20" xfId="0" applyNumberFormat="1" applyFont="1" applyFill="1" applyBorder="1"/>
    <xf numFmtId="0" fontId="5" fillId="2" borderId="0" xfId="0" applyFont="1" applyFill="1"/>
    <xf numFmtId="0" fontId="4" fillId="2" borderId="0" xfId="0" applyFont="1" applyFill="1"/>
    <xf numFmtId="165" fontId="22" fillId="2" borderId="0" xfId="0" applyNumberFormat="1" applyFont="1" applyFill="1"/>
    <xf numFmtId="0" fontId="23" fillId="2" borderId="0" xfId="0" applyFont="1" applyFill="1" applyBorder="1" applyAlignment="1">
      <alignment horizontal="left"/>
    </xf>
    <xf numFmtId="0" fontId="23" fillId="2" borderId="0" xfId="0" quotePrefix="1" applyFont="1" applyFill="1" applyBorder="1" applyAlignment="1">
      <alignment horizontal="left"/>
    </xf>
    <xf numFmtId="2" fontId="30" fillId="2" borderId="0" xfId="0" applyNumberFormat="1" applyFont="1" applyFill="1"/>
    <xf numFmtId="0" fontId="23" fillId="2" borderId="0" xfId="0" quotePrefix="1" applyFont="1" applyFill="1" applyBorder="1"/>
    <xf numFmtId="0" fontId="3" fillId="0" borderId="0" xfId="0" applyFont="1"/>
    <xf numFmtId="0" fontId="31" fillId="14" borderId="0" xfId="0" applyFont="1" applyFill="1" applyAlignment="1">
      <alignment horizontal="center"/>
    </xf>
    <xf numFmtId="0" fontId="0" fillId="13" borderId="0" xfId="0" applyFill="1"/>
    <xf numFmtId="0" fontId="31" fillId="15" borderId="0" xfId="0" applyFont="1" applyFill="1" applyAlignment="1">
      <alignment horizontal="center"/>
    </xf>
    <xf numFmtId="0" fontId="22" fillId="2" borderId="2" xfId="0" applyFont="1" applyFill="1" applyBorder="1"/>
    <xf numFmtId="0" fontId="22" fillId="2" borderId="13" xfId="0" applyFont="1" applyFill="1" applyBorder="1"/>
    <xf numFmtId="0" fontId="23" fillId="2" borderId="17" xfId="0" applyFont="1" applyFill="1" applyBorder="1"/>
    <xf numFmtId="0" fontId="23" fillId="2" borderId="2" xfId="0" applyFont="1" applyFill="1" applyBorder="1"/>
    <xf numFmtId="0" fontId="22" fillId="2" borderId="8" xfId="0" applyFont="1" applyFill="1" applyBorder="1"/>
    <xf numFmtId="0" fontId="22" fillId="2" borderId="7" xfId="0" applyFont="1" applyFill="1" applyBorder="1"/>
    <xf numFmtId="2" fontId="22" fillId="2" borderId="0" xfId="0" applyNumberFormat="1" applyFont="1" applyFill="1"/>
    <xf numFmtId="0" fontId="22" fillId="5" borderId="0" xfId="0" applyFont="1" applyFill="1"/>
    <xf numFmtId="0" fontId="22" fillId="2" borderId="14" xfId="0" applyFont="1" applyFill="1" applyBorder="1"/>
    <xf numFmtId="0" fontId="22" fillId="2" borderId="1" xfId="0" applyFont="1" applyFill="1" applyBorder="1"/>
    <xf numFmtId="0" fontId="32" fillId="2" borderId="0" xfId="0" applyFont="1" applyFill="1"/>
    <xf numFmtId="2" fontId="23" fillId="2" borderId="0" xfId="0" applyNumberFormat="1" applyFont="1" applyFill="1"/>
    <xf numFmtId="0" fontId="3" fillId="2" borderId="0" xfId="0" applyFont="1" applyFill="1"/>
    <xf numFmtId="168" fontId="3" fillId="2" borderId="0" xfId="0" applyNumberFormat="1" applyFont="1" applyFill="1"/>
    <xf numFmtId="49" fontId="3" fillId="2" borderId="0" xfId="0" applyNumberFormat="1" applyFont="1" applyFill="1"/>
    <xf numFmtId="0" fontId="25" fillId="12" borderId="0" xfId="0" applyFont="1" applyFill="1"/>
    <xf numFmtId="17" fontId="25" fillId="12" borderId="0" xfId="0" applyNumberFormat="1" applyFont="1" applyFill="1" applyAlignment="1">
      <alignment horizontal="right"/>
    </xf>
    <xf numFmtId="49" fontId="25" fillId="12" borderId="0" xfId="0" applyNumberFormat="1" applyFont="1" applyFill="1"/>
    <xf numFmtId="17" fontId="3" fillId="2" borderId="0" xfId="0" applyNumberFormat="1" applyFont="1" applyFill="1" applyAlignment="1">
      <alignment horizontal="right"/>
    </xf>
    <xf numFmtId="0" fontId="23" fillId="2" borderId="22" xfId="0" applyFont="1" applyFill="1" applyBorder="1"/>
    <xf numFmtId="9" fontId="22" fillId="2" borderId="0" xfId="0" applyNumberFormat="1" applyFont="1" applyFill="1" applyBorder="1"/>
    <xf numFmtId="0" fontId="22" fillId="2" borderId="0" xfId="0" applyNumberFormat="1" applyFont="1" applyFill="1" applyBorder="1"/>
    <xf numFmtId="0" fontId="23" fillId="2" borderId="0" xfId="0" applyNumberFormat="1" applyFont="1" applyFill="1" applyBorder="1"/>
    <xf numFmtId="0" fontId="22" fillId="2" borderId="21" xfId="0" applyFont="1" applyFill="1" applyBorder="1"/>
    <xf numFmtId="0" fontId="22" fillId="2" borderId="23" xfId="0" applyNumberFormat="1" applyFont="1" applyFill="1" applyBorder="1"/>
    <xf numFmtId="0" fontId="22" fillId="2" borderId="24" xfId="0" applyNumberFormat="1" applyFont="1" applyFill="1" applyBorder="1"/>
    <xf numFmtId="0" fontId="22" fillId="2" borderId="25" xfId="0" applyNumberFormat="1" applyFont="1" applyFill="1" applyBorder="1"/>
    <xf numFmtId="0" fontId="22" fillId="2" borderId="23" xfId="0" applyFont="1" applyFill="1" applyBorder="1"/>
    <xf numFmtId="0" fontId="22" fillId="2" borderId="24" xfId="0" applyFont="1" applyFill="1" applyBorder="1"/>
    <xf numFmtId="0" fontId="22" fillId="2" borderId="25" xfId="0" applyFont="1" applyFill="1" applyBorder="1"/>
    <xf numFmtId="0" fontId="30" fillId="2" borderId="0" xfId="0" applyFont="1" applyFill="1" applyBorder="1"/>
    <xf numFmtId="1" fontId="22" fillId="2" borderId="0" xfId="0" applyNumberFormat="1" applyFont="1" applyFill="1" applyBorder="1"/>
    <xf numFmtId="0" fontId="23" fillId="2" borderId="26" xfId="0" applyFont="1" applyFill="1" applyBorder="1"/>
    <xf numFmtId="0" fontId="2" fillId="2" borderId="0" xfId="0" applyFont="1" applyFill="1"/>
    <xf numFmtId="0" fontId="33" fillId="2" borderId="0" xfId="0" applyFont="1" applyFill="1" applyBorder="1"/>
    <xf numFmtId="0" fontId="25" fillId="12" borderId="17" xfId="0" applyFont="1" applyFill="1" applyBorder="1" applyAlignment="1">
      <alignment horizontal="left" vertical="top" wrapText="1"/>
    </xf>
    <xf numFmtId="0" fontId="25" fillId="12" borderId="2"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7" xfId="0" applyFont="1" applyFill="1" applyBorder="1" applyAlignment="1">
      <alignment horizontal="left" vertical="top" wrapText="1"/>
    </xf>
    <xf numFmtId="0" fontId="25" fillId="12" borderId="0" xfId="0" applyFont="1" applyFill="1" applyBorder="1" applyAlignment="1">
      <alignment horizontal="left" vertical="top" wrapText="1"/>
    </xf>
    <xf numFmtId="0" fontId="25" fillId="12" borderId="8" xfId="0" applyFont="1" applyFill="1" applyBorder="1" applyAlignment="1">
      <alignment horizontal="left" vertical="top" wrapText="1"/>
    </xf>
    <xf numFmtId="0" fontId="25" fillId="12" borderId="1" xfId="0" applyFont="1" applyFill="1" applyBorder="1" applyAlignment="1">
      <alignment horizontal="left" vertical="top" wrapText="1"/>
    </xf>
    <xf numFmtId="0" fontId="25" fillId="12" borderId="9" xfId="0" applyFont="1" applyFill="1" applyBorder="1" applyAlignment="1">
      <alignment horizontal="left" vertical="top" wrapText="1"/>
    </xf>
    <xf numFmtId="0" fontId="25" fillId="12" borderId="14" xfId="0" applyFont="1" applyFill="1" applyBorder="1" applyAlignment="1">
      <alignment horizontal="left" vertical="top" wrapText="1"/>
    </xf>
    <xf numFmtId="0" fontId="1" fillId="0" borderId="0" xfId="0" applyFont="1" applyFill="1" applyBorder="1" applyAlignment="1">
      <alignment vertical="center"/>
    </xf>
    <xf numFmtId="165" fontId="12" fillId="2" borderId="18" xfId="0" applyNumberFormat="1" applyFont="1" applyFill="1" applyBorder="1" applyAlignment="1" applyProtection="1">
      <alignment horizontal="right" vertical="center"/>
    </xf>
    <xf numFmtId="165" fontId="12" fillId="2" borderId="0" xfId="0" applyNumberFormat="1" applyFont="1" applyFill="1" applyBorder="1" applyAlignment="1" applyProtection="1">
      <alignment horizontal="right" vertical="center"/>
    </xf>
    <xf numFmtId="165" fontId="12" fillId="2" borderId="18" xfId="0" applyNumberFormat="1" applyFont="1" applyFill="1" applyBorder="1"/>
    <xf numFmtId="165" fontId="7" fillId="2" borderId="18" xfId="0" applyNumberFormat="1" applyFont="1" applyFill="1" applyBorder="1" applyAlignment="1">
      <alignment vertical="center"/>
    </xf>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xr:uid="{00000000-0005-0000-0000-0000E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21</xdr:col>
      <xdr:colOff>482600</xdr:colOff>
      <xdr:row>151</xdr:row>
      <xdr:rowOff>0</xdr:rowOff>
    </xdr:from>
    <xdr:to>
      <xdr:col>28</xdr:col>
      <xdr:colOff>444500</xdr:colOff>
      <xdr:row>179</xdr:row>
      <xdr:rowOff>63500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14</xdr:col>
      <xdr:colOff>279400</xdr:colOff>
      <xdr:row>155</xdr:row>
      <xdr:rowOff>114300</xdr:rowOff>
    </xdr:from>
    <xdr:to>
      <xdr:col>21</xdr:col>
      <xdr:colOff>520700</xdr:colOff>
      <xdr:row>180</xdr:row>
      <xdr:rowOff>76200</xdr:rowOff>
    </xdr:to>
    <xdr:pic>
      <xdr:nvPicPr>
        <xdr:cNvPr id="5" name="Picture 4">
          <a:extLst>
            <a:ext uri="{FF2B5EF4-FFF2-40B4-BE49-F238E27FC236}">
              <a16:creationId xmlns:a16="http://schemas.microsoft.com/office/drawing/2014/main" id="{A61B7118-1D99-2B44-B8D3-B2BBF43F7472}"/>
            </a:ext>
          </a:extLst>
        </xdr:cNvPr>
        <xdr:cNvPicPr>
          <a:picLocks noChangeAspect="1"/>
        </xdr:cNvPicPr>
      </xdr:nvPicPr>
      <xdr:blipFill>
        <a:blip xmlns:r="http://schemas.openxmlformats.org/officeDocument/2006/relationships" r:embed="rId2"/>
        <a:stretch>
          <a:fillRect/>
        </a:stretch>
      </xdr:blipFill>
      <xdr:spPr>
        <a:xfrm>
          <a:off x="14427200" y="17500600"/>
          <a:ext cx="7112000" cy="5118100"/>
        </a:xfrm>
        <a:prstGeom prst="rect">
          <a:avLst/>
        </a:prstGeom>
      </xdr:spPr>
    </xdr:pic>
    <xdr:clientData/>
  </xdr:twoCellAnchor>
  <xdr:twoCellAnchor editAs="oneCell">
    <xdr:from>
      <xdr:col>10</xdr:col>
      <xdr:colOff>101600</xdr:colOff>
      <xdr:row>195</xdr:row>
      <xdr:rowOff>50800</xdr:rowOff>
    </xdr:from>
    <xdr:to>
      <xdr:col>17</xdr:col>
      <xdr:colOff>284787</xdr:colOff>
      <xdr:row>208</xdr:row>
      <xdr:rowOff>114151</xdr:rowOff>
    </xdr:to>
    <xdr:pic>
      <xdr:nvPicPr>
        <xdr:cNvPr id="8" name="Picture 7">
          <a:extLst>
            <a:ext uri="{FF2B5EF4-FFF2-40B4-BE49-F238E27FC236}">
              <a16:creationId xmlns:a16="http://schemas.microsoft.com/office/drawing/2014/main" id="{F50D3BDF-7874-1B44-B299-BB8BE608DDC7}"/>
            </a:ext>
          </a:extLst>
        </xdr:cNvPr>
        <xdr:cNvPicPr>
          <a:picLocks noChangeAspect="1"/>
        </xdr:cNvPicPr>
      </xdr:nvPicPr>
      <xdr:blipFill>
        <a:blip xmlns:r="http://schemas.openxmlformats.org/officeDocument/2006/relationships" r:embed="rId3"/>
        <a:stretch>
          <a:fillRect/>
        </a:stretch>
      </xdr:blipFill>
      <xdr:spPr>
        <a:xfrm>
          <a:off x="9956800" y="38735000"/>
          <a:ext cx="7485687" cy="2704951"/>
        </a:xfrm>
        <a:prstGeom prst="rect">
          <a:avLst/>
        </a:prstGeom>
      </xdr:spPr>
    </xdr:pic>
    <xdr:clientData/>
  </xdr:twoCellAnchor>
  <xdr:twoCellAnchor editAs="oneCell">
    <xdr:from>
      <xdr:col>10</xdr:col>
      <xdr:colOff>301467</xdr:colOff>
      <xdr:row>208</xdr:row>
      <xdr:rowOff>184075</xdr:rowOff>
    </xdr:from>
    <xdr:to>
      <xdr:col>13</xdr:col>
      <xdr:colOff>377019</xdr:colOff>
      <xdr:row>226</xdr:row>
      <xdr:rowOff>57075</xdr:rowOff>
    </xdr:to>
    <xdr:pic>
      <xdr:nvPicPr>
        <xdr:cNvPr id="9" name="Picture 8">
          <a:extLst>
            <a:ext uri="{FF2B5EF4-FFF2-40B4-BE49-F238E27FC236}">
              <a16:creationId xmlns:a16="http://schemas.microsoft.com/office/drawing/2014/main" id="{19EAE3E6-A5AA-5344-98D0-18149ECC6C27}"/>
            </a:ext>
          </a:extLst>
        </xdr:cNvPr>
        <xdr:cNvPicPr>
          <a:picLocks noChangeAspect="1"/>
        </xdr:cNvPicPr>
      </xdr:nvPicPr>
      <xdr:blipFill>
        <a:blip xmlns:r="http://schemas.openxmlformats.org/officeDocument/2006/relationships" r:embed="rId4"/>
        <a:stretch>
          <a:fillRect/>
        </a:stretch>
      </xdr:blipFill>
      <xdr:spPr>
        <a:xfrm>
          <a:off x="10156667" y="41509875"/>
          <a:ext cx="2971152" cy="3530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4" sqref="C4"/>
    </sheetView>
  </sheetViews>
  <sheetFormatPr baseColWidth="10" defaultColWidth="10.85546875" defaultRowHeight="16"/>
  <cols>
    <col min="1" max="1" width="3.42578125" style="27" customWidth="1"/>
    <col min="2" max="2" width="11.42578125" style="19" customWidth="1"/>
    <col min="3" max="3" width="38.42578125" style="19" customWidth="1"/>
    <col min="4" max="16384" width="10.85546875" style="19"/>
  </cols>
  <sheetData>
    <row r="1" spans="1:3" s="25" customFormat="1">
      <c r="A1" s="23"/>
      <c r="B1" s="24"/>
      <c r="C1" s="24"/>
    </row>
    <row r="2" spans="1:3" ht="21">
      <c r="A2" s="1"/>
      <c r="B2" s="26" t="s">
        <v>5</v>
      </c>
      <c r="C2" s="26"/>
    </row>
    <row r="3" spans="1:3">
      <c r="A3" s="1"/>
      <c r="B3" s="8"/>
      <c r="C3" s="8"/>
    </row>
    <row r="4" spans="1:3">
      <c r="A4" s="1"/>
      <c r="B4" s="2" t="s">
        <v>6</v>
      </c>
      <c r="C4" s="3" t="s">
        <v>246</v>
      </c>
    </row>
    <row r="5" spans="1:3">
      <c r="A5" s="1"/>
      <c r="B5" s="4" t="s">
        <v>33</v>
      </c>
      <c r="C5" s="5" t="s">
        <v>42</v>
      </c>
    </row>
    <row r="6" spans="1:3">
      <c r="A6" s="1"/>
      <c r="B6" s="6" t="s">
        <v>8</v>
      </c>
      <c r="C6" s="7" t="s">
        <v>9</v>
      </c>
    </row>
    <row r="7" spans="1:3">
      <c r="A7" s="1"/>
      <c r="B7" s="8"/>
      <c r="C7" s="8"/>
    </row>
    <row r="8" spans="1:3">
      <c r="A8" s="1"/>
      <c r="B8" s="8"/>
      <c r="C8" s="8"/>
    </row>
    <row r="9" spans="1:3">
      <c r="A9" s="1"/>
      <c r="B9" s="60" t="s">
        <v>18</v>
      </c>
      <c r="C9" s="61"/>
    </row>
    <row r="10" spans="1:3">
      <c r="A10" s="1"/>
      <c r="B10" s="62"/>
      <c r="C10" s="63"/>
    </row>
    <row r="11" spans="1:3">
      <c r="A11" s="1"/>
      <c r="B11" s="62" t="s">
        <v>19</v>
      </c>
      <c r="C11" s="64" t="s">
        <v>20</v>
      </c>
    </row>
    <row r="12" spans="1:3" ht="17" thickBot="1">
      <c r="A12" s="1"/>
      <c r="B12" s="62"/>
      <c r="C12" s="11" t="s">
        <v>21</v>
      </c>
    </row>
    <row r="13" spans="1:3" ht="17" thickBot="1">
      <c r="A13" s="1"/>
      <c r="B13" s="62"/>
      <c r="C13" s="65" t="s">
        <v>22</v>
      </c>
    </row>
    <row r="14" spans="1:3">
      <c r="A14" s="1"/>
      <c r="B14" s="62"/>
      <c r="C14" s="63" t="s">
        <v>23</v>
      </c>
    </row>
    <row r="15" spans="1:3">
      <c r="A15" s="1"/>
      <c r="B15" s="62"/>
      <c r="C15" s="63"/>
    </row>
    <row r="16" spans="1:3">
      <c r="A16" s="1"/>
      <c r="B16" s="62" t="s">
        <v>24</v>
      </c>
      <c r="C16" s="66" t="s">
        <v>25</v>
      </c>
    </row>
    <row r="17" spans="1:3">
      <c r="A17" s="1"/>
      <c r="B17" s="62"/>
      <c r="C17" s="67" t="s">
        <v>26</v>
      </c>
    </row>
    <row r="18" spans="1:3">
      <c r="A18" s="1"/>
      <c r="B18" s="62"/>
      <c r="C18" s="68" t="s">
        <v>27</v>
      </c>
    </row>
    <row r="19" spans="1:3">
      <c r="A19" s="1"/>
      <c r="B19" s="62"/>
      <c r="C19" s="69" t="s">
        <v>28</v>
      </c>
    </row>
    <row r="20" spans="1:3">
      <c r="A20" s="1"/>
      <c r="B20" s="70"/>
      <c r="C20" s="71" t="s">
        <v>29</v>
      </c>
    </row>
    <row r="21" spans="1:3">
      <c r="A21" s="1"/>
      <c r="B21" s="70"/>
      <c r="C21" s="72" t="s">
        <v>30</v>
      </c>
    </row>
    <row r="22" spans="1:3">
      <c r="A22" s="1"/>
      <c r="B22" s="70"/>
      <c r="C22" s="73" t="s">
        <v>31</v>
      </c>
    </row>
    <row r="23" spans="1:3">
      <c r="B23" s="70"/>
      <c r="C23" s="74"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J23"/>
  <sheetViews>
    <sheetView workbookViewId="0">
      <selection activeCell="I12" sqref="I12"/>
    </sheetView>
  </sheetViews>
  <sheetFormatPr baseColWidth="10" defaultColWidth="10.85546875" defaultRowHeight="16"/>
  <cols>
    <col min="1" max="2" width="3.42578125" style="30" customWidth="1"/>
    <col min="3" max="3" width="29" style="30" customWidth="1"/>
    <col min="4" max="5" width="14.7109375" style="30" customWidth="1"/>
    <col min="6" max="6" width="4.42578125" style="30" customWidth="1"/>
    <col min="7" max="7" width="8.7109375" style="30" customWidth="1"/>
    <col min="8" max="8" width="20.85546875" style="30" hidden="1" customWidth="1"/>
    <col min="9" max="9" width="42.42578125" style="30" customWidth="1"/>
    <col min="10" max="10" width="5.42578125" style="30" customWidth="1"/>
    <col min="11" max="16384" width="10.85546875" style="30"/>
  </cols>
  <sheetData>
    <row r="1" spans="1:10">
      <c r="D1" s="31"/>
    </row>
    <row r="2" spans="1:10">
      <c r="B2" s="156" t="s">
        <v>41</v>
      </c>
      <c r="C2" s="157"/>
      <c r="D2" s="157"/>
      <c r="E2" s="158"/>
      <c r="F2" s="31"/>
      <c r="G2" s="31"/>
    </row>
    <row r="3" spans="1:10">
      <c r="B3" s="159"/>
      <c r="C3" s="160"/>
      <c r="D3" s="160"/>
      <c r="E3" s="161"/>
      <c r="F3" s="31"/>
      <c r="G3" s="31"/>
    </row>
    <row r="4" spans="1:10">
      <c r="B4" s="159"/>
      <c r="C4" s="160"/>
      <c r="D4" s="160"/>
      <c r="E4" s="161"/>
      <c r="F4" s="31"/>
      <c r="G4" s="31"/>
    </row>
    <row r="5" spans="1:10">
      <c r="B5" s="162"/>
      <c r="C5" s="163"/>
      <c r="D5" s="163"/>
      <c r="E5" s="164"/>
      <c r="F5" s="31"/>
      <c r="G5" s="31"/>
    </row>
    <row r="6" spans="1:10">
      <c r="C6" s="31"/>
      <c r="D6" s="31"/>
      <c r="E6" s="31"/>
      <c r="F6" s="31"/>
      <c r="G6" s="31"/>
    </row>
    <row r="7" spans="1:10" ht="17" thickBot="1">
      <c r="D7" s="31"/>
    </row>
    <row r="8" spans="1:10">
      <c r="B8" s="32"/>
      <c r="C8" s="18"/>
      <c r="D8" s="18"/>
      <c r="E8" s="18"/>
      <c r="F8" s="18"/>
      <c r="G8" s="18"/>
      <c r="H8" s="18"/>
      <c r="I8" s="18"/>
      <c r="J8" s="33"/>
    </row>
    <row r="9" spans="1:10" s="22" customFormat="1">
      <c r="B9" s="20"/>
      <c r="C9" s="14" t="s">
        <v>14</v>
      </c>
      <c r="D9" s="15" t="s">
        <v>3</v>
      </c>
      <c r="E9" s="13" t="s">
        <v>1</v>
      </c>
      <c r="F9" s="14"/>
      <c r="G9" s="14" t="s">
        <v>2</v>
      </c>
      <c r="H9" s="14"/>
      <c r="I9" s="14" t="s">
        <v>0</v>
      </c>
      <c r="J9" s="77"/>
    </row>
    <row r="10" spans="1:10" s="22" customFormat="1">
      <c r="B10" s="21"/>
      <c r="C10" s="11"/>
      <c r="D10" s="28"/>
      <c r="E10" s="11"/>
      <c r="F10" s="11"/>
      <c r="G10" s="11"/>
      <c r="H10" s="11"/>
      <c r="I10" s="11"/>
      <c r="J10" s="12"/>
    </row>
    <row r="11" spans="1:10" s="22" customFormat="1" ht="17" thickBot="1">
      <c r="B11" s="21"/>
      <c r="C11" s="11" t="s">
        <v>34</v>
      </c>
      <c r="D11" s="28"/>
      <c r="E11" s="11"/>
      <c r="F11" s="11"/>
      <c r="G11" s="11"/>
      <c r="H11" s="11"/>
      <c r="I11" s="11"/>
      <c r="J11" s="12"/>
    </row>
    <row r="12" spans="1:10" s="92" customFormat="1" ht="16" customHeight="1" thickBot="1">
      <c r="B12" s="93"/>
      <c r="C12" s="165" t="s">
        <v>244</v>
      </c>
      <c r="D12" s="90" t="s">
        <v>45</v>
      </c>
      <c r="E12" s="169">
        <f>'Research data'!H7</f>
        <v>1.0870437202667023</v>
      </c>
      <c r="F12" s="89"/>
      <c r="G12" s="95"/>
      <c r="I12" s="91"/>
      <c r="J12" s="96"/>
    </row>
    <row r="13" spans="1:10" ht="17" thickBot="1">
      <c r="A13" s="81"/>
      <c r="B13" s="82"/>
      <c r="C13" s="83"/>
      <c r="D13" s="83"/>
      <c r="E13" s="83"/>
      <c r="F13" s="83"/>
      <c r="G13" s="83"/>
      <c r="H13" s="83"/>
      <c r="I13" s="83"/>
      <c r="J13" s="84"/>
    </row>
    <row r="14" spans="1:10">
      <c r="A14" s="81"/>
      <c r="B14" s="81"/>
      <c r="C14" s="81"/>
      <c r="D14" s="81"/>
      <c r="E14" s="81"/>
      <c r="F14" s="81"/>
      <c r="G14" s="81"/>
      <c r="H14" s="81"/>
      <c r="I14" s="81"/>
      <c r="J14" s="81"/>
    </row>
    <row r="15" spans="1:10">
      <c r="A15" s="81"/>
      <c r="B15" s="81"/>
      <c r="C15" s="81"/>
      <c r="D15" s="81"/>
      <c r="E15" s="81"/>
      <c r="F15" s="81"/>
      <c r="G15" s="81"/>
      <c r="H15" s="81"/>
      <c r="I15" s="81"/>
      <c r="J15" s="81"/>
    </row>
    <row r="16" spans="1:10">
      <c r="A16" s="81"/>
      <c r="B16" s="81"/>
      <c r="C16" s="81"/>
      <c r="D16" s="81"/>
      <c r="E16" s="81"/>
      <c r="F16" s="81"/>
      <c r="G16" s="81"/>
      <c r="H16" s="81"/>
      <c r="I16" s="81"/>
      <c r="J16" s="81"/>
    </row>
    <row r="17" spans="1:10">
      <c r="A17" s="81"/>
      <c r="B17" s="81"/>
      <c r="E17" s="81"/>
      <c r="F17" s="81"/>
      <c r="G17" s="81"/>
      <c r="H17" s="81"/>
      <c r="I17" s="81"/>
      <c r="J17" s="81"/>
    </row>
    <row r="18" spans="1:10">
      <c r="A18" s="81"/>
      <c r="B18" s="81"/>
      <c r="C18" s="81"/>
      <c r="D18" s="81"/>
      <c r="E18" s="81"/>
      <c r="F18" s="81"/>
      <c r="G18" s="81"/>
      <c r="H18" s="81"/>
      <c r="I18" s="81"/>
      <c r="J18" s="81"/>
    </row>
    <row r="19" spans="1:10">
      <c r="A19" s="81"/>
      <c r="B19" s="81"/>
      <c r="C19" s="81"/>
      <c r="D19" s="81"/>
      <c r="E19" s="81"/>
      <c r="F19" s="81"/>
      <c r="G19" s="81"/>
      <c r="H19" s="81"/>
      <c r="I19" s="81"/>
      <c r="J19" s="81"/>
    </row>
    <row r="20" spans="1:10">
      <c r="A20" s="81"/>
      <c r="B20" s="81"/>
      <c r="C20" s="81"/>
      <c r="D20" s="81"/>
      <c r="E20" s="81"/>
      <c r="F20" s="81"/>
      <c r="G20" s="81"/>
      <c r="H20" s="81"/>
      <c r="I20" s="81"/>
      <c r="J20" s="81"/>
    </row>
    <row r="21" spans="1:10">
      <c r="A21" s="81"/>
      <c r="B21" s="81"/>
      <c r="C21" s="81"/>
      <c r="D21" s="81"/>
      <c r="E21" s="81"/>
      <c r="F21" s="81"/>
      <c r="G21" s="81"/>
      <c r="H21" s="81"/>
      <c r="I21" s="81"/>
      <c r="J21" s="81"/>
    </row>
    <row r="22" spans="1:10">
      <c r="A22" s="81"/>
    </row>
    <row r="23" spans="1:10">
      <c r="A23" s="81"/>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P7"/>
  <sheetViews>
    <sheetView topLeftCell="F1" workbookViewId="0">
      <selection activeCell="H7" sqref="H7:J7"/>
    </sheetView>
  </sheetViews>
  <sheetFormatPr baseColWidth="10" defaultColWidth="10.85546875" defaultRowHeight="16"/>
  <cols>
    <col min="1" max="1" width="3.42578125" style="34" customWidth="1"/>
    <col min="2" max="2" width="3" style="34" customWidth="1"/>
    <col min="3" max="3" width="23.28515625" style="34" customWidth="1"/>
    <col min="4" max="4" width="16.42578125" style="34" hidden="1" customWidth="1"/>
    <col min="5" max="5" width="13.85546875" style="34" hidden="1" customWidth="1"/>
    <col min="6" max="6" width="10" style="34" customWidth="1"/>
    <col min="7" max="7" width="3" style="34" customWidth="1"/>
    <col min="8" max="8" width="14.85546875" style="34" customWidth="1"/>
    <col min="9" max="9" width="2.42578125" style="34" customWidth="1"/>
    <col min="10" max="10" width="13.42578125" style="34" customWidth="1"/>
    <col min="11" max="12" width="2.42578125" style="34" customWidth="1"/>
    <col min="13" max="13" width="23.42578125" style="34" customWidth="1"/>
    <col min="14" max="14" width="11" style="34" customWidth="1"/>
    <col min="15" max="15" width="2.42578125" style="34" customWidth="1"/>
    <col min="16" max="16" width="22.42578125" style="34" customWidth="1"/>
    <col min="17" max="16384" width="10.85546875" style="34"/>
  </cols>
  <sheetData>
    <row r="2" spans="2:16" ht="17" thickBot="1"/>
    <row r="3" spans="2:16">
      <c r="B3" s="35"/>
      <c r="C3" s="36"/>
      <c r="D3" s="36"/>
      <c r="E3" s="36"/>
      <c r="F3" s="36"/>
      <c r="G3" s="36"/>
      <c r="H3" s="36"/>
      <c r="I3" s="36"/>
      <c r="J3" s="36"/>
      <c r="K3" s="36"/>
      <c r="L3" s="36"/>
      <c r="M3" s="36"/>
      <c r="N3" s="36"/>
      <c r="O3" s="36"/>
      <c r="P3" s="36"/>
    </row>
    <row r="4" spans="2:16" s="22" customFormat="1">
      <c r="B4" s="21"/>
      <c r="C4" s="75" t="s">
        <v>14</v>
      </c>
      <c r="D4" s="9"/>
      <c r="E4" s="9"/>
      <c r="F4" s="75" t="s">
        <v>3</v>
      </c>
      <c r="G4" s="75"/>
      <c r="H4" s="75" t="s">
        <v>37</v>
      </c>
      <c r="I4" s="75"/>
      <c r="J4" s="75" t="s">
        <v>239</v>
      </c>
      <c r="K4" s="75"/>
      <c r="L4" s="75"/>
      <c r="M4" s="75" t="s">
        <v>35</v>
      </c>
    </row>
    <row r="5" spans="2:16" ht="18" customHeight="1">
      <c r="B5" s="37"/>
      <c r="C5" s="40"/>
      <c r="D5" s="40"/>
      <c r="E5" s="40"/>
      <c r="F5" s="38"/>
      <c r="G5" s="38"/>
      <c r="H5" s="39"/>
      <c r="I5" s="39"/>
      <c r="J5" s="39"/>
      <c r="K5" s="39"/>
      <c r="L5" s="39"/>
      <c r="M5" s="41"/>
    </row>
    <row r="6" spans="2:16" ht="18" customHeight="1" thickBot="1">
      <c r="B6" s="37"/>
      <c r="C6" s="11" t="s">
        <v>34</v>
      </c>
      <c r="D6" s="28"/>
      <c r="E6" s="11"/>
      <c r="F6" s="28"/>
      <c r="G6" s="29"/>
      <c r="H6" s="10"/>
      <c r="I6" s="10"/>
      <c r="J6" s="10"/>
      <c r="K6" s="10"/>
    </row>
    <row r="7" spans="2:16" ht="18" customHeight="1" thickBot="1">
      <c r="B7" s="37"/>
      <c r="C7" s="165" t="s">
        <v>244</v>
      </c>
      <c r="D7" s="90" t="s">
        <v>45</v>
      </c>
      <c r="E7" s="94"/>
      <c r="F7" s="90" t="s">
        <v>245</v>
      </c>
      <c r="G7" s="76"/>
      <c r="H7" s="166">
        <f>J7</f>
        <v>1.0870437202667023</v>
      </c>
      <c r="I7" s="167"/>
      <c r="J7" s="168">
        <f>Notes!D11</f>
        <v>1.0870437202667023</v>
      </c>
      <c r="K7" s="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9"/>
  <sheetViews>
    <sheetView topLeftCell="A3" workbookViewId="0">
      <selection activeCell="F19" sqref="F19"/>
    </sheetView>
  </sheetViews>
  <sheetFormatPr baseColWidth="10" defaultColWidth="33.140625" defaultRowHeight="16"/>
  <cols>
    <col min="1" max="1" width="3.42578125" style="43" customWidth="1"/>
    <col min="2" max="2" width="16.28515625" style="43" customWidth="1"/>
    <col min="3" max="3" width="24.42578125" style="43" customWidth="1"/>
    <col min="4" max="4" width="32.85546875" style="43" customWidth="1"/>
    <col min="5" max="5" width="6.140625" style="43" customWidth="1"/>
    <col min="6" max="6" width="16.28515625" style="43" customWidth="1"/>
    <col min="7" max="7" width="78" style="43" customWidth="1"/>
    <col min="8" max="8" width="12.42578125" style="47" customWidth="1"/>
    <col min="9" max="9" width="31.42578125" style="47" customWidth="1"/>
    <col min="10" max="10" width="98.42578125" style="43" customWidth="1"/>
    <col min="11" max="16384" width="33.140625" style="43"/>
  </cols>
  <sheetData>
    <row r="1" spans="2:10" ht="17" thickBot="1"/>
    <row r="2" spans="2:10">
      <c r="B2" s="44"/>
      <c r="C2" s="45"/>
      <c r="D2" s="45"/>
      <c r="E2" s="45"/>
      <c r="F2" s="45"/>
      <c r="G2" s="45"/>
      <c r="H2" s="48"/>
      <c r="I2" s="48"/>
      <c r="J2" s="45"/>
    </row>
    <row r="3" spans="2:10">
      <c r="B3" s="46"/>
      <c r="C3" s="11" t="s">
        <v>10</v>
      </c>
      <c r="D3" s="11"/>
      <c r="E3" s="11"/>
      <c r="F3" s="11"/>
      <c r="G3" s="11"/>
      <c r="H3" s="16"/>
      <c r="I3" s="16"/>
      <c r="J3" s="42"/>
    </row>
    <row r="4" spans="2:10">
      <c r="B4" s="46"/>
      <c r="C4" s="42"/>
      <c r="D4" s="42"/>
      <c r="E4" s="42"/>
      <c r="F4" s="42"/>
      <c r="G4" s="42"/>
      <c r="H4" s="49"/>
      <c r="I4" s="49"/>
      <c r="J4" s="42"/>
    </row>
    <row r="5" spans="2:10">
      <c r="B5" s="50"/>
      <c r="C5" s="13" t="s">
        <v>11</v>
      </c>
      <c r="D5" s="13" t="s">
        <v>0</v>
      </c>
      <c r="E5" s="13" t="s">
        <v>7</v>
      </c>
      <c r="F5" s="13" t="s">
        <v>12</v>
      </c>
      <c r="G5" s="13" t="s">
        <v>64</v>
      </c>
      <c r="H5" s="17" t="s">
        <v>13</v>
      </c>
      <c r="I5" s="17" t="s">
        <v>36</v>
      </c>
      <c r="J5" s="13" t="s">
        <v>4</v>
      </c>
    </row>
    <row r="6" spans="2:10">
      <c r="B6" s="42"/>
      <c r="C6" s="11"/>
      <c r="D6" s="11"/>
      <c r="E6" s="11"/>
      <c r="F6" s="11"/>
      <c r="G6" s="11"/>
      <c r="H6" s="16"/>
      <c r="I6" s="16"/>
      <c r="J6" s="11"/>
    </row>
    <row r="7" spans="2:10">
      <c r="B7" s="154" t="s">
        <v>195</v>
      </c>
      <c r="C7" s="154" t="s">
        <v>235</v>
      </c>
      <c r="D7" s="154" t="s">
        <v>238</v>
      </c>
      <c r="E7" s="154" t="s">
        <v>237</v>
      </c>
      <c r="F7" s="43">
        <v>2020</v>
      </c>
      <c r="G7" s="43" t="s">
        <v>236</v>
      </c>
      <c r="I7" s="47" t="s">
        <v>234</v>
      </c>
    </row>
    <row r="8" spans="2:10">
      <c r="B8" s="154"/>
      <c r="C8" s="154"/>
    </row>
    <row r="9" spans="2:10" s="133" customFormat="1">
      <c r="B9" s="133" t="s">
        <v>175</v>
      </c>
      <c r="H9" s="134">
        <v>42979</v>
      </c>
      <c r="I9" s="135"/>
    </row>
    <row r="10" spans="2:10" s="133" customFormat="1">
      <c r="C10" s="133" t="s">
        <v>137</v>
      </c>
      <c r="D10" s="133" t="s">
        <v>176</v>
      </c>
      <c r="F10" s="133">
        <v>2017</v>
      </c>
      <c r="G10" s="133" t="s">
        <v>177</v>
      </c>
      <c r="H10" s="134">
        <v>42979</v>
      </c>
      <c r="I10" s="135"/>
    </row>
    <row r="11" spans="2:10" s="133" customFormat="1">
      <c r="C11" s="133" t="s">
        <v>178</v>
      </c>
      <c r="D11" s="133" t="s">
        <v>179</v>
      </c>
      <c r="F11" s="133">
        <v>2017</v>
      </c>
      <c r="G11" s="133" t="s">
        <v>180</v>
      </c>
      <c r="H11" s="134">
        <v>42979</v>
      </c>
      <c r="I11" s="135"/>
    </row>
    <row r="12" spans="2:10" s="133" customFormat="1">
      <c r="C12" s="133" t="s">
        <v>181</v>
      </c>
      <c r="D12" s="86" t="s">
        <v>182</v>
      </c>
      <c r="E12" s="136" t="s">
        <v>183</v>
      </c>
      <c r="F12" s="136">
        <v>2015</v>
      </c>
      <c r="G12" s="136">
        <v>2015</v>
      </c>
      <c r="H12" s="137">
        <v>42339</v>
      </c>
      <c r="I12" s="138" t="s">
        <v>184</v>
      </c>
      <c r="J12" s="136" t="s">
        <v>185</v>
      </c>
    </row>
    <row r="13" spans="2:10" s="133" customFormat="1">
      <c r="C13" s="133" t="s">
        <v>181</v>
      </c>
      <c r="D13" s="133" t="s">
        <v>186</v>
      </c>
      <c r="E13" s="133" t="s">
        <v>187</v>
      </c>
      <c r="F13" s="133">
        <v>2013</v>
      </c>
      <c r="G13" s="133">
        <v>2013</v>
      </c>
      <c r="H13" s="139">
        <v>42373</v>
      </c>
      <c r="I13" s="135" t="s">
        <v>188</v>
      </c>
      <c r="J13" s="133" t="s">
        <v>189</v>
      </c>
    </row>
    <row r="14" spans="2:10">
      <c r="B14" s="154"/>
      <c r="C14" s="154"/>
    </row>
    <row r="16" spans="2:10">
      <c r="B16" s="43" t="s">
        <v>97</v>
      </c>
      <c r="D16" s="110" t="s">
        <v>102</v>
      </c>
      <c r="E16" s="110" t="s">
        <v>101</v>
      </c>
      <c r="F16" s="43">
        <v>2016</v>
      </c>
      <c r="G16" s="43" t="s">
        <v>100</v>
      </c>
    </row>
    <row r="17" spans="2:7">
      <c r="B17" s="43" t="s">
        <v>98</v>
      </c>
      <c r="D17" s="110" t="s">
        <v>104</v>
      </c>
      <c r="F17" s="43">
        <v>2013</v>
      </c>
      <c r="G17" s="111" t="s">
        <v>103</v>
      </c>
    </row>
    <row r="18" spans="2:7">
      <c r="B18" s="43" t="s">
        <v>99</v>
      </c>
      <c r="D18" s="110" t="s">
        <v>107</v>
      </c>
      <c r="E18" s="110" t="s">
        <v>106</v>
      </c>
      <c r="F18" s="43">
        <v>2013</v>
      </c>
      <c r="G18" s="43" t="s">
        <v>105</v>
      </c>
    </row>
    <row r="19" spans="2:7">
      <c r="F19" s="154" t="s">
        <v>243</v>
      </c>
    </row>
  </sheetData>
  <phoneticPr fontId="2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294"/>
  <sheetViews>
    <sheetView topLeftCell="A4" zoomScaleNormal="100" workbookViewId="0">
      <selection activeCell="D11" sqref="D11"/>
    </sheetView>
  </sheetViews>
  <sheetFormatPr baseColWidth="10" defaultColWidth="10.85546875" defaultRowHeight="16"/>
  <cols>
    <col min="1" max="2" width="3.42578125" style="51" customWidth="1"/>
    <col min="3" max="3" width="18.42578125" style="51" customWidth="1"/>
    <col min="4" max="4" width="19" style="51" customWidth="1"/>
    <col min="5" max="5" width="17" style="51" customWidth="1"/>
    <col min="6" max="6" width="6.140625" style="51" customWidth="1"/>
    <col min="7" max="13" width="10.85546875" style="51"/>
    <col min="14" max="14" width="15.7109375" style="51" customWidth="1"/>
    <col min="15" max="15" width="10.85546875" style="51"/>
    <col min="16" max="16" width="12.140625" style="51" customWidth="1"/>
    <col min="17" max="16384" width="10.85546875" style="51"/>
  </cols>
  <sheetData>
    <row r="1" spans="1:14" ht="17" thickBot="1"/>
    <row r="2" spans="1:14">
      <c r="B2" s="52"/>
      <c r="C2" s="53"/>
      <c r="D2" s="53"/>
      <c r="E2" s="53"/>
      <c r="F2" s="53"/>
      <c r="G2" s="53"/>
      <c r="H2" s="53"/>
      <c r="I2" s="53"/>
      <c r="J2" s="53"/>
      <c r="K2" s="53"/>
      <c r="L2" s="53"/>
      <c r="M2" s="53"/>
      <c r="N2" s="54"/>
    </row>
    <row r="3" spans="1:14" ht="17" customHeight="1">
      <c r="A3" s="55"/>
      <c r="B3" s="78"/>
      <c r="C3" s="59" t="s">
        <v>0</v>
      </c>
      <c r="D3" s="59" t="s">
        <v>38</v>
      </c>
      <c r="E3" s="59" t="s">
        <v>17</v>
      </c>
      <c r="F3" s="59"/>
      <c r="G3" s="59"/>
      <c r="H3" s="56"/>
      <c r="I3" s="56"/>
      <c r="J3" s="56"/>
      <c r="K3" s="56"/>
      <c r="L3" s="56"/>
      <c r="M3" s="56"/>
      <c r="N3" s="79"/>
    </row>
    <row r="4" spans="1:14" ht="17" customHeight="1">
      <c r="A4" s="55"/>
      <c r="B4" s="97"/>
      <c r="C4" s="98"/>
      <c r="D4" s="98"/>
      <c r="E4" s="98"/>
      <c r="F4" s="98"/>
      <c r="G4" s="98"/>
      <c r="H4" s="58"/>
      <c r="I4" s="58"/>
      <c r="J4" s="58"/>
      <c r="K4" s="58"/>
      <c r="L4" s="58"/>
      <c r="M4" s="58"/>
      <c r="N4" s="58"/>
    </row>
    <row r="5" spans="1:14" ht="17" customHeight="1">
      <c r="A5" s="55"/>
      <c r="B5" s="97"/>
      <c r="C5" s="98" t="s">
        <v>223</v>
      </c>
      <c r="D5" s="98"/>
      <c r="E5" s="98"/>
      <c r="F5" s="98"/>
      <c r="G5" s="98"/>
      <c r="H5" s="58"/>
      <c r="I5" s="58"/>
      <c r="J5" s="58"/>
      <c r="K5" s="58"/>
      <c r="L5" s="58"/>
      <c r="M5" s="58"/>
      <c r="N5" s="58"/>
    </row>
    <row r="6" spans="1:14" ht="17" customHeight="1">
      <c r="A6" s="55"/>
      <c r="B6" s="97"/>
      <c r="C6" s="58" t="s">
        <v>196</v>
      </c>
      <c r="D6" s="101">
        <f>D23</f>
        <v>333.7872840396272</v>
      </c>
      <c r="E6" s="58" t="s">
        <v>217</v>
      </c>
      <c r="F6" s="151" t="s">
        <v>195</v>
      </c>
      <c r="G6" s="98"/>
      <c r="H6" s="58"/>
      <c r="I6" s="58"/>
      <c r="J6" s="58"/>
      <c r="K6" s="58"/>
      <c r="L6" s="58"/>
      <c r="M6" s="58"/>
      <c r="N6" s="58"/>
    </row>
    <row r="7" spans="1:14" ht="17" customHeight="1">
      <c r="A7" s="55"/>
      <c r="B7" s="97"/>
      <c r="C7" s="58" t="s">
        <v>213</v>
      </c>
      <c r="D7" s="152">
        <f>D30</f>
        <v>8322</v>
      </c>
      <c r="E7" s="58" t="s">
        <v>224</v>
      </c>
      <c r="F7" s="151" t="s">
        <v>195</v>
      </c>
      <c r="G7" s="98"/>
      <c r="H7" s="58"/>
      <c r="I7" s="58"/>
      <c r="J7" s="58"/>
      <c r="K7" s="58"/>
      <c r="L7" s="58"/>
      <c r="M7" s="58"/>
      <c r="N7" s="58"/>
    </row>
    <row r="8" spans="1:14" ht="17" customHeight="1">
      <c r="A8" s="55"/>
      <c r="B8" s="97"/>
      <c r="C8" s="58" t="s">
        <v>65</v>
      </c>
      <c r="D8" s="142">
        <f>D25+D51</f>
        <v>484027777.77777779</v>
      </c>
      <c r="E8" s="58" t="s">
        <v>15</v>
      </c>
      <c r="F8" s="98"/>
      <c r="G8" s="98"/>
      <c r="H8" s="58"/>
      <c r="I8" s="58"/>
      <c r="J8" s="58"/>
      <c r="K8" s="58"/>
      <c r="L8" s="58"/>
      <c r="M8" s="58"/>
      <c r="N8" s="58"/>
    </row>
    <row r="9" spans="1:14" ht="17" customHeight="1">
      <c r="A9" s="55"/>
      <c r="B9" s="97"/>
      <c r="C9" s="58" t="s">
        <v>201</v>
      </c>
      <c r="D9" s="142">
        <f>D27+D53</f>
        <v>17520833.333333336</v>
      </c>
      <c r="E9" s="58" t="s">
        <v>15</v>
      </c>
      <c r="F9" s="98"/>
      <c r="G9" s="98"/>
      <c r="H9" s="58"/>
      <c r="I9" s="58"/>
      <c r="J9" s="58"/>
      <c r="K9" s="58"/>
      <c r="L9" s="58"/>
      <c r="M9" s="58"/>
      <c r="N9" s="58"/>
    </row>
    <row r="10" spans="1:14" ht="17" customHeight="1">
      <c r="A10" s="55"/>
      <c r="B10" s="97"/>
      <c r="C10" s="58"/>
      <c r="D10" s="143"/>
      <c r="E10" s="98"/>
      <c r="F10" s="98"/>
      <c r="G10" s="98"/>
      <c r="H10" s="58"/>
      <c r="I10" s="58"/>
      <c r="J10" s="58"/>
      <c r="K10" s="58"/>
      <c r="L10" s="58"/>
      <c r="M10" s="58"/>
      <c r="N10" s="58"/>
    </row>
    <row r="11" spans="1:14" ht="17" customHeight="1">
      <c r="A11" s="55"/>
      <c r="B11" s="97"/>
      <c r="C11" s="58"/>
      <c r="D11" s="106">
        <f>(D67*1000)/(SUM(E101,E102)*1000000000)</f>
        <v>1.0870437202667023</v>
      </c>
      <c r="E11" s="58" t="s">
        <v>240</v>
      </c>
      <c r="F11" s="98"/>
      <c r="G11" s="98"/>
      <c r="H11" s="58"/>
      <c r="I11" s="58"/>
      <c r="J11" s="58"/>
      <c r="K11" s="58"/>
      <c r="L11" s="58"/>
      <c r="M11" s="58"/>
      <c r="N11" s="58"/>
    </row>
    <row r="12" spans="1:14" ht="17" customHeight="1">
      <c r="A12" s="55"/>
      <c r="B12" s="102"/>
      <c r="C12" s="98" t="s">
        <v>241</v>
      </c>
      <c r="D12" s="101"/>
      <c r="F12" s="58" t="s">
        <v>212</v>
      </c>
      <c r="G12" s="98"/>
      <c r="H12" s="58"/>
      <c r="I12" s="58"/>
      <c r="J12" s="58"/>
      <c r="K12" s="58"/>
      <c r="L12" s="58"/>
      <c r="M12" s="58"/>
      <c r="N12" s="58"/>
    </row>
    <row r="13" spans="1:14" ht="17" customHeight="1">
      <c r="A13" s="55"/>
      <c r="B13" s="97"/>
      <c r="C13" s="58" t="s">
        <v>205</v>
      </c>
      <c r="D13" s="101">
        <f>D66+D40</f>
        <v>11.000040367795471</v>
      </c>
      <c r="E13" s="58" t="s">
        <v>197</v>
      </c>
      <c r="F13" s="58">
        <f>D13/D15</f>
        <v>0.92359387777890134</v>
      </c>
      <c r="G13" s="98"/>
      <c r="H13" s="58"/>
      <c r="I13" s="58"/>
      <c r="J13" s="58"/>
      <c r="K13" s="58"/>
      <c r="L13" s="58"/>
      <c r="M13" s="58"/>
      <c r="N13" s="58"/>
    </row>
    <row r="14" spans="1:14" ht="17" customHeight="1">
      <c r="A14" s="55"/>
      <c r="B14" s="97"/>
      <c r="C14" s="58" t="s">
        <v>206</v>
      </c>
      <c r="D14" s="58">
        <f>D41</f>
        <v>0.91</v>
      </c>
      <c r="E14" s="58" t="s">
        <v>197</v>
      </c>
      <c r="F14" s="58">
        <f>D14/D15</f>
        <v>7.6406122221098702E-2</v>
      </c>
      <c r="G14" s="98"/>
      <c r="H14" s="58"/>
      <c r="I14" s="58"/>
      <c r="J14" s="58"/>
      <c r="K14" s="58"/>
      <c r="L14" s="58"/>
      <c r="M14" s="58"/>
      <c r="N14" s="58"/>
    </row>
    <row r="15" spans="1:14" ht="17" customHeight="1">
      <c r="A15" s="55"/>
      <c r="B15" s="97"/>
      <c r="C15" s="58" t="s">
        <v>233</v>
      </c>
      <c r="D15" s="101">
        <f>SUM(D13:D14)</f>
        <v>11.910040367795471</v>
      </c>
      <c r="E15" s="58"/>
      <c r="F15" s="58"/>
      <c r="G15" s="98"/>
      <c r="H15" s="58"/>
      <c r="I15" s="58"/>
      <c r="J15" s="58"/>
      <c r="K15" s="58"/>
      <c r="L15" s="58"/>
      <c r="M15" s="58"/>
      <c r="N15" s="58"/>
    </row>
    <row r="16" spans="1:14" ht="17" customHeight="1">
      <c r="A16" s="55"/>
      <c r="B16" s="97"/>
      <c r="C16" s="58"/>
      <c r="D16" s="143"/>
      <c r="E16" s="98"/>
      <c r="F16" s="98"/>
      <c r="G16" s="98"/>
      <c r="H16" s="58"/>
      <c r="I16" s="58"/>
      <c r="J16" s="58"/>
      <c r="K16" s="58"/>
      <c r="L16" s="58"/>
      <c r="M16" s="58"/>
      <c r="N16" s="58"/>
    </row>
    <row r="17" spans="1:14" ht="17" customHeight="1">
      <c r="A17" s="55"/>
      <c r="B17" s="97"/>
      <c r="C17" s="98"/>
      <c r="D17" s="98"/>
      <c r="E17" s="98"/>
      <c r="F17" s="98"/>
      <c r="G17" s="98"/>
      <c r="H17" s="58"/>
      <c r="I17" s="58"/>
      <c r="J17" s="58"/>
      <c r="K17" s="58"/>
      <c r="L17" s="58"/>
      <c r="M17" s="58"/>
      <c r="N17" s="58"/>
    </row>
    <row r="18" spans="1:14" ht="17" customHeight="1">
      <c r="A18" s="55"/>
      <c r="B18" s="97"/>
      <c r="C18" s="98"/>
      <c r="D18" s="98"/>
      <c r="E18" s="98"/>
      <c r="F18" s="98"/>
      <c r="G18" s="98"/>
      <c r="H18" s="58"/>
      <c r="I18" s="58"/>
      <c r="J18" s="58"/>
      <c r="K18" s="58"/>
      <c r="L18" s="58"/>
      <c r="M18" s="58"/>
      <c r="N18" s="58"/>
    </row>
    <row r="19" spans="1:14" ht="17" customHeight="1">
      <c r="A19" s="55"/>
      <c r="B19" s="97"/>
      <c r="C19" s="98" t="s">
        <v>242</v>
      </c>
      <c r="D19" s="98"/>
      <c r="E19" s="98"/>
      <c r="F19" s="98"/>
      <c r="G19" s="98"/>
      <c r="H19" s="58"/>
      <c r="I19" s="58"/>
      <c r="J19" s="58"/>
      <c r="K19" s="58"/>
      <c r="L19" s="58"/>
      <c r="M19" s="58"/>
      <c r="N19" s="58"/>
    </row>
    <row r="20" spans="1:14" ht="17" customHeight="1">
      <c r="A20" s="55"/>
      <c r="B20" s="97"/>
      <c r="C20" s="155" t="s">
        <v>195</v>
      </c>
      <c r="D20" s="98"/>
      <c r="E20" s="98"/>
      <c r="F20" s="98" t="s">
        <v>198</v>
      </c>
      <c r="H20" s="58"/>
      <c r="I20" s="58"/>
      <c r="J20" s="58"/>
      <c r="K20" s="58"/>
      <c r="L20" s="58"/>
      <c r="M20" s="58"/>
      <c r="N20" s="58"/>
    </row>
    <row r="21" spans="1:14" ht="17" customHeight="1">
      <c r="A21" s="55"/>
      <c r="B21" s="97"/>
      <c r="C21" s="58" t="s">
        <v>196</v>
      </c>
      <c r="D21" s="144">
        <v>10</v>
      </c>
      <c r="E21" s="58" t="s">
        <v>220</v>
      </c>
      <c r="F21" s="51" t="s">
        <v>199</v>
      </c>
      <c r="H21" s="58"/>
      <c r="I21" s="58"/>
      <c r="J21" s="58"/>
      <c r="K21" s="58"/>
      <c r="L21" s="58"/>
      <c r="M21" s="58"/>
      <c r="N21" s="58"/>
    </row>
    <row r="22" spans="1:14" ht="17" customHeight="1">
      <c r="A22" s="55"/>
      <c r="B22" s="97"/>
      <c r="C22" s="58"/>
      <c r="D22" s="58">
        <f>(D21/3.6)*1000000</f>
        <v>2777777.7777777775</v>
      </c>
      <c r="E22" s="58" t="s">
        <v>222</v>
      </c>
      <c r="H22" s="58"/>
      <c r="I22" s="58"/>
      <c r="J22" s="58"/>
      <c r="K22" s="58"/>
      <c r="L22" s="58"/>
      <c r="M22" s="58"/>
      <c r="N22" s="58"/>
    </row>
    <row r="23" spans="1:14" ht="17" customHeight="1">
      <c r="A23" s="55"/>
      <c r="B23" s="97"/>
      <c r="C23" s="58"/>
      <c r="D23" s="101">
        <f>D22/D30</f>
        <v>333.7872840396272</v>
      </c>
      <c r="E23" s="58" t="s">
        <v>217</v>
      </c>
      <c r="H23" s="58"/>
      <c r="I23" s="58"/>
      <c r="J23" s="58"/>
      <c r="K23" s="58"/>
      <c r="L23" s="58"/>
      <c r="M23" s="58"/>
      <c r="N23" s="58"/>
    </row>
    <row r="24" spans="1:14" ht="17" customHeight="1">
      <c r="A24" s="55"/>
      <c r="B24" s="97"/>
      <c r="C24" s="58" t="s">
        <v>65</v>
      </c>
      <c r="D24" s="144">
        <v>30</v>
      </c>
      <c r="E24" s="58" t="s">
        <v>202</v>
      </c>
      <c r="F24" s="51" t="s">
        <v>200</v>
      </c>
      <c r="H24" s="58"/>
      <c r="I24" s="58"/>
      <c r="J24" s="58"/>
      <c r="K24" s="58"/>
      <c r="L24" s="58"/>
      <c r="M24" s="58"/>
      <c r="N24" s="58"/>
    </row>
    <row r="25" spans="1:14" ht="17" customHeight="1">
      <c r="A25" s="55"/>
      <c r="B25" s="97"/>
      <c r="C25" s="58"/>
      <c r="D25" s="58">
        <f>D24*1000000*D21</f>
        <v>300000000</v>
      </c>
      <c r="E25" s="58" t="s">
        <v>15</v>
      </c>
      <c r="H25" s="58"/>
      <c r="I25" s="58"/>
      <c r="J25" s="58"/>
      <c r="K25" s="58"/>
      <c r="L25" s="58"/>
      <c r="M25" s="58"/>
      <c r="N25" s="58"/>
    </row>
    <row r="26" spans="1:14" ht="17" customHeight="1">
      <c r="A26" s="55"/>
      <c r="B26" s="97"/>
      <c r="C26" s="58" t="s">
        <v>201</v>
      </c>
      <c r="D26" s="144">
        <v>1.2</v>
      </c>
      <c r="E26" s="58" t="s">
        <v>202</v>
      </c>
      <c r="F26" s="58" t="s">
        <v>203</v>
      </c>
      <c r="G26" s="98"/>
      <c r="H26" s="58"/>
      <c r="I26" s="58"/>
      <c r="J26" s="58"/>
      <c r="K26" s="58"/>
      <c r="L26" s="58"/>
      <c r="M26" s="58"/>
      <c r="N26" s="58"/>
    </row>
    <row r="27" spans="1:14" ht="17" customHeight="1">
      <c r="A27" s="55"/>
      <c r="B27" s="97"/>
      <c r="C27" s="58"/>
      <c r="D27" s="58">
        <f>D26*D21*1000000</f>
        <v>12000000</v>
      </c>
      <c r="E27" s="58" t="s">
        <v>15</v>
      </c>
      <c r="F27" s="58"/>
      <c r="G27" s="98"/>
      <c r="H27" s="58"/>
      <c r="I27" s="58"/>
      <c r="J27" s="58"/>
      <c r="K27" s="58"/>
      <c r="L27" s="58"/>
      <c r="M27" s="58"/>
      <c r="N27" s="58"/>
    </row>
    <row r="28" spans="1:14" ht="17" customHeight="1">
      <c r="A28" s="55"/>
      <c r="B28" s="97"/>
      <c r="C28" s="58" t="s">
        <v>137</v>
      </c>
      <c r="D28" s="141">
        <v>0.88</v>
      </c>
      <c r="E28" s="58" t="s">
        <v>225</v>
      </c>
      <c r="F28" s="58"/>
      <c r="G28" s="98"/>
      <c r="H28" s="58"/>
      <c r="I28" s="58"/>
      <c r="J28" s="58"/>
      <c r="K28" s="58"/>
      <c r="L28" s="58"/>
      <c r="M28" s="58"/>
      <c r="N28" s="58"/>
    </row>
    <row r="29" spans="1:14" ht="17" customHeight="1">
      <c r="A29" s="55"/>
      <c r="B29" s="97"/>
      <c r="C29" s="58"/>
      <c r="D29" s="141"/>
      <c r="E29" s="58"/>
      <c r="F29" s="58"/>
      <c r="G29" s="98"/>
      <c r="H29" s="58"/>
      <c r="I29" s="58"/>
      <c r="J29" s="58"/>
      <c r="K29" s="58"/>
      <c r="L29" s="58"/>
      <c r="M29" s="58"/>
      <c r="N29" s="58"/>
    </row>
    <row r="30" spans="1:14" ht="17" customHeight="1">
      <c r="A30" s="55"/>
      <c r="B30" s="97"/>
      <c r="C30" s="58" t="s">
        <v>213</v>
      </c>
      <c r="D30" s="145">
        <v>8322</v>
      </c>
      <c r="E30" s="58"/>
      <c r="F30" s="58"/>
      <c r="G30" s="98"/>
      <c r="H30" s="58"/>
      <c r="I30" s="58"/>
      <c r="J30" s="58"/>
      <c r="K30" s="58"/>
      <c r="L30" s="58"/>
      <c r="M30" s="58"/>
      <c r="N30" s="58"/>
    </row>
    <row r="31" spans="1:14" ht="17" customHeight="1">
      <c r="A31" s="55"/>
      <c r="B31" s="97"/>
      <c r="C31" s="58" t="s">
        <v>214</v>
      </c>
      <c r="D31" s="146">
        <v>1</v>
      </c>
      <c r="E31" s="58"/>
      <c r="F31" s="58"/>
      <c r="G31" s="98"/>
      <c r="H31" s="58"/>
      <c r="I31" s="58"/>
      <c r="J31" s="58"/>
      <c r="K31" s="58"/>
      <c r="L31" s="58"/>
      <c r="M31" s="58"/>
      <c r="N31" s="58"/>
    </row>
    <row r="32" spans="1:14" ht="17" customHeight="1">
      <c r="A32" s="55"/>
      <c r="B32" s="97"/>
      <c r="C32" s="58" t="s">
        <v>215</v>
      </c>
      <c r="D32" s="146">
        <v>25</v>
      </c>
      <c r="E32" s="58"/>
      <c r="F32" s="58"/>
      <c r="G32" s="98"/>
      <c r="H32" s="58"/>
      <c r="I32" s="58"/>
      <c r="J32" s="58"/>
      <c r="K32" s="58"/>
      <c r="L32" s="58"/>
      <c r="M32" s="58"/>
      <c r="N32" s="58"/>
    </row>
    <row r="33" spans="1:14" ht="17" customHeight="1">
      <c r="A33" s="55"/>
      <c r="B33" s="97"/>
      <c r="C33" s="58" t="s">
        <v>216</v>
      </c>
      <c r="D33" s="147">
        <v>0.9</v>
      </c>
      <c r="E33" s="58"/>
      <c r="F33" s="58"/>
      <c r="G33" s="98"/>
      <c r="H33" s="58"/>
      <c r="I33" s="58"/>
      <c r="J33" s="58"/>
      <c r="K33" s="58"/>
      <c r="L33" s="58"/>
      <c r="M33" s="58"/>
      <c r="N33" s="58"/>
    </row>
    <row r="34" spans="1:14" ht="17" customHeight="1">
      <c r="B34" s="97"/>
      <c r="C34" s="58"/>
      <c r="D34" s="58"/>
      <c r="E34" s="58"/>
      <c r="F34" s="58"/>
      <c r="G34" s="98"/>
      <c r="H34" s="58"/>
      <c r="I34" s="58"/>
      <c r="J34" s="58"/>
      <c r="K34" s="58"/>
      <c r="L34" s="58"/>
      <c r="M34" s="58"/>
      <c r="N34" s="58"/>
    </row>
    <row r="35" spans="1:14" ht="17" customHeight="1">
      <c r="A35" s="55"/>
      <c r="B35" s="97"/>
      <c r="C35" s="98" t="s">
        <v>207</v>
      </c>
      <c r="D35" s="58"/>
      <c r="E35" s="58"/>
      <c r="F35" s="58" t="s">
        <v>212</v>
      </c>
      <c r="G35" s="98"/>
      <c r="H35" s="58"/>
      <c r="I35" s="58"/>
      <c r="J35" s="58"/>
      <c r="K35" s="58"/>
      <c r="L35" s="58"/>
      <c r="M35" s="58"/>
      <c r="N35" s="58"/>
    </row>
    <row r="36" spans="1:14" ht="17" customHeight="1">
      <c r="A36" s="55"/>
      <c r="B36" s="97"/>
      <c r="C36" s="58" t="s">
        <v>208</v>
      </c>
      <c r="D36" s="148">
        <v>0.5</v>
      </c>
      <c r="E36" s="58" t="s">
        <v>197</v>
      </c>
      <c r="F36" s="58"/>
      <c r="G36" s="98"/>
      <c r="H36" s="58"/>
      <c r="I36" s="58"/>
      <c r="J36" s="58"/>
      <c r="K36" s="58"/>
      <c r="L36" s="58"/>
      <c r="M36" s="58"/>
      <c r="N36" s="58"/>
    </row>
    <row r="37" spans="1:14" ht="17" customHeight="1">
      <c r="A37" s="55"/>
      <c r="B37" s="97"/>
      <c r="C37" s="58" t="s">
        <v>209</v>
      </c>
      <c r="D37" s="149">
        <v>0.25</v>
      </c>
      <c r="E37" s="58" t="s">
        <v>197</v>
      </c>
      <c r="F37" s="58"/>
      <c r="G37" s="98"/>
      <c r="H37" s="58"/>
      <c r="I37" s="58"/>
      <c r="J37" s="58"/>
      <c r="K37" s="58"/>
      <c r="L37" s="58"/>
      <c r="M37" s="58"/>
      <c r="N37" s="58"/>
    </row>
    <row r="38" spans="1:14" ht="17" customHeight="1">
      <c r="A38" s="55"/>
      <c r="B38" s="97"/>
      <c r="C38" s="58" t="s">
        <v>210</v>
      </c>
      <c r="D38" s="150">
        <v>0.25</v>
      </c>
      <c r="E38" s="58" t="s">
        <v>197</v>
      </c>
      <c r="F38" s="58"/>
      <c r="G38" s="98"/>
      <c r="H38" s="58"/>
      <c r="I38" s="58"/>
      <c r="J38" s="58"/>
      <c r="K38" s="58"/>
      <c r="L38" s="58"/>
      <c r="M38" s="58"/>
      <c r="N38" s="58"/>
    </row>
    <row r="39" spans="1:14" ht="17" customHeight="1">
      <c r="A39" s="55"/>
      <c r="B39" s="97"/>
      <c r="C39" s="98" t="s">
        <v>204</v>
      </c>
      <c r="D39" s="58"/>
      <c r="E39" s="58"/>
      <c r="F39" s="58"/>
      <c r="G39" s="98"/>
      <c r="H39" s="58"/>
      <c r="I39" s="58"/>
      <c r="J39" s="58"/>
      <c r="K39" s="58"/>
      <c r="L39" s="58"/>
      <c r="M39" s="58"/>
      <c r="N39" s="58"/>
    </row>
    <row r="40" spans="1:14" ht="17" customHeight="1">
      <c r="A40" s="55"/>
      <c r="B40" s="97"/>
      <c r="C40" s="58" t="s">
        <v>205</v>
      </c>
      <c r="D40" s="148">
        <v>0.02</v>
      </c>
      <c r="E40" s="58" t="s">
        <v>197</v>
      </c>
      <c r="F40" s="58"/>
      <c r="G40" s="98"/>
      <c r="H40" s="58"/>
      <c r="I40" s="58"/>
      <c r="J40" s="58"/>
      <c r="K40" s="58"/>
      <c r="L40" s="58"/>
      <c r="M40" s="58"/>
      <c r="N40" s="58"/>
    </row>
    <row r="41" spans="1:14" ht="17" customHeight="1">
      <c r="A41" s="55"/>
      <c r="B41" s="97"/>
      <c r="C41" s="58" t="s">
        <v>206</v>
      </c>
      <c r="D41" s="149">
        <v>0.91</v>
      </c>
      <c r="E41" s="58" t="s">
        <v>197</v>
      </c>
      <c r="F41" s="58"/>
      <c r="G41" s="98"/>
      <c r="H41" s="58"/>
      <c r="I41" s="58"/>
      <c r="J41" s="58"/>
      <c r="K41" s="58"/>
      <c r="L41" s="58"/>
      <c r="M41" s="58"/>
      <c r="N41" s="58"/>
    </row>
    <row r="42" spans="1:14" ht="17" customHeight="1">
      <c r="A42" s="55"/>
      <c r="B42" s="97"/>
      <c r="C42" s="58" t="s">
        <v>54</v>
      </c>
      <c r="D42" s="150">
        <v>0.53</v>
      </c>
      <c r="E42" s="58" t="s">
        <v>197</v>
      </c>
      <c r="F42" s="58"/>
      <c r="G42" s="98"/>
      <c r="H42" s="58"/>
      <c r="I42" s="58"/>
      <c r="J42" s="58"/>
      <c r="K42" s="58"/>
      <c r="L42" s="58"/>
      <c r="M42" s="58"/>
      <c r="N42" s="58"/>
    </row>
    <row r="43" spans="1:14" ht="17" customHeight="1">
      <c r="A43" s="55"/>
      <c r="B43" s="97"/>
      <c r="C43" s="58" t="s">
        <v>211</v>
      </c>
      <c r="D43" s="58">
        <f>SUM(D40:D42)</f>
        <v>1.46</v>
      </c>
      <c r="E43" s="58" t="s">
        <v>197</v>
      </c>
      <c r="F43" s="58"/>
      <c r="G43" s="98"/>
      <c r="H43" s="58"/>
      <c r="I43" s="58"/>
      <c r="J43" s="58"/>
      <c r="K43" s="58"/>
      <c r="L43" s="58"/>
      <c r="M43" s="58"/>
      <c r="N43" s="58"/>
    </row>
    <row r="44" spans="1:14" ht="17" customHeight="1">
      <c r="A44" s="55"/>
      <c r="B44" s="97"/>
      <c r="C44" s="58"/>
      <c r="D44" s="58"/>
      <c r="E44" s="58"/>
      <c r="F44" s="58"/>
      <c r="G44" s="98"/>
      <c r="H44" s="58"/>
      <c r="I44" s="58"/>
      <c r="J44" s="58"/>
      <c r="K44" s="58"/>
      <c r="L44" s="58"/>
      <c r="M44" s="58"/>
      <c r="N44" s="58"/>
    </row>
    <row r="45" spans="1:14" ht="17" customHeight="1">
      <c r="A45" s="55"/>
      <c r="B45" s="97"/>
      <c r="C45" s="58" t="s">
        <v>219</v>
      </c>
      <c r="D45" s="58"/>
      <c r="E45" s="58">
        <f>D21*D42</f>
        <v>5.3000000000000007</v>
      </c>
      <c r="F45" s="58" t="s">
        <v>220</v>
      </c>
      <c r="G45" s="98"/>
      <c r="H45" s="58"/>
      <c r="I45" s="58"/>
      <c r="J45" s="58"/>
      <c r="K45" s="58"/>
      <c r="L45" s="58"/>
      <c r="M45" s="58"/>
      <c r="N45" s="58"/>
    </row>
    <row r="46" spans="1:14" ht="17" customHeight="1">
      <c r="A46" s="55"/>
      <c r="B46" s="97"/>
      <c r="C46" s="58"/>
      <c r="D46" s="58"/>
      <c r="E46" s="58">
        <v>1000</v>
      </c>
      <c r="F46" s="58" t="s">
        <v>230</v>
      </c>
      <c r="G46" s="98"/>
      <c r="H46" s="58"/>
      <c r="I46" s="58"/>
      <c r="J46" s="58"/>
      <c r="K46" s="58"/>
      <c r="L46" s="58"/>
      <c r="M46" s="58"/>
      <c r="N46" s="58"/>
    </row>
    <row r="47" spans="1:14" ht="17" customHeight="1">
      <c r="A47" s="55"/>
      <c r="B47" s="97"/>
      <c r="C47" s="58"/>
      <c r="D47" s="58"/>
      <c r="E47" s="58">
        <f>E45*1000000000/E91</f>
        <v>529470529.47052956</v>
      </c>
      <c r="F47" s="58" t="s">
        <v>226</v>
      </c>
      <c r="G47" s="98"/>
      <c r="H47" s="58"/>
      <c r="I47" s="58"/>
      <c r="J47" s="58"/>
      <c r="K47" s="58"/>
      <c r="L47" s="58"/>
      <c r="M47" s="58"/>
      <c r="N47" s="58"/>
    </row>
    <row r="48" spans="1:14" ht="17" customHeight="1">
      <c r="A48" s="55"/>
      <c r="B48" s="97"/>
      <c r="C48" s="58"/>
      <c r="D48" s="58"/>
      <c r="E48" s="58">
        <f>E47/E46</f>
        <v>529470.52947052952</v>
      </c>
      <c r="F48" s="58" t="s">
        <v>227</v>
      </c>
      <c r="G48" s="98"/>
      <c r="H48" s="58"/>
      <c r="I48" s="58"/>
      <c r="J48" s="58"/>
      <c r="K48" s="58"/>
      <c r="L48" s="58"/>
      <c r="M48" s="58"/>
      <c r="N48" s="58"/>
    </row>
    <row r="49" spans="1:14" ht="17" customHeight="1">
      <c r="A49" s="55"/>
      <c r="B49" s="97"/>
      <c r="C49" s="155" t="s">
        <v>192</v>
      </c>
      <c r="D49" s="58"/>
      <c r="E49" s="58"/>
      <c r="F49" s="58"/>
      <c r="G49" s="98"/>
      <c r="H49" s="58"/>
      <c r="I49" s="58"/>
      <c r="J49" s="58"/>
      <c r="K49" s="58"/>
      <c r="L49" s="58"/>
      <c r="M49" s="58"/>
      <c r="N49" s="58"/>
    </row>
    <row r="50" spans="1:14" ht="17" customHeight="1">
      <c r="A50" s="55"/>
      <c r="B50" s="97"/>
      <c r="C50" s="58" t="s">
        <v>218</v>
      </c>
      <c r="D50" s="58">
        <f>E184</f>
        <v>1000</v>
      </c>
      <c r="E50" s="58" t="s">
        <v>147</v>
      </c>
      <c r="F50" s="58"/>
      <c r="G50" s="98"/>
      <c r="H50" s="58"/>
      <c r="I50" s="58"/>
      <c r="J50" s="58"/>
      <c r="K50" s="58"/>
      <c r="L50" s="58"/>
      <c r="M50" s="58"/>
      <c r="N50" s="58"/>
    </row>
    <row r="51" spans="1:14" ht="17" customHeight="1">
      <c r="A51" s="55"/>
      <c r="B51" s="97"/>
      <c r="C51" s="58"/>
      <c r="D51" s="58">
        <f>D50*D57*1000</f>
        <v>184027777.77777779</v>
      </c>
      <c r="E51" s="58"/>
      <c r="F51" s="58"/>
      <c r="G51" s="98"/>
      <c r="H51" s="58"/>
      <c r="I51" s="58"/>
      <c r="J51" s="58"/>
      <c r="K51" s="58"/>
      <c r="L51" s="58"/>
      <c r="M51" s="58"/>
      <c r="N51" s="58"/>
    </row>
    <row r="52" spans="1:14" ht="17" customHeight="1">
      <c r="A52" s="55"/>
      <c r="B52" s="97"/>
      <c r="C52" s="58" t="s">
        <v>201</v>
      </c>
      <c r="D52" s="58">
        <v>3</v>
      </c>
      <c r="E52" s="58" t="s">
        <v>39</v>
      </c>
      <c r="F52" s="58"/>
      <c r="G52" s="98"/>
      <c r="H52" s="58"/>
      <c r="I52" s="58"/>
      <c r="J52" s="58"/>
      <c r="K52" s="58"/>
      <c r="L52" s="58"/>
      <c r="M52" s="58"/>
      <c r="N52" s="58"/>
    </row>
    <row r="53" spans="1:14" ht="17" customHeight="1">
      <c r="A53" s="55"/>
      <c r="B53" s="97"/>
      <c r="C53" s="58"/>
      <c r="D53" s="58">
        <f>D51*D52/100</f>
        <v>5520833.333333334</v>
      </c>
      <c r="E53" s="58" t="s">
        <v>15</v>
      </c>
      <c r="F53" s="58"/>
      <c r="G53" s="98"/>
      <c r="H53" s="58"/>
      <c r="I53" s="58"/>
      <c r="J53" s="58"/>
      <c r="K53" s="58"/>
      <c r="L53" s="58"/>
      <c r="M53" s="58"/>
      <c r="N53" s="58"/>
    </row>
    <row r="54" spans="1:14" ht="17" customHeight="1">
      <c r="A54" s="55"/>
      <c r="B54" s="97"/>
      <c r="C54" s="58"/>
      <c r="D54" s="58"/>
      <c r="E54" s="58"/>
      <c r="F54" s="58"/>
      <c r="G54" s="98"/>
      <c r="H54" s="58"/>
      <c r="I54" s="58"/>
      <c r="J54" s="58"/>
      <c r="K54" s="58"/>
      <c r="L54" s="58"/>
      <c r="M54" s="58"/>
      <c r="N54" s="58"/>
    </row>
    <row r="55" spans="1:14" ht="17" customHeight="1">
      <c r="A55" s="55"/>
      <c r="B55" s="97"/>
      <c r="C55" s="58" t="s">
        <v>221</v>
      </c>
      <c r="D55" s="58">
        <f>E45</f>
        <v>5.3000000000000007</v>
      </c>
      <c r="E55" s="58" t="s">
        <v>220</v>
      </c>
      <c r="F55" s="58"/>
      <c r="G55" s="98"/>
      <c r="H55" s="58"/>
      <c r="I55" s="58"/>
      <c r="J55" s="58"/>
      <c r="K55" s="58"/>
      <c r="L55" s="58"/>
      <c r="M55" s="58"/>
      <c r="N55" s="58"/>
    </row>
    <row r="56" spans="1:14" ht="17" customHeight="1">
      <c r="A56" s="55"/>
      <c r="B56" s="97"/>
      <c r="C56" s="58"/>
      <c r="D56" s="58">
        <f>(D55/3.6)*1000000</f>
        <v>1472222.2222222222</v>
      </c>
      <c r="E56" s="58" t="s">
        <v>222</v>
      </c>
      <c r="F56" s="58"/>
      <c r="G56" s="98"/>
      <c r="H56" s="58"/>
      <c r="I56" s="58"/>
      <c r="J56" s="58"/>
      <c r="K56" s="58"/>
      <c r="L56" s="58"/>
      <c r="M56" s="58"/>
      <c r="N56" s="58"/>
    </row>
    <row r="57" spans="1:14" ht="17" customHeight="1">
      <c r="A57" s="55"/>
      <c r="B57" s="97"/>
      <c r="C57" s="58"/>
      <c r="D57" s="101">
        <f>D56/D58</f>
        <v>184.02777777777777</v>
      </c>
      <c r="E57" s="58" t="s">
        <v>217</v>
      </c>
      <c r="F57" s="58"/>
      <c r="G57" s="98"/>
      <c r="H57" s="58"/>
      <c r="I57" s="58"/>
      <c r="J57" s="58"/>
      <c r="K57" s="58"/>
      <c r="L57" s="58"/>
      <c r="M57" s="58"/>
      <c r="N57" s="58"/>
    </row>
    <row r="58" spans="1:14" ht="17" customHeight="1">
      <c r="A58" s="55"/>
      <c r="B58" s="97"/>
      <c r="C58" s="58" t="s">
        <v>213</v>
      </c>
      <c r="D58" s="58">
        <f>E165</f>
        <v>8000</v>
      </c>
      <c r="E58" s="58"/>
      <c r="F58" s="58"/>
      <c r="G58" s="98"/>
      <c r="H58" s="58"/>
      <c r="I58" s="58"/>
      <c r="J58" s="58"/>
      <c r="K58" s="58"/>
      <c r="L58" s="58"/>
      <c r="M58" s="58"/>
      <c r="N58" s="58"/>
    </row>
    <row r="59" spans="1:14" ht="17" customHeight="1">
      <c r="A59" s="55"/>
      <c r="B59" s="97"/>
      <c r="C59" s="58" t="s">
        <v>215</v>
      </c>
      <c r="D59" s="58">
        <f>E174</f>
        <v>25</v>
      </c>
      <c r="E59" s="58"/>
      <c r="F59" s="58"/>
      <c r="G59" s="98"/>
      <c r="H59" s="58"/>
      <c r="I59" s="58"/>
      <c r="J59" s="58"/>
      <c r="K59" s="58"/>
      <c r="L59" s="58"/>
      <c r="M59" s="58"/>
      <c r="N59" s="58"/>
    </row>
    <row r="60" spans="1:14" ht="17" customHeight="1">
      <c r="A60" s="55"/>
      <c r="B60" s="97"/>
      <c r="C60" s="58"/>
      <c r="D60" s="58">
        <v>0.63600000000000001</v>
      </c>
      <c r="E60" s="58" t="s">
        <v>231</v>
      </c>
      <c r="F60" s="58"/>
      <c r="G60" s="98"/>
      <c r="H60" s="58"/>
      <c r="I60" s="58"/>
      <c r="J60" s="58"/>
      <c r="K60" s="58"/>
      <c r="L60" s="58"/>
      <c r="M60" s="58"/>
      <c r="N60" s="58"/>
    </row>
    <row r="61" spans="1:14" ht="17" customHeight="1">
      <c r="A61" s="55"/>
      <c r="B61" s="97"/>
      <c r="C61" s="58"/>
      <c r="D61" s="58"/>
      <c r="E61" s="58"/>
      <c r="F61" s="58"/>
      <c r="G61" s="98"/>
      <c r="H61" s="58"/>
      <c r="I61" s="58"/>
      <c r="J61" s="58"/>
      <c r="K61" s="58"/>
      <c r="L61" s="58"/>
      <c r="M61" s="58"/>
      <c r="N61" s="58"/>
    </row>
    <row r="62" spans="1:14" ht="17" customHeight="1">
      <c r="A62" s="55"/>
      <c r="B62" s="97"/>
      <c r="C62" s="55" t="s">
        <v>207</v>
      </c>
      <c r="D62" s="58"/>
      <c r="E62" s="58"/>
      <c r="F62" s="58"/>
      <c r="G62" s="98"/>
      <c r="H62" s="58"/>
      <c r="I62" s="58"/>
      <c r="J62" s="58"/>
      <c r="K62" s="58"/>
      <c r="L62" s="58"/>
      <c r="M62" s="58"/>
      <c r="N62" s="58"/>
    </row>
    <row r="63" spans="1:14" ht="17" customHeight="1">
      <c r="A63" s="55"/>
      <c r="B63" s="97"/>
      <c r="C63" s="58" t="s">
        <v>54</v>
      </c>
      <c r="D63" s="58">
        <v>5.3</v>
      </c>
      <c r="E63" s="58" t="s">
        <v>197</v>
      </c>
      <c r="F63" s="58"/>
      <c r="G63" s="98"/>
      <c r="H63" s="58"/>
      <c r="I63" s="58"/>
      <c r="J63" s="58"/>
      <c r="K63" s="58"/>
      <c r="L63" s="58"/>
      <c r="M63" s="58"/>
      <c r="N63" s="58"/>
    </row>
    <row r="64" spans="1:14" ht="17" customHeight="1">
      <c r="A64" s="55"/>
      <c r="B64" s="97"/>
      <c r="C64" s="98" t="s">
        <v>204</v>
      </c>
      <c r="D64" s="101"/>
      <c r="F64" s="58"/>
      <c r="G64" s="98"/>
      <c r="H64" s="58"/>
      <c r="I64" s="58"/>
      <c r="J64" s="58"/>
      <c r="K64" s="58"/>
      <c r="L64" s="58"/>
      <c r="M64" s="58"/>
      <c r="N64" s="58"/>
    </row>
    <row r="65" spans="1:14" ht="17" customHeight="1">
      <c r="A65" s="55"/>
      <c r="B65" s="97"/>
      <c r="C65" s="58" t="s">
        <v>228</v>
      </c>
      <c r="D65" s="101">
        <f>E48*E177</f>
        <v>3050011213.2765198</v>
      </c>
      <c r="E65" s="51" t="s">
        <v>229</v>
      </c>
      <c r="F65" s="58"/>
      <c r="G65" s="98"/>
      <c r="H65" s="58"/>
      <c r="I65" s="58"/>
      <c r="J65" s="58"/>
      <c r="K65" s="58"/>
      <c r="L65" s="58"/>
      <c r="M65" s="58"/>
      <c r="N65" s="58"/>
    </row>
    <row r="66" spans="1:14" ht="17" customHeight="1">
      <c r="A66" s="55"/>
      <c r="B66" s="102"/>
      <c r="C66" s="58"/>
      <c r="D66" s="101">
        <f>D65*3.6/1000000000</f>
        <v>10.980040367795471</v>
      </c>
      <c r="E66" s="51" t="s">
        <v>197</v>
      </c>
      <c r="F66" s="58"/>
      <c r="G66" s="98"/>
      <c r="H66" s="58"/>
      <c r="I66" s="58"/>
      <c r="J66" s="58"/>
      <c r="K66" s="58"/>
      <c r="L66" s="58"/>
      <c r="M66" s="58"/>
      <c r="N66" s="58"/>
    </row>
    <row r="67" spans="1:14">
      <c r="B67" s="126"/>
      <c r="C67" s="51" t="s">
        <v>55</v>
      </c>
      <c r="D67" s="51">
        <f>E48/D60</f>
        <v>832500.83250083262</v>
      </c>
      <c r="E67" s="51" t="s">
        <v>227</v>
      </c>
    </row>
    <row r="68" spans="1:14">
      <c r="B68" s="126"/>
      <c r="D68" s="51">
        <f>D67/1000000</f>
        <v>0.83250083250083262</v>
      </c>
      <c r="E68" s="51" t="s">
        <v>232</v>
      </c>
    </row>
    <row r="69" spans="1:14" ht="17" customHeight="1">
      <c r="A69" s="55"/>
      <c r="B69" s="102"/>
      <c r="C69" s="58"/>
      <c r="D69" s="101"/>
      <c r="F69" s="58"/>
      <c r="G69" s="98"/>
      <c r="H69" s="58"/>
      <c r="I69" s="58"/>
      <c r="J69" s="58"/>
      <c r="K69" s="58"/>
      <c r="L69" s="58"/>
      <c r="M69" s="58"/>
      <c r="N69" s="58"/>
    </row>
    <row r="70" spans="1:14" ht="17" customHeight="1">
      <c r="A70" s="55"/>
      <c r="B70" s="97"/>
      <c r="C70" s="58"/>
      <c r="D70" s="58"/>
      <c r="E70" s="58"/>
      <c r="F70" s="58"/>
      <c r="G70" s="98"/>
      <c r="H70" s="58"/>
      <c r="I70" s="58"/>
      <c r="J70" s="58"/>
      <c r="K70" s="58"/>
      <c r="L70" s="58"/>
      <c r="M70" s="58"/>
      <c r="N70" s="58"/>
    </row>
    <row r="71" spans="1:14" s="121" customFormat="1" ht="17" customHeight="1">
      <c r="A71" s="124"/>
      <c r="B71" s="153"/>
      <c r="G71" s="124"/>
    </row>
    <row r="72" spans="1:14" ht="17" customHeight="1">
      <c r="A72" s="55"/>
      <c r="B72" s="97"/>
      <c r="C72" s="98"/>
      <c r="D72" s="98"/>
      <c r="E72" s="98"/>
      <c r="F72" s="98"/>
      <c r="G72" s="98"/>
      <c r="H72" s="58"/>
      <c r="I72" s="58"/>
      <c r="J72" s="58"/>
      <c r="K72" s="58"/>
      <c r="L72" s="58"/>
      <c r="M72" s="58"/>
      <c r="N72" s="58"/>
    </row>
    <row r="73" spans="1:14" ht="17" customHeight="1">
      <c r="A73" s="55"/>
      <c r="B73" s="97"/>
      <c r="C73" s="98" t="s">
        <v>191</v>
      </c>
      <c r="D73" s="98"/>
      <c r="E73" s="98"/>
      <c r="F73" s="98"/>
      <c r="G73" s="98"/>
      <c r="H73" s="58"/>
      <c r="I73" s="58"/>
      <c r="J73" s="58"/>
      <c r="K73" s="58"/>
      <c r="L73" s="58"/>
      <c r="M73" s="58"/>
      <c r="N73" s="58"/>
    </row>
    <row r="74" spans="1:14" ht="17" customHeight="1">
      <c r="A74" s="55"/>
      <c r="B74" s="97"/>
      <c r="C74" s="98"/>
      <c r="D74" s="98" t="s">
        <v>55</v>
      </c>
      <c r="E74" s="98" t="s">
        <v>192</v>
      </c>
      <c r="F74" s="113" t="s">
        <v>54</v>
      </c>
      <c r="G74" s="113" t="s">
        <v>52</v>
      </c>
      <c r="H74" s="113"/>
      <c r="I74" s="113" t="s">
        <v>56</v>
      </c>
      <c r="J74" s="113" t="s">
        <v>120</v>
      </c>
      <c r="K74" s="58"/>
      <c r="L74" s="58"/>
      <c r="M74" s="58"/>
      <c r="N74" s="58"/>
    </row>
    <row r="75" spans="1:14" ht="17" customHeight="1">
      <c r="A75" s="55"/>
      <c r="B75" s="97"/>
      <c r="C75" s="98"/>
      <c r="D75" s="113">
        <v>11</v>
      </c>
      <c r="E75" s="116" t="s">
        <v>119</v>
      </c>
      <c r="F75" s="113">
        <v>11</v>
      </c>
      <c r="G75" s="113">
        <v>23</v>
      </c>
      <c r="H75" s="114" t="s">
        <v>119</v>
      </c>
      <c r="I75" s="113">
        <v>1</v>
      </c>
      <c r="J75" s="113">
        <v>11</v>
      </c>
      <c r="L75" s="58"/>
      <c r="M75" s="58"/>
      <c r="N75" s="58"/>
    </row>
    <row r="76" spans="1:14" ht="17" customHeight="1">
      <c r="A76" s="55"/>
      <c r="B76" s="97"/>
      <c r="C76" s="98" t="s">
        <v>50</v>
      </c>
      <c r="D76" s="98"/>
      <c r="L76" s="58"/>
      <c r="M76" s="58"/>
      <c r="N76" s="58"/>
    </row>
    <row r="77" spans="1:14" ht="17" customHeight="1">
      <c r="A77" s="55"/>
      <c r="B77" s="97"/>
      <c r="C77" s="58" t="s">
        <v>51</v>
      </c>
      <c r="D77" s="58"/>
      <c r="E77" s="58"/>
      <c r="F77" s="98"/>
      <c r="G77" s="98"/>
      <c r="H77" s="58"/>
      <c r="I77" s="58"/>
      <c r="J77" s="58"/>
      <c r="K77" s="58"/>
      <c r="L77" s="58"/>
      <c r="M77" s="58"/>
      <c r="N77" s="58"/>
    </row>
    <row r="78" spans="1:14" ht="17" customHeight="1">
      <c r="A78" s="55"/>
      <c r="B78" s="97"/>
      <c r="C78" s="58" t="s">
        <v>52</v>
      </c>
      <c r="E78" s="58">
        <v>2.016</v>
      </c>
      <c r="F78" s="58" t="s">
        <v>53</v>
      </c>
      <c r="G78" s="98"/>
      <c r="H78" s="98"/>
      <c r="I78" s="58"/>
      <c r="J78" s="58"/>
      <c r="K78" s="58"/>
      <c r="L78" s="58"/>
      <c r="M78" s="58"/>
      <c r="N78" s="58"/>
    </row>
    <row r="79" spans="1:14" ht="17" customHeight="1">
      <c r="A79" s="55"/>
      <c r="B79" s="97"/>
      <c r="C79" s="58" t="s">
        <v>54</v>
      </c>
      <c r="E79" s="58">
        <v>28</v>
      </c>
      <c r="F79" s="58" t="s">
        <v>53</v>
      </c>
      <c r="G79" s="98"/>
      <c r="H79" s="98"/>
      <c r="I79" s="58"/>
      <c r="J79" s="58"/>
      <c r="K79" s="58"/>
      <c r="L79" s="58"/>
      <c r="M79" s="58"/>
      <c r="N79" s="58"/>
    </row>
    <row r="80" spans="1:14" ht="17" customHeight="1">
      <c r="A80" s="55"/>
      <c r="B80" s="97"/>
      <c r="C80" s="58" t="s">
        <v>55</v>
      </c>
      <c r="E80" s="58">
        <v>44</v>
      </c>
      <c r="F80" s="58" t="s">
        <v>53</v>
      </c>
      <c r="G80" s="98"/>
      <c r="H80" s="98"/>
      <c r="I80" s="58"/>
      <c r="J80" s="58"/>
      <c r="K80" s="58"/>
      <c r="L80" s="58"/>
      <c r="M80" s="58"/>
      <c r="N80" s="58"/>
    </row>
    <row r="81" spans="1:14" ht="17" customHeight="1">
      <c r="A81" s="55"/>
      <c r="B81" s="97"/>
      <c r="C81" s="58" t="s">
        <v>56</v>
      </c>
      <c r="E81" s="58">
        <f>12*11+1.008*24</f>
        <v>156.19200000000001</v>
      </c>
      <c r="F81" s="58" t="s">
        <v>53</v>
      </c>
      <c r="G81" s="98"/>
      <c r="H81" s="98"/>
      <c r="I81" s="58"/>
      <c r="J81" s="58"/>
      <c r="K81" s="58"/>
      <c r="L81" s="58"/>
      <c r="M81" s="58"/>
      <c r="N81" s="58"/>
    </row>
    <row r="82" spans="1:14" ht="17" customHeight="1">
      <c r="A82" s="55"/>
      <c r="B82" s="97"/>
      <c r="C82" s="58" t="s">
        <v>57</v>
      </c>
      <c r="E82" s="58">
        <v>32</v>
      </c>
      <c r="F82" s="58" t="s">
        <v>53</v>
      </c>
      <c r="G82" s="98"/>
      <c r="H82" s="98"/>
      <c r="I82" s="58"/>
      <c r="J82" s="58"/>
      <c r="K82" s="58"/>
      <c r="L82" s="58"/>
      <c r="M82" s="58"/>
      <c r="N82" s="58"/>
    </row>
    <row r="83" spans="1:14" ht="17" customHeight="1">
      <c r="A83" s="55"/>
      <c r="B83" s="97"/>
      <c r="C83" s="58" t="s">
        <v>58</v>
      </c>
      <c r="E83" s="58">
        <v>32.031999999999996</v>
      </c>
      <c r="F83" s="58" t="s">
        <v>53</v>
      </c>
      <c r="G83" s="98"/>
      <c r="H83" s="98"/>
      <c r="I83" s="58"/>
      <c r="J83" s="58"/>
      <c r="K83" s="58"/>
      <c r="L83" s="58"/>
      <c r="M83" s="58"/>
      <c r="N83" s="58"/>
    </row>
    <row r="84" spans="1:14" ht="17" customHeight="1">
      <c r="A84" s="55"/>
      <c r="B84" s="97"/>
      <c r="C84" s="58" t="s">
        <v>59</v>
      </c>
      <c r="E84" s="58">
        <f>2*12+6*1.008+16</f>
        <v>46.048000000000002</v>
      </c>
      <c r="F84" s="58" t="s">
        <v>53</v>
      </c>
      <c r="G84" s="58">
        <v>0.78900000000000003</v>
      </c>
      <c r="H84" s="58" t="s">
        <v>60</v>
      </c>
      <c r="I84" s="58"/>
      <c r="J84" s="58"/>
      <c r="K84" s="58"/>
      <c r="L84" s="58"/>
      <c r="M84" s="58"/>
      <c r="N84" s="58"/>
    </row>
    <row r="85" spans="1:14" ht="17" customHeight="1">
      <c r="A85" s="55"/>
      <c r="B85" s="97"/>
      <c r="C85" s="58"/>
      <c r="E85" s="58"/>
      <c r="F85" s="58"/>
      <c r="G85" s="58"/>
      <c r="H85" s="58"/>
      <c r="I85" s="58"/>
      <c r="J85" s="58"/>
      <c r="K85" s="58"/>
      <c r="L85" s="58"/>
      <c r="M85" s="58"/>
      <c r="N85" s="58"/>
    </row>
    <row r="86" spans="1:14" ht="17" customHeight="1">
      <c r="A86" s="55"/>
      <c r="B86" s="97"/>
      <c r="C86" s="58" t="s">
        <v>73</v>
      </c>
      <c r="E86" s="51">
        <v>0.747</v>
      </c>
      <c r="F86" s="58" t="s">
        <v>60</v>
      </c>
      <c r="G86" s="58"/>
      <c r="H86" s="58"/>
      <c r="I86" s="58"/>
      <c r="J86" s="58"/>
      <c r="K86" s="58"/>
      <c r="L86" s="58"/>
      <c r="M86" s="58"/>
      <c r="N86" s="58"/>
    </row>
    <row r="87" spans="1:14" ht="17" customHeight="1">
      <c r="A87" s="55"/>
      <c r="B87" s="97"/>
      <c r="C87" s="58" t="s">
        <v>74</v>
      </c>
      <c r="E87" s="51">
        <v>0.05</v>
      </c>
      <c r="F87" s="58"/>
      <c r="G87" s="58"/>
      <c r="H87" s="58"/>
      <c r="I87" s="58"/>
      <c r="J87" s="58"/>
      <c r="K87" s="58"/>
      <c r="L87" s="58"/>
      <c r="M87" s="58"/>
      <c r="N87" s="58"/>
    </row>
    <row r="88" spans="1:14" ht="17" customHeight="1">
      <c r="A88" s="55"/>
      <c r="B88" s="97"/>
      <c r="C88" s="58"/>
      <c r="D88" s="58"/>
      <c r="E88" s="58"/>
      <c r="F88" s="98"/>
      <c r="G88" s="98"/>
      <c r="H88" s="58"/>
      <c r="I88" s="58"/>
      <c r="J88" s="58"/>
      <c r="K88" s="58"/>
      <c r="L88" s="58"/>
      <c r="M88" s="58"/>
      <c r="N88" s="58"/>
    </row>
    <row r="89" spans="1:14" ht="17" customHeight="1">
      <c r="A89" s="55"/>
      <c r="B89" s="97"/>
      <c r="C89" s="80" t="s">
        <v>16</v>
      </c>
      <c r="D89" s="98"/>
      <c r="E89" s="58">
        <v>30</v>
      </c>
      <c r="F89" s="98"/>
      <c r="G89" s="58" t="s">
        <v>49</v>
      </c>
      <c r="H89" s="58"/>
      <c r="I89" s="58"/>
      <c r="J89" s="58"/>
      <c r="K89" s="58"/>
      <c r="L89" s="58"/>
      <c r="M89" s="58"/>
      <c r="N89" s="58"/>
    </row>
    <row r="90" spans="1:14" ht="17" customHeight="1">
      <c r="A90" s="55"/>
      <c r="B90" s="102"/>
      <c r="C90" s="58" t="s">
        <v>40</v>
      </c>
      <c r="D90" s="98"/>
      <c r="E90" s="58">
        <v>8000</v>
      </c>
      <c r="F90" s="98"/>
      <c r="G90" s="58" t="s">
        <v>48</v>
      </c>
      <c r="H90" s="58"/>
      <c r="I90" s="58"/>
      <c r="J90" s="58"/>
      <c r="K90" s="58"/>
      <c r="L90" s="58"/>
      <c r="M90" s="58"/>
      <c r="N90" s="58"/>
    </row>
    <row r="91" spans="1:14" ht="17" customHeight="1">
      <c r="A91" s="55"/>
      <c r="B91" s="102"/>
      <c r="C91" s="58" t="s">
        <v>46</v>
      </c>
      <c r="D91" s="98"/>
      <c r="E91" s="58">
        <v>10.01</v>
      </c>
      <c r="F91" s="98"/>
      <c r="G91" s="58" t="s">
        <v>47</v>
      </c>
      <c r="H91" s="58"/>
      <c r="I91" s="58"/>
      <c r="J91" s="58"/>
      <c r="K91" s="58"/>
      <c r="L91" s="58"/>
      <c r="M91" s="58"/>
      <c r="N91" s="58"/>
    </row>
    <row r="92" spans="1:14" ht="17" customHeight="1">
      <c r="A92" s="55"/>
      <c r="B92" s="102"/>
      <c r="C92" s="58" t="s">
        <v>79</v>
      </c>
      <c r="E92" s="58">
        <v>120.1</v>
      </c>
      <c r="G92" s="58" t="s">
        <v>47</v>
      </c>
      <c r="H92" s="58"/>
      <c r="I92" s="58"/>
      <c r="J92" s="58"/>
      <c r="K92" s="58"/>
      <c r="L92" s="58"/>
      <c r="M92" s="58"/>
      <c r="N92" s="58"/>
    </row>
    <row r="93" spans="1:14" ht="17" customHeight="1">
      <c r="A93" s="55"/>
      <c r="B93" s="102"/>
      <c r="C93" s="58" t="s">
        <v>80</v>
      </c>
      <c r="E93" s="58">
        <v>43.15</v>
      </c>
      <c r="G93" s="58" t="s">
        <v>47</v>
      </c>
      <c r="H93" s="58"/>
      <c r="I93" s="58"/>
      <c r="J93" s="58"/>
      <c r="K93" s="58"/>
      <c r="L93" s="58"/>
      <c r="M93" s="58"/>
      <c r="N93" s="58"/>
    </row>
    <row r="94" spans="1:14" ht="18" customHeight="1" thickBot="1">
      <c r="A94" s="55"/>
      <c r="G94" s="58"/>
      <c r="H94" s="58"/>
      <c r="I94" s="58"/>
      <c r="J94" s="58"/>
      <c r="K94" s="58"/>
      <c r="L94" s="58"/>
      <c r="M94" s="58"/>
      <c r="N94" s="58"/>
    </row>
    <row r="95" spans="1:14">
      <c r="A95" s="55"/>
      <c r="B95" s="52"/>
      <c r="C95" s="53"/>
      <c r="D95" s="53"/>
      <c r="E95" s="53"/>
      <c r="F95" s="53"/>
      <c r="G95" s="53"/>
      <c r="H95" s="53"/>
      <c r="I95" s="53"/>
      <c r="J95" s="53"/>
      <c r="K95" s="53"/>
      <c r="L95" s="53"/>
      <c r="M95" s="53"/>
      <c r="N95" s="54"/>
    </row>
    <row r="96" spans="1:14" ht="17" customHeight="1">
      <c r="B96" s="78"/>
      <c r="C96" s="59"/>
      <c r="D96" s="59"/>
      <c r="E96" s="59"/>
      <c r="F96" s="59"/>
      <c r="G96" s="59"/>
      <c r="H96" s="56"/>
      <c r="I96" s="56"/>
      <c r="J96" s="56"/>
      <c r="K96" s="56"/>
      <c r="L96" s="56"/>
      <c r="M96" s="56"/>
      <c r="N96" s="79"/>
    </row>
    <row r="97" spans="1:15" ht="17" customHeight="1">
      <c r="A97" s="55"/>
      <c r="B97" s="97"/>
      <c r="C97" s="98" t="s">
        <v>70</v>
      </c>
      <c r="D97" s="98"/>
      <c r="E97" s="98"/>
      <c r="F97" s="98"/>
      <c r="G97" s="98"/>
      <c r="H97" s="58"/>
      <c r="I97" s="58"/>
      <c r="J97" s="58"/>
      <c r="K97" s="58"/>
      <c r="L97" s="58"/>
      <c r="M97" s="58"/>
      <c r="N97" s="58"/>
    </row>
    <row r="98" spans="1:15">
      <c r="A98" s="55"/>
      <c r="B98" s="97"/>
      <c r="C98" s="104" t="s">
        <v>75</v>
      </c>
      <c r="D98" s="98"/>
      <c r="E98" s="103">
        <f>E91*E105/(E91*E105+E106/E81*E78*23*E92+E124*3.6)</f>
        <v>0.35033447203974477</v>
      </c>
      <c r="F98" s="98"/>
      <c r="G98" s="98"/>
      <c r="H98" s="58"/>
      <c r="I98" s="58"/>
      <c r="J98" s="58"/>
      <c r="K98" s="58"/>
      <c r="L98" s="58"/>
      <c r="M98" s="58"/>
      <c r="N98" s="58"/>
    </row>
    <row r="99" spans="1:15">
      <c r="A99" s="55"/>
      <c r="B99" s="57"/>
      <c r="C99" s="104" t="s">
        <v>76</v>
      </c>
      <c r="D99" s="88"/>
      <c r="E99" s="99">
        <f>E106/E81*E78*23*E92/(E91*E105+E106/E81*E78*23*E92+E124*3.6)</f>
        <v>0.63278977088645771</v>
      </c>
      <c r="F99" s="58"/>
      <c r="G99" s="58"/>
      <c r="H99" s="58"/>
      <c r="I99" s="58"/>
      <c r="J99" s="58"/>
      <c r="K99" s="58"/>
      <c r="L99" s="58"/>
      <c r="M99" s="58"/>
      <c r="N99" s="58"/>
      <c r="O99" s="58"/>
    </row>
    <row r="100" spans="1:15">
      <c r="B100" s="57"/>
      <c r="C100" s="80" t="s">
        <v>43</v>
      </c>
      <c r="D100" s="88"/>
      <c r="E100" s="103">
        <f>E124*3.6/(E91*E105+E106/E81*E78*23*E92+E124*3.6)</f>
        <v>1.6875757073797529E-2</v>
      </c>
      <c r="N100" s="58"/>
      <c r="O100" s="58"/>
    </row>
    <row r="101" spans="1:15">
      <c r="B101" s="57"/>
      <c r="C101" s="105" t="s">
        <v>77</v>
      </c>
      <c r="D101" s="88"/>
      <c r="E101" s="99">
        <f>0.55/0.9*E106*E93/(E91*E105+E106/E81*E78*23*E92+E124*3.6)</f>
        <v>0.46801292281573448</v>
      </c>
      <c r="N101" s="58"/>
      <c r="O101" s="58"/>
    </row>
    <row r="102" spans="1:15">
      <c r="B102" s="57"/>
      <c r="C102" s="105" t="s">
        <v>78</v>
      </c>
      <c r="D102" s="100"/>
      <c r="E102" s="103">
        <f>0.35/0.9*E106*E93/(E91*E105+E106/E81*E78*23*E92+E124*3.6)</f>
        <v>0.29782640542819461</v>
      </c>
      <c r="N102" s="58"/>
      <c r="O102" s="58"/>
    </row>
    <row r="103" spans="1:15">
      <c r="B103" s="57"/>
      <c r="C103" s="58" t="s">
        <v>44</v>
      </c>
      <c r="D103" s="58"/>
      <c r="E103" s="99">
        <f>1-E102-E101</f>
        <v>0.23416067175607091</v>
      </c>
      <c r="N103" s="58"/>
      <c r="O103" s="58"/>
    </row>
    <row r="104" spans="1:15">
      <c r="B104" s="57"/>
      <c r="D104" s="58"/>
      <c r="E104" s="58"/>
      <c r="F104" s="58"/>
      <c r="G104" s="58"/>
      <c r="H104" s="58"/>
      <c r="I104" s="58"/>
      <c r="J104" s="58"/>
      <c r="K104" s="58"/>
      <c r="L104" s="58"/>
      <c r="M104" s="58"/>
      <c r="N104" s="58"/>
      <c r="O104" s="58"/>
    </row>
    <row r="105" spans="1:15">
      <c r="B105" s="57"/>
      <c r="C105" s="51" t="s">
        <v>81</v>
      </c>
      <c r="D105" s="98"/>
      <c r="E105" s="107">
        <f>1/E80*E79</f>
        <v>0.63636363636363635</v>
      </c>
      <c r="F105" s="98"/>
      <c r="G105" s="98" t="s">
        <v>82</v>
      </c>
      <c r="H105" s="58"/>
      <c r="I105" s="58"/>
      <c r="J105" s="58"/>
      <c r="K105" s="58"/>
      <c r="L105" s="58"/>
      <c r="M105" s="58"/>
      <c r="N105" s="58"/>
      <c r="O105" s="58"/>
    </row>
    <row r="106" spans="1:15">
      <c r="A106" s="55"/>
      <c r="B106" s="57"/>
      <c r="D106" s="98"/>
      <c r="E106" s="107">
        <f>E105/E79/11*E81</f>
        <v>0.32271074380165293</v>
      </c>
      <c r="F106" s="98"/>
      <c r="G106" s="98" t="s">
        <v>83</v>
      </c>
      <c r="H106" s="58"/>
      <c r="I106" s="58"/>
      <c r="J106" s="58"/>
      <c r="K106" s="58"/>
      <c r="L106" s="58"/>
      <c r="M106" s="58"/>
      <c r="N106" s="58"/>
      <c r="O106" s="58"/>
    </row>
    <row r="107" spans="1:15">
      <c r="A107" s="55"/>
      <c r="B107" s="57"/>
      <c r="D107" s="58"/>
      <c r="E107" s="106"/>
      <c r="F107" s="58"/>
      <c r="G107" s="58"/>
      <c r="H107" s="58"/>
      <c r="I107" s="58"/>
      <c r="J107" s="58"/>
      <c r="K107" s="58"/>
      <c r="L107" s="58"/>
      <c r="M107" s="58"/>
      <c r="N107" s="58"/>
      <c r="O107" s="58"/>
    </row>
    <row r="108" spans="1:15">
      <c r="B108" s="57"/>
      <c r="C108" s="51" t="s">
        <v>68</v>
      </c>
      <c r="D108" s="101"/>
      <c r="E108" s="109">
        <v>8000</v>
      </c>
      <c r="F108" s="58"/>
      <c r="G108" s="58"/>
      <c r="H108" s="58"/>
      <c r="I108" s="58"/>
      <c r="J108" s="58"/>
      <c r="K108" s="58"/>
      <c r="L108" s="58"/>
      <c r="M108" s="58"/>
      <c r="N108" s="58"/>
      <c r="O108" s="58"/>
    </row>
    <row r="109" spans="1:15">
      <c r="B109" s="57"/>
      <c r="C109" s="51" t="s">
        <v>84</v>
      </c>
      <c r="D109" s="101"/>
      <c r="E109" s="106">
        <f>E106/(E108/8760)/365.25</f>
        <v>9.6746958100700888E-4</v>
      </c>
      <c r="F109" s="58"/>
      <c r="G109" s="58" t="s">
        <v>85</v>
      </c>
      <c r="H109" s="58"/>
      <c r="I109" s="58"/>
      <c r="J109" s="58"/>
      <c r="K109" s="58"/>
      <c r="L109" s="58"/>
      <c r="M109" s="58"/>
      <c r="N109" s="58"/>
      <c r="O109" s="58"/>
    </row>
    <row r="110" spans="1:15">
      <c r="B110" s="57"/>
      <c r="D110" s="103"/>
      <c r="E110" s="107">
        <f>E109/E86/159*1000</f>
        <v>8.1455345996734006E-3</v>
      </c>
      <c r="F110" s="58"/>
      <c r="G110" s="58" t="s">
        <v>86</v>
      </c>
      <c r="H110" s="58"/>
      <c r="I110" s="58"/>
      <c r="J110" s="58"/>
      <c r="K110" s="58"/>
      <c r="L110" s="58"/>
      <c r="M110" s="58"/>
      <c r="N110" s="58"/>
      <c r="O110" s="58"/>
    </row>
    <row r="111" spans="1:15">
      <c r="B111" s="57"/>
      <c r="D111" s="58"/>
      <c r="E111" s="58"/>
      <c r="F111" s="58"/>
      <c r="G111" s="58"/>
      <c r="H111" s="58"/>
      <c r="I111" s="58"/>
      <c r="J111" s="58"/>
      <c r="K111" s="58"/>
      <c r="L111" s="58"/>
      <c r="M111" s="58"/>
      <c r="N111" s="58"/>
      <c r="O111" s="58"/>
    </row>
    <row r="112" spans="1:15">
      <c r="B112" s="57"/>
      <c r="C112" s="51" t="s">
        <v>87</v>
      </c>
      <c r="D112" s="58"/>
      <c r="E112" s="106"/>
      <c r="F112" s="58"/>
      <c r="G112" s="58"/>
      <c r="H112" s="58" t="s">
        <v>88</v>
      </c>
      <c r="I112" s="58"/>
      <c r="J112" s="58"/>
      <c r="K112" s="58"/>
      <c r="L112" s="58"/>
      <c r="M112" s="58"/>
      <c r="N112" s="58"/>
      <c r="O112" s="58"/>
    </row>
    <row r="113" spans="1:15">
      <c r="B113" s="57"/>
      <c r="C113" s="51" t="s">
        <v>89</v>
      </c>
      <c r="D113" s="58"/>
      <c r="E113" s="58">
        <f>262.9-195.5-2</f>
        <v>65.399999999999977</v>
      </c>
      <c r="F113" s="58"/>
      <c r="G113" s="58" t="s">
        <v>61</v>
      </c>
      <c r="H113" s="58" t="s">
        <v>90</v>
      </c>
      <c r="I113" s="58"/>
      <c r="J113" s="58"/>
      <c r="K113" s="58"/>
      <c r="L113" s="58"/>
      <c r="M113" s="58"/>
      <c r="N113" s="58"/>
      <c r="O113" s="58"/>
    </row>
    <row r="114" spans="1:15">
      <c r="B114" s="57"/>
      <c r="C114" s="51" t="s">
        <v>65</v>
      </c>
      <c r="D114" s="58"/>
      <c r="E114" s="58">
        <f>2.749689-1.029011</f>
        <v>1.7206780000000002</v>
      </c>
      <c r="F114" s="58"/>
      <c r="G114" s="58" t="s">
        <v>91</v>
      </c>
      <c r="H114" s="58" t="s">
        <v>92</v>
      </c>
      <c r="I114" s="58"/>
      <c r="J114" s="58"/>
      <c r="K114" s="58"/>
      <c r="L114" s="58"/>
      <c r="M114" s="58"/>
      <c r="N114" s="58"/>
      <c r="O114" s="58"/>
    </row>
    <row r="115" spans="1:15">
      <c r="B115" s="57"/>
      <c r="D115" s="98"/>
      <c r="E115" s="98"/>
      <c r="F115" s="98"/>
      <c r="G115" s="98"/>
      <c r="H115" s="58"/>
      <c r="I115" s="58"/>
      <c r="J115" s="58"/>
      <c r="K115" s="58"/>
      <c r="L115" s="58"/>
      <c r="M115" s="58"/>
      <c r="N115" s="58"/>
      <c r="O115" s="58"/>
    </row>
    <row r="116" spans="1:15">
      <c r="A116" s="55"/>
      <c r="B116" s="57"/>
      <c r="C116" s="51" t="s">
        <v>93</v>
      </c>
      <c r="D116" s="98"/>
      <c r="E116" s="98"/>
      <c r="F116" s="98"/>
      <c r="G116" s="98"/>
      <c r="H116" s="58"/>
      <c r="I116" s="58"/>
      <c r="J116" s="58"/>
      <c r="K116" s="58"/>
      <c r="L116" s="58"/>
      <c r="M116" s="58"/>
      <c r="N116" s="58"/>
      <c r="O116" s="58"/>
    </row>
    <row r="117" spans="1:15">
      <c r="A117" s="55"/>
      <c r="B117" s="57"/>
      <c r="C117" s="58" t="s">
        <v>89</v>
      </c>
      <c r="D117" s="58"/>
      <c r="E117" s="98">
        <f>E113*E110*1000/50</f>
        <v>10.654359256372805</v>
      </c>
      <c r="F117" s="58"/>
      <c r="G117" s="58" t="s">
        <v>94</v>
      </c>
      <c r="H117" s="58"/>
      <c r="I117" s="58"/>
      <c r="J117" s="58"/>
      <c r="K117" s="58"/>
      <c r="L117" s="58"/>
      <c r="M117" s="58"/>
      <c r="N117" s="58"/>
      <c r="O117" s="58"/>
    </row>
    <row r="118" spans="1:15">
      <c r="B118" s="57"/>
      <c r="C118" s="98" t="s">
        <v>193</v>
      </c>
      <c r="D118" s="101"/>
      <c r="E118" s="98">
        <f>E110*1000/50*E114*1000/1.18</f>
        <v>237.55664718469203</v>
      </c>
      <c r="G118" s="51" t="s">
        <v>62</v>
      </c>
    </row>
    <row r="119" spans="1:15">
      <c r="B119" s="57"/>
      <c r="C119" s="98"/>
      <c r="D119" s="101"/>
      <c r="E119" s="98">
        <f>E118*1000000</f>
        <v>237556647.18469203</v>
      </c>
      <c r="G119" s="51" t="s">
        <v>63</v>
      </c>
    </row>
    <row r="120" spans="1:15">
      <c r="B120" s="57"/>
      <c r="C120" s="98" t="s">
        <v>194</v>
      </c>
      <c r="D120" s="101"/>
      <c r="E120" s="140">
        <v>5</v>
      </c>
      <c r="G120" s="51" t="s">
        <v>72</v>
      </c>
    </row>
    <row r="121" spans="1:15">
      <c r="B121" s="57"/>
      <c r="C121" s="98"/>
      <c r="D121" s="101"/>
      <c r="E121" s="98">
        <f>E119*E120/100</f>
        <v>11877832.359234599</v>
      </c>
      <c r="G121" s="51" t="s">
        <v>71</v>
      </c>
    </row>
    <row r="122" spans="1:15">
      <c r="B122" s="57"/>
      <c r="C122" s="98" t="s">
        <v>69</v>
      </c>
      <c r="D122" s="103"/>
      <c r="E122" s="98">
        <f>$AS$86</f>
        <v>0</v>
      </c>
    </row>
    <row r="123" spans="1:15">
      <c r="B123" s="57"/>
      <c r="C123" s="98" t="s">
        <v>66</v>
      </c>
      <c r="D123" s="58"/>
      <c r="E123" s="108">
        <v>30</v>
      </c>
      <c r="G123" s="51" t="s">
        <v>67</v>
      </c>
    </row>
    <row r="124" spans="1:15">
      <c r="B124" s="57"/>
      <c r="C124" s="58" t="s">
        <v>95</v>
      </c>
      <c r="D124" s="58"/>
      <c r="E124" s="58">
        <f>E117*E108/1000000</f>
        <v>8.5234874050982443E-2</v>
      </c>
      <c r="G124" s="51" t="s">
        <v>96</v>
      </c>
    </row>
    <row r="125" spans="1:15">
      <c r="B125" s="57"/>
      <c r="C125" s="58"/>
      <c r="D125" s="58"/>
      <c r="E125" s="58"/>
    </row>
    <row r="126" spans="1:15">
      <c r="B126" s="57"/>
      <c r="C126" s="58"/>
      <c r="E126" s="85"/>
    </row>
    <row r="127" spans="1:15">
      <c r="B127" s="57"/>
      <c r="E127" s="51">
        <f>E124/E105</f>
        <v>0.13394051636582954</v>
      </c>
      <c r="G127" s="51" t="s">
        <v>108</v>
      </c>
      <c r="H127" s="112">
        <f>E105</f>
        <v>0.63636363636363635</v>
      </c>
      <c r="I127" s="51" t="s">
        <v>82</v>
      </c>
      <c r="J127" s="51">
        <f>E127*H127</f>
        <v>8.5234874050982429E-2</v>
      </c>
    </row>
    <row r="128" spans="1:15">
      <c r="B128" s="57"/>
      <c r="E128" s="51">
        <f>E127*(E79/E80)</f>
        <v>8.5234874050982429E-2</v>
      </c>
      <c r="G128" s="51" t="s">
        <v>109</v>
      </c>
      <c r="H128" s="51">
        <f>E105*(E80/E79)</f>
        <v>1</v>
      </c>
      <c r="I128" s="51" t="s">
        <v>110</v>
      </c>
      <c r="J128" s="51">
        <f>E128*H128</f>
        <v>8.5234874050982429E-2</v>
      </c>
    </row>
    <row r="129" spans="2:9">
      <c r="B129" s="57"/>
      <c r="D129" s="51" t="s">
        <v>117</v>
      </c>
    </row>
    <row r="130" spans="2:9">
      <c r="B130" s="57"/>
      <c r="D130" s="51" t="s">
        <v>112</v>
      </c>
      <c r="E130" s="51">
        <f>E128*1000</f>
        <v>85.234874050982427</v>
      </c>
      <c r="G130" s="51" t="s">
        <v>111</v>
      </c>
    </row>
    <row r="131" spans="2:9">
      <c r="B131" s="57"/>
      <c r="D131" s="51" t="s">
        <v>113</v>
      </c>
      <c r="E131" s="51">
        <v>5760</v>
      </c>
      <c r="G131" s="51" t="s">
        <v>111</v>
      </c>
    </row>
    <row r="132" spans="2:9">
      <c r="B132" s="57"/>
      <c r="D132" s="51" t="s">
        <v>114</v>
      </c>
      <c r="E132" s="51">
        <f>SUM(E130:E131)</f>
        <v>5845.2348740509824</v>
      </c>
      <c r="G132" s="51" t="s">
        <v>111</v>
      </c>
    </row>
    <row r="133" spans="2:9">
      <c r="B133" s="57"/>
      <c r="E133" s="51">
        <f>E132*3.6</f>
        <v>21042.845546583536</v>
      </c>
      <c r="G133" s="51" t="s">
        <v>115</v>
      </c>
    </row>
    <row r="134" spans="2:9">
      <c r="B134" s="57"/>
      <c r="E134" s="115">
        <f>E133/1000</f>
        <v>21.042845546583536</v>
      </c>
      <c r="F134" s="115"/>
      <c r="G134" s="115" t="s">
        <v>116</v>
      </c>
      <c r="I134" s="51">
        <f>E134/SUM(E134,E140)</f>
        <v>0.7418672552168154</v>
      </c>
    </row>
    <row r="135" spans="2:9">
      <c r="B135" s="57"/>
    </row>
    <row r="136" spans="2:9">
      <c r="B136" s="57"/>
      <c r="D136" s="51" t="s">
        <v>118</v>
      </c>
    </row>
    <row r="137" spans="2:9">
      <c r="B137" s="57"/>
      <c r="E137" s="51">
        <f>(E105/E79)*(G75/F75)*E78</f>
        <v>9.5801652892561984E-2</v>
      </c>
      <c r="G137" s="51" t="s">
        <v>122</v>
      </c>
    </row>
    <row r="138" spans="2:9">
      <c r="B138" s="57"/>
      <c r="E138" s="51">
        <f>E137*(E79/E80)</f>
        <v>6.0964688204357624E-2</v>
      </c>
      <c r="G138" s="51" t="s">
        <v>121</v>
      </c>
    </row>
    <row r="139" spans="2:9">
      <c r="B139" s="57"/>
      <c r="E139" s="51">
        <f>E138</f>
        <v>6.0964688204357624E-2</v>
      </c>
      <c r="G139" s="51" t="s">
        <v>123</v>
      </c>
    </row>
    <row r="140" spans="2:9">
      <c r="B140" s="57"/>
      <c r="E140" s="115">
        <f>E139*E92</f>
        <v>7.3218590533433501</v>
      </c>
      <c r="F140" s="115"/>
      <c r="G140" s="115" t="s">
        <v>124</v>
      </c>
      <c r="I140" s="51">
        <f>1-I134</f>
        <v>0.2581327447831846</v>
      </c>
    </row>
    <row r="141" spans="2:9">
      <c r="B141" s="57"/>
    </row>
    <row r="142" spans="2:9">
      <c r="B142" s="57"/>
      <c r="G142" s="51" t="s">
        <v>125</v>
      </c>
    </row>
    <row r="143" spans="2:9">
      <c r="B143" s="57"/>
      <c r="E143" s="127">
        <f>1/E93</f>
        <v>2.3174971031286212E-2</v>
      </c>
      <c r="G143" s="51" t="s">
        <v>126</v>
      </c>
    </row>
    <row r="144" spans="2:9">
      <c r="B144" s="57"/>
      <c r="E144" s="127">
        <f>E143*1000</f>
        <v>23.174971031286212</v>
      </c>
      <c r="G144" s="51" t="s">
        <v>127</v>
      </c>
    </row>
    <row r="145" spans="2:14">
      <c r="B145" s="57"/>
      <c r="E145" s="127">
        <f>E144/E81</f>
        <v>0.14837489135990456</v>
      </c>
      <c r="G145" s="51" t="s">
        <v>128</v>
      </c>
    </row>
    <row r="146" spans="2:14">
      <c r="B146" s="57"/>
      <c r="E146" s="127">
        <f>E145*D75</f>
        <v>1.6321238049589502</v>
      </c>
      <c r="G146" s="51" t="s">
        <v>129</v>
      </c>
    </row>
    <row r="147" spans="2:14">
      <c r="B147" s="57"/>
      <c r="E147" s="127">
        <f>E146*E80</f>
        <v>71.813447418193803</v>
      </c>
      <c r="G147" s="51" t="s">
        <v>130</v>
      </c>
    </row>
    <row r="148" spans="2:14">
      <c r="B148" s="57"/>
      <c r="E148" s="127">
        <f>E147/1000</f>
        <v>7.1813447418193802E-2</v>
      </c>
      <c r="G148" s="51" t="s">
        <v>125</v>
      </c>
    </row>
    <row r="149" spans="2:14">
      <c r="B149" s="57"/>
    </row>
    <row r="150" spans="2:14" ht="17" thickBot="1">
      <c r="B150" s="57"/>
    </row>
    <row r="151" spans="2:14">
      <c r="B151" s="57"/>
      <c r="C151" s="53"/>
      <c r="D151" s="53"/>
      <c r="E151" s="53"/>
      <c r="F151" s="53"/>
      <c r="G151" s="53"/>
      <c r="H151" s="53"/>
      <c r="I151" s="53"/>
      <c r="J151" s="53"/>
      <c r="K151" s="53"/>
      <c r="L151" s="53"/>
      <c r="M151" s="53"/>
      <c r="N151" s="54"/>
    </row>
    <row r="152" spans="2:14">
      <c r="B152" s="57"/>
      <c r="C152" s="59" t="s">
        <v>0</v>
      </c>
      <c r="D152" s="59" t="s">
        <v>38</v>
      </c>
      <c r="E152" s="59" t="s">
        <v>17</v>
      </c>
      <c r="F152" s="59"/>
      <c r="G152" s="59"/>
      <c r="H152" s="56"/>
      <c r="I152" s="56"/>
      <c r="J152" s="56"/>
      <c r="K152" s="56"/>
      <c r="L152" s="56"/>
      <c r="M152" s="56"/>
      <c r="N152" s="79"/>
    </row>
    <row r="153" spans="2:14" ht="21">
      <c r="B153" s="57"/>
      <c r="C153" s="131" t="s">
        <v>190</v>
      </c>
      <c r="D153" s="55"/>
      <c r="E153" s="55"/>
      <c r="F153" s="55"/>
      <c r="G153" s="55"/>
    </row>
    <row r="154" spans="2:14">
      <c r="B154" s="57"/>
      <c r="C154" s="55" t="s">
        <v>50</v>
      </c>
      <c r="D154" s="55"/>
      <c r="E154" s="55"/>
      <c r="F154" s="55"/>
      <c r="G154" s="55"/>
    </row>
    <row r="155" spans="2:14">
      <c r="B155" s="57"/>
      <c r="C155" s="51" t="s">
        <v>51</v>
      </c>
      <c r="F155" s="55"/>
      <c r="G155" s="55"/>
    </row>
    <row r="156" spans="2:14">
      <c r="B156" s="57"/>
      <c r="C156" s="51" t="s">
        <v>52</v>
      </c>
      <c r="E156" s="51">
        <v>2.016</v>
      </c>
      <c r="F156" s="51" t="s">
        <v>53</v>
      </c>
      <c r="G156" s="55"/>
      <c r="H156" s="55"/>
    </row>
    <row r="157" spans="2:14">
      <c r="B157" s="57"/>
      <c r="C157" s="51" t="s">
        <v>54</v>
      </c>
      <c r="E157" s="51">
        <v>28</v>
      </c>
      <c r="F157" s="51" t="s">
        <v>53</v>
      </c>
      <c r="G157" s="55"/>
      <c r="H157" s="55"/>
    </row>
    <row r="158" spans="2:14">
      <c r="B158" s="57"/>
      <c r="C158" s="51" t="s">
        <v>55</v>
      </c>
      <c r="E158" s="51">
        <v>44</v>
      </c>
      <c r="F158" s="51" t="s">
        <v>53</v>
      </c>
      <c r="G158" s="55"/>
      <c r="H158" s="55"/>
    </row>
    <row r="159" spans="2:14">
      <c r="B159" s="57"/>
      <c r="C159" s="51" t="s">
        <v>56</v>
      </c>
      <c r="E159" s="51">
        <f>12*11+1.008*24</f>
        <v>156.19200000000001</v>
      </c>
      <c r="F159" s="51" t="s">
        <v>53</v>
      </c>
      <c r="G159" s="55"/>
      <c r="H159" s="55"/>
    </row>
    <row r="160" spans="2:14">
      <c r="B160" s="57"/>
      <c r="C160" s="51" t="s">
        <v>57</v>
      </c>
      <c r="E160" s="51">
        <v>32</v>
      </c>
      <c r="F160" s="51" t="s">
        <v>53</v>
      </c>
      <c r="G160" s="55"/>
      <c r="H160" s="55"/>
    </row>
    <row r="161" spans="2:14">
      <c r="B161" s="57"/>
      <c r="C161" s="51" t="s">
        <v>58</v>
      </c>
      <c r="E161" s="51">
        <v>32.031999999999996</v>
      </c>
      <c r="F161" s="51" t="s">
        <v>53</v>
      </c>
      <c r="G161" s="55"/>
      <c r="H161" s="55"/>
    </row>
    <row r="162" spans="2:14">
      <c r="B162" s="57"/>
      <c r="C162" s="51" t="s">
        <v>59</v>
      </c>
      <c r="E162" s="51">
        <f>2*12+6*1.008+16</f>
        <v>46.048000000000002</v>
      </c>
      <c r="F162" s="51" t="s">
        <v>53</v>
      </c>
      <c r="G162" s="51">
        <v>0.78900000000000003</v>
      </c>
      <c r="H162" s="51" t="s">
        <v>60</v>
      </c>
    </row>
    <row r="163" spans="2:14">
      <c r="B163" s="57"/>
      <c r="F163" s="55"/>
      <c r="G163" s="55"/>
    </row>
    <row r="164" spans="2:14">
      <c r="B164" s="57"/>
      <c r="C164" s="117" t="s">
        <v>16</v>
      </c>
      <c r="D164" s="55"/>
      <c r="E164" s="51">
        <v>20</v>
      </c>
      <c r="F164" s="55"/>
      <c r="G164" s="51" t="s">
        <v>49</v>
      </c>
    </row>
    <row r="165" spans="2:14">
      <c r="B165" s="57"/>
      <c r="C165" s="51" t="s">
        <v>40</v>
      </c>
      <c r="D165" s="55"/>
      <c r="E165" s="51">
        <v>8000</v>
      </c>
      <c r="F165" s="55"/>
      <c r="G165" s="51" t="s">
        <v>48</v>
      </c>
    </row>
    <row r="166" spans="2:14">
      <c r="B166" s="57"/>
      <c r="C166" s="51" t="s">
        <v>46</v>
      </c>
      <c r="D166" s="55"/>
      <c r="E166" s="51">
        <v>10.01</v>
      </c>
      <c r="F166" s="55"/>
      <c r="G166" s="51" t="s">
        <v>47</v>
      </c>
    </row>
    <row r="167" spans="2:14" ht="17" thickBot="1">
      <c r="B167" s="57"/>
    </row>
    <row r="168" spans="2:14">
      <c r="B168" s="57"/>
      <c r="C168" s="53"/>
      <c r="D168" s="53"/>
      <c r="E168" s="53"/>
      <c r="F168" s="53"/>
      <c r="G168" s="53"/>
      <c r="H168" s="53"/>
      <c r="I168" s="53"/>
      <c r="J168" s="53"/>
      <c r="K168" s="53"/>
      <c r="L168" s="53"/>
      <c r="M168" s="53"/>
      <c r="N168" s="54"/>
    </row>
    <row r="169" spans="2:14">
      <c r="B169" s="57"/>
      <c r="C169" s="59" t="s">
        <v>0</v>
      </c>
      <c r="D169" s="59" t="s">
        <v>38</v>
      </c>
      <c r="E169" s="59" t="s">
        <v>17</v>
      </c>
      <c r="F169" s="59"/>
      <c r="G169" s="59"/>
      <c r="H169" s="56"/>
      <c r="I169" s="56"/>
      <c r="J169" s="56"/>
      <c r="K169" s="56"/>
      <c r="L169" s="56"/>
      <c r="M169" s="56"/>
      <c r="N169" s="79"/>
    </row>
    <row r="170" spans="2:14">
      <c r="B170" s="57"/>
      <c r="C170" s="55" t="s">
        <v>131</v>
      </c>
      <c r="D170" s="55"/>
      <c r="E170" s="55"/>
      <c r="F170" s="55"/>
      <c r="G170" s="55"/>
    </row>
    <row r="171" spans="2:14">
      <c r="B171" s="57"/>
      <c r="C171" s="51" t="s">
        <v>135</v>
      </c>
      <c r="D171" s="51">
        <v>1</v>
      </c>
      <c r="E171" s="51" t="s">
        <v>136</v>
      </c>
      <c r="F171" s="55"/>
    </row>
    <row r="172" spans="2:14" ht="21">
      <c r="B172" s="57"/>
      <c r="C172" s="118" t="s">
        <v>55</v>
      </c>
      <c r="D172" s="119" t="s">
        <v>132</v>
      </c>
      <c r="E172" s="120" t="s">
        <v>54</v>
      </c>
      <c r="G172" s="55"/>
    </row>
    <row r="173" spans="2:14">
      <c r="B173" s="57"/>
      <c r="C173" s="123" t="s">
        <v>133</v>
      </c>
      <c r="D173" s="121"/>
      <c r="E173" s="124"/>
      <c r="F173" s="121"/>
      <c r="G173" s="124"/>
      <c r="H173" s="122"/>
    </row>
    <row r="174" spans="2:14">
      <c r="B174" s="57"/>
      <c r="C174" s="126" t="s">
        <v>134</v>
      </c>
      <c r="E174" s="51">
        <v>25</v>
      </c>
      <c r="H174" s="125"/>
    </row>
    <row r="175" spans="2:14">
      <c r="B175" s="57"/>
      <c r="C175" s="126" t="s">
        <v>137</v>
      </c>
      <c r="E175" s="51">
        <v>0.7</v>
      </c>
      <c r="H175" s="125" t="s">
        <v>138</v>
      </c>
    </row>
    <row r="176" spans="2:14">
      <c r="B176" s="87"/>
      <c r="C176" s="126" t="s">
        <v>139</v>
      </c>
      <c r="E176" s="51">
        <v>0.97</v>
      </c>
      <c r="H176" s="125"/>
    </row>
    <row r="177" spans="2:10">
      <c r="B177" s="87"/>
      <c r="C177" s="126" t="s">
        <v>140</v>
      </c>
      <c r="E177" s="127">
        <f>D220</f>
        <v>5760.4928763958414</v>
      </c>
      <c r="G177" s="51" t="s">
        <v>111</v>
      </c>
      <c r="H177" s="125"/>
    </row>
    <row r="178" spans="2:10">
      <c r="B178" s="87"/>
      <c r="C178" s="126" t="s">
        <v>66</v>
      </c>
      <c r="E178" s="51">
        <v>80000</v>
      </c>
      <c r="G178" s="51" t="s">
        <v>141</v>
      </c>
      <c r="H178" s="125"/>
    </row>
    <row r="179" spans="2:10">
      <c r="B179" s="87"/>
      <c r="C179" s="126" t="s">
        <v>142</v>
      </c>
      <c r="E179" s="51">
        <f>E178/E187</f>
        <v>10</v>
      </c>
      <c r="G179" s="51" t="s">
        <v>67</v>
      </c>
      <c r="H179" s="125"/>
    </row>
    <row r="180" spans="2:10">
      <c r="B180" s="87"/>
      <c r="C180" s="126" t="s">
        <v>143</v>
      </c>
      <c r="E180" s="51">
        <v>30</v>
      </c>
      <c r="G180" s="51" t="s">
        <v>67</v>
      </c>
      <c r="H180" s="125"/>
    </row>
    <row r="181" spans="2:10">
      <c r="B181" s="87"/>
      <c r="C181" s="126" t="s">
        <v>144</v>
      </c>
      <c r="E181" s="51">
        <v>0.15</v>
      </c>
      <c r="H181" s="125"/>
    </row>
    <row r="182" spans="2:10">
      <c r="B182" s="87"/>
      <c r="C182" s="126" t="s">
        <v>145</v>
      </c>
      <c r="E182" s="51">
        <f>E184+E181*E184*(E180-E179)/E179</f>
        <v>1300</v>
      </c>
      <c r="G182" s="51" t="s">
        <v>146</v>
      </c>
      <c r="H182" s="125"/>
    </row>
    <row r="183" spans="2:10">
      <c r="B183" s="87"/>
      <c r="C183" s="126" t="s">
        <v>142</v>
      </c>
      <c r="E183" s="51">
        <f>E178/E187</f>
        <v>10</v>
      </c>
      <c r="G183" s="51" t="s">
        <v>67</v>
      </c>
      <c r="H183" s="125"/>
      <c r="I183" s="51">
        <v>930</v>
      </c>
      <c r="J183" s="51" t="s">
        <v>147</v>
      </c>
    </row>
    <row r="184" spans="2:10">
      <c r="B184" s="87"/>
      <c r="C184" s="126" t="s">
        <v>65</v>
      </c>
      <c r="E184" s="128">
        <f>(I183+I184)/2</f>
        <v>1000</v>
      </c>
      <c r="G184" s="51" t="s">
        <v>146</v>
      </c>
      <c r="H184" s="125"/>
      <c r="I184" s="51">
        <v>1070</v>
      </c>
      <c r="J184" s="51" t="s">
        <v>147</v>
      </c>
    </row>
    <row r="185" spans="2:10">
      <c r="B185" s="87"/>
      <c r="C185" s="126" t="s">
        <v>148</v>
      </c>
      <c r="E185" s="127">
        <f>D171*(E157/E158)*E176</f>
        <v>0.6172727272727272</v>
      </c>
      <c r="G185" s="51" t="s">
        <v>149</v>
      </c>
      <c r="H185" s="125"/>
    </row>
    <row r="186" spans="2:10">
      <c r="B186" s="87"/>
      <c r="C186" s="126" t="s">
        <v>140</v>
      </c>
      <c r="E186" s="127">
        <f>E185*D219</f>
        <v>2262.7787307032586</v>
      </c>
      <c r="G186" s="51" t="s">
        <v>150</v>
      </c>
      <c r="H186" s="125"/>
    </row>
    <row r="187" spans="2:10">
      <c r="B187" s="87"/>
      <c r="C187" s="126" t="s">
        <v>68</v>
      </c>
      <c r="E187" s="51">
        <v>8000</v>
      </c>
      <c r="G187" s="51" t="s">
        <v>141</v>
      </c>
      <c r="H187" s="125"/>
      <c r="I187" s="86"/>
    </row>
    <row r="188" spans="2:10">
      <c r="B188" s="87"/>
      <c r="C188" s="126" t="s">
        <v>151</v>
      </c>
      <c r="E188" s="51">
        <v>1</v>
      </c>
      <c r="H188" s="125"/>
    </row>
    <row r="189" spans="2:10">
      <c r="B189" s="87"/>
      <c r="C189" s="126" t="s">
        <v>153</v>
      </c>
      <c r="E189" s="127">
        <f>E186/E187*1000*E188</f>
        <v>282.84734133790732</v>
      </c>
      <c r="G189" s="51" t="s">
        <v>61</v>
      </c>
      <c r="H189" s="125"/>
    </row>
    <row r="190" spans="2:10">
      <c r="B190" s="87"/>
      <c r="C190" s="126" t="s">
        <v>65</v>
      </c>
      <c r="E190" s="127">
        <f>E182*E189/1000</f>
        <v>367.70154373927949</v>
      </c>
      <c r="G190" s="51" t="s">
        <v>62</v>
      </c>
      <c r="H190" s="125"/>
    </row>
    <row r="191" spans="2:10">
      <c r="B191" s="87"/>
      <c r="C191" s="126" t="s">
        <v>69</v>
      </c>
      <c r="E191" s="51">
        <f>$AS$86</f>
        <v>0</v>
      </c>
      <c r="H191" s="125"/>
    </row>
    <row r="192" spans="2:10">
      <c r="B192" s="87"/>
      <c r="C192" s="126"/>
      <c r="H192" s="125"/>
    </row>
    <row r="193" spans="2:8">
      <c r="B193" s="87"/>
      <c r="C193" s="130" t="s">
        <v>152</v>
      </c>
      <c r="D193" s="56"/>
      <c r="E193" s="56">
        <v>3</v>
      </c>
      <c r="F193" s="56"/>
      <c r="G193" s="56" t="s">
        <v>39</v>
      </c>
      <c r="H193" s="129"/>
    </row>
    <row r="194" spans="2:8">
      <c r="B194" s="87"/>
    </row>
    <row r="195" spans="2:8" ht="21">
      <c r="B195" s="87"/>
      <c r="C195" s="131" t="s">
        <v>154</v>
      </c>
    </row>
    <row r="196" spans="2:8">
      <c r="B196" s="87"/>
    </row>
    <row r="197" spans="2:8">
      <c r="B197" s="87"/>
      <c r="C197" s="51" t="s">
        <v>155</v>
      </c>
    </row>
    <row r="198" spans="2:8">
      <c r="B198" s="87"/>
    </row>
    <row r="199" spans="2:8">
      <c r="B199" s="87"/>
      <c r="C199" s="51" t="s">
        <v>156</v>
      </c>
      <c r="D199" s="51" t="s">
        <v>157</v>
      </c>
      <c r="E199" s="51" t="s">
        <v>158</v>
      </c>
    </row>
    <row r="200" spans="2:8">
      <c r="B200" s="87"/>
      <c r="D200" s="51" t="s">
        <v>159</v>
      </c>
      <c r="E200" s="51" t="s">
        <v>160</v>
      </c>
    </row>
    <row r="201" spans="2:8">
      <c r="B201" s="87"/>
      <c r="D201" s="51" t="s">
        <v>161</v>
      </c>
      <c r="E201" s="51" t="s">
        <v>162</v>
      </c>
      <c r="G201" s="51" t="s">
        <v>163</v>
      </c>
    </row>
    <row r="202" spans="2:8">
      <c r="B202" s="87"/>
    </row>
    <row r="203" spans="2:8">
      <c r="B203" s="87"/>
      <c r="C203" s="51" t="s">
        <v>164</v>
      </c>
    </row>
    <row r="204" spans="2:8">
      <c r="B204" s="87"/>
    </row>
    <row r="205" spans="2:8">
      <c r="B205" s="87"/>
    </row>
    <row r="206" spans="2:8">
      <c r="B206" s="87"/>
      <c r="C206" s="51" t="s">
        <v>165</v>
      </c>
    </row>
    <row r="207" spans="2:8">
      <c r="B207" s="87"/>
    </row>
    <row r="208" spans="2:8">
      <c r="B208" s="87"/>
      <c r="D208" s="51">
        <f>E175*100</f>
        <v>70</v>
      </c>
      <c r="E208" s="51" t="s">
        <v>39</v>
      </c>
      <c r="F208" s="51" t="s">
        <v>166</v>
      </c>
    </row>
    <row r="209" spans="2:16">
      <c r="B209" s="87"/>
      <c r="D209" s="51">
        <f>0.0032/(D208/100)</f>
        <v>4.5714285714285718E-3</v>
      </c>
      <c r="E209" s="51" t="s">
        <v>167</v>
      </c>
    </row>
    <row r="210" spans="2:16">
      <c r="B210" s="87"/>
    </row>
    <row r="211" spans="2:16">
      <c r="B211" s="87"/>
      <c r="D211" s="127">
        <v>1</v>
      </c>
      <c r="E211" s="51" t="s">
        <v>168</v>
      </c>
    </row>
    <row r="212" spans="2:16">
      <c r="B212" s="87"/>
      <c r="D212" s="127">
        <f>D211/44</f>
        <v>2.2727272727272728E-2</v>
      </c>
      <c r="E212" s="51" t="s">
        <v>169</v>
      </c>
    </row>
    <row r="213" spans="2:16">
      <c r="B213" s="87"/>
      <c r="D213" s="127">
        <f>D212*28</f>
        <v>0.63636363636363635</v>
      </c>
      <c r="E213" s="51" t="s">
        <v>168</v>
      </c>
    </row>
    <row r="214" spans="2:16">
      <c r="B214" s="87"/>
      <c r="D214" s="127">
        <f>0.636/D213</f>
        <v>0.99942857142857144</v>
      </c>
    </row>
    <row r="215" spans="2:16">
      <c r="B215" s="87"/>
      <c r="D215" s="127"/>
    </row>
    <row r="216" spans="2:16">
      <c r="B216" s="87"/>
      <c r="C216" s="51" t="s">
        <v>170</v>
      </c>
      <c r="D216" s="127"/>
    </row>
    <row r="217" spans="2:16">
      <c r="B217" s="87"/>
      <c r="D217" s="127">
        <v>510</v>
      </c>
      <c r="E217" s="51" t="s">
        <v>171</v>
      </c>
      <c r="P217" s="51" t="s">
        <v>172</v>
      </c>
    </row>
    <row r="218" spans="2:16">
      <c r="B218" s="87"/>
      <c r="D218" s="127">
        <f>D209*D217*1000</f>
        <v>2331.4285714285716</v>
      </c>
      <c r="E218" s="51" t="s">
        <v>173</v>
      </c>
    </row>
    <row r="219" spans="2:16">
      <c r="B219" s="87"/>
      <c r="D219" s="132">
        <f>D218*1000/636</f>
        <v>3665.7681940700809</v>
      </c>
      <c r="E219" s="51" t="s">
        <v>174</v>
      </c>
    </row>
    <row r="220" spans="2:16">
      <c r="B220" s="87"/>
      <c r="D220" s="127">
        <f>D219/(E157/E158)</f>
        <v>5760.4928763958414</v>
      </c>
      <c r="E220" s="51" t="s">
        <v>111</v>
      </c>
    </row>
    <row r="221" spans="2:16">
      <c r="B221" s="87"/>
    </row>
    <row r="222" spans="2:16">
      <c r="B222" s="87"/>
    </row>
    <row r="223" spans="2:16">
      <c r="B223" s="87"/>
    </row>
    <row r="224" spans="2:16">
      <c r="B224" s="87"/>
    </row>
    <row r="225" spans="1:2">
      <c r="B225" s="87"/>
    </row>
    <row r="226" spans="1:2">
      <c r="B226" s="87"/>
    </row>
    <row r="227" spans="1:2">
      <c r="B227" s="87"/>
    </row>
    <row r="228" spans="1:2">
      <c r="A228" s="86"/>
      <c r="B228" s="87"/>
    </row>
    <row r="229" spans="1:2">
      <c r="A229" s="86"/>
      <c r="B229" s="87"/>
    </row>
    <row r="230" spans="1:2">
      <c r="A230" s="86"/>
      <c r="B230" s="87"/>
    </row>
    <row r="231" spans="1:2">
      <c r="A231" s="86"/>
      <c r="B231" s="87"/>
    </row>
    <row r="232" spans="1:2">
      <c r="A232" s="86"/>
      <c r="B232" s="87"/>
    </row>
    <row r="233" spans="1:2">
      <c r="A233" s="86"/>
      <c r="B233" s="87"/>
    </row>
    <row r="234" spans="1:2">
      <c r="A234" s="86"/>
      <c r="B234" s="87"/>
    </row>
    <row r="235" spans="1:2">
      <c r="A235" s="86"/>
      <c r="B235" s="87"/>
    </row>
    <row r="236" spans="1:2">
      <c r="A236" s="86"/>
      <c r="B236" s="87"/>
    </row>
    <row r="237" spans="1:2">
      <c r="A237" s="86"/>
      <c r="B237" s="87"/>
    </row>
    <row r="238" spans="1:2">
      <c r="A238" s="86"/>
      <c r="B238" s="87"/>
    </row>
    <row r="239" spans="1:2">
      <c r="A239" s="86"/>
      <c r="B239" s="87"/>
    </row>
    <row r="240" spans="1:2">
      <c r="A240" s="86"/>
      <c r="B240" s="87"/>
    </row>
    <row r="241" spans="1:1">
      <c r="A241" s="86"/>
    </row>
    <row r="242" spans="1:1">
      <c r="A242" s="86"/>
    </row>
    <row r="243" spans="1:1">
      <c r="A243" s="86"/>
    </row>
    <row r="244" spans="1:1">
      <c r="A244" s="86"/>
    </row>
    <row r="245" spans="1:1">
      <c r="A245" s="86"/>
    </row>
    <row r="246" spans="1:1">
      <c r="A246" s="86"/>
    </row>
    <row r="247" spans="1:1">
      <c r="A247" s="86"/>
    </row>
    <row r="248" spans="1:1">
      <c r="A248" s="86"/>
    </row>
    <row r="249" spans="1:1">
      <c r="A249" s="86"/>
    </row>
    <row r="250" spans="1:1">
      <c r="A250" s="86"/>
    </row>
    <row r="251" spans="1:1">
      <c r="A251" s="86"/>
    </row>
    <row r="252" spans="1:1">
      <c r="A252" s="86"/>
    </row>
    <row r="253" spans="1:1">
      <c r="A253" s="86"/>
    </row>
    <row r="254" spans="1:1">
      <c r="A254" s="86"/>
    </row>
    <row r="255" spans="1:1">
      <c r="A255" s="86"/>
    </row>
    <row r="256" spans="1:1">
      <c r="A256" s="86"/>
    </row>
    <row r="257" spans="1:1">
      <c r="A257" s="86"/>
    </row>
    <row r="258" spans="1:1">
      <c r="A258" s="86"/>
    </row>
    <row r="259" spans="1:1">
      <c r="A259" s="86"/>
    </row>
    <row r="260" spans="1:1">
      <c r="A260" s="86"/>
    </row>
    <row r="261" spans="1:1">
      <c r="A261" s="86"/>
    </row>
    <row r="262" spans="1:1">
      <c r="A262" s="86"/>
    </row>
    <row r="263" spans="1:1">
      <c r="A263" s="86"/>
    </row>
    <row r="264" spans="1:1">
      <c r="A264" s="86"/>
    </row>
    <row r="265" spans="1:1">
      <c r="A265" s="86"/>
    </row>
    <row r="266" spans="1:1">
      <c r="A266" s="86"/>
    </row>
    <row r="267" spans="1:1">
      <c r="A267" s="86"/>
    </row>
    <row r="268" spans="1:1">
      <c r="A268" s="86"/>
    </row>
    <row r="269" spans="1:1">
      <c r="A269" s="86"/>
    </row>
    <row r="270" spans="1:1">
      <c r="A270" s="86"/>
    </row>
    <row r="271" spans="1:1">
      <c r="A271" s="86"/>
    </row>
    <row r="272" spans="1:1">
      <c r="A272" s="86"/>
    </row>
    <row r="273" spans="1:1">
      <c r="A273" s="86"/>
    </row>
    <row r="274" spans="1:1">
      <c r="A274" s="86"/>
    </row>
    <row r="275" spans="1:1">
      <c r="A275" s="86"/>
    </row>
    <row r="276" spans="1:1">
      <c r="A276" s="86"/>
    </row>
    <row r="277" spans="1:1">
      <c r="A277" s="86"/>
    </row>
    <row r="278" spans="1:1">
      <c r="A278" s="86"/>
    </row>
    <row r="279" spans="1:1">
      <c r="A279" s="86"/>
    </row>
    <row r="280" spans="1:1">
      <c r="A280" s="86"/>
    </row>
    <row r="281" spans="1:1">
      <c r="A281" s="86"/>
    </row>
    <row r="282" spans="1:1">
      <c r="A282" s="86"/>
    </row>
    <row r="283" spans="1:1">
      <c r="A283" s="86"/>
    </row>
    <row r="284" spans="1:1">
      <c r="A284" s="86"/>
    </row>
    <row r="285" spans="1:1">
      <c r="A285" s="86"/>
    </row>
    <row r="286" spans="1:1">
      <c r="A286" s="86"/>
    </row>
    <row r="287" spans="1:1">
      <c r="A287" s="86"/>
    </row>
    <row r="288" spans="1:1">
      <c r="A288" s="86"/>
    </row>
    <row r="289" spans="1:1">
      <c r="A289" s="86"/>
    </row>
    <row r="290" spans="1:1">
      <c r="A290" s="86"/>
    </row>
    <row r="291" spans="1:1">
      <c r="A291" s="86"/>
    </row>
    <row r="292" spans="1:1">
      <c r="A292" s="86"/>
    </row>
    <row r="293" spans="1:1">
      <c r="A293" s="86"/>
    </row>
    <row r="294" spans="1:1">
      <c r="A294" s="8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2020-09-10T11:46:47Z</dcterms:modified>
</cp:coreProperties>
</file>