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showInkAnnotation="0" codeName="ThisWorkbook" autoCompressPictures="0"/>
  <mc:AlternateContent xmlns:mc="http://schemas.openxmlformats.org/markup-compatibility/2006">
    <mc:Choice Requires="x15">
      <x15ac:absPath xmlns:x15ac="http://schemas.microsoft.com/office/spreadsheetml/2010/11/ac" url="/Users/kaskranenburg/Code/etdataset/nodes_source_analyses/energy/buildings/"/>
    </mc:Choice>
  </mc:AlternateContent>
  <xr:revisionPtr revIDLastSave="0" documentId="13_ncr:1_{5665588F-CBE8-3641-8154-073ACED34653}" xr6:coauthVersionLast="47" xr6:coauthVersionMax="47" xr10:uidLastSave="{00000000-0000-0000-0000-000000000000}"/>
  <bookViews>
    <workbookView xWindow="19200" yWindow="500" windowWidth="19200" windowHeight="21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12" i="12" l="1"/>
  <c r="I11" i="12"/>
  <c r="I10" i="12"/>
  <c r="E12" i="12"/>
  <c r="E11" i="12"/>
  <c r="E13" i="12"/>
  <c r="E10" i="12"/>
  <c r="E267" i="16"/>
  <c r="F221" i="16" l="1"/>
  <c r="F223" i="16" s="1"/>
  <c r="F214" i="16" s="1"/>
  <c r="F219" i="16"/>
  <c r="G16" i="13" l="1"/>
  <c r="F245" i="16"/>
  <c r="E250" i="16" s="1"/>
  <c r="F244" i="16"/>
  <c r="E249" i="16" s="1"/>
  <c r="E49" i="16"/>
  <c r="E92" i="16" s="1"/>
  <c r="R27" i="13" l="1"/>
  <c r="E27" i="13" s="1"/>
  <c r="E88" i="16" l="1"/>
  <c r="E331" i="16"/>
  <c r="R25" i="13" s="1"/>
  <c r="E25" i="13" s="1"/>
  <c r="H12" i="13" l="1"/>
  <c r="E12" i="13" s="1"/>
  <c r="E16" i="12" s="1"/>
  <c r="Q3" i="13"/>
  <c r="E321" i="16"/>
  <c r="E307" i="16"/>
  <c r="E309" i="16" s="1"/>
  <c r="E312" i="16"/>
  <c r="E313" i="16" s="1"/>
  <c r="P3" i="13"/>
  <c r="D315" i="16"/>
  <c r="D323" i="16"/>
  <c r="D186" i="16"/>
  <c r="D269" i="16"/>
  <c r="D284" i="16"/>
  <c r="C42" i="15"/>
  <c r="G3" i="13"/>
  <c r="E290" i="16"/>
  <c r="E292" i="16" s="1"/>
  <c r="E282" i="16"/>
  <c r="E284" i="16" s="1"/>
  <c r="I3" i="13"/>
  <c r="H3" i="13"/>
  <c r="J3" i="13"/>
  <c r="K3" i="13"/>
  <c r="L3" i="13"/>
  <c r="M3" i="13"/>
  <c r="C277" i="16" s="1"/>
  <c r="N3" i="13"/>
  <c r="I32" i="12" s="1"/>
  <c r="O3" i="13"/>
  <c r="G26" i="13"/>
  <c r="E26" i="13" s="1"/>
  <c r="E29" i="12" s="1"/>
  <c r="N27" i="13"/>
  <c r="E30" i="12" s="1"/>
  <c r="G28" i="13"/>
  <c r="E28" i="13" s="1"/>
  <c r="E31" i="12" s="1"/>
  <c r="G30" i="13"/>
  <c r="E30" i="13" s="1"/>
  <c r="E33" i="12" s="1"/>
  <c r="G31" i="13"/>
  <c r="E31" i="13" s="1"/>
  <c r="E34" i="12" s="1"/>
  <c r="E32" i="13"/>
  <c r="G33" i="13"/>
  <c r="E33" i="13" s="1"/>
  <c r="E36" i="12" s="1"/>
  <c r="N29" i="13"/>
  <c r="E29" i="13" s="1"/>
  <c r="E32" i="12" s="1"/>
  <c r="G38" i="13"/>
  <c r="E38" i="13" s="1"/>
  <c r="E41" i="12" s="1"/>
  <c r="N37" i="13"/>
  <c r="E37" i="13" s="1"/>
  <c r="E40" i="12" s="1"/>
  <c r="G36" i="13"/>
  <c r="E36" i="13" s="1"/>
  <c r="E39" i="12" s="1"/>
  <c r="E183" i="16"/>
  <c r="I25" i="13" s="1"/>
  <c r="E28" i="12" s="1"/>
  <c r="I28" i="12" s="1"/>
  <c r="J22" i="13"/>
  <c r="E20" i="13"/>
  <c r="E24" i="12" s="1"/>
  <c r="E19" i="13"/>
  <c r="E23" i="12" s="1"/>
  <c r="E18" i="13"/>
  <c r="E22" i="12" s="1"/>
  <c r="L17" i="13"/>
  <c r="E17" i="13" s="1"/>
  <c r="E21" i="12" s="1"/>
  <c r="I21" i="12" s="1"/>
  <c r="E16" i="13"/>
  <c r="E20" i="12" s="1"/>
  <c r="G15" i="13"/>
  <c r="E15" i="13" s="1"/>
  <c r="E19" i="12" s="1"/>
  <c r="L14" i="13"/>
  <c r="E14" i="13" s="1"/>
  <c r="E18" i="12" s="1"/>
  <c r="L13" i="13"/>
  <c r="E13" i="13" s="1"/>
  <c r="E17" i="12" s="1"/>
  <c r="J11" i="13"/>
  <c r="E15" i="12" s="1"/>
  <c r="J10" i="13"/>
  <c r="E14" i="12" s="1"/>
  <c r="E9" i="13"/>
  <c r="G8" i="13"/>
  <c r="E8" i="13" s="1"/>
  <c r="G6" i="13"/>
  <c r="E6" i="13" s="1"/>
  <c r="D292" i="16"/>
  <c r="E263" i="16"/>
  <c r="C14" i="13"/>
  <c r="D267" i="16" s="1"/>
  <c r="D263" i="16"/>
  <c r="D262" i="16"/>
  <c r="D261" i="16"/>
  <c r="D260" i="16"/>
  <c r="C239" i="16"/>
  <c r="C16" i="13"/>
  <c r="C15" i="13"/>
  <c r="C12" i="13"/>
  <c r="D38" i="13"/>
  <c r="D37" i="13"/>
  <c r="D36" i="13"/>
  <c r="D33" i="13"/>
  <c r="D32" i="13"/>
  <c r="D31" i="13"/>
  <c r="D30" i="13"/>
  <c r="D29" i="13"/>
  <c r="D28" i="13"/>
  <c r="D27" i="13"/>
  <c r="D26" i="13"/>
  <c r="D25" i="13"/>
  <c r="D22" i="13"/>
  <c r="D21" i="13"/>
  <c r="D20" i="13"/>
  <c r="D19" i="13"/>
  <c r="D18" i="13"/>
  <c r="D17" i="13"/>
  <c r="D16" i="13"/>
  <c r="D15" i="13"/>
  <c r="D14" i="13"/>
  <c r="D13" i="13"/>
  <c r="D12" i="13"/>
  <c r="D11" i="13"/>
  <c r="D10" i="13"/>
  <c r="D9" i="13"/>
  <c r="C38" i="13"/>
  <c r="C37" i="13"/>
  <c r="C36" i="13"/>
  <c r="C33" i="13"/>
  <c r="C32" i="13"/>
  <c r="C31" i="13"/>
  <c r="C30" i="13"/>
  <c r="C29" i="13"/>
  <c r="C28" i="13"/>
  <c r="C27" i="13"/>
  <c r="C26" i="13"/>
  <c r="C25" i="13"/>
  <c r="C22" i="13"/>
  <c r="C21" i="13"/>
  <c r="C20" i="13"/>
  <c r="C19" i="13"/>
  <c r="C18" i="13"/>
  <c r="C17" i="13"/>
  <c r="C13" i="13"/>
  <c r="C11" i="13"/>
  <c r="C10" i="13"/>
  <c r="C9" i="13"/>
  <c r="I27" i="13"/>
  <c r="E204" i="16"/>
  <c r="E198" i="16"/>
  <c r="I20" i="12" l="1"/>
  <c r="I18" i="12"/>
  <c r="I34" i="12"/>
  <c r="I33" i="12"/>
  <c r="I15" i="12"/>
  <c r="I17" i="12"/>
  <c r="I24" i="12"/>
  <c r="I29" i="12"/>
  <c r="I19" i="12"/>
  <c r="I36" i="12"/>
  <c r="I13" i="12"/>
  <c r="I31" i="12"/>
  <c r="I23" i="12"/>
  <c r="I40" i="12"/>
  <c r="I14" i="12"/>
  <c r="E236" i="16"/>
  <c r="E214" i="16"/>
  <c r="E323" i="16"/>
  <c r="E209" i="16"/>
  <c r="K29" i="13" s="1"/>
  <c r="E11" i="13"/>
  <c r="E315" i="16"/>
  <c r="E93" i="16"/>
  <c r="G7" i="13" s="1"/>
  <c r="E7" i="13" s="1"/>
  <c r="I30" i="12"/>
  <c r="E22" i="13"/>
  <c r="E25" i="12" s="1"/>
  <c r="I25" i="12" s="1"/>
  <c r="I16" i="12"/>
  <c r="E10" i="13"/>
  <c r="I22" i="12"/>
  <c r="I39" i="12"/>
  <c r="I41" i="12"/>
</calcChain>
</file>

<file path=xl/sharedStrings.xml><?xml version="1.0" encoding="utf-8"?>
<sst xmlns="http://schemas.openxmlformats.org/spreadsheetml/2006/main" count="407" uniqueCount="251">
  <si>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</si>
  <si>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</si>
  <si>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</si>
  <si>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</si>
  <si>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</si>
  <si>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</si>
  <si>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</si>
  <si>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</si>
  <si>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</si>
  <si>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</si>
  <si>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</si>
  <si>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</si>
  <si>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</si>
  <si>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</si>
  <si>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</si>
  <si>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</si>
  <si>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</si>
  <si>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</si>
  <si>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</si>
  <si>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</si>
  <si>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</si>
  <si>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</si>
  <si>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</si>
  <si>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</si>
  <si>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</si>
  <si>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</si>
  <si>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</si>
  <si>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</si>
  <si>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</si>
  <si>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</si>
  <si>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</si>
  <si>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</si>
  <si>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</si>
  <si>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</si>
  <si>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</si>
  <si>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</si>
  <si>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</si>
  <si>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</si>
  <si>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</si>
  <si>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</si>
  <si>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</si>
  <si>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</si>
  <si>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</si>
  <si>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</si>
  <si>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</si>
  <si>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</si>
  <si>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</si>
  <si>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</si>
  <si>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</si>
  <si>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</si>
  <si>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</si>
  <si>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</si>
  <si>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</si>
  <si>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</si>
  <si>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</si>
  <si>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</si>
  <si>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</si>
  <si>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</si>
  <si>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</si>
  <si>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</si>
  <si>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</si>
  <si>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</si>
  <si>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</si>
  <si>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</si>
  <si>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</si>
  <si>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</si>
  <si>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</si>
  <si>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</si>
  <si>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</si>
  <si>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</si>
  <si>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</si>
  <si>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</si>
  <si>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</si>
  <si>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</si>
  <si>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</si>
  <si>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</si>
  <si>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</si>
  <si>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</si>
  <si>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</si>
  <si>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</si>
  <si>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</si>
  <si>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</si>
  <si>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Rob Terwel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</si>
  <si>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</si>
  <si>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</si>
  <si>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</si>
  <si>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</si>
  <si>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</si>
  <si>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</si>
  <si>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</si>
  <si>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</si>
  <si>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</si>
  <si>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</si>
  <si>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</si>
  <si>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</si>
  <si>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</si>
  <si>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</si>
  <si>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</si>
  <si>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</si>
  <si>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</si>
  <si>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</si>
  <si>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</si>
  <si>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</si>
  <si>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</si>
  <si>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</si>
  <si>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</si>
  <si>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</si>
  <si>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households_space_heater_hybrid_heatpump_air_water_electricity.converter</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</si>
  <si>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</si>
  <si>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</si>
  <si>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</si>
  <si>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</si>
  <si>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</si>
  <si>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</si>
  <si>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</si>
  <si>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</si>
  <si>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</si>
  <si>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</si>
  <si>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</si>
  <si>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</si>
  <si>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</si>
  <si>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</si>
  <si>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</si>
  <si>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</si>
  <si>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</si>
  <si>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</si>
  <si>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</si>
  <si>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</si>
  <si>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</si>
  <si>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</si>
  <si>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</si>
  <si>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</si>
  <si>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</si>
  <si>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</si>
  <si>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</si>
  <si>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</si>
  <si>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</si>
  <si>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</si>
  <si>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</si>
  <si>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</si>
  <si>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</si>
  <si>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</si>
  <si>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</si>
  <si>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</si>
  <si>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</si>
  <si>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</si>
  <si>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</si>
  <si>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</si>
  <si>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</si>
  <si>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</si>
  <si>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</si>
  <si>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</si>
  <si>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</si>
  <si>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</si>
  <si>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</si>
  <si>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</si>
  <si>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</si>
  <si>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</si>
  <si>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</si>
  <si>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</si>
  <si>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</si>
  <si>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</si>
  <si>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fever.capacity.network_gas</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</si>
  <si>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</si>
  <si>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</si>
  <si>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</si>
  <si>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</si>
  <si>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</si>
  <si>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</si>
  <si>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</si>
  <si>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</si>
  <si>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</si>
  <si>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</si>
  <si>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</si>
  <si>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</si>
  <si>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</si>
  <si>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</si>
  <si>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</si>
  <si>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Phone conversation</t>
  </si>
  <si>
    <t>See file on Dropbox</t>
  </si>
  <si>
    <t>201707_Tabel RV WW en koude met warmtepompen</t>
  </si>
  <si>
    <t>Ref temperature for output capacity</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</si>
  <si>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</si>
  <si>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</si>
  <si>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</si>
  <si>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</si>
  <si>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</si>
  <si>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</si>
  <si>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</si>
  <si>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</si>
  <si>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</si>
  <si>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</si>
  <si>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</si>
  <si>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</si>
  <si>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</si>
  <si>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output.useable_heat.network_gas</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</si>
  <si>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</si>
  <si>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</si>
  <si>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</si>
  <si>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</si>
  <si>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</si>
  <si>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</si>
  <si>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</si>
  <si>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</si>
  <si>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</si>
  <si>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</si>
  <si>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</si>
  <si>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</si>
  <si>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</si>
  <si>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</si>
  <si>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</si>
  <si>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</si>
  <si>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</si>
  <si>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</si>
  <si>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</si>
  <si>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</si>
  <si>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</si>
  <si>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</si>
  <si>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</si>
  <si>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</si>
  <si>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</si>
  <si>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</si>
  <si>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Vesta</t>
  </si>
  <si>
    <t>minimale investeringskosten</t>
  </si>
  <si>
    <t>maximale investeringskosten</t>
  </si>
  <si>
    <t>gemiddeld</t>
  </si>
  <si>
    <t>euro/aansluiting</t>
  </si>
  <si>
    <t>Vesta Fucntioneel Ontwerp 4.0</t>
  </si>
  <si>
    <t>Vesta Functioneel Ontwerp 4.0</t>
  </si>
  <si>
    <t>dit is inclusief de cost_of_installing, dus die gaat naar nul</t>
  </si>
  <si>
    <t>base_cop</t>
  </si>
  <si>
    <t xml:space="preserve">cop_per_degree </t>
  </si>
  <si>
    <t>output temperatuur (graden Celsius)</t>
  </si>
  <si>
    <t>source</t>
  </si>
  <si>
    <t>linear fit Ecofys curve</t>
  </si>
  <si>
    <t>The input share in the node for the start year should be adjusted soon, will be done together with dataset update!</t>
  </si>
  <si>
    <t>Update Marlieke Verweij 20200401:</t>
  </si>
  <si>
    <t>This cut-off COP is the cost-optimal threshold COP calculated based on these gas and electricity prices</t>
  </si>
  <si>
    <t>gas</t>
  </si>
  <si>
    <t>electricity</t>
  </si>
  <si>
    <t>euro/kWh</t>
  </si>
  <si>
    <t>euro/m3</t>
  </si>
  <si>
    <t>euro/MJ warmte</t>
  </si>
  <si>
    <t>voor COP1</t>
  </si>
  <si>
    <t>threshold COP</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</si>
  <si>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</si>
  <si>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r>
      <t>With this output temperature and the cost-optimal threshold COP of 2.6, the HHP electricity share (heat output) for houses with energylabel B is 64</t>
    </r>
    <r>
      <rPr>
        <b/>
        <sz val="12"/>
        <color theme="1"/>
        <rFont val="Calibri"/>
        <family val="2"/>
        <scheme val="minor"/>
      </rPr>
      <t>%.</t>
    </r>
  </si>
  <si>
    <t>These values don't match with the shares on ETSource. They should match the new COP curve and will be updated if all datasets will be updated!</t>
  </si>
  <si>
    <t>input.hydrogen</t>
  </si>
  <si>
    <t>Quintel assumption</t>
  </si>
  <si>
    <t>See https://docs.energytransitionmodel.com/main/cost-wacc/#households-real-wacc-2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</si>
</sst>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27">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2" fontId="27" fillId="3"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1" fontId="26" fillId="2" borderId="0" xfId="0" applyNumberFormat="1" applyFont="1" applyFill="1" applyAlignment="1">
      <alignmen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9" xfId="0" applyFont="1" applyFill="1" applyBorder="1"/>
    <xf numFmtId="0" fontId="26" fillId="2" borderId="4" xfId="0" applyFont="1" applyFill="1" applyBorder="1"/>
    <xf numFmtId="0" fontId="23" fillId="2" borderId="0" xfId="0" applyFont="1" applyFill="1"/>
    <xf numFmtId="0" fontId="27" fillId="0" borderId="0" xfId="0" applyFont="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8" fillId="3" borderId="0" xfId="0" applyFont="1" applyFill="1"/>
    <xf numFmtId="0" fontId="26" fillId="2" borderId="0" xfId="0" applyFont="1" applyFill="1" applyAlignment="1">
      <alignment horizontal="left" vertical="center"/>
    </xf>
    <xf numFmtId="0" fontId="22" fillId="2" borderId="0" xfId="0" applyFont="1" applyFill="1"/>
    <xf numFmtId="0" fontId="22" fillId="0" borderId="0" xfId="0" applyFont="1"/>
    <xf numFmtId="0" fontId="22" fillId="2" borderId="3" xfId="0" applyFont="1" applyFill="1" applyBorder="1"/>
    <xf numFmtId="0" fontId="22" fillId="2" borderId="15" xfId="0" applyFont="1" applyFill="1" applyBorder="1"/>
    <xf numFmtId="0" fontId="22" fillId="2" borderId="6" xfId="0" applyFont="1" applyFill="1" applyBorder="1"/>
    <xf numFmtId="0" fontId="22" fillId="2" borderId="10" xfId="0" applyFont="1" applyFill="1" applyBorder="1"/>
    <xf numFmtId="0" fontId="22" fillId="2" borderId="11" xfId="0" applyFont="1" applyFill="1" applyBorder="1"/>
    <xf numFmtId="0" fontId="22" fillId="2" borderId="12" xfId="0" applyFont="1" applyFill="1" applyBorder="1"/>
    <xf numFmtId="0" fontId="31" fillId="2" borderId="0" xfId="0" applyFont="1" applyFill="1"/>
    <xf numFmtId="0" fontId="31" fillId="2" borderId="5" xfId="0" applyFont="1" applyFill="1" applyBorder="1"/>
    <xf numFmtId="0" fontId="32" fillId="2" borderId="0" xfId="0" applyFont="1" applyFill="1"/>
    <xf numFmtId="49" fontId="32" fillId="2" borderId="0" xfId="0" applyNumberFormat="1" applyFont="1" applyFill="1"/>
    <xf numFmtId="0" fontId="32" fillId="2" borderId="3" xfId="0" applyFont="1" applyFill="1" applyBorder="1"/>
    <xf numFmtId="0" fontId="32" fillId="2" borderId="4" xfId="0" applyFont="1" applyFill="1" applyBorder="1"/>
    <xf numFmtId="49" fontId="32" fillId="2" borderId="4" xfId="0" applyNumberFormat="1" applyFont="1" applyFill="1" applyBorder="1"/>
    <xf numFmtId="0" fontId="32" fillId="2" borderId="6" xfId="0" applyFont="1" applyFill="1" applyBorder="1"/>
    <xf numFmtId="0" fontId="33" fillId="2" borderId="0" xfId="0" applyFont="1" applyFill="1"/>
    <xf numFmtId="49" fontId="33" fillId="2" borderId="0" xfId="0" applyNumberFormat="1" applyFont="1" applyFill="1"/>
    <xf numFmtId="0" fontId="32" fillId="2" borderId="16" xfId="0" applyFont="1" applyFill="1" applyBorder="1"/>
    <xf numFmtId="0" fontId="33" fillId="2" borderId="9" xfId="0" applyFont="1" applyFill="1" applyBorder="1"/>
    <xf numFmtId="49" fontId="33" fillId="2" borderId="9" xfId="0" applyNumberFormat="1" applyFont="1" applyFill="1" applyBorder="1"/>
    <xf numFmtId="2" fontId="26" fillId="2" borderId="9" xfId="0" applyNumberFormat="1" applyFont="1" applyFill="1" applyBorder="1" applyAlignment="1">
      <alignment vertical="center"/>
    </xf>
    <xf numFmtId="2" fontId="26" fillId="2" borderId="9" xfId="0" applyNumberFormat="1" applyFont="1" applyFill="1" applyBorder="1" applyAlignment="1">
      <alignment horizontal="left" vertical="center"/>
    </xf>
    <xf numFmtId="0" fontId="21" fillId="2" borderId="0" xfId="0" applyFont="1" applyFill="1"/>
    <xf numFmtId="2" fontId="21" fillId="2" borderId="0" xfId="0" applyNumberFormat="1" applyFont="1" applyFill="1"/>
    <xf numFmtId="0" fontId="21" fillId="2" borderId="3" xfId="0" applyFont="1" applyFill="1" applyBorder="1"/>
    <xf numFmtId="0" fontId="21" fillId="2" borderId="4" xfId="0" applyFont="1" applyFill="1" applyBorder="1"/>
    <xf numFmtId="2" fontId="21" fillId="2" borderId="4" xfId="0" applyNumberFormat="1" applyFont="1" applyFill="1" applyBorder="1"/>
    <xf numFmtId="0" fontId="21" fillId="2" borderId="6" xfId="0" applyFont="1" applyFill="1" applyBorder="1"/>
    <xf numFmtId="0" fontId="21" fillId="2" borderId="0" xfId="0" applyFont="1" applyFill="1" applyAlignment="1">
      <alignment horizontal="left" vertical="center"/>
    </xf>
    <xf numFmtId="1" fontId="21" fillId="2" borderId="0" xfId="0" applyNumberFormat="1" applyFont="1" applyFill="1" applyAlignment="1">
      <alignment vertical="center"/>
    </xf>
    <xf numFmtId="10" fontId="21" fillId="2" borderId="0" xfId="0" applyNumberFormat="1" applyFont="1" applyFill="1" applyAlignment="1">
      <alignment horizontal="left" vertical="center" indent="2"/>
    </xf>
    <xf numFmtId="0" fontId="26" fillId="2" borderId="17" xfId="0" applyFont="1" applyFill="1" applyBorder="1"/>
    <xf numFmtId="0" fontId="20" fillId="2" borderId="2" xfId="0" applyFont="1" applyFill="1" applyBorder="1"/>
    <xf numFmtId="0" fontId="26" fillId="2" borderId="7" xfId="0" applyFont="1" applyFill="1" applyBorder="1"/>
    <xf numFmtId="0" fontId="20" fillId="2" borderId="0" xfId="0" applyFont="1" applyFill="1"/>
    <xf numFmtId="0" fontId="35" fillId="2" borderId="0" xfId="0" applyFont="1" applyFill="1"/>
    <xf numFmtId="0" fontId="20" fillId="2" borderId="18" xfId="0" applyFont="1" applyFill="1" applyBorder="1"/>
    <xf numFmtId="0" fontId="20" fillId="5" borderId="0" xfId="0" applyFont="1" applyFill="1"/>
    <xf numFmtId="0" fontId="20" fillId="6" borderId="0" xfId="0" applyFont="1" applyFill="1"/>
    <xf numFmtId="0" fontId="20" fillId="7" borderId="0" xfId="0" applyFont="1" applyFill="1"/>
    <xf numFmtId="0" fontId="20" fillId="8" borderId="0" xfId="0" applyFont="1" applyFill="1"/>
    <xf numFmtId="0" fontId="20" fillId="2" borderId="7" xfId="0" applyFont="1" applyFill="1" applyBorder="1"/>
    <xf numFmtId="0" fontId="20" fillId="9" borderId="0" xfId="0" applyFont="1" applyFill="1"/>
    <xf numFmtId="0" fontId="20" fillId="10" borderId="0" xfId="0" applyFont="1" applyFill="1"/>
    <xf numFmtId="0" fontId="20" fillId="11" borderId="0" xfId="0" applyFont="1" applyFill="1"/>
    <xf numFmtId="0" fontId="20" fillId="12" borderId="0" xfId="0" applyFont="1" applyFill="1"/>
    <xf numFmtId="0" fontId="26" fillId="2" borderId="16" xfId="0" applyFont="1" applyFill="1" applyBorder="1"/>
    <xf numFmtId="0" fontId="28" fillId="2" borderId="9" xfId="0" applyFont="1" applyFill="1" applyBorder="1"/>
    <xf numFmtId="0" fontId="27" fillId="2" borderId="0" xfId="0" applyFont="1" applyFill="1"/>
    <xf numFmtId="2" fontId="22" fillId="2" borderId="0" xfId="0" applyNumberFormat="1" applyFont="1" applyFill="1"/>
    <xf numFmtId="165" fontId="22" fillId="2" borderId="0" xfId="0" applyNumberFormat="1" applyFont="1" applyFill="1"/>
    <xf numFmtId="0" fontId="31" fillId="2" borderId="19" xfId="0" applyFont="1" applyFill="1" applyBorder="1"/>
    <xf numFmtId="0" fontId="22" fillId="2" borderId="5" xfId="0" applyFont="1" applyFill="1" applyBorder="1"/>
    <xf numFmtId="164" fontId="26" fillId="2" borderId="0" xfId="0" applyNumberFormat="1" applyFont="1" applyFill="1" applyAlignment="1">
      <alignment horizontal="left" vertical="center"/>
    </xf>
    <xf numFmtId="2" fontId="26" fillId="2" borderId="0" xfId="0" applyNumberFormat="1" applyFont="1" applyFill="1" applyAlignment="1">
      <alignment horizontal="left" vertical="center"/>
    </xf>
    <xf numFmtId="0" fontId="26" fillId="2" borderId="9" xfId="0" applyFont="1" applyFill="1" applyBorder="1" applyAlignment="1">
      <alignment vertical="center"/>
    </xf>
    <xf numFmtId="0" fontId="19" fillId="2" borderId="0" xfId="0" applyFont="1" applyFill="1"/>
    <xf numFmtId="0" fontId="26" fillId="2" borderId="3" xfId="0" applyFont="1" applyFill="1" applyBorder="1"/>
    <xf numFmtId="0" fontId="26" fillId="2" borderId="15" xfId="0" applyFont="1" applyFill="1" applyBorder="1"/>
    <xf numFmtId="0" fontId="26" fillId="2" borderId="19" xfId="0" applyFont="1" applyFill="1" applyBorder="1"/>
    <xf numFmtId="0" fontId="19" fillId="2" borderId="6" xfId="0" applyFont="1" applyFill="1" applyBorder="1"/>
    <xf numFmtId="0" fontId="19" fillId="2" borderId="5" xfId="0" applyFont="1" applyFill="1" applyBorder="1"/>
    <xf numFmtId="0" fontId="18" fillId="2" borderId="0" xfId="0" applyFont="1" applyFill="1"/>
    <xf numFmtId="0" fontId="17" fillId="2" borderId="0" xfId="0" applyFont="1" applyFill="1"/>
    <xf numFmtId="0" fontId="16" fillId="0" borderId="0" xfId="0" applyFont="1"/>
    <xf numFmtId="2" fontId="16" fillId="2" borderId="18" xfId="0" applyNumberFormat="1" applyFont="1" applyFill="1" applyBorder="1"/>
    <xf numFmtId="0" fontId="16" fillId="2" borderId="0" xfId="0" applyFont="1" applyFill="1"/>
    <xf numFmtId="0" fontId="16" fillId="2" borderId="5" xfId="0" applyFont="1" applyFill="1" applyBorder="1"/>
    <xf numFmtId="0" fontId="34" fillId="4" borderId="0" xfId="0" applyFont="1" applyFill="1"/>
    <xf numFmtId="0" fontId="34" fillId="4" borderId="6" xfId="0" applyFont="1" applyFill="1" applyBorder="1"/>
    <xf numFmtId="0" fontId="15" fillId="2" borderId="0" xfId="0" applyFont="1" applyFill="1"/>
    <xf numFmtId="0" fontId="14" fillId="2" borderId="0" xfId="0" applyFont="1" applyFill="1"/>
    <xf numFmtId="0" fontId="14" fillId="2" borderId="6" xfId="0" applyFont="1" applyFill="1" applyBorder="1"/>
    <xf numFmtId="166" fontId="16" fillId="2" borderId="18" xfId="0" applyNumberFormat="1" applyFont="1" applyFill="1" applyBorder="1"/>
    <xf numFmtId="0" fontId="14" fillId="2" borderId="18" xfId="0" applyFont="1" applyFill="1" applyBorder="1"/>
    <xf numFmtId="0" fontId="14" fillId="0" borderId="0" xfId="0" applyFont="1"/>
    <xf numFmtId="167" fontId="16" fillId="2" borderId="18" xfId="0" applyNumberFormat="1" applyFont="1" applyFill="1" applyBorder="1"/>
    <xf numFmtId="0" fontId="13" fillId="2" borderId="0" xfId="0" applyFont="1" applyFill="1"/>
    <xf numFmtId="0" fontId="12" fillId="2" borderId="0" xfId="0" applyFont="1" applyFill="1"/>
    <xf numFmtId="0" fontId="11" fillId="2" borderId="0" xfId="0" applyFont="1" applyFill="1"/>
    <xf numFmtId="0" fontId="10" fillId="2" borderId="0" xfId="0" applyFont="1" applyFill="1"/>
    <xf numFmtId="165" fontId="19" fillId="2" borderId="0" xfId="0" applyNumberFormat="1" applyFont="1" applyFill="1"/>
    <xf numFmtId="0" fontId="9" fillId="2" borderId="0" xfId="0" applyFont="1" applyFill="1"/>
    <xf numFmtId="49" fontId="22" fillId="2" borderId="0" xfId="0" applyNumberFormat="1" applyFont="1" applyFill="1"/>
    <xf numFmtId="0" fontId="8" fillId="0" borderId="0" xfId="0" applyFont="1"/>
    <xf numFmtId="0" fontId="37" fillId="0" borderId="0" xfId="0" applyFont="1"/>
    <xf numFmtId="0" fontId="8" fillId="2" borderId="0" xfId="0" applyFont="1" applyFill="1"/>
    <xf numFmtId="0" fontId="8" fillId="2" borderId="6" xfId="0" applyFont="1" applyFill="1" applyBorder="1"/>
    <xf numFmtId="0" fontId="8" fillId="2" borderId="5" xfId="0" applyFont="1" applyFill="1" applyBorder="1"/>
    <xf numFmtId="167" fontId="8" fillId="2" borderId="18" xfId="0" applyNumberFormat="1" applyFont="1" applyFill="1" applyBorder="1"/>
    <xf numFmtId="166" fontId="8" fillId="2" borderId="0" xfId="0" applyNumberFormat="1" applyFont="1" applyFill="1" applyAlignment="1">
      <alignment horizontal="right" vertical="center"/>
    </xf>
    <xf numFmtId="49" fontId="26" fillId="2" borderId="0" xfId="0" applyNumberFormat="1" applyFont="1" applyFill="1"/>
    <xf numFmtId="49" fontId="8" fillId="2" borderId="0" xfId="0" applyNumberFormat="1" applyFont="1" applyFill="1"/>
    <xf numFmtId="0" fontId="0" fillId="2" borderId="0" xfId="0" applyFill="1"/>
    <xf numFmtId="2" fontId="26" fillId="2" borderId="0" xfId="0" applyNumberFormat="1" applyFont="1" applyFill="1"/>
    <xf numFmtId="0" fontId="8" fillId="0" borderId="0" xfId="0" applyFont="1" applyAlignment="1">
      <alignment vertical="center"/>
    </xf>
    <xf numFmtId="168" fontId="8" fillId="0" borderId="0" xfId="0" applyNumberFormat="1" applyFont="1" applyAlignment="1">
      <alignment vertical="center"/>
    </xf>
    <xf numFmtId="49" fontId="38" fillId="0" borderId="0" xfId="0" applyNumberFormat="1" applyFont="1"/>
    <xf numFmtId="2" fontId="8" fillId="2" borderId="0" xfId="0" applyNumberFormat="1" applyFont="1" applyFill="1"/>
    <xf numFmtId="165" fontId="0" fillId="2" borderId="0" xfId="0" applyNumberFormat="1" applyFill="1"/>
    <xf numFmtId="165" fontId="16" fillId="2" borderId="18" xfId="0" applyNumberFormat="1" applyFont="1" applyFill="1" applyBorder="1"/>
    <xf numFmtId="2" fontId="14" fillId="2" borderId="18" xfId="0" applyNumberFormat="1" applyFont="1" applyFill="1" applyBorder="1"/>
    <xf numFmtId="49" fontId="22" fillId="2" borderId="6" xfId="0" applyNumberFormat="1" applyFont="1" applyFill="1" applyBorder="1"/>
    <xf numFmtId="49" fontId="8" fillId="0" borderId="0" xfId="0" applyNumberFormat="1" applyFont="1"/>
    <xf numFmtId="0" fontId="8" fillId="0" borderId="6" xfId="0" applyFont="1" applyBorder="1"/>
    <xf numFmtId="0" fontId="21" fillId="2" borderId="15" xfId="0" applyFont="1" applyFill="1" applyBorder="1"/>
    <xf numFmtId="0" fontId="26" fillId="2" borderId="19" xfId="0" applyFont="1" applyFill="1" applyBorder="1" applyAlignment="1">
      <alignment vertical="center"/>
    </xf>
    <xf numFmtId="0" fontId="32" fillId="0" borderId="5" xfId="177" applyFont="1" applyFill="1" applyBorder="1" applyAlignment="1" applyProtection="1"/>
    <xf numFmtId="0" fontId="21" fillId="2" borderId="5" xfId="0" applyFont="1" applyFill="1" applyBorder="1"/>
    <xf numFmtId="0" fontId="21" fillId="2" borderId="10" xfId="0" applyFont="1" applyFill="1" applyBorder="1"/>
    <xf numFmtId="0" fontId="21" fillId="2" borderId="11" xfId="0" applyFont="1" applyFill="1" applyBorder="1"/>
    <xf numFmtId="2" fontId="21" fillId="2" borderId="11" xfId="0" applyNumberFormat="1" applyFont="1" applyFill="1" applyBorder="1"/>
    <xf numFmtId="0" fontId="21" fillId="2" borderId="12" xfId="0" applyFont="1" applyFill="1" applyBorder="1"/>
    <xf numFmtId="167" fontId="21" fillId="0" borderId="18" xfId="0" applyNumberFormat="1" applyFont="1" applyBorder="1" applyAlignment="1">
      <alignment horizontal="right" vertical="center"/>
    </xf>
    <xf numFmtId="167" fontId="21" fillId="0" borderId="0" xfId="0" applyNumberFormat="1" applyFont="1" applyAlignment="1">
      <alignment horizontal="right" vertical="center"/>
    </xf>
    <xf numFmtId="2" fontId="21" fillId="0" borderId="0" xfId="0" applyNumberFormat="1" applyFont="1" applyAlignment="1">
      <alignment horizontal="right" vertical="center"/>
    </xf>
    <xf numFmtId="167" fontId="26" fillId="0" borderId="0" xfId="0" applyNumberFormat="1" applyFont="1" applyAlignment="1">
      <alignment horizontal="right" vertical="center"/>
    </xf>
    <xf numFmtId="2" fontId="26" fillId="0" borderId="0" xfId="0" applyNumberFormat="1" applyFont="1" applyAlignment="1">
      <alignment horizontal="right" vertical="center"/>
    </xf>
    <xf numFmtId="1" fontId="21" fillId="0" borderId="18" xfId="0" applyNumberFormat="1" applyFont="1" applyBorder="1" applyAlignment="1">
      <alignment horizontal="right" vertical="center"/>
    </xf>
    <xf numFmtId="167" fontId="21" fillId="0" borderId="18" xfId="0" applyNumberFormat="1" applyFont="1" applyBorder="1"/>
    <xf numFmtId="167" fontId="10" fillId="0" borderId="18" xfId="0" applyNumberFormat="1" applyFont="1" applyBorder="1" applyAlignment="1">
      <alignment horizontal="right" vertical="center"/>
    </xf>
    <xf numFmtId="1" fontId="21" fillId="0" borderId="0" xfId="0" applyNumberFormat="1" applyFont="1" applyAlignment="1">
      <alignment horizontal="right" vertical="center"/>
    </xf>
    <xf numFmtId="168" fontId="21" fillId="0" borderId="18" xfId="0" applyNumberFormat="1" applyFont="1" applyBorder="1" applyAlignment="1">
      <alignment horizontal="right" vertical="center"/>
    </xf>
    <xf numFmtId="2" fontId="21" fillId="0" borderId="0" xfId="0" applyNumberFormat="1" applyFont="1"/>
    <xf numFmtId="2" fontId="21" fillId="0" borderId="18" xfId="0" applyNumberFormat="1" applyFont="1" applyBorder="1" applyAlignment="1">
      <alignment horizontal="right" vertical="center"/>
    </xf>
    <xf numFmtId="166" fontId="21" fillId="0" borderId="18" xfId="0" applyNumberFormat="1" applyFont="1" applyBorder="1" applyAlignment="1">
      <alignment horizontal="right" vertical="center"/>
    </xf>
    <xf numFmtId="168" fontId="21" fillId="0" borderId="0" xfId="0" applyNumberFormat="1" applyFont="1" applyAlignment="1">
      <alignment horizontal="right" vertical="center"/>
    </xf>
    <xf numFmtId="0" fontId="21" fillId="0" borderId="0" xfId="0" applyFont="1"/>
    <xf numFmtId="2" fontId="21" fillId="0" borderId="18" xfId="0" applyNumberFormat="1" applyFont="1" applyBorder="1"/>
    <xf numFmtId="166" fontId="21" fillId="0" borderId="0" xfId="0" applyNumberFormat="1" applyFont="1"/>
    <xf numFmtId="166" fontId="21" fillId="0" borderId="0" xfId="0" applyNumberFormat="1" applyFont="1" applyAlignment="1">
      <alignment horizontal="right" vertical="center"/>
    </xf>
    <xf numFmtId="2" fontId="19" fillId="0" borderId="18" xfId="0" applyNumberFormat="1" applyFont="1" applyBorder="1" applyAlignment="1">
      <alignment horizontal="right" vertical="center"/>
    </xf>
    <xf numFmtId="165" fontId="21" fillId="0" borderId="18" xfId="0" applyNumberFormat="1" applyFont="1" applyBorder="1" applyAlignment="1">
      <alignment horizontal="right" vertical="center"/>
    </xf>
    <xf numFmtId="165" fontId="21" fillId="0" borderId="18" xfId="0" applyNumberFormat="1" applyFont="1" applyBorder="1"/>
    <xf numFmtId="165" fontId="21" fillId="0" borderId="0" xfId="0" applyNumberFormat="1" applyFont="1"/>
    <xf numFmtId="0" fontId="36" fillId="0" borderId="5" xfId="0" applyFont="1" applyBorder="1"/>
    <xf numFmtId="165" fontId="21" fillId="0" borderId="0" xfId="0" applyNumberFormat="1" applyFont="1" applyAlignment="1">
      <alignment horizontal="right" vertical="center"/>
    </xf>
    <xf numFmtId="0" fontId="32" fillId="2" borderId="5" xfId="0" applyFont="1" applyFill="1" applyBorder="1"/>
    <xf numFmtId="0" fontId="32" fillId="2" borderId="0" xfId="0" applyFont="1" applyFill="1" applyAlignment="1">
      <alignment horizontal="left"/>
    </xf>
    <xf numFmtId="0" fontId="32" fillId="2" borderId="6" xfId="0" applyFont="1" applyFill="1" applyBorder="1" applyAlignment="1">
      <alignment horizontal="left"/>
    </xf>
    <xf numFmtId="49" fontId="32" fillId="2" borderId="0" xfId="0" applyNumberFormat="1" applyFont="1" applyFill="1" applyAlignment="1">
      <alignment horizontal="left"/>
    </xf>
    <xf numFmtId="0" fontId="32" fillId="2" borderId="5" xfId="0" applyFont="1" applyFill="1" applyBorder="1" applyAlignment="1">
      <alignment horizontal="left"/>
    </xf>
    <xf numFmtId="0" fontId="32" fillId="2" borderId="15" xfId="0" applyFont="1" applyFill="1" applyBorder="1"/>
    <xf numFmtId="0" fontId="33" fillId="2" borderId="19" xfId="0" applyFont="1" applyFill="1" applyBorder="1"/>
    <xf numFmtId="0" fontId="33" fillId="2" borderId="5" xfId="0" applyFont="1" applyFill="1" applyBorder="1"/>
    <xf numFmtId="0" fontId="32" fillId="2" borderId="10" xfId="0" applyFont="1" applyFill="1" applyBorder="1" applyAlignment="1">
      <alignment horizontal="left"/>
    </xf>
    <xf numFmtId="0" fontId="32" fillId="2" borderId="11" xfId="0" applyFont="1" applyFill="1" applyBorder="1" applyAlignment="1">
      <alignment horizontal="left"/>
    </xf>
    <xf numFmtId="49" fontId="32" fillId="2" borderId="11" xfId="0" applyNumberFormat="1" applyFont="1" applyFill="1" applyBorder="1" applyAlignment="1">
      <alignment horizontal="left"/>
    </xf>
    <xf numFmtId="0" fontId="32" fillId="2" borderId="12" xfId="0" applyFont="1" applyFill="1" applyBorder="1" applyAlignment="1">
      <alignment horizontal="left"/>
    </xf>
    <xf numFmtId="0" fontId="33" fillId="2" borderId="0" xfId="0" applyFont="1" applyFill="1" applyAlignment="1">
      <alignment horizontal="left"/>
    </xf>
    <xf numFmtId="0" fontId="32" fillId="0" borderId="0" xfId="0" applyFont="1" applyAlignment="1">
      <alignment horizontal="left" vertical="center"/>
    </xf>
    <xf numFmtId="0" fontId="32" fillId="0" borderId="0" xfId="0" applyFont="1" applyAlignment="1">
      <alignment vertical="top"/>
    </xf>
    <xf numFmtId="0" fontId="32" fillId="0" borderId="0" xfId="0" applyFont="1"/>
    <xf numFmtId="49" fontId="32" fillId="0" borderId="0" xfId="0" applyNumberFormat="1" applyFont="1"/>
    <xf numFmtId="0" fontId="32" fillId="0" borderId="0" xfId="0" applyFont="1" applyAlignment="1">
      <alignment horizontal="left" vertical="top"/>
    </xf>
    <xf numFmtId="0" fontId="32" fillId="0" borderId="0" xfId="0" applyFont="1" applyAlignment="1">
      <alignment horizontal="left" vertical="center" indent="2"/>
    </xf>
    <xf numFmtId="0" fontId="32" fillId="0" borderId="5" xfId="0" applyFont="1" applyBorder="1" applyAlignment="1">
      <alignment vertical="top"/>
    </xf>
    <xf numFmtId="0" fontId="32" fillId="0" borderId="0" xfId="0" applyFont="1" applyAlignment="1">
      <alignment vertical="top" wrapText="1"/>
    </xf>
    <xf numFmtId="165" fontId="32" fillId="0" borderId="0" xfId="0" applyNumberFormat="1" applyFont="1" applyAlignment="1">
      <alignment horizontal="left" vertical="center" indent="2"/>
    </xf>
    <xf numFmtId="49" fontId="32" fillId="0" borderId="0" xfId="0" applyNumberFormat="1" applyFont="1" applyAlignment="1">
      <alignment vertical="top" wrapText="1"/>
    </xf>
    <xf numFmtId="0" fontId="32" fillId="0" borderId="0" xfId="0" applyFont="1" applyAlignment="1">
      <alignment horizontal="left"/>
    </xf>
    <xf numFmtId="49" fontId="32" fillId="0" borderId="0" xfId="0" applyNumberFormat="1" applyFont="1" applyAlignment="1">
      <alignment horizontal="left"/>
    </xf>
    <xf numFmtId="17" fontId="32" fillId="0" borderId="0" xfId="0" applyNumberFormat="1" applyFont="1" applyAlignment="1">
      <alignment horizontal="left"/>
    </xf>
    <xf numFmtId="0" fontId="32" fillId="0" borderId="5" xfId="0" applyFont="1" applyBorder="1" applyAlignment="1">
      <alignment horizontal="left"/>
    </xf>
    <xf numFmtId="0" fontId="0" fillId="0" borderId="0" xfId="0" applyAlignment="1">
      <alignment horizontal="left"/>
    </xf>
    <xf numFmtId="2" fontId="32" fillId="0" borderId="0" xfId="0" applyNumberFormat="1" applyFont="1" applyAlignment="1">
      <alignment horizontal="left"/>
    </xf>
    <xf numFmtId="0" fontId="8" fillId="0" borderId="0" xfId="0" applyFont="1" applyAlignment="1">
      <alignment horizontal="left"/>
    </xf>
    <xf numFmtId="166" fontId="0" fillId="2" borderId="0" xfId="0" applyNumberFormat="1" applyFill="1"/>
    <xf numFmtId="1" fontId="0" fillId="2" borderId="0" xfId="0" applyNumberFormat="1" applyFill="1"/>
    <xf numFmtId="0" fontId="38" fillId="0" borderId="0" xfId="0" applyFont="1"/>
    <xf numFmtId="167" fontId="8" fillId="2" borderId="0" xfId="0" applyNumberFormat="1" applyFont="1" applyFill="1"/>
    <xf numFmtId="168" fontId="8" fillId="2" borderId="0" xfId="0" applyNumberFormat="1" applyFont="1" applyFill="1"/>
    <xf numFmtId="1" fontId="0" fillId="0" borderId="0" xfId="0" applyNumberFormat="1"/>
    <xf numFmtId="0" fontId="8" fillId="2" borderId="10" xfId="0" applyFont="1" applyFill="1" applyBorder="1"/>
    <xf numFmtId="0" fontId="8" fillId="2" borderId="11" xfId="0" applyFont="1" applyFill="1" applyBorder="1"/>
    <xf numFmtId="0" fontId="8" fillId="2" borderId="12" xfId="0" applyFont="1" applyFill="1" applyBorder="1"/>
    <xf numFmtId="0" fontId="39" fillId="0" borderId="0" xfId="0" applyFont="1"/>
    <xf numFmtId="0" fontId="7" fillId="2" borderId="0" xfId="0" applyFont="1" applyFill="1"/>
    <xf numFmtId="0" fontId="6" fillId="2" borderId="0" xfId="0" applyFont="1" applyFill="1"/>
    <xf numFmtId="0" fontId="5" fillId="2" borderId="0" xfId="0" applyFont="1" applyFill="1"/>
    <xf numFmtId="0" fontId="5" fillId="2" borderId="20" xfId="0" applyFont="1" applyFill="1" applyBorder="1"/>
    <xf numFmtId="0" fontId="26" fillId="2" borderId="20" xfId="0" applyFont="1" applyFill="1" applyBorder="1"/>
    <xf numFmtId="0" fontId="4" fillId="2" borderId="0" xfId="0" applyFont="1" applyFill="1"/>
    <xf numFmtId="166" fontId="8" fillId="2" borderId="0" xfId="0" applyNumberFormat="1" applyFont="1" applyFill="1"/>
    <xf numFmtId="166" fontId="5" fillId="2" borderId="20" xfId="0" applyNumberFormat="1" applyFont="1" applyFill="1" applyBorder="1"/>
    <xf numFmtId="49" fontId="24" fillId="0" borderId="0" xfId="177" applyNumberFormat="1" applyFill="1" applyBorder="1" applyAlignment="1" applyProtection="1">
      <alignment vertical="top" wrapText="1"/>
    </xf>
    <xf numFmtId="0" fontId="37" fillId="0" borderId="5" xfId="177" applyFont="1" applyFill="1" applyBorder="1" applyAlignment="1" applyProtection="1"/>
    <xf numFmtId="167" fontId="3" fillId="0" borderId="18" xfId="0" applyNumberFormat="1" applyFont="1" applyBorder="1" applyAlignment="1">
      <alignment horizontal="right" vertical="center"/>
    </xf>
    <xf numFmtId="167" fontId="3" fillId="0" borderId="0" xfId="0" applyNumberFormat="1" applyFont="1" applyAlignment="1">
      <alignment horizontal="right" vertical="center"/>
    </xf>
    <xf numFmtId="0" fontId="2" fillId="0" borderId="0" xfId="0" applyFont="1"/>
    <xf numFmtId="0" fontId="28" fillId="0" borderId="0" xfId="0" applyFont="1"/>
    <xf numFmtId="0" fontId="34" fillId="4" borderId="17" xfId="0" applyFont="1" applyFill="1" applyBorder="1" applyAlignment="1">
      <alignment horizontal="left" vertical="top" wrapText="1"/>
    </xf>
    <xf numFmtId="0" fontId="34" fillId="4" borderId="2" xfId="0" applyFont="1" applyFill="1" applyBorder="1" applyAlignment="1">
      <alignment horizontal="left" vertical="top" wrapText="1"/>
    </xf>
    <xf numFmtId="0" fontId="34" fillId="4" borderId="13" xfId="0" applyFont="1" applyFill="1" applyBorder="1" applyAlignment="1">
      <alignment horizontal="left" vertical="top" wrapText="1"/>
    </xf>
    <xf numFmtId="0" fontId="34" fillId="4" borderId="7" xfId="0" applyFont="1" applyFill="1" applyBorder="1" applyAlignment="1">
      <alignment horizontal="left" vertical="top" wrapText="1"/>
    </xf>
    <xf numFmtId="0" fontId="34" fillId="4" borderId="0" xfId="0" applyFont="1" applyFill="1" applyAlignment="1">
      <alignment horizontal="left" vertical="top" wrapText="1"/>
    </xf>
    <xf numFmtId="0" fontId="34" fillId="4" borderId="8" xfId="0" applyFont="1" applyFill="1" applyBorder="1" applyAlignment="1">
      <alignment horizontal="left" vertical="top" wrapText="1"/>
    </xf>
    <xf numFmtId="0" fontId="34" fillId="4" borderId="1" xfId="0" applyFont="1" applyFill="1" applyBorder="1" applyAlignment="1">
      <alignment horizontal="left" vertical="top" wrapText="1"/>
    </xf>
    <xf numFmtId="0" fontId="34" fillId="4" borderId="9" xfId="0" applyFont="1" applyFill="1" applyBorder="1" applyAlignment="1">
      <alignment horizontal="left" vertical="top" wrapText="1"/>
    </xf>
    <xf numFmtId="0" fontId="34"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13</xdr:col>
      <xdr:colOff>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12</xdr:col>
      <xdr:colOff>898766</xdr:colOff>
      <xdr:row>236</xdr:row>
      <xdr:rowOff>50799</xdr:rowOff>
    </xdr:from>
    <xdr:to>
      <xdr:col>20</xdr:col>
      <xdr:colOff>245205</xdr:colOff>
      <xdr:row>253</xdr:row>
      <xdr:rowOff>114299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18704166" y="46393099"/>
          <a:ext cx="6966439" cy="3517900"/>
        </a:xfrm>
        <a:prstGeom prst="rect">
          <a:avLst/>
        </a:prstGeom>
      </xdr:spPr>
    </xdr:pic>
    <xdr:clientData/>
  </xdr:twoCellAnchor>
  <xdr:twoCellAnchor editAs="oneCell">
    <xdr:from>
      <xdr:col>8</xdr:col>
      <xdr:colOff>886125</xdr:colOff>
      <xdr:row>277</xdr:row>
      <xdr:rowOff>19538</xdr:rowOff>
    </xdr:from>
    <xdr:to>
      <xdr:col>16</xdr:col>
      <xdr:colOff>260033</xdr:colOff>
      <xdr:row>286</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287</xdr:row>
      <xdr:rowOff>97691</xdr:rowOff>
    </xdr:from>
    <xdr:to>
      <xdr:col>11</xdr:col>
      <xdr:colOff>795558</xdr:colOff>
      <xdr:row>300</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302</xdr:row>
      <xdr:rowOff>64347</xdr:rowOff>
    </xdr:from>
    <xdr:to>
      <xdr:col>10</xdr:col>
      <xdr:colOff>551180</xdr:colOff>
      <xdr:row>316</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318</xdr:row>
      <xdr:rowOff>0</xdr:rowOff>
    </xdr:from>
    <xdr:to>
      <xdr:col>16</xdr:col>
      <xdr:colOff>165100</xdr:colOff>
      <xdr:row>323</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323</xdr:row>
      <xdr:rowOff>162560</xdr:rowOff>
    </xdr:from>
    <xdr:to>
      <xdr:col>16</xdr:col>
      <xdr:colOff>607060</xdr:colOff>
      <xdr:row>325</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twoCellAnchor editAs="oneCell">
    <xdr:from>
      <xdr:col>9</xdr:col>
      <xdr:colOff>50800</xdr:colOff>
      <xdr:row>327</xdr:row>
      <xdr:rowOff>139700</xdr:rowOff>
    </xdr:from>
    <xdr:to>
      <xdr:col>17</xdr:col>
      <xdr:colOff>381000</xdr:colOff>
      <xdr:row>345</xdr:row>
      <xdr:rowOff>86946</xdr:rowOff>
    </xdr:to>
    <xdr:pic>
      <xdr:nvPicPr>
        <xdr:cNvPr id="4" name="Picture 3">
          <a:extLst>
            <a:ext uri="{FF2B5EF4-FFF2-40B4-BE49-F238E27FC236}">
              <a16:creationId xmlns:a16="http://schemas.microsoft.com/office/drawing/2014/main" id="{E81B1BF5-F640-DE4D-8F83-B7432EE19A91}"/>
            </a:ext>
          </a:extLst>
        </xdr:cNvPr>
        <xdr:cNvPicPr>
          <a:picLocks noChangeAspect="1"/>
        </xdr:cNvPicPr>
      </xdr:nvPicPr>
      <xdr:blipFill>
        <a:blip xmlns:r="http://schemas.openxmlformats.org/officeDocument/2006/relationships" r:embed="rId11"/>
        <a:stretch>
          <a:fillRect/>
        </a:stretch>
      </xdr:blipFill>
      <xdr:spPr>
        <a:xfrm>
          <a:off x="8623300" y="62738000"/>
          <a:ext cx="10058400" cy="3604846"/>
        </a:xfrm>
        <a:prstGeom prst="rect">
          <a:avLst/>
        </a:prstGeom>
      </xdr:spPr>
    </xdr:pic>
    <xdr:clientData/>
  </xdr:twoCellAnchor>
  <xdr:twoCellAnchor editAs="oneCell">
    <xdr:from>
      <xdr:col>13</xdr:col>
      <xdr:colOff>546100</xdr:colOff>
      <xdr:row>254</xdr:row>
      <xdr:rowOff>76200</xdr:rowOff>
    </xdr:from>
    <xdr:to>
      <xdr:col>19</xdr:col>
      <xdr:colOff>732028</xdr:colOff>
      <xdr:row>270</xdr:row>
      <xdr:rowOff>177800</xdr:rowOff>
    </xdr:to>
    <xdr:pic>
      <xdr:nvPicPr>
        <xdr:cNvPr id="17" name="Picture 16">
          <a:extLst>
            <a:ext uri="{FF2B5EF4-FFF2-40B4-BE49-F238E27FC236}">
              <a16:creationId xmlns:a16="http://schemas.microsoft.com/office/drawing/2014/main" id="{DFD7F4A7-E765-1341-9C82-E8FD820501E5}"/>
            </a:ext>
          </a:extLst>
        </xdr:cNvPr>
        <xdr:cNvPicPr>
          <a:picLocks noChangeAspect="1"/>
        </xdr:cNvPicPr>
      </xdr:nvPicPr>
      <xdr:blipFill>
        <a:blip xmlns:r="http://schemas.openxmlformats.org/officeDocument/2006/relationships" r:embed="rId12"/>
        <a:stretch>
          <a:fillRect/>
        </a:stretch>
      </xdr:blipFill>
      <xdr:spPr>
        <a:xfrm>
          <a:off x="19304000" y="50076100"/>
          <a:ext cx="5900928" cy="3352800"/>
        </a:xfrm>
        <a:prstGeom prst="rect">
          <a:avLst/>
        </a:prstGeom>
      </xdr:spPr>
    </xdr:pic>
    <xdr:clientData/>
  </xdr:twoCellAnchor>
  <xdr:twoCellAnchor editAs="oneCell">
    <xdr:from>
      <xdr:col>9</xdr:col>
      <xdr:colOff>101600</xdr:colOff>
      <xdr:row>213</xdr:row>
      <xdr:rowOff>68592</xdr:rowOff>
    </xdr:from>
    <xdr:to>
      <xdr:col>11</xdr:col>
      <xdr:colOff>396640</xdr:colOff>
      <xdr:row>233</xdr:row>
      <xdr:rowOff>25400</xdr:rowOff>
    </xdr:to>
    <xdr:pic>
      <xdr:nvPicPr>
        <xdr:cNvPr id="10" name="Picture 9">
          <a:extLst>
            <a:ext uri="{FF2B5EF4-FFF2-40B4-BE49-F238E27FC236}">
              <a16:creationId xmlns:a16="http://schemas.microsoft.com/office/drawing/2014/main" id="{6C394BE8-1E59-1D4A-B21C-22E9324B7FBB}"/>
            </a:ext>
          </a:extLst>
        </xdr:cNvPr>
        <xdr:cNvPicPr>
          <a:picLocks noChangeAspect="1"/>
        </xdr:cNvPicPr>
      </xdr:nvPicPr>
      <xdr:blipFill>
        <a:blip xmlns:r="http://schemas.openxmlformats.org/officeDocument/2006/relationships" r:embed="rId13"/>
        <a:stretch>
          <a:fillRect/>
        </a:stretch>
      </xdr:blipFill>
      <xdr:spPr>
        <a:xfrm>
          <a:off x="11290300" y="43362892"/>
          <a:ext cx="5959240" cy="4020808"/>
        </a:xfrm>
        <a:prstGeom prst="rect">
          <a:avLst/>
        </a:prstGeom>
      </xdr:spPr>
    </xdr:pic>
    <xdr:clientData/>
  </xdr:twoCellAnchor>
  <xdr:twoCellAnchor editAs="oneCell">
    <xdr:from>
      <xdr:col>9</xdr:col>
      <xdr:colOff>381000</xdr:colOff>
      <xdr:row>237</xdr:row>
      <xdr:rowOff>139700</xdr:rowOff>
    </xdr:from>
    <xdr:to>
      <xdr:col>11</xdr:col>
      <xdr:colOff>292100</xdr:colOff>
      <xdr:row>254</xdr:row>
      <xdr:rowOff>190500</xdr:rowOff>
    </xdr:to>
    <xdr:pic>
      <xdr:nvPicPr>
        <xdr:cNvPr id="18" name="Picture 17">
          <a:extLst>
            <a:ext uri="{FF2B5EF4-FFF2-40B4-BE49-F238E27FC236}">
              <a16:creationId xmlns:a16="http://schemas.microsoft.com/office/drawing/2014/main" id="{DD09DAC6-497D-FA4C-82A7-1560147FE14C}"/>
            </a:ext>
          </a:extLst>
        </xdr:cNvPr>
        <xdr:cNvPicPr>
          <a:picLocks noChangeAspect="1"/>
        </xdr:cNvPicPr>
      </xdr:nvPicPr>
      <xdr:blipFill>
        <a:blip xmlns:r="http://schemas.openxmlformats.org/officeDocument/2006/relationships" r:embed="rId14"/>
        <a:stretch>
          <a:fillRect/>
        </a:stretch>
      </xdr:blipFill>
      <xdr:spPr>
        <a:xfrm>
          <a:off x="11569700" y="48310800"/>
          <a:ext cx="55753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refman.et-model.com/publications/2017" TargetMode="External"/><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2" customWidth="1"/>
    <col min="2" max="2" width="9.1640625" style="15" customWidth="1"/>
    <col min="3" max="3" width="52.6640625" style="15" customWidth="1"/>
    <col min="4" max="16384" width="10.6640625" style="15"/>
  </cols>
  <sheetData>
    <row r="1" spans="1:3" s="20" customFormat="1">
      <c r="A1" s="18"/>
      <c r="B1" s="19"/>
      <c r="C1" s="19"/>
    </row>
    <row r="2" spans="1:3" ht="21">
      <c r="A2" s="1"/>
      <c r="B2" s="21" t="s">
        <v>13</v>
      </c>
      <c r="C2" s="21"/>
    </row>
    <row r="3" spans="1:3">
      <c r="A3" s="1"/>
      <c r="B3" s="8"/>
      <c r="C3" s="8"/>
    </row>
    <row r="4" spans="1:3">
      <c r="A4" s="1"/>
      <c r="B4" s="2" t="s">
        <v>14</v>
      </c>
      <c r="C4" s="3" t="s">
        <v>107</v>
      </c>
    </row>
    <row r="5" spans="1:3">
      <c r="A5" s="1"/>
      <c r="B5" s="4" t="s">
        <v>57</v>
      </c>
      <c r="C5" s="5" t="s">
        <v>82</v>
      </c>
    </row>
    <row r="6" spans="1:3">
      <c r="A6" s="1"/>
      <c r="B6" s="6" t="s">
        <v>16</v>
      </c>
      <c r="C6" s="7" t="s">
        <v>17</v>
      </c>
    </row>
    <row r="7" spans="1:3">
      <c r="A7" s="1"/>
      <c r="B7" s="8"/>
      <c r="C7" s="8"/>
    </row>
    <row r="8" spans="1:3">
      <c r="A8" s="1"/>
      <c r="B8" s="8"/>
      <c r="C8" s="8"/>
    </row>
    <row r="9" spans="1:3">
      <c r="A9" s="1"/>
      <c r="B9" s="58" t="s">
        <v>58</v>
      </c>
      <c r="C9" s="59"/>
    </row>
    <row r="10" spans="1:3">
      <c r="A10" s="1"/>
      <c r="B10" s="60"/>
      <c r="C10" s="61"/>
    </row>
    <row r="11" spans="1:3">
      <c r="A11" s="1"/>
      <c r="B11" s="60" t="s">
        <v>59</v>
      </c>
      <c r="C11" s="62" t="s">
        <v>60</v>
      </c>
    </row>
    <row r="12" spans="1:3" ht="17" thickBot="1">
      <c r="A12" s="1"/>
      <c r="B12" s="60"/>
      <c r="C12" s="12" t="s">
        <v>61</v>
      </c>
    </row>
    <row r="13" spans="1:3" ht="17" thickBot="1">
      <c r="A13" s="1"/>
      <c r="B13" s="60"/>
      <c r="C13" s="63" t="s">
        <v>62</v>
      </c>
    </row>
    <row r="14" spans="1:3">
      <c r="A14" s="1"/>
      <c r="B14" s="60"/>
      <c r="C14" s="61" t="s">
        <v>63</v>
      </c>
    </row>
    <row r="15" spans="1:3">
      <c r="A15" s="1"/>
      <c r="B15" s="60"/>
      <c r="C15" s="61"/>
    </row>
    <row r="16" spans="1:3">
      <c r="A16" s="1"/>
      <c r="B16" s="60" t="s">
        <v>64</v>
      </c>
      <c r="C16" s="64" t="s">
        <v>65</v>
      </c>
    </row>
    <row r="17" spans="1:3">
      <c r="A17" s="1"/>
      <c r="B17" s="60"/>
      <c r="C17" s="65" t="s">
        <v>66</v>
      </c>
    </row>
    <row r="18" spans="1:3">
      <c r="A18" s="1"/>
      <c r="B18" s="60"/>
      <c r="C18" s="66" t="s">
        <v>67</v>
      </c>
    </row>
    <row r="19" spans="1:3">
      <c r="A19" s="1"/>
      <c r="B19" s="60"/>
      <c r="C19" s="67" t="s">
        <v>68</v>
      </c>
    </row>
    <row r="20" spans="1:3">
      <c r="A20" s="1"/>
      <c r="B20" s="68"/>
      <c r="C20" s="69" t="s">
        <v>69</v>
      </c>
    </row>
    <row r="21" spans="1:3">
      <c r="A21" s="1"/>
      <c r="B21" s="68"/>
      <c r="C21" s="70" t="s">
        <v>70</v>
      </c>
    </row>
    <row r="22" spans="1:3">
      <c r="A22" s="1"/>
      <c r="B22" s="68"/>
      <c r="C22" s="71" t="s">
        <v>71</v>
      </c>
    </row>
    <row r="23" spans="1:3">
      <c r="B23" s="68"/>
      <c r="C23" s="72" t="s">
        <v>72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7"/>
  <sheetViews>
    <sheetView tabSelected="1" topLeftCell="E1" workbookViewId="0">
      <selection activeCell="I12" sqref="I12"/>
    </sheetView>
  </sheetViews>
  <sheetFormatPr baseColWidth="10" defaultColWidth="10.6640625" defaultRowHeight="16"/>
  <cols>
    <col min="1" max="1" width="3.33203125" style="26" customWidth="1"/>
    <col min="2" max="2" width="4.332031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4.6640625" style="26" customWidth="1"/>
    <col min="10" max="10" width="3" style="26" customWidth="1"/>
    <col min="11" max="16384" width="10.6640625" style="26"/>
  </cols>
  <sheetData>
    <row r="2" spans="1:11">
      <c r="B2" s="218" t="s">
        <v>221</v>
      </c>
      <c r="C2" s="219"/>
      <c r="D2" s="219"/>
      <c r="E2" s="220"/>
    </row>
    <row r="3" spans="1:11">
      <c r="B3" s="221"/>
      <c r="C3" s="222"/>
      <c r="D3" s="222"/>
      <c r="E3" s="223"/>
    </row>
    <row r="4" spans="1:11" ht="39" customHeight="1">
      <c r="B4" s="224"/>
      <c r="C4" s="225"/>
      <c r="D4" s="225"/>
      <c r="E4" s="226"/>
    </row>
    <row r="5" spans="1:11" ht="17" thickBot="1"/>
    <row r="6" spans="1:11">
      <c r="B6" s="28"/>
      <c r="C6" s="14"/>
      <c r="D6" s="14"/>
      <c r="E6" s="14"/>
      <c r="F6" s="14"/>
      <c r="G6" s="14"/>
      <c r="H6" s="14"/>
      <c r="I6" s="14"/>
      <c r="J6" s="29"/>
    </row>
    <row r="7" spans="1:11" s="34" customFormat="1" ht="19">
      <c r="B7" s="73"/>
      <c r="C7" s="13" t="s">
        <v>25</v>
      </c>
      <c r="D7" s="74" t="s">
        <v>11</v>
      </c>
      <c r="E7" s="13" t="s">
        <v>4</v>
      </c>
      <c r="F7" s="13"/>
      <c r="G7" s="13" t="s">
        <v>10</v>
      </c>
      <c r="H7" s="13"/>
      <c r="I7" s="13" t="s">
        <v>0</v>
      </c>
      <c r="J7" s="78"/>
    </row>
    <row r="8" spans="1:11" s="34" customFormat="1" ht="19">
      <c r="B8" s="17"/>
      <c r="C8" s="12"/>
      <c r="D8" s="24"/>
      <c r="E8" s="12"/>
      <c r="F8" s="12"/>
      <c r="G8" s="12"/>
      <c r="H8" s="12"/>
      <c r="I8" s="12"/>
      <c r="J8" s="35"/>
    </row>
    <row r="9" spans="1:11" s="34" customFormat="1" ht="20" thickBot="1">
      <c r="B9" s="17"/>
      <c r="C9" s="12" t="s">
        <v>79</v>
      </c>
      <c r="D9" s="8"/>
      <c r="E9" s="12"/>
      <c r="F9" s="12"/>
      <c r="G9" s="12"/>
      <c r="H9" s="12"/>
      <c r="I9" s="12"/>
      <c r="J9" s="35"/>
    </row>
    <row r="10" spans="1:11" s="34" customFormat="1" ht="20" thickBot="1">
      <c r="B10" s="17"/>
      <c r="C10" s="216" t="s">
        <v>83</v>
      </c>
      <c r="D10" s="217" t="s">
        <v>3</v>
      </c>
      <c r="E10" s="103">
        <f>'Research data'!E6</f>
        <v>0.63239875389408096</v>
      </c>
      <c r="F10" s="12"/>
      <c r="G10" s="12"/>
      <c r="H10" s="12"/>
      <c r="I10" s="101" t="str">
        <f>LOOKUP(E10,'Research data'!G6:S6,'Research data'!G$3:S$3)</f>
        <v>Quintel assumption</v>
      </c>
      <c r="J10" s="35"/>
    </row>
    <row r="11" spans="1:11" s="34" customFormat="1" ht="20" thickBot="1">
      <c r="B11" s="17"/>
      <c r="C11" s="216" t="s">
        <v>84</v>
      </c>
      <c r="D11" s="217" t="s">
        <v>3</v>
      </c>
      <c r="E11" s="103">
        <f>'Research data'!E7</f>
        <v>0.18068535825545171</v>
      </c>
      <c r="F11" s="12"/>
      <c r="G11" s="12"/>
      <c r="H11" s="12"/>
      <c r="I11" s="101" t="str">
        <f>LOOKUP(E11,'Research data'!G7:S7,'Research data'!G$3:S$3)</f>
        <v>Quintel assumption</v>
      </c>
      <c r="J11" s="35"/>
    </row>
    <row r="12" spans="1:11" s="34" customFormat="1" ht="20" thickBot="1">
      <c r="B12" s="17"/>
      <c r="C12" s="216" t="s">
        <v>248</v>
      </c>
      <c r="D12" s="217" t="s">
        <v>3</v>
      </c>
      <c r="E12" s="103">
        <f>'Research data'!E8</f>
        <v>0.18691588785046728</v>
      </c>
      <c r="F12" s="12"/>
      <c r="G12" s="12"/>
      <c r="H12" s="12"/>
      <c r="I12" s="101" t="str">
        <f>LOOKUP(E12,'Research data'!G8:S8,'Research data'!G$3:S$3)</f>
        <v>Quintel assumption</v>
      </c>
      <c r="J12" s="35"/>
    </row>
    <row r="13" spans="1:11" ht="20" thickBot="1">
      <c r="A13" s="34"/>
      <c r="B13" s="129"/>
      <c r="C13" s="130" t="s">
        <v>159</v>
      </c>
      <c r="D13" s="16" t="s">
        <v>3</v>
      </c>
      <c r="E13" s="103">
        <f>'Research data'!E9</f>
        <v>0</v>
      </c>
      <c r="F13" s="91"/>
      <c r="G13" s="91"/>
      <c r="H13" s="23"/>
      <c r="I13" s="101" t="str">
        <f>LOOKUP(E13,'Research data'!G9:S9,'Research data'!G$3:S$3)</f>
        <v>Quintel assumption</v>
      </c>
      <c r="J13" s="35"/>
      <c r="K13" s="34"/>
    </row>
    <row r="14" spans="1:11" ht="20" thickBot="1">
      <c r="A14" s="34"/>
      <c r="B14" s="129"/>
      <c r="C14" s="111" t="s">
        <v>154</v>
      </c>
      <c r="D14" s="16" t="s">
        <v>3</v>
      </c>
      <c r="E14" s="103">
        <f>'Research data'!J10</f>
        <v>1</v>
      </c>
      <c r="F14" s="91"/>
      <c r="G14" s="91"/>
      <c r="H14" s="23"/>
      <c r="I14" s="101" t="str">
        <f>LOOKUP(E14,'Research data'!G10:S10,'Research data'!G$3:S$3)</f>
        <v>Techneco2</v>
      </c>
      <c r="J14" s="35"/>
      <c r="K14" s="93"/>
    </row>
    <row r="15" spans="1:11" ht="20" thickBot="1">
      <c r="A15" s="34"/>
      <c r="B15" s="129"/>
      <c r="C15" s="111" t="s">
        <v>155</v>
      </c>
      <c r="D15" s="16" t="s">
        <v>3</v>
      </c>
      <c r="E15" s="103">
        <f>'Research data'!J11</f>
        <v>1</v>
      </c>
      <c r="F15" s="91"/>
      <c r="G15" s="91"/>
      <c r="H15" s="23"/>
      <c r="I15" s="101" t="str">
        <f>LOOKUP(E15,'Research data'!G11:S11,'Research data'!G$3:S$3)</f>
        <v>Techneco2</v>
      </c>
      <c r="J15" s="35"/>
      <c r="K15" s="93"/>
    </row>
    <row r="16" spans="1:11" ht="20" thickBot="1">
      <c r="A16" s="34"/>
      <c r="B16" s="129"/>
      <c r="C16" s="111" t="s">
        <v>195</v>
      </c>
      <c r="D16" s="16" t="s">
        <v>3</v>
      </c>
      <c r="E16" s="103">
        <f>'Research data'!E12</f>
        <v>1.07</v>
      </c>
      <c r="F16" s="91"/>
      <c r="G16" s="91"/>
      <c r="H16" s="23"/>
      <c r="I16" s="101" t="str">
        <f>LOOKUP(E16,'Research data'!G12:S12,'Research data'!G$3:S$3)</f>
        <v>TNO</v>
      </c>
      <c r="J16" s="35"/>
      <c r="K16" s="93"/>
    </row>
    <row r="17" spans="1:11" ht="20" thickBot="1">
      <c r="A17" s="34"/>
      <c r="B17" s="129"/>
      <c r="C17" s="130" t="s">
        <v>160</v>
      </c>
      <c r="D17" s="16" t="s">
        <v>3</v>
      </c>
      <c r="E17" s="103">
        <f>'Research data'!E13</f>
        <v>2.3233333333333333</v>
      </c>
      <c r="F17" s="91"/>
      <c r="G17" s="91"/>
      <c r="H17" s="23"/>
      <c r="I17" s="101" t="str">
        <f>LOOKUP(E17,'Research data'!G13:S13,'Research data'!G$3:S$3)</f>
        <v>Ecofys</v>
      </c>
      <c r="J17" s="35"/>
      <c r="K17" s="93"/>
    </row>
    <row r="18" spans="1:11" ht="20" thickBot="1">
      <c r="A18" s="34"/>
      <c r="B18" s="129"/>
      <c r="C18" s="130" t="s">
        <v>161</v>
      </c>
      <c r="D18" s="16" t="s">
        <v>3</v>
      </c>
      <c r="E18" s="103">
        <f>'Research data'!E14</f>
        <v>1.8327326043130307E-3</v>
      </c>
      <c r="F18" s="91"/>
      <c r="G18" s="91"/>
      <c r="H18" s="23"/>
      <c r="I18" s="101" t="str">
        <f>LOOKUP(E18,'Research data'!G14:S14,'Research data'!G$3:S$3)</f>
        <v>Ecofys</v>
      </c>
      <c r="J18" s="35"/>
      <c r="K18" s="93"/>
    </row>
    <row r="19" spans="1:11" ht="20" thickBot="1">
      <c r="A19" s="34"/>
      <c r="B19" s="129"/>
      <c r="C19" s="130" t="s">
        <v>162</v>
      </c>
      <c r="D19" s="16" t="s">
        <v>3</v>
      </c>
      <c r="E19" s="116">
        <f>'Research data'!E15</f>
        <v>2.1999999999999999E-2</v>
      </c>
      <c r="F19" s="91"/>
      <c r="G19" s="91"/>
      <c r="H19" s="23"/>
      <c r="I19" s="101" t="str">
        <f>LOOKUP(E19,'Research data'!G15:S15,'Research data'!G$3:S$3)</f>
        <v>Quintel assumption</v>
      </c>
      <c r="J19" s="35"/>
      <c r="K19" s="93"/>
    </row>
    <row r="20" spans="1:11" ht="20" thickBot="1">
      <c r="A20" s="34"/>
      <c r="B20" s="129"/>
      <c r="C20" s="130" t="s">
        <v>163</v>
      </c>
      <c r="D20" s="16" t="s">
        <v>3</v>
      </c>
      <c r="E20" s="103">
        <f>'Research data'!E16</f>
        <v>2.6002380221130221</v>
      </c>
      <c r="F20" s="91"/>
      <c r="G20" s="91"/>
      <c r="H20" s="23"/>
      <c r="I20" s="101" t="str">
        <f>LOOKUP(E20,'Research data'!G16:S16,'Research data'!G$3:S$3)</f>
        <v>Quintel assumption</v>
      </c>
      <c r="J20" s="35"/>
      <c r="K20" s="93"/>
    </row>
    <row r="21" spans="1:11" ht="20" thickBot="1">
      <c r="A21" s="34"/>
      <c r="B21" s="129"/>
      <c r="C21" s="130" t="s">
        <v>164</v>
      </c>
      <c r="D21" s="16" t="s">
        <v>3</v>
      </c>
      <c r="E21" s="103">
        <f>'Research data'!E17</f>
        <v>5.7833333333333327E-2</v>
      </c>
      <c r="F21" s="91"/>
      <c r="G21" s="91"/>
      <c r="H21" s="23"/>
      <c r="I21" s="101" t="str">
        <f>LOOKUP(E21,'Research data'!G17:S17,'Research data'!G$3:S$3)</f>
        <v>Ecofys</v>
      </c>
      <c r="J21" s="35"/>
      <c r="K21" s="93"/>
    </row>
    <row r="22" spans="1:11" ht="17" thickBot="1">
      <c r="A22" s="93"/>
      <c r="B22" s="129"/>
      <c r="C22" s="111" t="s">
        <v>27</v>
      </c>
      <c r="D22" s="16" t="s">
        <v>3</v>
      </c>
      <c r="E22" s="92">
        <f>'Research data'!E18</f>
        <v>0</v>
      </c>
      <c r="F22" s="91"/>
      <c r="G22" s="91"/>
      <c r="H22" s="91"/>
      <c r="I22" s="101" t="str">
        <f>LOOKUP(E22,'Research data'!G18:S18,'Research data'!G$3:S$3)</f>
        <v>Quintel assumption</v>
      </c>
      <c r="J22" s="94"/>
      <c r="K22" s="93"/>
    </row>
    <row r="23" spans="1:11" ht="17" thickBot="1">
      <c r="A23" s="93"/>
      <c r="B23" s="129"/>
      <c r="C23" s="111" t="s">
        <v>85</v>
      </c>
      <c r="D23" s="16" t="s">
        <v>168</v>
      </c>
      <c r="E23" s="92">
        <f>'Research data'!E19</f>
        <v>0</v>
      </c>
      <c r="F23" s="91"/>
      <c r="G23" s="91"/>
      <c r="H23" s="91"/>
      <c r="I23" s="101" t="str">
        <f>LOOKUP(E23,'Research data'!G19:S19,'Research data'!G$3:S$3)</f>
        <v>Quintel assumption</v>
      </c>
      <c r="J23" s="94"/>
      <c r="K23" s="93"/>
    </row>
    <row r="24" spans="1:11" ht="20" thickBot="1">
      <c r="A24" s="93"/>
      <c r="B24" s="129"/>
      <c r="C24" s="111" t="s">
        <v>7</v>
      </c>
      <c r="D24" s="16" t="s">
        <v>3</v>
      </c>
      <c r="E24" s="92">
        <f>'Research data'!E20</f>
        <v>1</v>
      </c>
      <c r="F24" s="91"/>
      <c r="G24" s="91"/>
      <c r="H24" s="91"/>
      <c r="I24" s="101" t="str">
        <f>LOOKUP(E24,'Research data'!G20:S20,'Research data'!G$3:S$3)</f>
        <v>Quintel assumption</v>
      </c>
      <c r="J24" s="94"/>
      <c r="K24" s="34"/>
    </row>
    <row r="25" spans="1:11" ht="17" thickBot="1">
      <c r="B25" s="129"/>
      <c r="C25" s="27" t="s">
        <v>34</v>
      </c>
      <c r="D25" s="16" t="s">
        <v>56</v>
      </c>
      <c r="E25" s="100">
        <f>'Research data'!E22</f>
        <v>4.9000000000000007E-3</v>
      </c>
      <c r="F25" s="27"/>
      <c r="G25" s="27" t="s">
        <v>46</v>
      </c>
      <c r="H25" s="27"/>
      <c r="I25" s="101" t="str">
        <f>LOOKUP(E25,'Research data'!G22:S22,'Research data'!G$3:S$3)</f>
        <v>Techneco2</v>
      </c>
      <c r="J25" s="79"/>
      <c r="K25" s="93"/>
    </row>
    <row r="26" spans="1:11">
      <c r="B26" s="129"/>
      <c r="C26" s="49"/>
      <c r="D26" s="75"/>
      <c r="E26" s="76"/>
      <c r="G26" s="49"/>
      <c r="J26" s="79"/>
    </row>
    <row r="27" spans="1:11" ht="17" thickBot="1">
      <c r="B27" s="129"/>
      <c r="C27" s="12" t="s">
        <v>73</v>
      </c>
      <c r="D27" s="75"/>
      <c r="E27" s="76"/>
      <c r="G27" s="49"/>
      <c r="J27" s="79"/>
    </row>
    <row r="28" spans="1:11" ht="17" thickBot="1">
      <c r="B28" s="129"/>
      <c r="C28" s="27" t="s">
        <v>35</v>
      </c>
      <c r="D28" s="16" t="s">
        <v>26</v>
      </c>
      <c r="E28" s="92">
        <f>'Research data'!E25</f>
        <v>3819</v>
      </c>
      <c r="F28" s="27"/>
      <c r="G28" s="27" t="s">
        <v>6</v>
      </c>
      <c r="H28" s="27"/>
      <c r="I28" s="101" t="str">
        <f>LOOKUP(E28,'Research data'!G25:S25,'Research data'!G$3:S$3)</f>
        <v>Vesta</v>
      </c>
      <c r="J28" s="79"/>
    </row>
    <row r="29" spans="1:11" ht="17" thickBot="1">
      <c r="B29" s="129"/>
      <c r="C29" s="27" t="s">
        <v>36</v>
      </c>
      <c r="D29" s="16" t="s">
        <v>26</v>
      </c>
      <c r="E29" s="92">
        <f>'Research data'!E26</f>
        <v>0</v>
      </c>
      <c r="F29" s="27"/>
      <c r="G29" s="27" t="s">
        <v>47</v>
      </c>
      <c r="H29" s="27"/>
      <c r="I29" s="101" t="str">
        <f>LOOKUP(E29,'Research data'!G26:S26,'Research data'!G$3:S$3)</f>
        <v>Quintel assumption</v>
      </c>
      <c r="J29" s="79"/>
    </row>
    <row r="30" spans="1:11" ht="17" thickBot="1">
      <c r="B30" s="129"/>
      <c r="C30" s="27" t="s">
        <v>9</v>
      </c>
      <c r="D30" s="16" t="s">
        <v>26</v>
      </c>
      <c r="E30" s="127">
        <f>'Research data'!E27</f>
        <v>0</v>
      </c>
      <c r="F30" s="27"/>
      <c r="G30" s="27" t="s">
        <v>20</v>
      </c>
      <c r="H30" s="27"/>
      <c r="I30" s="101" t="e">
        <f>LOOKUP(E30,'Research data'!G27:S27,'Research data'!G$3:S$3)</f>
        <v>#N/A</v>
      </c>
      <c r="J30" s="79"/>
    </row>
    <row r="31" spans="1:11" ht="17" thickBot="1">
      <c r="B31" s="129"/>
      <c r="C31" s="27" t="s">
        <v>37</v>
      </c>
      <c r="D31" s="16" t="s">
        <v>26</v>
      </c>
      <c r="E31" s="92">
        <f>'Research data'!E28</f>
        <v>0</v>
      </c>
      <c r="F31" s="27"/>
      <c r="G31" s="102" t="s">
        <v>138</v>
      </c>
      <c r="H31" s="27"/>
      <c r="I31" s="101" t="str">
        <f>LOOKUP(E31,'Research data'!G28:S28,'Research data'!G$3:S$3)</f>
        <v>Quintel assumption</v>
      </c>
      <c r="J31" s="79"/>
    </row>
    <row r="32" spans="1:11" ht="17" thickBot="1">
      <c r="B32" s="129"/>
      <c r="C32" s="27" t="s">
        <v>38</v>
      </c>
      <c r="D32" s="16" t="s">
        <v>45</v>
      </c>
      <c r="E32" s="127">
        <f>'Research data'!E29</f>
        <v>200</v>
      </c>
      <c r="F32" s="27"/>
      <c r="G32" s="27" t="s">
        <v>48</v>
      </c>
      <c r="H32" s="27"/>
      <c r="I32" s="128" t="str">
        <f>'Research data'!N3</f>
        <v>DHPA</v>
      </c>
      <c r="J32" s="79"/>
    </row>
    <row r="33" spans="2:10" ht="17" thickBot="1">
      <c r="B33" s="129"/>
      <c r="C33" s="27" t="s">
        <v>39</v>
      </c>
      <c r="D33" s="16" t="s">
        <v>44</v>
      </c>
      <c r="E33" s="92">
        <f>'Research data'!E30</f>
        <v>0</v>
      </c>
      <c r="F33" s="27"/>
      <c r="G33" s="27" t="s">
        <v>49</v>
      </c>
      <c r="H33" s="27"/>
      <c r="I33" s="101" t="str">
        <f>LOOKUP(E33,'Research data'!G30:S30,'Research data'!G$3:S$3)</f>
        <v>Quintel assumption</v>
      </c>
      <c r="J33" s="79"/>
    </row>
    <row r="34" spans="2:10" ht="17" thickBot="1">
      <c r="B34" s="129"/>
      <c r="C34" s="27" t="s">
        <v>40</v>
      </c>
      <c r="D34" s="16" t="s">
        <v>44</v>
      </c>
      <c r="E34" s="92">
        <f>'Research data'!E31</f>
        <v>0</v>
      </c>
      <c r="F34" s="27"/>
      <c r="G34" s="27" t="s">
        <v>50</v>
      </c>
      <c r="H34" s="27"/>
      <c r="I34" s="101" t="str">
        <f>LOOKUP(E34,'Research data'!G31:S31,'Research data'!G$3:S$3)</f>
        <v>Quintel assumption</v>
      </c>
      <c r="J34" s="79"/>
    </row>
    <row r="35" spans="2:10" ht="17" thickBot="1">
      <c r="B35" s="129"/>
      <c r="C35" s="27" t="s">
        <v>43</v>
      </c>
      <c r="D35" s="16" t="s">
        <v>2</v>
      </c>
      <c r="E35" s="92">
        <v>0.02</v>
      </c>
      <c r="F35" s="27"/>
      <c r="G35" s="27" t="s">
        <v>19</v>
      </c>
      <c r="H35" s="27"/>
      <c r="I35" s="203" t="s">
        <v>250</v>
      </c>
      <c r="J35" s="79"/>
    </row>
    <row r="36" spans="2:10" ht="17" thickBot="1">
      <c r="B36" s="129"/>
      <c r="C36" s="27" t="s">
        <v>31</v>
      </c>
      <c r="D36" s="16" t="s">
        <v>8</v>
      </c>
      <c r="E36" s="92">
        <f>'Research data'!E33</f>
        <v>0</v>
      </c>
      <c r="F36" s="27"/>
      <c r="G36" s="27"/>
      <c r="H36" s="27"/>
      <c r="I36" s="101" t="str">
        <f>LOOKUP(E36,'Research data'!G33:S33,'Research data'!G$3:S$3)</f>
        <v>Quintel assumption</v>
      </c>
      <c r="J36" s="79"/>
    </row>
    <row r="37" spans="2:10">
      <c r="B37" s="131"/>
      <c r="C37" s="112"/>
      <c r="D37" s="16"/>
      <c r="E37" s="77"/>
      <c r="F37" s="27"/>
      <c r="G37" s="27"/>
      <c r="H37" s="27"/>
      <c r="J37" s="79"/>
    </row>
    <row r="38" spans="2:10" ht="20" customHeight="1" thickBot="1">
      <c r="B38" s="30"/>
      <c r="C38" s="12" t="s">
        <v>5</v>
      </c>
      <c r="D38" s="75"/>
      <c r="E38" s="77"/>
      <c r="J38" s="79"/>
    </row>
    <row r="39" spans="2:10" ht="17" thickBot="1">
      <c r="B39" s="129"/>
      <c r="C39" s="27" t="s">
        <v>41</v>
      </c>
      <c r="D39" s="16" t="s">
        <v>1</v>
      </c>
      <c r="E39" s="92">
        <f>'Research data'!E36</f>
        <v>0</v>
      </c>
      <c r="F39" s="27"/>
      <c r="G39" s="27" t="s">
        <v>22</v>
      </c>
      <c r="H39" s="27"/>
      <c r="I39" s="101" t="str">
        <f>LOOKUP(E39,'Research data'!G36:S36,'Research data'!G$3:S$3)</f>
        <v>Quintel assumption</v>
      </c>
      <c r="J39" s="79"/>
    </row>
    <row r="40" spans="2:10" ht="17" thickBot="1">
      <c r="B40" s="129"/>
      <c r="C40" s="27" t="s">
        <v>42</v>
      </c>
      <c r="D40" s="16" t="s">
        <v>1</v>
      </c>
      <c r="E40" s="92">
        <f>'Research data'!E37</f>
        <v>15</v>
      </c>
      <c r="F40" s="27"/>
      <c r="G40" s="27" t="s">
        <v>21</v>
      </c>
      <c r="H40" s="27"/>
      <c r="I40" s="101" t="str">
        <f>LOOKUP(E40,'Research data'!G37:S37,'Research data'!G$3:S$3)</f>
        <v>DHPA</v>
      </c>
      <c r="J40" s="79"/>
    </row>
    <row r="41" spans="2:10" ht="17" thickBot="1">
      <c r="B41" s="129"/>
      <c r="C41" s="27" t="s">
        <v>28</v>
      </c>
      <c r="D41" s="16" t="s">
        <v>3</v>
      </c>
      <c r="E41" s="92">
        <f>'Research data'!E38</f>
        <v>0</v>
      </c>
      <c r="F41" s="27"/>
      <c r="G41" s="27"/>
      <c r="H41" s="27"/>
      <c r="I41" s="101" t="str">
        <f>LOOKUP(E41,'Research data'!G38:S38,'Research data'!G$3:S$3)</f>
        <v>Quintel assumption</v>
      </c>
      <c r="J41" s="79"/>
    </row>
    <row r="42" spans="2:10" ht="17" thickBot="1">
      <c r="B42" s="31"/>
      <c r="C42" s="32"/>
      <c r="D42" s="32"/>
      <c r="E42" s="32"/>
      <c r="F42" s="32"/>
      <c r="G42" s="32"/>
      <c r="H42" s="32"/>
      <c r="I42" s="32"/>
      <c r="J42" s="33"/>
    </row>
    <row r="47" spans="2:10">
      <c r="B47" s="11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42"/>
  <sheetViews>
    <sheetView topLeftCell="C1" workbookViewId="0">
      <selection activeCell="G3" sqref="G3"/>
    </sheetView>
  </sheetViews>
  <sheetFormatPr baseColWidth="10" defaultColWidth="10.6640625" defaultRowHeight="16"/>
  <cols>
    <col min="1" max="2" width="3.5" style="49" customWidth="1"/>
    <col min="3" max="3" width="53.6640625" style="49" bestFit="1" customWidth="1"/>
    <col min="4" max="4" width="9.5" style="49" bestFit="1" customWidth="1"/>
    <col min="5" max="5" width="14.33203125" style="49" customWidth="1"/>
    <col min="6" max="6" width="4.6640625" style="49" customWidth="1"/>
    <col min="7" max="7" width="9.5" style="50" bestFit="1" customWidth="1"/>
    <col min="8" max="8" width="5.1640625" style="50" bestFit="1" customWidth="1"/>
    <col min="9" max="9" width="8" style="50" bestFit="1" customWidth="1"/>
    <col min="10" max="10" width="9" style="50" bestFit="1" customWidth="1"/>
    <col min="11" max="11" width="7.6640625" style="50" bestFit="1" customWidth="1"/>
    <col min="12" max="12" width="5.83203125" style="50" bestFit="1" customWidth="1"/>
    <col min="13" max="13" width="18.6640625" style="50" bestFit="1" customWidth="1"/>
    <col min="14" max="14" width="7.6640625" style="50" bestFit="1" customWidth="1"/>
    <col min="15" max="15" width="7.6640625" style="50" customWidth="1"/>
    <col min="16" max="17" width="8.6640625" style="50" bestFit="1" customWidth="1"/>
    <col min="18" max="18" width="8.6640625" style="50" customWidth="1"/>
    <col min="19" max="19" width="2.5" style="50" customWidth="1"/>
    <col min="20" max="20" width="97.33203125" style="49" bestFit="1" customWidth="1"/>
    <col min="21" max="16384" width="10.6640625" style="49"/>
  </cols>
  <sheetData>
    <row r="1" spans="2:20" ht="17" thickBot="1"/>
    <row r="2" spans="2:20">
      <c r="B2" s="51"/>
      <c r="C2" s="52"/>
      <c r="D2" s="52"/>
      <c r="E2" s="52"/>
      <c r="F2" s="52"/>
      <c r="G2" s="53"/>
      <c r="H2" s="53"/>
      <c r="I2" s="53"/>
      <c r="J2" s="53"/>
      <c r="K2" s="53"/>
      <c r="L2" s="53"/>
      <c r="M2" s="53"/>
      <c r="N2" s="53"/>
      <c r="O2" s="53"/>
      <c r="P2" s="53"/>
      <c r="Q2" s="53"/>
      <c r="R2" s="53"/>
      <c r="S2" s="53"/>
      <c r="T2" s="132"/>
    </row>
    <row r="3" spans="2:20" s="12" customFormat="1">
      <c r="B3" s="17"/>
      <c r="C3" s="82" t="s">
        <v>75</v>
      </c>
      <c r="D3" s="82" t="s">
        <v>11</v>
      </c>
      <c r="E3" s="82" t="s">
        <v>69</v>
      </c>
      <c r="F3" s="82"/>
      <c r="G3" s="48" t="str">
        <f>Sources!E38</f>
        <v>Quintel assumption</v>
      </c>
      <c r="H3" s="48" t="str">
        <f>Sources!E16</f>
        <v>TNO</v>
      </c>
      <c r="I3" s="48" t="str">
        <f>Sources!E8</f>
        <v>Techneco</v>
      </c>
      <c r="J3" s="47" t="str">
        <f>Sources!E14</f>
        <v>Techneco2</v>
      </c>
      <c r="K3" s="47" t="str">
        <f>Sources!E12</f>
        <v>ODE &amp; VEA</v>
      </c>
      <c r="L3" s="47" t="str">
        <f>Sources!E17</f>
        <v>Ecofys</v>
      </c>
      <c r="M3" s="47" t="str">
        <f>Sources!E20</f>
        <v>ISSO 72 and Quintel calc</v>
      </c>
      <c r="N3" s="47" t="str">
        <f>Sources!E22</f>
        <v>DHPA</v>
      </c>
      <c r="O3" s="47" t="str">
        <f>Sources!E36</f>
        <v>Warmtepompforum</v>
      </c>
      <c r="P3" s="47" t="str">
        <f>Sources!E32</f>
        <v>Installand</v>
      </c>
      <c r="Q3" s="47" t="str">
        <f>Sources!E34</f>
        <v>Nefit</v>
      </c>
      <c r="R3" s="47" t="s">
        <v>222</v>
      </c>
      <c r="T3" s="133" t="s">
        <v>77</v>
      </c>
    </row>
    <row r="4" spans="2:20">
      <c r="B4" s="54"/>
      <c r="C4" s="55"/>
      <c r="D4" s="55"/>
      <c r="E4" s="56"/>
      <c r="F4" s="56"/>
      <c r="G4" s="80"/>
      <c r="H4" s="80"/>
      <c r="I4" s="10"/>
      <c r="J4" s="81"/>
      <c r="K4" s="81"/>
      <c r="L4" s="81"/>
      <c r="M4" s="81"/>
      <c r="N4" s="81"/>
      <c r="O4" s="81"/>
      <c r="P4" s="81"/>
      <c r="Q4" s="81"/>
      <c r="R4" s="81"/>
      <c r="S4" s="81"/>
      <c r="T4" s="134"/>
    </row>
    <row r="5" spans="2:20" ht="17" thickBot="1">
      <c r="B5" s="54"/>
      <c r="C5" s="25" t="s">
        <v>74</v>
      </c>
      <c r="D5" s="91"/>
      <c r="E5" s="9"/>
      <c r="F5" s="9"/>
      <c r="G5" s="9"/>
      <c r="H5" s="9"/>
      <c r="I5" s="9"/>
      <c r="J5" s="9"/>
      <c r="K5" s="9"/>
      <c r="L5" s="9"/>
      <c r="M5" s="9"/>
      <c r="N5" s="9"/>
      <c r="O5" s="9"/>
      <c r="P5" s="9"/>
      <c r="Q5" s="9"/>
      <c r="R5" s="9"/>
      <c r="S5" s="9"/>
      <c r="T5" s="134"/>
    </row>
    <row r="6" spans="2:20" ht="17" thickBot="1">
      <c r="B6" s="54"/>
      <c r="C6" s="216" t="s">
        <v>83</v>
      </c>
      <c r="D6" s="217" t="s">
        <v>3</v>
      </c>
      <c r="E6" s="214">
        <f>G6</f>
        <v>0.63239875389408096</v>
      </c>
      <c r="F6" s="215"/>
      <c r="G6" s="214">
        <f>Notes!E92</f>
        <v>0.63239875389408096</v>
      </c>
      <c r="H6" s="141"/>
      <c r="I6" s="142"/>
      <c r="J6" s="142"/>
      <c r="K6" s="142"/>
      <c r="L6" s="142"/>
      <c r="M6" s="142"/>
      <c r="N6" s="142"/>
      <c r="O6" s="142"/>
      <c r="P6" s="142"/>
      <c r="Q6" s="142"/>
      <c r="R6" s="142"/>
      <c r="S6" s="142"/>
      <c r="T6" s="213" t="s">
        <v>247</v>
      </c>
    </row>
    <row r="7" spans="2:20" ht="17" thickBot="1">
      <c r="B7" s="54"/>
      <c r="C7" s="216" t="s">
        <v>84</v>
      </c>
      <c r="D7" s="217" t="s">
        <v>3</v>
      </c>
      <c r="E7" s="214">
        <f t="shared" ref="E7" si="0">G7</f>
        <v>0.18068535825545171</v>
      </c>
      <c r="F7" s="143"/>
      <c r="G7" s="214">
        <f>Notes!E93</f>
        <v>0.18068535825545171</v>
      </c>
      <c r="H7" s="141"/>
      <c r="I7" s="144"/>
      <c r="J7" s="142"/>
      <c r="K7" s="142"/>
      <c r="L7" s="142"/>
      <c r="M7" s="142"/>
      <c r="N7" s="142"/>
      <c r="O7" s="142"/>
      <c r="P7" s="142"/>
      <c r="Q7" s="142"/>
      <c r="R7" s="142"/>
      <c r="S7" s="144"/>
      <c r="T7" s="213" t="s">
        <v>247</v>
      </c>
    </row>
    <row r="8" spans="2:20" ht="17" thickBot="1">
      <c r="B8" s="54"/>
      <c r="C8" s="216" t="s">
        <v>248</v>
      </c>
      <c r="D8" s="217" t="s">
        <v>3</v>
      </c>
      <c r="E8" s="214">
        <f>G8</f>
        <v>0.18691588785046728</v>
      </c>
      <c r="F8" s="143"/>
      <c r="G8" s="214">
        <f>Notes!E49</f>
        <v>0.18691588785046728</v>
      </c>
      <c r="H8" s="141"/>
      <c r="I8" s="144"/>
      <c r="J8" s="142"/>
      <c r="K8" s="142"/>
      <c r="L8" s="142"/>
      <c r="M8" s="142"/>
      <c r="N8" s="142"/>
      <c r="O8" s="142"/>
      <c r="P8" s="142"/>
      <c r="Q8" s="142"/>
      <c r="R8" s="142"/>
      <c r="S8" s="144"/>
      <c r="T8" s="213" t="s">
        <v>247</v>
      </c>
    </row>
    <row r="9" spans="2:20" ht="17" thickBot="1">
      <c r="B9" s="54"/>
      <c r="C9" s="91" t="str">
        <f>Dashboard!C13</f>
        <v>output.cooling</v>
      </c>
      <c r="D9" s="91" t="str">
        <f>Dashboard!D13</f>
        <v>-</v>
      </c>
      <c r="E9" s="145">
        <f>G9</f>
        <v>0</v>
      </c>
      <c r="F9" s="143"/>
      <c r="G9" s="140">
        <v>0</v>
      </c>
      <c r="H9" s="141"/>
      <c r="I9" s="144"/>
      <c r="J9" s="144"/>
      <c r="K9" s="144"/>
      <c r="L9" s="144"/>
      <c r="M9" s="144"/>
      <c r="N9" s="144"/>
      <c r="O9" s="144"/>
      <c r="P9" s="144"/>
      <c r="Q9" s="144"/>
      <c r="R9" s="144"/>
      <c r="S9" s="144"/>
      <c r="T9" s="134" t="s">
        <v>146</v>
      </c>
    </row>
    <row r="10" spans="2:20" ht="17" thickBot="1">
      <c r="B10" s="54"/>
      <c r="C10" s="91" t="str">
        <f>Dashboard!C14</f>
        <v>output.useable_heat.ambient_heat</v>
      </c>
      <c r="D10" s="91" t="str">
        <f>Dashboard!D14</f>
        <v>-</v>
      </c>
      <c r="E10" s="146">
        <f>J10</f>
        <v>1</v>
      </c>
      <c r="F10" s="143"/>
      <c r="G10" s="141"/>
      <c r="H10" s="141"/>
      <c r="I10" s="144"/>
      <c r="J10" s="140">
        <f>Notes!E97</f>
        <v>1</v>
      </c>
      <c r="K10" s="144"/>
      <c r="L10" s="144"/>
      <c r="M10" s="144"/>
      <c r="N10" s="144"/>
      <c r="O10" s="144"/>
      <c r="P10" s="144"/>
      <c r="Q10" s="144"/>
      <c r="R10" s="144"/>
      <c r="S10" s="144"/>
      <c r="T10" s="134"/>
    </row>
    <row r="11" spans="2:20" ht="17" thickBot="1">
      <c r="B11" s="54"/>
      <c r="C11" s="91" t="str">
        <f>Dashboard!C15</f>
        <v>output.useable_heat.electricity</v>
      </c>
      <c r="D11" s="91" t="str">
        <f>Dashboard!D15</f>
        <v>-</v>
      </c>
      <c r="E11" s="146">
        <f>J11</f>
        <v>1</v>
      </c>
      <c r="F11" s="143"/>
      <c r="G11" s="141"/>
      <c r="H11" s="141"/>
      <c r="I11" s="144"/>
      <c r="J11" s="140">
        <f>Notes!E98</f>
        <v>1</v>
      </c>
      <c r="K11" s="144"/>
      <c r="L11" s="144"/>
      <c r="M11" s="144"/>
      <c r="N11" s="144"/>
      <c r="O11" s="144"/>
      <c r="P11" s="144"/>
      <c r="Q11" s="144"/>
      <c r="R11" s="144"/>
      <c r="S11" s="144"/>
      <c r="T11" s="134"/>
    </row>
    <row r="12" spans="2:20" ht="17" thickBot="1">
      <c r="B12" s="54"/>
      <c r="C12" s="91" t="str">
        <f>Dashboard!C16</f>
        <v>output.useable_heat.network_gas</v>
      </c>
      <c r="D12" s="91" t="str">
        <f>Dashboard!D16</f>
        <v>-</v>
      </c>
      <c r="E12" s="147">
        <f>H12</f>
        <v>1.07</v>
      </c>
      <c r="F12" s="141"/>
      <c r="G12" s="148"/>
      <c r="H12" s="149">
        <f>Notes!E39</f>
        <v>1.07</v>
      </c>
      <c r="I12" s="148"/>
      <c r="J12" s="148"/>
      <c r="K12" s="148"/>
      <c r="L12" s="148"/>
      <c r="M12" s="148"/>
      <c r="N12" s="148"/>
      <c r="O12" s="148"/>
      <c r="P12" s="148"/>
      <c r="Q12" s="148"/>
      <c r="R12" s="148"/>
      <c r="S12" s="148"/>
      <c r="T12" s="134" t="s">
        <v>145</v>
      </c>
    </row>
    <row r="13" spans="2:20" ht="17" thickBot="1">
      <c r="B13" s="54"/>
      <c r="C13" s="91" t="str">
        <f>Dashboard!C17</f>
        <v>fever.base_cop</v>
      </c>
      <c r="D13" s="91" t="str">
        <f>Dashboard!D17</f>
        <v>-</v>
      </c>
      <c r="E13" s="147">
        <f>L13</f>
        <v>2.3233333333333333</v>
      </c>
      <c r="F13" s="141"/>
      <c r="G13" s="150"/>
      <c r="H13" s="150"/>
      <c r="I13" s="148"/>
      <c r="J13" s="148"/>
      <c r="K13" s="148"/>
      <c r="L13" s="151">
        <f>Notes!E249</f>
        <v>2.3233333333333333</v>
      </c>
      <c r="M13" s="148"/>
      <c r="N13" s="148"/>
      <c r="O13" s="148"/>
      <c r="P13" s="148"/>
      <c r="Q13" s="148"/>
      <c r="R13" s="148"/>
      <c r="S13" s="148"/>
      <c r="T13" s="134"/>
    </row>
    <row r="14" spans="2:20" ht="17" thickBot="1">
      <c r="B14" s="54"/>
      <c r="C14" s="91" t="str">
        <f>Dashboard!C18</f>
        <v>fever.capacity.electricity</v>
      </c>
      <c r="D14" s="91" t="str">
        <f>Dashboard!D18</f>
        <v>-</v>
      </c>
      <c r="E14" s="147">
        <f>L14</f>
        <v>1.8327326043130307E-3</v>
      </c>
      <c r="F14" s="141"/>
      <c r="G14" s="150"/>
      <c r="H14" s="150"/>
      <c r="I14" s="148"/>
      <c r="J14" s="148"/>
      <c r="K14" s="148"/>
      <c r="L14" s="152">
        <f>Notes!E267</f>
        <v>1.8327326043130307E-3</v>
      </c>
      <c r="M14" s="148"/>
      <c r="N14" s="148"/>
      <c r="O14" s="148"/>
      <c r="P14" s="148"/>
      <c r="Q14" s="148"/>
      <c r="R14" s="148"/>
      <c r="S14" s="148"/>
      <c r="T14" s="134"/>
    </row>
    <row r="15" spans="2:20" ht="17" thickBot="1">
      <c r="B15" s="54"/>
      <c r="C15" s="91" t="str">
        <f>Dashboard!C19</f>
        <v>fever.capacity.network_gas</v>
      </c>
      <c r="D15" s="91" t="str">
        <f>Dashboard!D19</f>
        <v>-</v>
      </c>
      <c r="E15" s="147">
        <f>G15</f>
        <v>2.1999999999999999E-2</v>
      </c>
      <c r="F15" s="141"/>
      <c r="G15" s="149">
        <f>Notes!F236</f>
        <v>2.1999999999999999E-2</v>
      </c>
      <c r="H15" s="153"/>
      <c r="I15" s="148"/>
      <c r="J15" s="148"/>
      <c r="K15" s="148"/>
      <c r="L15" s="148"/>
      <c r="M15" s="148"/>
      <c r="N15" s="148"/>
      <c r="O15" s="148"/>
      <c r="P15" s="148"/>
      <c r="Q15" s="148"/>
      <c r="R15" s="148"/>
      <c r="S15" s="148"/>
      <c r="T15" s="134"/>
    </row>
    <row r="16" spans="2:20" ht="17" thickBot="1">
      <c r="B16" s="54"/>
      <c r="C16" s="91" t="str">
        <f>Dashboard!C20</f>
        <v>fever.cop_cutoff</v>
      </c>
      <c r="D16" s="91" t="str">
        <f>Dashboard!D20</f>
        <v>-</v>
      </c>
      <c r="E16" s="147">
        <f>G16</f>
        <v>2.6002380221130221</v>
      </c>
      <c r="F16" s="141"/>
      <c r="G16" s="149">
        <f>Notes!F214</f>
        <v>2.6002380221130221</v>
      </c>
      <c r="H16" s="153"/>
      <c r="I16" s="148"/>
      <c r="J16" s="148"/>
      <c r="K16" s="148"/>
      <c r="L16" s="148"/>
      <c r="M16" s="148"/>
      <c r="N16" s="148"/>
      <c r="O16" s="148"/>
      <c r="P16" s="148"/>
      <c r="Q16" s="148"/>
      <c r="R16" s="148"/>
      <c r="S16" s="148"/>
      <c r="T16" s="134"/>
    </row>
    <row r="17" spans="1:20" ht="17" thickBot="1">
      <c r="B17" s="54"/>
      <c r="C17" s="91" t="str">
        <f>Dashboard!C21</f>
        <v>fever.cop_per_degree</v>
      </c>
      <c r="D17" s="91" t="str">
        <f>Dashboard!D21</f>
        <v>-</v>
      </c>
      <c r="E17" s="147">
        <f>L17</f>
        <v>5.7833333333333327E-2</v>
      </c>
      <c r="F17" s="141"/>
      <c r="G17" s="148"/>
      <c r="H17" s="148"/>
      <c r="I17" s="148"/>
      <c r="J17" s="148"/>
      <c r="K17" s="148"/>
      <c r="L17" s="149">
        <f>Notes!E250</f>
        <v>5.7833333333333327E-2</v>
      </c>
      <c r="M17" s="148"/>
      <c r="N17" s="148"/>
      <c r="O17" s="148"/>
      <c r="P17" s="148"/>
      <c r="Q17" s="148"/>
      <c r="R17" s="148"/>
      <c r="S17" s="148"/>
      <c r="T17" s="134"/>
    </row>
    <row r="18" spans="1:20" ht="17" thickBot="1">
      <c r="B18" s="54"/>
      <c r="C18" s="91" t="str">
        <f>Dashboard!C22</f>
        <v>availability</v>
      </c>
      <c r="D18" s="91" t="str">
        <f>Dashboard!D22</f>
        <v>-</v>
      </c>
      <c r="E18" s="145">
        <f t="shared" ref="E18:E20" si="1">G18</f>
        <v>0</v>
      </c>
      <c r="F18" s="144"/>
      <c r="G18" s="145">
        <v>0</v>
      </c>
      <c r="H18" s="148"/>
      <c r="I18" s="148"/>
      <c r="J18" s="148"/>
      <c r="K18" s="148"/>
      <c r="L18" s="148"/>
      <c r="M18" s="148"/>
      <c r="N18" s="148"/>
      <c r="O18" s="148"/>
      <c r="P18" s="148"/>
      <c r="Q18" s="148"/>
      <c r="R18" s="148"/>
      <c r="S18" s="148"/>
      <c r="T18" s="134" t="s">
        <v>114</v>
      </c>
    </row>
    <row r="19" spans="1:20" ht="17" thickBot="1">
      <c r="B19" s="54"/>
      <c r="C19" s="91" t="str">
        <f>Dashboard!C23</f>
        <v>full_load_hours</v>
      </c>
      <c r="D19" s="91" t="str">
        <f>Dashboard!D23</f>
        <v>hour/year</v>
      </c>
      <c r="E19" s="145">
        <f t="shared" si="1"/>
        <v>0</v>
      </c>
      <c r="F19" s="144"/>
      <c r="G19" s="145">
        <v>0</v>
      </c>
      <c r="H19" s="148"/>
      <c r="I19" s="150"/>
      <c r="J19" s="150"/>
      <c r="K19" s="142"/>
      <c r="L19" s="142"/>
      <c r="M19" s="142"/>
      <c r="N19" s="142"/>
      <c r="O19" s="142"/>
      <c r="P19" s="142"/>
      <c r="Q19" s="142"/>
      <c r="R19" s="142"/>
      <c r="S19" s="142"/>
      <c r="T19" s="134" t="s">
        <v>118</v>
      </c>
    </row>
    <row r="20" spans="1:20" ht="17" thickBot="1">
      <c r="B20" s="54"/>
      <c r="C20" s="91" t="str">
        <f>Dashboard!C24</f>
        <v>households_supplied_per_unit</v>
      </c>
      <c r="D20" s="91" t="str">
        <f>Dashboard!D24</f>
        <v>-</v>
      </c>
      <c r="E20" s="145">
        <f t="shared" si="1"/>
        <v>1</v>
      </c>
      <c r="F20" s="144"/>
      <c r="G20" s="145">
        <v>1</v>
      </c>
      <c r="H20" s="148"/>
      <c r="I20" s="142"/>
      <c r="J20" s="142"/>
      <c r="K20" s="142"/>
      <c r="L20" s="142"/>
      <c r="M20" s="142"/>
      <c r="N20" s="142"/>
      <c r="O20" s="142"/>
      <c r="P20" s="142"/>
      <c r="Q20" s="142"/>
      <c r="R20" s="142"/>
      <c r="S20" s="142"/>
      <c r="T20" s="134" t="s">
        <v>10</v>
      </c>
    </row>
    <row r="21" spans="1:20" ht="17" thickBot="1">
      <c r="B21" s="54"/>
      <c r="C21" s="91" t="e">
        <f>Dashboard!#REF!</f>
        <v>#REF!</v>
      </c>
      <c r="D21" s="91" t="e">
        <f>Dashboard!#REF!</f>
        <v>#REF!</v>
      </c>
      <c r="E21" s="152">
        <v>0</v>
      </c>
      <c r="F21" s="154"/>
      <c r="G21" s="155">
        <v>0</v>
      </c>
      <c r="H21" s="150"/>
      <c r="I21" s="150"/>
      <c r="J21" s="150"/>
      <c r="K21" s="150"/>
      <c r="L21" s="150"/>
      <c r="M21" s="150"/>
      <c r="N21" s="150"/>
      <c r="O21" s="150"/>
      <c r="P21" s="150"/>
      <c r="Q21" s="150"/>
      <c r="R21" s="150"/>
      <c r="S21" s="150"/>
      <c r="T21" s="134" t="s">
        <v>115</v>
      </c>
    </row>
    <row r="22" spans="1:20" ht="17" thickBot="1">
      <c r="B22" s="54"/>
      <c r="C22" s="91" t="str">
        <f>Dashboard!C25</f>
        <v>heat_output_capacity</v>
      </c>
      <c r="D22" s="91" t="str">
        <f>Dashboard!D25</f>
        <v>MW</v>
      </c>
      <c r="E22" s="152">
        <f>J22</f>
        <v>4.9000000000000007E-3</v>
      </c>
      <c r="F22" s="156"/>
      <c r="G22" s="156"/>
      <c r="H22" s="156"/>
      <c r="I22" s="156"/>
      <c r="J22" s="152">
        <f>Notes!E88</f>
        <v>4.9000000000000007E-3</v>
      </c>
      <c r="K22" s="157"/>
      <c r="L22" s="157"/>
      <c r="M22" s="157"/>
      <c r="N22" s="157"/>
      <c r="O22" s="157"/>
      <c r="P22" s="157"/>
      <c r="Q22" s="157"/>
      <c r="R22" s="157"/>
      <c r="S22" s="150"/>
      <c r="T22" s="134" t="s">
        <v>127</v>
      </c>
    </row>
    <row r="23" spans="1:20">
      <c r="B23" s="54"/>
      <c r="C23" s="57"/>
      <c r="T23" s="134"/>
    </row>
    <row r="24" spans="1:20" ht="17" thickBot="1">
      <c r="B24" s="54"/>
      <c r="C24" s="25" t="s">
        <v>76</v>
      </c>
      <c r="D24" s="25"/>
      <c r="T24" s="134"/>
    </row>
    <row r="25" spans="1:20" ht="17" thickBot="1">
      <c r="A25" s="95"/>
      <c r="B25" s="96"/>
      <c r="C25" s="91" t="str">
        <f>Dashboard!C28</f>
        <v>initial_investment</v>
      </c>
      <c r="D25" s="91" t="str">
        <f>Dashboard!D28</f>
        <v>euro</v>
      </c>
      <c r="E25" s="145">
        <f>R25</f>
        <v>3819</v>
      </c>
      <c r="F25" s="154"/>
      <c r="G25" s="150"/>
      <c r="H25" s="150"/>
      <c r="I25" s="158">
        <f>Notes!E183</f>
        <v>4135</v>
      </c>
      <c r="J25" s="150"/>
      <c r="K25" s="150"/>
      <c r="L25" s="150"/>
      <c r="M25" s="150"/>
      <c r="N25" s="150"/>
      <c r="O25" s="150"/>
      <c r="P25" s="150"/>
      <c r="Q25" s="150"/>
      <c r="R25" s="158">
        <f>Notes!E331</f>
        <v>3819</v>
      </c>
      <c r="S25" s="150"/>
      <c r="T25" s="134" t="s">
        <v>117</v>
      </c>
    </row>
    <row r="26" spans="1:20" ht="17" thickBot="1">
      <c r="A26" s="95"/>
      <c r="B26" s="96"/>
      <c r="C26" s="91" t="str">
        <f>Dashboard!C29</f>
        <v>ccs_investment</v>
      </c>
      <c r="D26" s="91" t="str">
        <f>Dashboard!D29</f>
        <v>euro</v>
      </c>
      <c r="E26" s="145">
        <f t="shared" ref="E26:E33" si="2">G26</f>
        <v>0</v>
      </c>
      <c r="F26" s="154"/>
      <c r="G26" s="145">
        <f>I26</f>
        <v>0</v>
      </c>
      <c r="H26" s="148"/>
      <c r="I26" s="150"/>
      <c r="J26" s="150"/>
      <c r="K26" s="150"/>
      <c r="L26" s="150"/>
      <c r="M26" s="150"/>
      <c r="N26" s="150"/>
      <c r="O26" s="150"/>
      <c r="P26" s="150"/>
      <c r="Q26" s="150"/>
      <c r="R26" s="150"/>
      <c r="S26" s="150"/>
      <c r="T26" s="134" t="s">
        <v>115</v>
      </c>
    </row>
    <row r="27" spans="1:20" ht="17" thickBot="1">
      <c r="A27" s="95"/>
      <c r="B27" s="96"/>
      <c r="C27" s="91" t="str">
        <f>Dashboard!C30</f>
        <v>cost_of_installing</v>
      </c>
      <c r="D27" s="91" t="str">
        <f>Dashboard!D30</f>
        <v>euro</v>
      </c>
      <c r="E27" s="159">
        <f>R27</f>
        <v>0</v>
      </c>
      <c r="F27" s="154"/>
      <c r="G27" s="150"/>
      <c r="H27" s="150"/>
      <c r="I27" s="158">
        <f>Notes!E172</f>
        <v>600</v>
      </c>
      <c r="J27" s="150"/>
      <c r="K27" s="150"/>
      <c r="L27" s="150"/>
      <c r="M27" s="150"/>
      <c r="N27" s="160">
        <f>Notes!E261</f>
        <v>1000</v>
      </c>
      <c r="O27" s="161"/>
      <c r="P27" s="150"/>
      <c r="Q27" s="150"/>
      <c r="R27" s="158">
        <f>0</f>
        <v>0</v>
      </c>
      <c r="S27" s="150"/>
      <c r="T27" s="134"/>
    </row>
    <row r="28" spans="1:20" ht="17" thickBot="1">
      <c r="A28" s="95"/>
      <c r="B28" s="96"/>
      <c r="C28" s="91" t="str">
        <f>Dashboard!C31</f>
        <v>decommissioning_costs</v>
      </c>
      <c r="D28" s="91" t="str">
        <f>Dashboard!D31</f>
        <v>euro</v>
      </c>
      <c r="E28" s="145">
        <f t="shared" si="2"/>
        <v>0</v>
      </c>
      <c r="F28" s="154"/>
      <c r="G28" s="145">
        <f>I28</f>
        <v>0</v>
      </c>
      <c r="H28" s="148"/>
      <c r="I28" s="150"/>
      <c r="J28" s="150"/>
      <c r="K28" s="150"/>
      <c r="L28" s="150"/>
      <c r="M28" s="150"/>
      <c r="N28" s="161"/>
      <c r="O28" s="161"/>
      <c r="P28" s="150"/>
      <c r="Q28" s="150"/>
      <c r="R28" s="150"/>
      <c r="S28" s="150"/>
      <c r="T28" s="134" t="s">
        <v>115</v>
      </c>
    </row>
    <row r="29" spans="1:20" ht="17" thickBot="1">
      <c r="A29" s="95"/>
      <c r="B29" s="96"/>
      <c r="C29" s="91" t="str">
        <f>Dashboard!C32</f>
        <v>fixed_operation_and_maintenance_costs_per_year</v>
      </c>
      <c r="D29" s="91" t="str">
        <f>Dashboard!D32</f>
        <v>euro/year</v>
      </c>
      <c r="E29" s="159">
        <f>N29</f>
        <v>200</v>
      </c>
      <c r="F29" s="154"/>
      <c r="G29" s="150"/>
      <c r="H29" s="150"/>
      <c r="I29" s="150"/>
      <c r="J29" s="150"/>
      <c r="K29" s="152">
        <f>Notes!E209</f>
        <v>252.89256198347107</v>
      </c>
      <c r="L29" s="157"/>
      <c r="M29" s="157"/>
      <c r="N29" s="159">
        <f>Notes!E262</f>
        <v>200</v>
      </c>
      <c r="O29" s="163"/>
      <c r="P29" s="157"/>
      <c r="Q29" s="157"/>
      <c r="R29" s="157"/>
      <c r="S29" s="150"/>
      <c r="T29" s="134"/>
    </row>
    <row r="30" spans="1:20" ht="17" thickBot="1">
      <c r="A30" s="95"/>
      <c r="B30" s="96"/>
      <c r="C30" s="91" t="str">
        <f>Dashboard!C33</f>
        <v>variable_operation_and_maintenance_costs_per_full_load_hour</v>
      </c>
      <c r="D30" s="91" t="str">
        <f>Dashboard!D33</f>
        <v>euro/FLH</v>
      </c>
      <c r="E30" s="149">
        <f>G30</f>
        <v>0</v>
      </c>
      <c r="F30" s="154"/>
      <c r="G30" s="145">
        <f>I30</f>
        <v>0</v>
      </c>
      <c r="H30" s="148"/>
      <c r="I30" s="150"/>
      <c r="J30" s="150"/>
      <c r="K30" s="150"/>
      <c r="L30" s="150"/>
      <c r="M30" s="150"/>
      <c r="N30" s="150"/>
      <c r="O30" s="150"/>
      <c r="P30" s="150"/>
      <c r="Q30" s="150"/>
      <c r="R30" s="150"/>
      <c r="S30" s="150"/>
      <c r="T30" s="134" t="s">
        <v>118</v>
      </c>
    </row>
    <row r="31" spans="1:20" ht="17" thickBot="1">
      <c r="A31" s="95"/>
      <c r="B31" s="96"/>
      <c r="C31" s="91" t="str">
        <f>Dashboard!C34</f>
        <v>variable_operation_and_maintenance_costs_for_ccs_per_full_load_hour</v>
      </c>
      <c r="D31" s="91" t="str">
        <f>Dashboard!D34</f>
        <v>euro/FLH</v>
      </c>
      <c r="E31" s="149">
        <f>G31</f>
        <v>0</v>
      </c>
      <c r="F31" s="154"/>
      <c r="G31" s="145">
        <f>I31</f>
        <v>0</v>
      </c>
      <c r="H31" s="148"/>
      <c r="I31" s="150"/>
      <c r="J31" s="150"/>
      <c r="K31" s="150"/>
      <c r="L31" s="150"/>
      <c r="M31" s="150"/>
      <c r="N31" s="150"/>
      <c r="O31" s="150"/>
      <c r="P31" s="150"/>
      <c r="Q31" s="150"/>
      <c r="R31" s="150"/>
      <c r="S31" s="150"/>
      <c r="T31" s="134" t="s">
        <v>115</v>
      </c>
    </row>
    <row r="32" spans="1:20" ht="17" thickBot="1">
      <c r="A32" s="95"/>
      <c r="B32" s="96"/>
      <c r="C32" s="91" t="str">
        <f>Dashboard!C35</f>
        <v>wacc</v>
      </c>
      <c r="D32" s="91" t="str">
        <f>Dashboard!D35</f>
        <v>%</v>
      </c>
      <c r="E32" s="149">
        <f>G32</f>
        <v>0.04</v>
      </c>
      <c r="F32" s="154"/>
      <c r="G32" s="149">
        <v>0.04</v>
      </c>
      <c r="H32" s="153"/>
      <c r="I32" s="150"/>
      <c r="J32" s="150"/>
      <c r="K32" s="150"/>
      <c r="L32" s="150"/>
      <c r="M32" s="150"/>
      <c r="N32" s="150"/>
      <c r="O32" s="150"/>
      <c r="P32" s="150"/>
      <c r="Q32" s="150"/>
      <c r="R32" s="150"/>
      <c r="S32" s="150"/>
      <c r="T32" s="134" t="s">
        <v>114</v>
      </c>
    </row>
    <row r="33" spans="1:20" ht="17" thickBot="1">
      <c r="A33" s="95"/>
      <c r="B33" s="96"/>
      <c r="C33" s="91" t="str">
        <f>Dashboard!C36</f>
        <v>takes_part_in_ets</v>
      </c>
      <c r="D33" s="91" t="str">
        <f>Dashboard!D36</f>
        <v>yes=1, no=0</v>
      </c>
      <c r="E33" s="145">
        <f t="shared" si="2"/>
        <v>0</v>
      </c>
      <c r="F33" s="154"/>
      <c r="G33" s="145">
        <f>I33</f>
        <v>0</v>
      </c>
      <c r="H33" s="148"/>
      <c r="I33" s="150"/>
      <c r="J33" s="150"/>
      <c r="K33" s="150"/>
      <c r="L33" s="150"/>
      <c r="M33" s="150"/>
      <c r="N33" s="150"/>
      <c r="O33" s="150"/>
      <c r="P33" s="150"/>
      <c r="Q33" s="150"/>
      <c r="R33" s="150"/>
      <c r="S33" s="150"/>
      <c r="T33" s="134" t="s">
        <v>115</v>
      </c>
    </row>
    <row r="34" spans="1:20">
      <c r="A34" s="95"/>
      <c r="B34" s="96"/>
      <c r="C34" s="25"/>
      <c r="T34" s="134"/>
    </row>
    <row r="35" spans="1:20" ht="17" thickBot="1">
      <c r="A35" s="95"/>
      <c r="B35" s="96"/>
      <c r="C35" s="11" t="s">
        <v>5</v>
      </c>
      <c r="T35" s="134"/>
    </row>
    <row r="36" spans="1:20" ht="17" thickBot="1">
      <c r="A36" s="95"/>
      <c r="B36" s="96"/>
      <c r="C36" s="91" t="str">
        <f>Dashboard!C39</f>
        <v>construction_time</v>
      </c>
      <c r="D36" s="91" t="str">
        <f>Dashboard!D39</f>
        <v>years</v>
      </c>
      <c r="E36" s="145">
        <f>G36</f>
        <v>0</v>
      </c>
      <c r="F36" s="154"/>
      <c r="G36" s="145">
        <f>I36</f>
        <v>0</v>
      </c>
      <c r="H36" s="148"/>
      <c r="I36" s="150"/>
      <c r="J36" s="150"/>
      <c r="K36" s="150"/>
      <c r="L36" s="150"/>
      <c r="M36" s="150"/>
      <c r="N36" s="150"/>
      <c r="O36" s="150"/>
      <c r="P36" s="150"/>
      <c r="Q36" s="150"/>
      <c r="R36" s="150"/>
      <c r="S36" s="150"/>
      <c r="T36" s="134" t="s">
        <v>115</v>
      </c>
    </row>
    <row r="37" spans="1:20" ht="17" thickBot="1">
      <c r="A37" s="95"/>
      <c r="B37" s="96"/>
      <c r="C37" s="91" t="str">
        <f>Dashboard!C40</f>
        <v>technical_lifetime</v>
      </c>
      <c r="D37" s="91" t="str">
        <f>Dashboard!D40</f>
        <v>years</v>
      </c>
      <c r="E37" s="145">
        <f>N37</f>
        <v>15</v>
      </c>
      <c r="F37" s="154"/>
      <c r="G37" s="150"/>
      <c r="H37" s="150"/>
      <c r="I37" s="150"/>
      <c r="J37" s="150"/>
      <c r="K37" s="150"/>
      <c r="L37" s="150"/>
      <c r="M37" s="150"/>
      <c r="N37" s="155">
        <f>Notes!E260</f>
        <v>15</v>
      </c>
      <c r="O37" s="150"/>
      <c r="P37" s="150"/>
      <c r="Q37" s="150"/>
      <c r="R37" s="150"/>
      <c r="S37" s="150"/>
      <c r="T37" s="162" t="s">
        <v>148</v>
      </c>
    </row>
    <row r="38" spans="1:20" ht="17" thickBot="1">
      <c r="A38" s="95"/>
      <c r="B38" s="96"/>
      <c r="C38" s="91" t="str">
        <f>Dashboard!C41</f>
        <v>free_co2_factor</v>
      </c>
      <c r="D38" s="91" t="str">
        <f>Dashboard!D41</f>
        <v>-</v>
      </c>
      <c r="E38" s="145">
        <f t="shared" ref="E38" si="3">G38</f>
        <v>0</v>
      </c>
      <c r="F38" s="154"/>
      <c r="G38" s="145">
        <f>I38</f>
        <v>0</v>
      </c>
      <c r="H38" s="148"/>
      <c r="I38" s="150"/>
      <c r="J38" s="150"/>
      <c r="K38" s="150"/>
      <c r="L38" s="150"/>
      <c r="M38" s="150"/>
      <c r="N38" s="150"/>
      <c r="O38" s="150"/>
      <c r="P38" s="150"/>
      <c r="Q38" s="150"/>
      <c r="R38" s="150"/>
      <c r="S38" s="150"/>
      <c r="T38" s="134" t="s">
        <v>115</v>
      </c>
    </row>
    <row r="39" spans="1:20">
      <c r="B39" s="54"/>
      <c r="T39" s="135"/>
    </row>
    <row r="40" spans="1:20">
      <c r="B40" s="54"/>
      <c r="T40" s="135"/>
    </row>
    <row r="41" spans="1:20">
      <c r="B41" s="54"/>
      <c r="T41" s="135"/>
    </row>
    <row r="42" spans="1:20" ht="17" thickBot="1">
      <c r="B42" s="136"/>
      <c r="C42" s="137"/>
      <c r="D42" s="137"/>
      <c r="E42" s="137"/>
      <c r="F42" s="137"/>
      <c r="G42" s="138"/>
      <c r="H42" s="138"/>
      <c r="I42" s="138"/>
      <c r="J42" s="138"/>
      <c r="K42" s="138"/>
      <c r="L42" s="138"/>
      <c r="M42" s="138"/>
      <c r="N42" s="138"/>
      <c r="O42" s="138"/>
      <c r="P42" s="138"/>
      <c r="Q42" s="138"/>
      <c r="R42" s="138"/>
      <c r="S42" s="138"/>
      <c r="T42" s="1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2"/>
  <sheetViews>
    <sheetView zoomScale="91" workbookViewId="0">
      <selection activeCell="E38" sqref="E38"/>
    </sheetView>
  </sheetViews>
  <sheetFormatPr baseColWidth="10" defaultColWidth="33.1640625" defaultRowHeight="16"/>
  <cols>
    <col min="1" max="1" width="3.33203125" style="36" customWidth="1"/>
    <col min="2" max="2" width="3.5" style="36" customWidth="1"/>
    <col min="3" max="3" width="25.1640625" style="36" customWidth="1"/>
    <col min="4" max="4" width="3.1640625" style="36" customWidth="1"/>
    <col min="5" max="5" width="16.1640625" style="36" customWidth="1"/>
    <col min="6" max="6" width="10.33203125" style="36" customWidth="1"/>
    <col min="7" max="9" width="12.1640625" style="36" customWidth="1"/>
    <col min="10" max="10" width="33.6640625" style="37" customWidth="1"/>
    <col min="11" max="11" width="96" style="36" bestFit="1" customWidth="1"/>
    <col min="12" max="16384" width="33.1640625" style="36"/>
  </cols>
  <sheetData>
    <row r="1" spans="2:11" ht="17" thickBot="1"/>
    <row r="2" spans="2:11">
      <c r="B2" s="38"/>
      <c r="C2" s="39"/>
      <c r="D2" s="39"/>
      <c r="E2" s="39"/>
      <c r="F2" s="39"/>
      <c r="G2" s="39"/>
      <c r="H2" s="39"/>
      <c r="I2" s="39"/>
      <c r="J2" s="40"/>
      <c r="K2" s="169"/>
    </row>
    <row r="3" spans="2:11">
      <c r="B3" s="41"/>
      <c r="C3" s="42" t="s">
        <v>18</v>
      </c>
      <c r="D3" s="42"/>
      <c r="E3" s="42"/>
      <c r="F3" s="42"/>
      <c r="G3" s="42"/>
      <c r="H3" s="42"/>
      <c r="I3" s="42"/>
      <c r="J3" s="43"/>
      <c r="K3" s="164"/>
    </row>
    <row r="4" spans="2:11">
      <c r="B4" s="41"/>
      <c r="K4" s="164"/>
    </row>
    <row r="5" spans="2:11">
      <c r="B5" s="44"/>
      <c r="C5" s="45" t="s">
        <v>23</v>
      </c>
      <c r="D5" s="45"/>
      <c r="E5" s="45" t="s">
        <v>0</v>
      </c>
      <c r="F5" s="45" t="s">
        <v>15</v>
      </c>
      <c r="G5" s="45" t="s">
        <v>24</v>
      </c>
      <c r="H5" s="45" t="s">
        <v>80</v>
      </c>
      <c r="I5" s="45" t="s">
        <v>100</v>
      </c>
      <c r="J5" s="46" t="s">
        <v>81</v>
      </c>
      <c r="K5" s="170" t="s">
        <v>12</v>
      </c>
    </row>
    <row r="6" spans="2:11">
      <c r="B6" s="41"/>
      <c r="C6" s="42"/>
      <c r="D6" s="42"/>
      <c r="E6" s="42"/>
      <c r="F6" s="42"/>
      <c r="G6" s="42"/>
      <c r="H6" s="42"/>
      <c r="I6" s="42"/>
      <c r="J6" s="43"/>
      <c r="K6" s="171"/>
    </row>
    <row r="7" spans="2:11">
      <c r="B7" s="41"/>
      <c r="C7" s="176"/>
      <c r="D7" s="42"/>
      <c r="J7" s="43"/>
      <c r="K7" s="171"/>
    </row>
    <row r="8" spans="2:11">
      <c r="B8" s="41"/>
      <c r="C8" s="177" t="s">
        <v>101</v>
      </c>
      <c r="D8" s="178"/>
      <c r="E8" s="179" t="s">
        <v>99</v>
      </c>
      <c r="F8" s="179" t="s">
        <v>102</v>
      </c>
      <c r="G8" s="180" t="s">
        <v>103</v>
      </c>
      <c r="H8" s="180" t="s">
        <v>103</v>
      </c>
      <c r="I8" s="180" t="s">
        <v>104</v>
      </c>
      <c r="J8" s="180" t="s">
        <v>135</v>
      </c>
      <c r="K8" s="134" t="s">
        <v>105</v>
      </c>
    </row>
    <row r="9" spans="2:11">
      <c r="B9" s="41"/>
      <c r="C9" s="181" t="s">
        <v>106</v>
      </c>
      <c r="D9" s="182"/>
      <c r="E9" s="179"/>
      <c r="F9" s="179"/>
      <c r="G9" s="180"/>
      <c r="H9" s="180"/>
      <c r="I9" s="180"/>
      <c r="J9" s="180"/>
      <c r="K9" s="183"/>
    </row>
    <row r="10" spans="2:11">
      <c r="B10" s="41"/>
      <c r="C10" s="181"/>
      <c r="D10" s="182"/>
      <c r="E10" s="179"/>
      <c r="F10" s="179"/>
      <c r="G10" s="180"/>
      <c r="H10" s="180"/>
      <c r="I10" s="180"/>
      <c r="J10" s="180"/>
      <c r="K10" s="183"/>
    </row>
    <row r="11" spans="2:11">
      <c r="B11" s="41"/>
      <c r="C11" s="181"/>
      <c r="D11" s="182"/>
      <c r="E11" s="178"/>
      <c r="F11" s="184"/>
      <c r="G11" s="180"/>
      <c r="H11" s="180"/>
      <c r="I11" s="180"/>
      <c r="J11" s="180"/>
      <c r="K11" s="183"/>
    </row>
    <row r="12" spans="2:11" ht="13" customHeight="1">
      <c r="B12" s="41"/>
      <c r="C12" s="177" t="s">
        <v>128</v>
      </c>
      <c r="D12" s="185"/>
      <c r="E12" s="178" t="s">
        <v>129</v>
      </c>
      <c r="F12" s="184" t="s">
        <v>130</v>
      </c>
      <c r="G12" s="186" t="s">
        <v>131</v>
      </c>
      <c r="H12" s="186" t="s">
        <v>131</v>
      </c>
      <c r="I12" s="186" t="s">
        <v>132</v>
      </c>
      <c r="J12" s="186" t="s">
        <v>134</v>
      </c>
      <c r="K12" s="183" t="s">
        <v>133</v>
      </c>
    </row>
    <row r="13" spans="2:11">
      <c r="B13" s="41"/>
      <c r="C13" s="187"/>
      <c r="D13" s="185"/>
      <c r="E13" s="178"/>
      <c r="F13" s="184"/>
      <c r="G13" s="186"/>
      <c r="H13" s="186"/>
      <c r="I13" s="186"/>
      <c r="J13" s="186"/>
      <c r="K13" s="183"/>
    </row>
    <row r="14" spans="2:11" ht="34">
      <c r="B14" s="41"/>
      <c r="C14" s="181" t="s">
        <v>34</v>
      </c>
      <c r="D14" s="185"/>
      <c r="E14" s="178" t="s">
        <v>139</v>
      </c>
      <c r="F14" s="184" t="s">
        <v>102</v>
      </c>
      <c r="G14" s="186" t="s">
        <v>140</v>
      </c>
      <c r="H14" s="186" t="s">
        <v>140</v>
      </c>
      <c r="I14" s="186" t="s">
        <v>132</v>
      </c>
      <c r="J14" s="186" t="s">
        <v>141</v>
      </c>
      <c r="K14" s="183" t="s">
        <v>91</v>
      </c>
    </row>
    <row r="15" spans="2:11">
      <c r="B15" s="41"/>
      <c r="C15" s="177"/>
      <c r="D15" s="185"/>
      <c r="E15" s="178"/>
      <c r="F15" s="184"/>
      <c r="G15" s="186"/>
      <c r="H15" s="186"/>
      <c r="I15" s="186"/>
      <c r="J15" s="186"/>
      <c r="K15" s="183"/>
    </row>
    <row r="16" spans="2:11" ht="34">
      <c r="B16" s="41"/>
      <c r="C16" s="177" t="s">
        <v>93</v>
      </c>
      <c r="D16" s="185"/>
      <c r="E16" s="178" t="s">
        <v>142</v>
      </c>
      <c r="F16" s="184" t="s">
        <v>102</v>
      </c>
      <c r="G16" s="186" t="s">
        <v>140</v>
      </c>
      <c r="H16" s="186" t="s">
        <v>140</v>
      </c>
      <c r="I16" s="186" t="s">
        <v>132</v>
      </c>
      <c r="J16" s="212" t="s">
        <v>143</v>
      </c>
      <c r="K16" s="183" t="s">
        <v>90</v>
      </c>
    </row>
    <row r="17" spans="1:11" s="165" customFormat="1">
      <c r="B17" s="166"/>
      <c r="C17" s="188" t="s">
        <v>160</v>
      </c>
      <c r="D17" s="187"/>
      <c r="E17" s="187" t="s">
        <v>169</v>
      </c>
      <c r="F17" s="187" t="s">
        <v>102</v>
      </c>
      <c r="G17" s="187">
        <v>2015</v>
      </c>
      <c r="H17" s="187">
        <v>2015</v>
      </c>
      <c r="I17" s="189">
        <v>42948</v>
      </c>
      <c r="J17" s="188" t="s">
        <v>196</v>
      </c>
      <c r="K17" s="190"/>
    </row>
    <row r="18" spans="1:11" s="165" customFormat="1">
      <c r="B18" s="166"/>
      <c r="C18" s="188" t="s">
        <v>164</v>
      </c>
      <c r="D18" s="187"/>
      <c r="E18" s="187"/>
      <c r="F18" s="187"/>
      <c r="G18" s="187"/>
      <c r="H18" s="187"/>
      <c r="I18" s="187"/>
      <c r="J18" s="188"/>
      <c r="K18" s="190"/>
    </row>
    <row r="19" spans="1:11" s="165" customFormat="1">
      <c r="B19" s="166"/>
      <c r="C19" s="187"/>
      <c r="D19" s="187"/>
      <c r="E19" s="187"/>
      <c r="F19" s="187"/>
      <c r="G19" s="187"/>
      <c r="H19" s="187"/>
      <c r="I19" s="187"/>
      <c r="J19" s="188"/>
      <c r="K19" s="190"/>
    </row>
    <row r="20" spans="1:11" s="165" customFormat="1">
      <c r="B20" s="166"/>
      <c r="C20" s="188" t="s">
        <v>165</v>
      </c>
      <c r="D20" s="187"/>
      <c r="E20" s="187" t="s">
        <v>170</v>
      </c>
      <c r="F20" s="187" t="s">
        <v>102</v>
      </c>
      <c r="G20" s="187">
        <v>2010</v>
      </c>
      <c r="H20" s="187" t="s">
        <v>197</v>
      </c>
      <c r="I20" s="189">
        <v>42948</v>
      </c>
      <c r="J20" s="191" t="s">
        <v>198</v>
      </c>
      <c r="K20" s="190"/>
    </row>
    <row r="21" spans="1:11" s="165" customFormat="1">
      <c r="B21" s="166"/>
      <c r="C21" s="187"/>
      <c r="D21" s="187"/>
      <c r="E21" s="187"/>
      <c r="F21" s="187"/>
      <c r="G21" s="187"/>
      <c r="H21" s="187"/>
      <c r="I21" s="187"/>
      <c r="J21" s="191"/>
      <c r="K21" s="190"/>
    </row>
    <row r="22" spans="1:11" s="165" customFormat="1">
      <c r="B22" s="166"/>
      <c r="C22" s="187" t="s">
        <v>35</v>
      </c>
      <c r="D22" s="187"/>
      <c r="E22" s="187" t="s">
        <v>171</v>
      </c>
      <c r="F22" s="187" t="s">
        <v>102</v>
      </c>
      <c r="G22" s="187"/>
      <c r="H22" s="187"/>
      <c r="I22" s="189">
        <v>42948</v>
      </c>
      <c r="J22" s="188" t="s">
        <v>199</v>
      </c>
      <c r="K22" s="190" t="s">
        <v>180</v>
      </c>
    </row>
    <row r="23" spans="1:11" s="165" customFormat="1">
      <c r="B23" s="166"/>
      <c r="C23" s="187"/>
      <c r="D23" s="187"/>
      <c r="E23" s="187" t="s">
        <v>222</v>
      </c>
      <c r="F23" s="187" t="s">
        <v>102</v>
      </c>
      <c r="G23" s="187"/>
      <c r="H23" s="187"/>
      <c r="I23" s="189">
        <v>43831</v>
      </c>
      <c r="J23" s="188" t="s">
        <v>228</v>
      </c>
      <c r="K23" s="190"/>
    </row>
    <row r="24" spans="1:11" s="165" customFormat="1">
      <c r="B24" s="166"/>
      <c r="C24" s="188" t="s">
        <v>161</v>
      </c>
      <c r="D24" s="187"/>
      <c r="E24" s="187"/>
      <c r="F24" s="187"/>
      <c r="G24" s="187"/>
      <c r="H24" s="187"/>
      <c r="I24" s="187"/>
      <c r="J24" s="188"/>
      <c r="K24" s="190"/>
    </row>
    <row r="25" spans="1:11" s="165" customFormat="1">
      <c r="B25" s="166"/>
      <c r="C25" s="187" t="s">
        <v>9</v>
      </c>
      <c r="D25" s="187"/>
      <c r="E25" s="187"/>
      <c r="F25" s="187"/>
      <c r="G25" s="187"/>
      <c r="H25" s="187"/>
      <c r="I25" s="187"/>
      <c r="J25" s="188"/>
      <c r="K25" s="190"/>
    </row>
    <row r="26" spans="1:11" s="165" customFormat="1">
      <c r="B26" s="166"/>
      <c r="C26" s="187" t="s">
        <v>34</v>
      </c>
      <c r="D26" s="187"/>
      <c r="E26" s="187"/>
      <c r="F26" s="187"/>
      <c r="G26" s="187"/>
      <c r="H26" s="187"/>
      <c r="I26" s="187"/>
      <c r="J26" s="188"/>
      <c r="K26" s="190"/>
    </row>
    <row r="27" spans="1:11" s="165" customFormat="1">
      <c r="B27" s="166"/>
      <c r="C27" s="187" t="s">
        <v>38</v>
      </c>
      <c r="D27" s="187"/>
      <c r="E27" s="187"/>
      <c r="F27" s="187"/>
      <c r="G27" s="187"/>
      <c r="H27" s="187"/>
      <c r="I27" s="187"/>
      <c r="J27" s="188"/>
      <c r="K27" s="190"/>
    </row>
    <row r="28" spans="1:11" s="165" customFormat="1">
      <c r="B28" s="166"/>
      <c r="C28" s="192" t="s">
        <v>42</v>
      </c>
      <c r="D28" s="187"/>
      <c r="E28" s="187"/>
      <c r="F28" s="187"/>
      <c r="G28" s="187"/>
      <c r="H28" s="187"/>
      <c r="I28" s="187"/>
      <c r="J28" s="188"/>
      <c r="K28" s="190"/>
    </row>
    <row r="29" spans="1:11" s="165" customFormat="1">
      <c r="B29" s="166"/>
      <c r="C29" s="192" t="s">
        <v>165</v>
      </c>
      <c r="D29" s="187"/>
      <c r="E29" s="187"/>
      <c r="F29" s="187"/>
      <c r="G29" s="187"/>
      <c r="H29" s="187"/>
      <c r="I29" s="187"/>
      <c r="J29" s="188"/>
      <c r="K29" s="190"/>
    </row>
    <row r="30" spans="1:11" s="165" customFormat="1">
      <c r="A30" s="187"/>
      <c r="B30" s="166"/>
      <c r="C30" s="188"/>
      <c r="D30" s="187"/>
      <c r="E30" s="187"/>
      <c r="F30" s="187"/>
      <c r="G30" s="187"/>
      <c r="H30" s="187"/>
      <c r="I30" s="187"/>
      <c r="J30" s="188"/>
      <c r="K30" s="190"/>
    </row>
    <row r="31" spans="1:11" s="165" customFormat="1">
      <c r="A31" s="187"/>
      <c r="B31" s="166"/>
      <c r="C31" s="188"/>
      <c r="D31" s="187"/>
      <c r="E31" s="187"/>
      <c r="F31" s="187"/>
      <c r="G31" s="187"/>
      <c r="H31" s="187"/>
      <c r="I31" s="187"/>
      <c r="J31" s="188"/>
      <c r="K31" s="190"/>
    </row>
    <row r="32" spans="1:11" s="165" customFormat="1">
      <c r="A32" s="187"/>
      <c r="B32" s="166"/>
      <c r="C32" s="188" t="s">
        <v>158</v>
      </c>
      <c r="D32" s="187"/>
      <c r="E32" s="187" t="s">
        <v>207</v>
      </c>
      <c r="F32" s="187" t="s">
        <v>102</v>
      </c>
      <c r="G32" s="187" t="s">
        <v>197</v>
      </c>
      <c r="H32" s="187" t="s">
        <v>197</v>
      </c>
      <c r="I32" s="187">
        <v>42979</v>
      </c>
      <c r="J32" s="188" t="s">
        <v>218</v>
      </c>
      <c r="K32" s="190"/>
    </row>
    <row r="33" spans="1:11" s="165" customFormat="1">
      <c r="A33" s="187"/>
      <c r="B33" s="166"/>
      <c r="C33" s="188"/>
      <c r="D33" s="187"/>
      <c r="E33" s="187"/>
      <c r="F33" s="187"/>
      <c r="G33" s="187"/>
      <c r="H33" s="187"/>
      <c r="I33" s="187"/>
      <c r="J33" s="188"/>
      <c r="K33" s="190"/>
    </row>
    <row r="34" spans="1:11" s="165" customFormat="1">
      <c r="A34" s="187"/>
      <c r="B34" s="166"/>
      <c r="C34" s="188" t="s">
        <v>158</v>
      </c>
      <c r="D34" s="187"/>
      <c r="E34" s="187" t="s">
        <v>217</v>
      </c>
      <c r="F34" s="187" t="s">
        <v>102</v>
      </c>
      <c r="G34" s="187" t="s">
        <v>197</v>
      </c>
      <c r="H34" s="187" t="s">
        <v>197</v>
      </c>
      <c r="I34" s="187">
        <v>42979</v>
      </c>
      <c r="J34" s="188" t="s">
        <v>219</v>
      </c>
      <c r="K34" s="190"/>
    </row>
    <row r="35" spans="1:11" s="165" customFormat="1">
      <c r="A35" s="187"/>
      <c r="B35" s="166"/>
      <c r="C35" s="188"/>
      <c r="D35" s="187"/>
      <c r="E35" s="187"/>
      <c r="F35" s="187"/>
      <c r="G35" s="187"/>
      <c r="H35" s="187"/>
      <c r="I35" s="187"/>
      <c r="J35" s="188"/>
      <c r="K35" s="190"/>
    </row>
    <row r="36" spans="1:11" s="165" customFormat="1">
      <c r="B36" s="166"/>
      <c r="C36" s="188" t="s">
        <v>165</v>
      </c>
      <c r="D36" s="187"/>
      <c r="E36" s="187" t="s">
        <v>194</v>
      </c>
      <c r="F36" s="187" t="s">
        <v>102</v>
      </c>
      <c r="G36" s="187" t="s">
        <v>197</v>
      </c>
      <c r="H36" s="187" t="s">
        <v>197</v>
      </c>
      <c r="I36" s="189">
        <v>42948</v>
      </c>
      <c r="J36" s="191" t="s">
        <v>200</v>
      </c>
      <c r="K36" s="190"/>
    </row>
    <row r="37" spans="1:11" s="165" customFormat="1">
      <c r="B37" s="166"/>
      <c r="D37" s="187"/>
      <c r="E37" s="187"/>
      <c r="F37" s="187"/>
      <c r="G37" s="187"/>
      <c r="H37" s="187"/>
      <c r="I37" s="187"/>
      <c r="J37" s="188"/>
      <c r="K37" s="190"/>
    </row>
    <row r="38" spans="1:11" s="165" customFormat="1">
      <c r="B38" s="166"/>
      <c r="C38" s="187" t="s">
        <v>83</v>
      </c>
      <c r="D38" s="187"/>
      <c r="E38" s="187" t="s">
        <v>249</v>
      </c>
      <c r="F38" s="187"/>
      <c r="G38" s="187"/>
      <c r="H38" s="187"/>
      <c r="I38" s="187"/>
      <c r="J38" s="193" t="s">
        <v>204</v>
      </c>
      <c r="K38" s="190"/>
    </row>
    <row r="39" spans="1:11" s="165" customFormat="1">
      <c r="B39" s="166"/>
      <c r="C39" s="187" t="s">
        <v>84</v>
      </c>
      <c r="D39" s="187"/>
      <c r="E39" s="187"/>
      <c r="F39" s="187"/>
      <c r="G39" s="187"/>
      <c r="H39" s="187"/>
      <c r="I39" s="187"/>
      <c r="J39" s="188"/>
      <c r="K39" s="190"/>
    </row>
    <row r="40" spans="1:11" s="165" customFormat="1">
      <c r="B40" s="166"/>
      <c r="C40" s="187" t="s">
        <v>159</v>
      </c>
      <c r="D40" s="187"/>
      <c r="E40" s="187"/>
      <c r="F40" s="187"/>
      <c r="G40" s="187"/>
      <c r="H40" s="187"/>
      <c r="I40" s="187"/>
      <c r="J40" s="188"/>
      <c r="K40" s="190"/>
    </row>
    <row r="41" spans="1:11" s="165" customFormat="1">
      <c r="B41" s="166"/>
      <c r="C41" s="187" t="s">
        <v>201</v>
      </c>
      <c r="D41" s="187"/>
      <c r="E41" s="187"/>
      <c r="F41" s="187"/>
      <c r="G41" s="187"/>
      <c r="H41" s="187"/>
      <c r="I41" s="187"/>
      <c r="J41" s="188"/>
      <c r="K41" s="190"/>
    </row>
    <row r="42" spans="1:11" s="165" customFormat="1">
      <c r="B42" s="166"/>
      <c r="C42" s="188" t="e">
        <f>Dashboard!#REF!</f>
        <v>#REF!</v>
      </c>
      <c r="D42" s="187"/>
      <c r="E42" s="187"/>
      <c r="F42" s="187"/>
      <c r="G42" s="187"/>
      <c r="H42" s="187"/>
      <c r="I42" s="187"/>
      <c r="J42" s="188"/>
      <c r="K42" s="190"/>
    </row>
    <row r="43" spans="1:11" s="165" customFormat="1">
      <c r="B43" s="166"/>
      <c r="C43" s="187" t="s">
        <v>29</v>
      </c>
      <c r="D43" s="187"/>
      <c r="E43" s="187"/>
      <c r="F43" s="187"/>
      <c r="G43" s="187"/>
      <c r="H43" s="187"/>
      <c r="I43" s="187"/>
      <c r="J43" s="188"/>
      <c r="K43" s="190"/>
    </row>
    <row r="44" spans="1:11" s="165" customFormat="1">
      <c r="B44" s="166"/>
      <c r="C44" s="187" t="s">
        <v>85</v>
      </c>
      <c r="D44" s="187"/>
      <c r="E44" s="187"/>
      <c r="F44" s="187"/>
      <c r="G44" s="187"/>
      <c r="H44" s="187"/>
      <c r="I44" s="187"/>
      <c r="J44" s="188"/>
      <c r="K44" s="190"/>
    </row>
    <row r="45" spans="1:11" s="165" customFormat="1">
      <c r="B45" s="166"/>
      <c r="C45" s="187" t="s">
        <v>7</v>
      </c>
      <c r="D45" s="187"/>
      <c r="E45" s="187"/>
      <c r="F45" s="187"/>
      <c r="G45" s="187"/>
      <c r="H45" s="187"/>
      <c r="I45" s="187"/>
      <c r="J45" s="188"/>
      <c r="K45" s="190"/>
    </row>
    <row r="46" spans="1:11" s="165" customFormat="1">
      <c r="B46" s="166"/>
      <c r="C46" s="187" t="s">
        <v>32</v>
      </c>
      <c r="D46" s="187"/>
      <c r="E46" s="187"/>
      <c r="F46" s="187"/>
      <c r="G46" s="187"/>
      <c r="H46" s="187"/>
      <c r="I46" s="187"/>
      <c r="J46" s="188"/>
      <c r="K46" s="190"/>
    </row>
    <row r="47" spans="1:11" s="165" customFormat="1">
      <c r="B47" s="166"/>
      <c r="C47" s="187" t="s">
        <v>33</v>
      </c>
      <c r="D47" s="187"/>
      <c r="E47" s="187"/>
      <c r="F47" s="187"/>
      <c r="G47" s="187"/>
      <c r="H47" s="187"/>
      <c r="I47" s="187"/>
      <c r="J47" s="188"/>
      <c r="K47" s="190"/>
    </row>
    <row r="48" spans="1:11" s="165" customFormat="1">
      <c r="B48" s="166"/>
      <c r="C48" s="187" t="s">
        <v>202</v>
      </c>
      <c r="D48" s="187"/>
      <c r="E48" s="187"/>
      <c r="F48" s="187"/>
      <c r="G48" s="187"/>
      <c r="H48" s="187"/>
      <c r="I48" s="187"/>
      <c r="J48" s="188"/>
      <c r="K48" s="190"/>
    </row>
    <row r="49" spans="2:11" s="165" customFormat="1">
      <c r="B49" s="166"/>
      <c r="C49" s="187" t="s">
        <v>86</v>
      </c>
      <c r="D49" s="187"/>
      <c r="E49" s="187"/>
      <c r="F49" s="187"/>
      <c r="G49" s="187"/>
      <c r="H49" s="187"/>
      <c r="I49" s="187"/>
      <c r="J49" s="188"/>
      <c r="K49" s="190"/>
    </row>
    <row r="50" spans="2:11" s="165" customFormat="1">
      <c r="B50" s="166"/>
      <c r="C50" s="187" t="s">
        <v>87</v>
      </c>
      <c r="D50" s="187"/>
      <c r="E50" s="187"/>
      <c r="F50" s="187"/>
      <c r="G50" s="187"/>
      <c r="H50" s="187"/>
      <c r="I50" s="187"/>
      <c r="J50" s="188"/>
      <c r="K50" s="190"/>
    </row>
    <row r="51" spans="2:11" s="165" customFormat="1">
      <c r="B51" s="166"/>
      <c r="C51" s="187" t="s">
        <v>88</v>
      </c>
      <c r="D51" s="187"/>
      <c r="E51" s="187"/>
      <c r="F51" s="187"/>
      <c r="G51" s="187"/>
      <c r="H51" s="187"/>
      <c r="I51" s="187"/>
      <c r="J51" s="188"/>
      <c r="K51" s="190"/>
    </row>
    <row r="52" spans="2:11" s="165" customFormat="1">
      <c r="B52" s="166"/>
      <c r="C52" s="187" t="s">
        <v>89</v>
      </c>
      <c r="D52" s="187"/>
      <c r="E52" s="187"/>
      <c r="F52" s="187"/>
      <c r="G52" s="187"/>
      <c r="H52" s="187"/>
      <c r="I52" s="187"/>
      <c r="J52" s="188"/>
      <c r="K52" s="190"/>
    </row>
    <row r="53" spans="2:11" s="165" customFormat="1">
      <c r="B53" s="166"/>
      <c r="C53" s="187" t="s">
        <v>203</v>
      </c>
      <c r="D53" s="187"/>
      <c r="E53" s="187"/>
      <c r="F53" s="187"/>
      <c r="G53" s="187"/>
      <c r="H53" s="187"/>
      <c r="I53" s="187"/>
      <c r="J53" s="188"/>
      <c r="K53" s="190"/>
    </row>
    <row r="54" spans="2:11" s="165" customFormat="1">
      <c r="B54" s="166"/>
      <c r="C54" s="187" t="s">
        <v>36</v>
      </c>
      <c r="D54" s="187"/>
      <c r="E54" s="187"/>
      <c r="F54" s="187"/>
      <c r="G54" s="187"/>
      <c r="H54" s="187"/>
      <c r="I54" s="187"/>
      <c r="J54" s="188"/>
      <c r="K54" s="190"/>
    </row>
    <row r="55" spans="2:11" s="165" customFormat="1">
      <c r="B55" s="166"/>
      <c r="C55" s="187" t="s">
        <v>37</v>
      </c>
      <c r="D55" s="187"/>
      <c r="E55" s="187"/>
      <c r="F55" s="187"/>
      <c r="G55" s="187"/>
      <c r="H55" s="187"/>
      <c r="I55" s="187"/>
      <c r="J55" s="188"/>
      <c r="K55" s="190"/>
    </row>
    <row r="56" spans="2:11" s="165" customFormat="1">
      <c r="B56" s="166"/>
      <c r="C56" s="187" t="s">
        <v>39</v>
      </c>
      <c r="D56" s="187"/>
      <c r="E56" s="187"/>
      <c r="F56" s="187"/>
      <c r="G56" s="187"/>
      <c r="H56" s="187"/>
      <c r="I56" s="187"/>
      <c r="J56" s="188"/>
      <c r="K56" s="190"/>
    </row>
    <row r="57" spans="2:11" s="165" customFormat="1">
      <c r="B57" s="166"/>
      <c r="C57" s="187" t="s">
        <v>40</v>
      </c>
      <c r="D57" s="187"/>
      <c r="E57" s="187"/>
      <c r="F57" s="187"/>
      <c r="G57" s="187"/>
      <c r="H57" s="187"/>
      <c r="I57" s="187"/>
      <c r="J57" s="188"/>
      <c r="K57" s="190"/>
    </row>
    <row r="58" spans="2:11" s="165" customFormat="1">
      <c r="B58" s="166"/>
      <c r="C58" s="187" t="s">
        <v>43</v>
      </c>
      <c r="D58" s="187"/>
      <c r="E58" s="187"/>
      <c r="F58" s="187"/>
      <c r="G58" s="187"/>
      <c r="H58" s="187"/>
      <c r="I58" s="187"/>
      <c r="J58" s="188"/>
      <c r="K58" s="190"/>
    </row>
    <row r="59" spans="2:11" s="165" customFormat="1">
      <c r="B59" s="166"/>
      <c r="C59" s="187" t="s">
        <v>31</v>
      </c>
      <c r="D59" s="187"/>
      <c r="E59" s="187"/>
      <c r="F59" s="187"/>
      <c r="G59" s="187"/>
      <c r="H59" s="187"/>
      <c r="I59" s="187"/>
      <c r="J59" s="188"/>
      <c r="K59" s="190"/>
    </row>
    <row r="60" spans="2:11" s="165" customFormat="1">
      <c r="B60" s="166"/>
      <c r="C60" s="187" t="s">
        <v>30</v>
      </c>
      <c r="D60" s="187"/>
      <c r="E60" s="187"/>
      <c r="F60" s="187"/>
      <c r="G60" s="187"/>
      <c r="H60" s="187"/>
      <c r="I60" s="187"/>
      <c r="J60" s="188"/>
      <c r="K60" s="190"/>
    </row>
    <row r="61" spans="2:11" s="165" customFormat="1">
      <c r="B61" s="166"/>
      <c r="C61" s="187" t="s">
        <v>41</v>
      </c>
      <c r="D61" s="187"/>
      <c r="E61" s="187"/>
      <c r="F61" s="187"/>
      <c r="G61" s="187"/>
      <c r="H61" s="187"/>
      <c r="I61" s="187"/>
      <c r="J61" s="188"/>
      <c r="K61" s="190"/>
    </row>
    <row r="62" spans="2:11" s="165" customFormat="1">
      <c r="B62" s="166"/>
      <c r="C62" s="187" t="s">
        <v>28</v>
      </c>
      <c r="D62" s="187"/>
      <c r="E62" s="187"/>
      <c r="F62" s="187"/>
      <c r="G62" s="187"/>
      <c r="H62" s="187"/>
      <c r="I62" s="187"/>
      <c r="J62" s="188"/>
      <c r="K62" s="190"/>
    </row>
    <row r="63" spans="2:11" s="165" customFormat="1">
      <c r="B63" s="166"/>
      <c r="C63" s="187" t="s">
        <v>51</v>
      </c>
      <c r="D63" s="187"/>
      <c r="E63" s="187"/>
      <c r="F63" s="187"/>
      <c r="G63" s="187"/>
      <c r="H63" s="187"/>
      <c r="I63" s="187"/>
      <c r="J63" s="188"/>
      <c r="K63" s="190"/>
    </row>
    <row r="64" spans="2:11" s="165" customFormat="1">
      <c r="B64" s="166"/>
      <c r="C64" s="187" t="s">
        <v>52</v>
      </c>
      <c r="D64" s="187"/>
      <c r="E64" s="187"/>
      <c r="F64" s="187"/>
      <c r="G64" s="187"/>
      <c r="H64" s="187"/>
      <c r="I64" s="187"/>
      <c r="J64" s="188"/>
      <c r="K64" s="190"/>
    </row>
    <row r="65" spans="1:11" s="165" customFormat="1">
      <c r="B65" s="166"/>
      <c r="C65" s="187" t="s">
        <v>54</v>
      </c>
      <c r="D65" s="187"/>
      <c r="E65" s="187"/>
      <c r="F65" s="187"/>
      <c r="G65" s="187"/>
      <c r="H65" s="187"/>
      <c r="I65" s="187"/>
      <c r="J65" s="188"/>
      <c r="K65" s="190"/>
    </row>
    <row r="66" spans="1:11" s="165" customFormat="1">
      <c r="B66" s="166"/>
      <c r="C66" s="187" t="s">
        <v>55</v>
      </c>
      <c r="D66" s="187"/>
      <c r="E66" s="187"/>
      <c r="F66" s="187"/>
      <c r="G66" s="187"/>
      <c r="H66" s="187"/>
      <c r="I66" s="187"/>
      <c r="J66" s="188"/>
      <c r="K66" s="190"/>
    </row>
    <row r="67" spans="1:11" s="165" customFormat="1">
      <c r="B67" s="166"/>
      <c r="C67" s="187" t="s">
        <v>53</v>
      </c>
      <c r="D67" s="187"/>
      <c r="E67" s="187"/>
      <c r="F67" s="187"/>
      <c r="G67" s="187"/>
      <c r="H67" s="187"/>
      <c r="I67" s="187"/>
      <c r="J67" s="188"/>
      <c r="K67" s="190"/>
    </row>
    <row r="68" spans="1:11" s="165" customFormat="1">
      <c r="B68" s="166"/>
      <c r="J68" s="167"/>
      <c r="K68" s="168"/>
    </row>
    <row r="69" spans="1:11" s="165" customFormat="1">
      <c r="B69" s="166"/>
      <c r="J69" s="167"/>
      <c r="K69" s="168"/>
    </row>
    <row r="70" spans="1:11" s="165" customFormat="1">
      <c r="B70" s="166"/>
      <c r="J70" s="167"/>
      <c r="K70" s="168"/>
    </row>
    <row r="71" spans="1:11" s="165" customFormat="1" ht="17" thickBot="1">
      <c r="B71" s="172"/>
      <c r="C71" s="173"/>
      <c r="D71" s="173"/>
      <c r="E71" s="173"/>
      <c r="F71" s="173"/>
      <c r="G71" s="173"/>
      <c r="H71" s="173"/>
      <c r="I71" s="173"/>
      <c r="J71" s="174"/>
      <c r="K71" s="175"/>
    </row>
    <row r="72" spans="1:11">
      <c r="A72" s="165"/>
    </row>
  </sheetData>
  <hyperlinks>
    <hyperlink ref="J32" r:id="rId1" xr:uid="{00000000-0004-0000-0300-000000000000}"/>
    <hyperlink ref="J16" r:id="rId2" xr:uid="{B1725388-6FDF-3E48-8DF3-9EFD177BEB3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48"/>
  <sheetViews>
    <sheetView topLeftCell="A241" workbookViewId="0">
      <selection activeCell="E267" sqref="E267"/>
    </sheetView>
  </sheetViews>
  <sheetFormatPr baseColWidth="10" defaultColWidth="10.6640625" defaultRowHeight="16"/>
  <cols>
    <col min="1" max="1" width="3.5" style="83" customWidth="1"/>
    <col min="2" max="2" width="4.1640625" style="83" customWidth="1"/>
    <col min="3" max="3" width="14.5" style="83" customWidth="1"/>
    <col min="4" max="4" width="24.33203125" style="83" customWidth="1"/>
    <col min="5" max="5" width="38.33203125" style="83" bestFit="1" customWidth="1"/>
    <col min="6" max="6" width="5.5" style="83" customWidth="1"/>
    <col min="7" max="7" width="14.5" style="83" customWidth="1"/>
    <col min="8" max="9" width="10.6640625" style="83"/>
    <col min="10" max="10" width="53" style="83" customWidth="1"/>
    <col min="11" max="16384" width="10.6640625" style="83"/>
  </cols>
  <sheetData>
    <row r="2" spans="2:10" ht="17" thickBot="1"/>
    <row r="3" spans="2:10">
      <c r="B3" s="84"/>
      <c r="C3" s="14"/>
      <c r="D3" s="14"/>
      <c r="E3" s="14"/>
      <c r="F3" s="14"/>
      <c r="G3" s="14"/>
      <c r="H3" s="14"/>
      <c r="I3" s="14"/>
      <c r="J3" s="85"/>
    </row>
    <row r="4" spans="2:10">
      <c r="B4" s="73"/>
      <c r="C4" s="13" t="s">
        <v>0</v>
      </c>
      <c r="D4" s="13" t="s">
        <v>78</v>
      </c>
      <c r="E4" s="13"/>
      <c r="F4" s="13"/>
      <c r="G4" s="13"/>
      <c r="H4" s="13"/>
      <c r="I4" s="13"/>
      <c r="J4" s="86"/>
    </row>
    <row r="5" spans="2:10">
      <c r="B5" s="87"/>
      <c r="J5" s="88"/>
    </row>
    <row r="6" spans="2:10">
      <c r="B6" s="87"/>
      <c r="J6" s="88"/>
    </row>
    <row r="7" spans="2:10">
      <c r="B7" s="87"/>
      <c r="D7" s="98"/>
      <c r="J7" s="88"/>
    </row>
    <row r="8" spans="2:10">
      <c r="B8" s="87"/>
      <c r="C8" s="89"/>
      <c r="J8" s="88"/>
    </row>
    <row r="9" spans="2:10">
      <c r="B9" s="87"/>
      <c r="J9" s="88"/>
    </row>
    <row r="10" spans="2:10">
      <c r="B10" s="87"/>
      <c r="J10" s="88"/>
    </row>
    <row r="11" spans="2:10">
      <c r="B11" s="87"/>
      <c r="J11" s="88"/>
    </row>
    <row r="12" spans="2:10">
      <c r="B12" s="87"/>
      <c r="J12" s="88"/>
    </row>
    <row r="13" spans="2:10">
      <c r="B13" s="87"/>
      <c r="J13" s="88"/>
    </row>
    <row r="14" spans="2:10">
      <c r="B14" s="87"/>
      <c r="J14" s="88"/>
    </row>
    <row r="15" spans="2:10">
      <c r="B15" s="87"/>
      <c r="J15" s="88"/>
    </row>
    <row r="16" spans="2:10">
      <c r="B16" s="87"/>
      <c r="J16" s="88"/>
    </row>
    <row r="17" spans="2:10">
      <c r="B17" s="87"/>
      <c r="J17" s="88"/>
    </row>
    <row r="18" spans="2:10">
      <c r="B18" s="87"/>
      <c r="J18" s="88"/>
    </row>
    <row r="19" spans="2:10">
      <c r="B19" s="87"/>
      <c r="J19" s="88"/>
    </row>
    <row r="20" spans="2:10">
      <c r="B20" s="87"/>
      <c r="J20" s="88"/>
    </row>
    <row r="21" spans="2:10">
      <c r="B21" s="87"/>
      <c r="J21" s="88"/>
    </row>
    <row r="22" spans="2:10">
      <c r="B22" s="87"/>
      <c r="J22" s="88"/>
    </row>
    <row r="23" spans="2:10">
      <c r="B23" s="87"/>
      <c r="J23" s="88"/>
    </row>
    <row r="24" spans="2:10">
      <c r="B24" s="87"/>
      <c r="C24" s="105" t="s">
        <v>142</v>
      </c>
      <c r="G24" s="98" t="s">
        <v>110</v>
      </c>
      <c r="J24" s="88"/>
    </row>
    <row r="25" spans="2:10">
      <c r="B25" s="87"/>
      <c r="G25" s="98" t="s">
        <v>136</v>
      </c>
      <c r="J25" s="88"/>
    </row>
    <row r="26" spans="2:10">
      <c r="B26" s="87"/>
      <c r="G26" s="98" t="s">
        <v>112</v>
      </c>
      <c r="J26" s="88"/>
    </row>
    <row r="27" spans="2:10">
      <c r="B27" s="87"/>
      <c r="G27" s="98" t="s">
        <v>111</v>
      </c>
      <c r="J27" s="88"/>
    </row>
    <row r="28" spans="2:10">
      <c r="B28" s="87"/>
      <c r="J28" s="88"/>
    </row>
    <row r="29" spans="2:10">
      <c r="B29" s="87"/>
      <c r="G29" s="98" t="s">
        <v>113</v>
      </c>
      <c r="J29" s="88"/>
    </row>
    <row r="30" spans="2:10">
      <c r="B30" s="87"/>
      <c r="H30" s="90"/>
      <c r="J30" s="88"/>
    </row>
    <row r="31" spans="2:10">
      <c r="B31" s="87"/>
      <c r="G31" s="106" t="s">
        <v>149</v>
      </c>
      <c r="J31" s="88"/>
    </row>
    <row r="32" spans="2:10">
      <c r="B32" s="87"/>
      <c r="J32" s="88"/>
    </row>
    <row r="33" spans="2:10">
      <c r="B33" s="87"/>
      <c r="J33" s="88"/>
    </row>
    <row r="34" spans="2:10">
      <c r="B34" s="87"/>
      <c r="G34" s="90"/>
      <c r="J34" s="88"/>
    </row>
    <row r="35" spans="2:10">
      <c r="B35" s="87"/>
      <c r="J35" s="88"/>
    </row>
    <row r="36" spans="2:10">
      <c r="B36" s="87"/>
      <c r="J36" s="88"/>
    </row>
    <row r="37" spans="2:10">
      <c r="B37" s="87"/>
      <c r="D37"/>
      <c r="E37" s="83">
        <v>0.2</v>
      </c>
      <c r="G37" s="106" t="s">
        <v>150</v>
      </c>
      <c r="J37" s="88"/>
    </row>
    <row r="38" spans="2:10">
      <c r="B38" s="87"/>
      <c r="J38" s="88"/>
    </row>
    <row r="39" spans="2:10">
      <c r="B39" s="87"/>
      <c r="E39" s="83">
        <v>1.07</v>
      </c>
      <c r="G39" s="109" t="s">
        <v>153</v>
      </c>
      <c r="J39" s="88"/>
    </row>
    <row r="40" spans="2:10">
      <c r="B40" s="87"/>
      <c r="G40" s="109" t="s">
        <v>156</v>
      </c>
      <c r="J40" s="88"/>
    </row>
    <row r="41" spans="2:10">
      <c r="B41" s="87"/>
      <c r="J41" s="88"/>
    </row>
    <row r="42" spans="2:10">
      <c r="B42" s="87"/>
      <c r="G42" s="98" t="s">
        <v>144</v>
      </c>
      <c r="J42" s="88"/>
    </row>
    <row r="43" spans="2:10">
      <c r="B43" s="87"/>
      <c r="G43" s="98" t="s">
        <v>145</v>
      </c>
      <c r="J43" s="88"/>
    </row>
    <row r="44" spans="2:10">
      <c r="B44" s="87"/>
      <c r="J44" s="88"/>
    </row>
    <row r="45" spans="2:10">
      <c r="B45" s="87"/>
      <c r="G45" s="106" t="s">
        <v>151</v>
      </c>
      <c r="J45" s="88"/>
    </row>
    <row r="46" spans="2:10">
      <c r="B46" s="87"/>
      <c r="F46" s="97"/>
      <c r="G46" s="106" t="s">
        <v>152</v>
      </c>
      <c r="J46" s="88"/>
    </row>
    <row r="47" spans="2:10">
      <c r="B47" s="87"/>
      <c r="J47" s="88"/>
    </row>
    <row r="48" spans="2:10">
      <c r="B48" s="87"/>
      <c r="J48" s="88"/>
    </row>
    <row r="49" spans="2:10">
      <c r="B49" s="87"/>
      <c r="E49" s="83">
        <f>E37/E39</f>
        <v>0.18691588785046728</v>
      </c>
      <c r="G49" s="106" t="s">
        <v>93</v>
      </c>
      <c r="J49" s="88"/>
    </row>
    <row r="50" spans="2:10">
      <c r="B50" s="87"/>
      <c r="J50" s="88"/>
    </row>
    <row r="51" spans="2:10">
      <c r="B51" s="87"/>
      <c r="J51" s="88"/>
    </row>
    <row r="52" spans="2:10">
      <c r="B52" s="87"/>
      <c r="G52" s="90"/>
      <c r="J52" s="88"/>
    </row>
    <row r="53" spans="2:10">
      <c r="B53" s="87"/>
      <c r="J53" s="88"/>
    </row>
    <row r="54" spans="2:10">
      <c r="B54" s="87"/>
      <c r="J54" s="88"/>
    </row>
    <row r="55" spans="2:10">
      <c r="B55" s="87"/>
      <c r="J55" s="88"/>
    </row>
    <row r="56" spans="2:10">
      <c r="B56" s="87"/>
      <c r="J56" s="88"/>
    </row>
    <row r="57" spans="2:10">
      <c r="B57" s="87"/>
      <c r="J57" s="88"/>
    </row>
    <row r="58" spans="2:10">
      <c r="B58" s="87"/>
      <c r="J58" s="88"/>
    </row>
    <row r="59" spans="2:10">
      <c r="B59" s="87"/>
      <c r="J59" s="88"/>
    </row>
    <row r="60" spans="2:10">
      <c r="B60" s="87"/>
      <c r="G60" s="104"/>
      <c r="J60" s="88"/>
    </row>
    <row r="61" spans="2:10">
      <c r="B61" s="87"/>
      <c r="J61" s="88"/>
    </row>
    <row r="62" spans="2:10">
      <c r="B62" s="87"/>
      <c r="J62" s="88"/>
    </row>
    <row r="63" spans="2:10">
      <c r="B63" s="87"/>
      <c r="J63" s="88"/>
    </row>
    <row r="64" spans="2:10">
      <c r="B64" s="87"/>
      <c r="J64" s="88"/>
    </row>
    <row r="65" spans="2:10">
      <c r="B65" s="87"/>
      <c r="J65" s="88"/>
    </row>
    <row r="66" spans="2:10">
      <c r="B66" s="87"/>
      <c r="J66" s="88"/>
    </row>
    <row r="67" spans="2:10">
      <c r="B67" s="87"/>
      <c r="C67" s="89"/>
      <c r="J67" s="88"/>
    </row>
    <row r="68" spans="2:10">
      <c r="B68" s="87"/>
      <c r="J68" s="88"/>
    </row>
    <row r="69" spans="2:10">
      <c r="B69" s="87"/>
      <c r="J69" s="88"/>
    </row>
    <row r="70" spans="2:10">
      <c r="B70" s="87"/>
      <c r="J70" s="88"/>
    </row>
    <row r="71" spans="2:10">
      <c r="B71" s="87"/>
      <c r="J71" s="88"/>
    </row>
    <row r="72" spans="2:10">
      <c r="B72" s="87"/>
      <c r="J72" s="88"/>
    </row>
    <row r="73" spans="2:10">
      <c r="B73" s="87"/>
      <c r="J73" s="88"/>
    </row>
    <row r="74" spans="2:10">
      <c r="B74" s="87"/>
      <c r="J74" s="88"/>
    </row>
    <row r="75" spans="2:10">
      <c r="B75" s="87"/>
      <c r="J75" s="88"/>
    </row>
    <row r="76" spans="2:10">
      <c r="B76" s="87"/>
      <c r="J76" s="88"/>
    </row>
    <row r="77" spans="2:10">
      <c r="B77" s="87"/>
      <c r="J77" s="88"/>
    </row>
    <row r="78" spans="2:10">
      <c r="B78" s="87"/>
      <c r="J78" s="88"/>
    </row>
    <row r="79" spans="2:10">
      <c r="B79" s="87"/>
      <c r="J79" s="88"/>
    </row>
    <row r="80" spans="2:10">
      <c r="B80" s="87"/>
      <c r="J80" s="88"/>
    </row>
    <row r="81" spans="2:10">
      <c r="B81" s="87"/>
      <c r="J81" s="88"/>
    </row>
    <row r="82" spans="2:10">
      <c r="B82" s="87"/>
      <c r="J82" s="88"/>
    </row>
    <row r="83" spans="2:10">
      <c r="B83" s="87"/>
      <c r="C83" s="12" t="s">
        <v>139</v>
      </c>
      <c r="H83" s="90"/>
      <c r="J83" s="88"/>
    </row>
    <row r="84" spans="2:10">
      <c r="B84" s="87"/>
      <c r="J84" s="88"/>
    </row>
    <row r="85" spans="2:10">
      <c r="B85" s="87"/>
      <c r="J85" s="88"/>
    </row>
    <row r="86" spans="2:10">
      <c r="B86" s="87"/>
      <c r="J86" s="88"/>
    </row>
    <row r="87" spans="2:10">
      <c r="B87" s="87"/>
      <c r="E87" s="98">
        <v>4.9000000000000004</v>
      </c>
      <c r="F87" s="98" t="s">
        <v>108</v>
      </c>
      <c r="G87" s="98" t="s">
        <v>34</v>
      </c>
      <c r="J87" s="88"/>
    </row>
    <row r="88" spans="2:10">
      <c r="B88" s="87"/>
      <c r="E88" s="98">
        <f>E87/1000</f>
        <v>4.9000000000000007E-3</v>
      </c>
      <c r="F88" s="98" t="s">
        <v>56</v>
      </c>
      <c r="G88" s="98" t="s">
        <v>109</v>
      </c>
      <c r="J88" s="88"/>
    </row>
    <row r="89" spans="2:10">
      <c r="B89" s="87"/>
      <c r="J89" s="88"/>
    </row>
    <row r="90" spans="2:10">
      <c r="B90" s="87"/>
      <c r="H90" s="90"/>
      <c r="J90" s="88"/>
    </row>
    <row r="91" spans="2:10">
      <c r="B91" s="87"/>
      <c r="E91" s="83">
        <v>4.5</v>
      </c>
      <c r="G91" s="97" t="s">
        <v>92</v>
      </c>
      <c r="J91" s="88"/>
    </row>
    <row r="92" spans="2:10">
      <c r="B92" s="87"/>
      <c r="E92" s="83">
        <f>(1-E49)*(1-1/E91)</f>
        <v>0.63239875389408096</v>
      </c>
      <c r="G92" s="97" t="s">
        <v>83</v>
      </c>
      <c r="J92" s="88"/>
    </row>
    <row r="93" spans="2:10">
      <c r="B93" s="87"/>
      <c r="E93" s="83">
        <f>(1-E49)/E91</f>
        <v>0.18068535825545171</v>
      </c>
      <c r="G93" s="97" t="s">
        <v>84</v>
      </c>
      <c r="J93" s="88"/>
    </row>
    <row r="94" spans="2:10">
      <c r="B94" s="87"/>
      <c r="D94"/>
      <c r="J94" s="88"/>
    </row>
    <row r="95" spans="2:10">
      <c r="B95" s="87"/>
      <c r="J95" s="88"/>
    </row>
    <row r="96" spans="2:10">
      <c r="B96" s="87"/>
      <c r="J96" s="88"/>
    </row>
    <row r="97" spans="2:10">
      <c r="B97" s="87"/>
      <c r="E97" s="108">
        <v>1</v>
      </c>
      <c r="G97" s="107" t="s">
        <v>154</v>
      </c>
      <c r="J97" s="88"/>
    </row>
    <row r="98" spans="2:10">
      <c r="B98" s="87"/>
      <c r="E98" s="108">
        <v>1</v>
      </c>
      <c r="F98"/>
      <c r="G98" s="107" t="s">
        <v>155</v>
      </c>
      <c r="J98" s="88"/>
    </row>
    <row r="99" spans="2:10">
      <c r="B99" s="87"/>
      <c r="J99" s="88"/>
    </row>
    <row r="100" spans="2:10">
      <c r="B100" s="87"/>
      <c r="G100" s="109" t="s">
        <v>157</v>
      </c>
      <c r="J100" s="88"/>
    </row>
    <row r="101" spans="2:10">
      <c r="B101" s="87"/>
      <c r="J101" s="88"/>
    </row>
    <row r="102" spans="2:10">
      <c r="B102" s="87"/>
      <c r="J102" s="88"/>
    </row>
    <row r="103" spans="2:10">
      <c r="B103" s="87"/>
      <c r="J103" s="88"/>
    </row>
    <row r="104" spans="2:10">
      <c r="B104" s="87"/>
      <c r="J104" s="88"/>
    </row>
    <row r="105" spans="2:10">
      <c r="B105" s="87"/>
      <c r="J105" s="88"/>
    </row>
    <row r="106" spans="2:10">
      <c r="B106" s="87"/>
      <c r="J106" s="88"/>
    </row>
    <row r="107" spans="2:10">
      <c r="B107" s="87"/>
      <c r="H107" s="90"/>
      <c r="J107" s="88"/>
    </row>
    <row r="108" spans="2:10">
      <c r="B108" s="87"/>
      <c r="J108" s="88"/>
    </row>
    <row r="109" spans="2:10">
      <c r="B109" s="87"/>
      <c r="J109" s="88"/>
    </row>
    <row r="110" spans="2:10">
      <c r="B110" s="87"/>
      <c r="J110" s="88"/>
    </row>
    <row r="111" spans="2:10">
      <c r="B111" s="87"/>
      <c r="J111" s="88"/>
    </row>
    <row r="112" spans="2:10">
      <c r="B112" s="87"/>
      <c r="J112" s="88"/>
    </row>
    <row r="113" spans="2:10">
      <c r="B113" s="87"/>
      <c r="J113" s="88"/>
    </row>
    <row r="114" spans="2:10">
      <c r="B114" s="87"/>
      <c r="J114" s="88"/>
    </row>
    <row r="115" spans="2:10">
      <c r="B115" s="87"/>
      <c r="J115" s="88"/>
    </row>
    <row r="116" spans="2:10">
      <c r="B116" s="87"/>
      <c r="H116" s="90"/>
      <c r="J116" s="88"/>
    </row>
    <row r="117" spans="2:10">
      <c r="B117" s="87"/>
      <c r="J117" s="88"/>
    </row>
    <row r="118" spans="2:10">
      <c r="B118" s="87"/>
      <c r="J118" s="88"/>
    </row>
    <row r="119" spans="2:10">
      <c r="B119" s="87"/>
      <c r="J119" s="88"/>
    </row>
    <row r="120" spans="2:10">
      <c r="B120" s="87"/>
      <c r="J120" s="88"/>
    </row>
    <row r="121" spans="2:10">
      <c r="B121" s="87"/>
      <c r="J121" s="88"/>
    </row>
    <row r="122" spans="2:10">
      <c r="B122" s="87"/>
      <c r="J122" s="88"/>
    </row>
    <row r="123" spans="2:10">
      <c r="B123" s="87"/>
      <c r="J123" s="88"/>
    </row>
    <row r="124" spans="2:10">
      <c r="B124" s="87"/>
      <c r="J124" s="88"/>
    </row>
    <row r="125" spans="2:10">
      <c r="B125" s="87"/>
      <c r="J125" s="88"/>
    </row>
    <row r="126" spans="2:10">
      <c r="B126" s="87"/>
      <c r="J126" s="88"/>
    </row>
    <row r="127" spans="2:10">
      <c r="B127" s="87"/>
      <c r="J127" s="88"/>
    </row>
    <row r="128" spans="2:10">
      <c r="B128" s="87"/>
      <c r="J128" s="88"/>
    </row>
    <row r="129" spans="1:10">
      <c r="B129" s="87"/>
      <c r="J129" s="88"/>
    </row>
    <row r="130" spans="1:10">
      <c r="B130" s="87"/>
      <c r="J130" s="88"/>
    </row>
    <row r="131" spans="1:10">
      <c r="B131" s="87"/>
      <c r="J131" s="88"/>
    </row>
    <row r="132" spans="1:10">
      <c r="B132" s="87"/>
      <c r="J132" s="88"/>
    </row>
    <row r="133" spans="1:10">
      <c r="A133" s="98"/>
      <c r="B133" s="99"/>
      <c r="H133" s="90"/>
      <c r="J133" s="88"/>
    </row>
    <row r="134" spans="1:10">
      <c r="A134" s="98"/>
      <c r="B134" s="99"/>
      <c r="J134" s="88"/>
    </row>
    <row r="135" spans="1:10">
      <c r="A135" s="98"/>
      <c r="B135" s="99"/>
      <c r="J135" s="88"/>
    </row>
    <row r="136" spans="1:10">
      <c r="A136" s="98"/>
      <c r="B136" s="99"/>
      <c r="J136" s="88"/>
    </row>
    <row r="137" spans="1:10">
      <c r="A137" s="98"/>
      <c r="B137" s="99"/>
    </row>
    <row r="138" spans="1:10">
      <c r="A138" s="98"/>
      <c r="B138" s="99"/>
    </row>
    <row r="139" spans="1:10">
      <c r="A139" s="98"/>
      <c r="B139" s="99"/>
    </row>
    <row r="140" spans="1:10">
      <c r="A140" s="98"/>
      <c r="B140" s="99"/>
    </row>
    <row r="141" spans="1:10">
      <c r="A141" s="98"/>
      <c r="B141" s="99"/>
    </row>
    <row r="142" spans="1:10">
      <c r="A142" s="98"/>
      <c r="B142" s="99"/>
    </row>
    <row r="143" spans="1:10">
      <c r="A143" s="98"/>
      <c r="B143" s="99"/>
    </row>
    <row r="144" spans="1:10">
      <c r="A144" s="98"/>
      <c r="B144" s="99"/>
    </row>
    <row r="145" spans="1:2">
      <c r="A145" s="98"/>
      <c r="B145" s="99"/>
    </row>
    <row r="146" spans="1:2">
      <c r="A146" s="98"/>
      <c r="B146" s="99"/>
    </row>
    <row r="147" spans="1:2">
      <c r="A147" s="98"/>
      <c r="B147" s="99"/>
    </row>
    <row r="148" spans="1:2">
      <c r="A148" s="98"/>
      <c r="B148" s="99"/>
    </row>
    <row r="149" spans="1:2">
      <c r="A149" s="98"/>
      <c r="B149" s="99"/>
    </row>
    <row r="150" spans="1:2">
      <c r="A150" s="98"/>
      <c r="B150" s="99"/>
    </row>
    <row r="151" spans="1:2">
      <c r="A151" s="98"/>
      <c r="B151" s="99"/>
    </row>
    <row r="152" spans="1:2">
      <c r="A152" s="95"/>
      <c r="B152" s="96"/>
    </row>
    <row r="153" spans="1:2">
      <c r="A153" s="95"/>
      <c r="B153" s="96"/>
    </row>
    <row r="154" spans="1:2">
      <c r="A154" s="95"/>
      <c r="B154" s="96"/>
    </row>
    <row r="155" spans="1:2">
      <c r="A155" s="95"/>
      <c r="B155" s="96"/>
    </row>
    <row r="156" spans="1:2">
      <c r="A156" s="95"/>
      <c r="B156" s="96"/>
    </row>
    <row r="157" spans="1:2">
      <c r="A157" s="95"/>
      <c r="B157" s="96"/>
    </row>
    <row r="158" spans="1:2">
      <c r="A158" s="95"/>
      <c r="B158" s="96"/>
    </row>
    <row r="159" spans="1:2">
      <c r="A159" s="95"/>
      <c r="B159" s="96"/>
    </row>
    <row r="160" spans="1:2">
      <c r="A160" s="95"/>
      <c r="B160" s="96"/>
    </row>
    <row r="161" spans="1:7">
      <c r="A161" s="95"/>
      <c r="B161" s="96"/>
      <c r="C161" s="12" t="s">
        <v>99</v>
      </c>
    </row>
    <row r="162" spans="1:7">
      <c r="A162" s="95"/>
      <c r="B162" s="96"/>
    </row>
    <row r="163" spans="1:7">
      <c r="A163" s="95"/>
      <c r="B163" s="96"/>
    </row>
    <row r="164" spans="1:7">
      <c r="A164" s="95"/>
      <c r="B164" s="96"/>
    </row>
    <row r="165" spans="1:7">
      <c r="A165" s="95"/>
      <c r="B165" s="96"/>
    </row>
    <row r="166" spans="1:7">
      <c r="A166" s="95"/>
      <c r="B166" s="96"/>
    </row>
    <row r="167" spans="1:7">
      <c r="A167" s="95"/>
      <c r="B167" s="96"/>
    </row>
    <row r="168" spans="1:7">
      <c r="A168" s="95"/>
      <c r="B168" s="96"/>
    </row>
    <row r="169" spans="1:7">
      <c r="A169" s="95"/>
      <c r="B169" s="96"/>
      <c r="E169" s="83">
        <v>2635</v>
      </c>
      <c r="F169" s="97" t="s">
        <v>26</v>
      </c>
      <c r="G169" s="97" t="s">
        <v>94</v>
      </c>
    </row>
    <row r="170" spans="1:7">
      <c r="A170" s="95"/>
      <c r="B170" s="96"/>
      <c r="G170" s="97" t="s">
        <v>96</v>
      </c>
    </row>
    <row r="171" spans="1:7">
      <c r="A171" s="95"/>
      <c r="B171" s="96"/>
    </row>
    <row r="172" spans="1:7">
      <c r="A172" s="95"/>
      <c r="B172" s="96"/>
      <c r="E172" s="83">
        <v>600</v>
      </c>
      <c r="F172" s="97" t="s">
        <v>26</v>
      </c>
      <c r="G172" s="97" t="s">
        <v>95</v>
      </c>
    </row>
    <row r="173" spans="1:7">
      <c r="A173" s="95"/>
      <c r="B173" s="96"/>
    </row>
    <row r="174" spans="1:7">
      <c r="A174" s="95"/>
      <c r="B174" s="96"/>
    </row>
    <row r="175" spans="1:7">
      <c r="A175" s="95"/>
      <c r="B175" s="96"/>
    </row>
    <row r="176" spans="1:7">
      <c r="A176" s="95"/>
      <c r="B176" s="96"/>
    </row>
    <row r="177" spans="1:9">
      <c r="A177" s="95"/>
      <c r="B177" s="96"/>
    </row>
    <row r="178" spans="1:9">
      <c r="A178" s="95"/>
      <c r="B178" s="96"/>
      <c r="E178" s="83">
        <v>1500</v>
      </c>
      <c r="F178" s="97" t="s">
        <v>26</v>
      </c>
      <c r="G178" s="97" t="s">
        <v>94</v>
      </c>
      <c r="I178" s="98" t="s">
        <v>116</v>
      </c>
    </row>
    <row r="179" spans="1:9">
      <c r="A179" s="95"/>
      <c r="B179" s="96"/>
      <c r="G179" s="97" t="s">
        <v>98</v>
      </c>
    </row>
    <row r="180" spans="1:9">
      <c r="A180" s="95"/>
      <c r="B180" s="96"/>
    </row>
    <row r="181" spans="1:9">
      <c r="A181" s="95"/>
      <c r="B181" s="96"/>
    </row>
    <row r="182" spans="1:9">
      <c r="A182" s="95"/>
      <c r="B182" s="96"/>
    </row>
    <row r="183" spans="1:9">
      <c r="A183" s="95"/>
      <c r="B183" s="96"/>
      <c r="E183" s="83">
        <f>E178+E169</f>
        <v>4135</v>
      </c>
      <c r="F183" s="97" t="s">
        <v>26</v>
      </c>
      <c r="G183" s="97" t="s">
        <v>97</v>
      </c>
    </row>
    <row r="184" spans="1:9">
      <c r="A184" s="95"/>
      <c r="B184" s="96"/>
    </row>
    <row r="185" spans="1:9">
      <c r="A185" s="95"/>
      <c r="B185" s="96"/>
    </row>
    <row r="186" spans="1:9">
      <c r="A186" s="95"/>
      <c r="B186" s="96"/>
      <c r="D186" s="124" t="e">
        <f>Dashboard!#REF!</f>
        <v>#REF!</v>
      </c>
      <c r="E186" s="113">
        <v>0</v>
      </c>
      <c r="F186" s="113" t="s">
        <v>166</v>
      </c>
      <c r="G186" s="113" t="s">
        <v>206</v>
      </c>
    </row>
    <row r="187" spans="1:9">
      <c r="A187" s="95"/>
      <c r="B187" s="96"/>
    </row>
    <row r="188" spans="1:9">
      <c r="A188" s="95"/>
      <c r="B188" s="96"/>
      <c r="C188" s="12" t="s">
        <v>137</v>
      </c>
    </row>
    <row r="189" spans="1:9">
      <c r="A189" s="95"/>
      <c r="B189" s="96"/>
    </row>
    <row r="190" spans="1:9">
      <c r="A190" s="95"/>
      <c r="B190" s="96"/>
    </row>
    <row r="191" spans="1:9">
      <c r="A191" s="95"/>
      <c r="B191" s="96"/>
    </row>
    <row r="192" spans="1:9">
      <c r="A192" s="95"/>
      <c r="B192" s="96"/>
    </row>
    <row r="193" spans="1:7">
      <c r="A193" s="95"/>
      <c r="B193" s="96"/>
    </row>
    <row r="194" spans="1:7">
      <c r="A194" s="95"/>
      <c r="B194" s="96"/>
    </row>
    <row r="195" spans="1:7">
      <c r="A195" s="95"/>
      <c r="B195" s="96"/>
    </row>
    <row r="196" spans="1:7">
      <c r="A196" s="95"/>
      <c r="B196" s="96"/>
      <c r="E196" s="83">
        <v>117</v>
      </c>
      <c r="F196" s="98" t="s">
        <v>119</v>
      </c>
      <c r="G196" s="98" t="s">
        <v>124</v>
      </c>
    </row>
    <row r="197" spans="1:7">
      <c r="A197" s="95"/>
      <c r="B197" s="96"/>
      <c r="G197" s="98" t="s">
        <v>120</v>
      </c>
    </row>
    <row r="198" spans="1:7">
      <c r="A198" s="95"/>
      <c r="B198" s="96"/>
      <c r="E198" s="83">
        <f>E196/1.21</f>
        <v>96.694214876033058</v>
      </c>
      <c r="F198" s="98" t="s">
        <v>119</v>
      </c>
      <c r="G198" s="98" t="s">
        <v>125</v>
      </c>
    </row>
    <row r="199" spans="1:7">
      <c r="A199" s="95"/>
      <c r="B199" s="96"/>
      <c r="G199" s="98" t="s">
        <v>120</v>
      </c>
    </row>
    <row r="200" spans="1:7">
      <c r="A200" s="95"/>
      <c r="B200" s="96"/>
    </row>
    <row r="201" spans="1:7">
      <c r="A201" s="95"/>
      <c r="B201" s="96"/>
      <c r="E201" s="83">
        <v>189</v>
      </c>
      <c r="F201" s="98" t="s">
        <v>119</v>
      </c>
      <c r="G201" s="98" t="s">
        <v>124</v>
      </c>
    </row>
    <row r="202" spans="1:7">
      <c r="A202" s="95"/>
      <c r="B202" s="96"/>
      <c r="G202" s="98" t="s">
        <v>121</v>
      </c>
    </row>
    <row r="203" spans="1:7">
      <c r="A203" s="95"/>
      <c r="B203" s="96"/>
    </row>
    <row r="204" spans="1:7">
      <c r="A204" s="95"/>
      <c r="B204" s="96"/>
      <c r="E204" s="83">
        <f>E201/1.21</f>
        <v>156.19834710743802</v>
      </c>
      <c r="F204" s="98" t="s">
        <v>119</v>
      </c>
      <c r="G204" s="98" t="s">
        <v>126</v>
      </c>
    </row>
    <row r="205" spans="1:7">
      <c r="A205" s="95"/>
      <c r="B205" s="96"/>
      <c r="G205" s="98" t="s">
        <v>121</v>
      </c>
    </row>
    <row r="206" spans="1:7">
      <c r="A206" s="95"/>
      <c r="B206" s="96"/>
    </row>
    <row r="207" spans="1:7">
      <c r="A207" s="95"/>
      <c r="B207" s="96"/>
      <c r="C207" s="98"/>
    </row>
    <row r="208" spans="1:7">
      <c r="A208" s="95"/>
      <c r="B208" s="96"/>
    </row>
    <row r="209" spans="1:10">
      <c r="A209" s="95"/>
      <c r="B209" s="96"/>
      <c r="E209" s="83">
        <f>E204+E198</f>
        <v>252.89256198347107</v>
      </c>
      <c r="F209" s="98" t="s">
        <v>119</v>
      </c>
      <c r="G209" s="98" t="s">
        <v>122</v>
      </c>
    </row>
    <row r="210" spans="1:10">
      <c r="A210" s="95"/>
      <c r="B210" s="96"/>
      <c r="G210" s="98" t="s">
        <v>123</v>
      </c>
    </row>
    <row r="211" spans="1:10">
      <c r="A211" s="95"/>
      <c r="B211" s="96"/>
    </row>
    <row r="212" spans="1:10">
      <c r="A212" s="95"/>
      <c r="B212" s="96"/>
    </row>
    <row r="213" spans="1:10" s="113" customFormat="1">
      <c r="B213" s="114"/>
      <c r="J213" s="115"/>
    </row>
    <row r="214" spans="1:10" s="113" customFormat="1">
      <c r="B214" s="114"/>
      <c r="C214" s="12" t="s">
        <v>147</v>
      </c>
      <c r="E214" s="12" t="str">
        <f>'Research data'!C16</f>
        <v>fever.cop_cutoff</v>
      </c>
      <c r="F214" s="113">
        <f>F223</f>
        <v>2.6002380221130221</v>
      </c>
      <c r="J214" s="115"/>
    </row>
    <row r="215" spans="1:10" s="113" customFormat="1">
      <c r="B215" s="114"/>
      <c r="C215" s="12"/>
      <c r="E215" s="12"/>
      <c r="H215" s="206"/>
      <c r="J215" s="115"/>
    </row>
    <row r="216" spans="1:10" s="113" customFormat="1">
      <c r="B216" s="114"/>
      <c r="C216" s="12"/>
      <c r="E216" s="209" t="s">
        <v>237</v>
      </c>
      <c r="H216" s="206"/>
      <c r="J216" s="115"/>
    </row>
    <row r="217" spans="1:10" s="113" customFormat="1">
      <c r="B217" s="114"/>
      <c r="C217" s="12"/>
      <c r="E217" s="12"/>
      <c r="H217" s="206"/>
      <c r="J217" s="115"/>
    </row>
    <row r="218" spans="1:10" s="113" customFormat="1">
      <c r="B218" s="114"/>
      <c r="C218" s="12"/>
      <c r="E218" s="209" t="s">
        <v>238</v>
      </c>
      <c r="F218" s="113">
        <v>81.400000000000006</v>
      </c>
      <c r="G218" s="209" t="s">
        <v>241</v>
      </c>
      <c r="H218" s="206"/>
      <c r="J218" s="115"/>
    </row>
    <row r="219" spans="1:10" s="113" customFormat="1">
      <c r="B219" s="114"/>
      <c r="C219" s="12"/>
      <c r="E219" s="209"/>
      <c r="F219" s="113">
        <f>(F218/31.65)/1.07</f>
        <v>2.4036261091671465</v>
      </c>
      <c r="G219" s="209" t="s">
        <v>242</v>
      </c>
      <c r="H219" s="206"/>
      <c r="J219" s="115"/>
    </row>
    <row r="220" spans="1:10" s="113" customFormat="1">
      <c r="B220" s="114"/>
      <c r="C220" s="12"/>
      <c r="E220" s="209" t="s">
        <v>239</v>
      </c>
      <c r="F220" s="113">
        <v>22.5</v>
      </c>
      <c r="G220" s="209" t="s">
        <v>240</v>
      </c>
      <c r="H220" s="206"/>
      <c r="J220" s="115"/>
    </row>
    <row r="221" spans="1:10" s="113" customFormat="1">
      <c r="B221" s="114"/>
      <c r="C221" s="12"/>
      <c r="E221" s="12"/>
      <c r="F221" s="113">
        <f>F220/3.6</f>
        <v>6.25</v>
      </c>
      <c r="G221" s="209" t="s">
        <v>242</v>
      </c>
      <c r="H221" s="209" t="s">
        <v>243</v>
      </c>
      <c r="J221" s="115"/>
    </row>
    <row r="222" spans="1:10" s="113" customFormat="1">
      <c r="B222" s="114"/>
      <c r="C222" s="12"/>
      <c r="E222" s="12"/>
      <c r="H222" s="206"/>
      <c r="J222" s="115"/>
    </row>
    <row r="223" spans="1:10" s="113" customFormat="1">
      <c r="B223" s="114"/>
      <c r="C223" s="12"/>
      <c r="E223" s="12" t="s">
        <v>244</v>
      </c>
      <c r="F223" s="12">
        <f>F221/F219</f>
        <v>2.6002380221130221</v>
      </c>
      <c r="H223" s="206"/>
      <c r="J223" s="115"/>
    </row>
    <row r="224" spans="1:10" s="113" customFormat="1">
      <c r="B224" s="114"/>
      <c r="C224" s="12"/>
      <c r="E224" s="12"/>
      <c r="H224" s="206"/>
      <c r="J224" s="115"/>
    </row>
    <row r="225" spans="1:10" s="113" customFormat="1">
      <c r="B225" s="114"/>
      <c r="C225" s="12"/>
      <c r="E225" s="12"/>
      <c r="H225" s="206"/>
      <c r="J225" s="115"/>
    </row>
    <row r="226" spans="1:10" s="113" customFormat="1">
      <c r="B226" s="114"/>
      <c r="C226" s="12"/>
      <c r="E226" s="12"/>
      <c r="H226" s="206"/>
      <c r="J226" s="115"/>
    </row>
    <row r="227" spans="1:10" s="113" customFormat="1">
      <c r="B227" s="114"/>
      <c r="C227" s="12"/>
      <c r="E227" s="12"/>
      <c r="H227" s="206"/>
      <c r="J227" s="115"/>
    </row>
    <row r="228" spans="1:10" s="113" customFormat="1">
      <c r="B228" s="114"/>
      <c r="C228" s="12"/>
      <c r="E228" s="12"/>
      <c r="H228" s="206"/>
      <c r="J228" s="115"/>
    </row>
    <row r="229" spans="1:10" s="113" customFormat="1">
      <c r="B229" s="114"/>
      <c r="C229" s="12"/>
      <c r="E229" s="12"/>
      <c r="H229" s="206"/>
      <c r="J229" s="115"/>
    </row>
    <row r="230" spans="1:10" s="113" customFormat="1">
      <c r="B230" s="114"/>
      <c r="C230" s="12"/>
      <c r="E230" s="12"/>
      <c r="H230" s="206"/>
      <c r="J230" s="115"/>
    </row>
    <row r="231" spans="1:10" s="113" customFormat="1">
      <c r="B231" s="114"/>
      <c r="C231" s="12"/>
      <c r="E231" s="12"/>
      <c r="H231" s="206"/>
      <c r="J231" s="115"/>
    </row>
    <row r="232" spans="1:10" s="113" customFormat="1">
      <c r="B232" s="114"/>
      <c r="C232" s="12"/>
      <c r="E232" s="12"/>
      <c r="H232" s="206"/>
      <c r="J232" s="115"/>
    </row>
    <row r="233" spans="1:10" s="113" customFormat="1">
      <c r="B233" s="114"/>
      <c r="C233" s="12"/>
      <c r="E233" s="12"/>
      <c r="H233" s="206"/>
      <c r="J233" s="115"/>
    </row>
    <row r="234" spans="1:10" s="113" customFormat="1">
      <c r="B234" s="114"/>
      <c r="C234" s="12"/>
      <c r="E234" s="12"/>
      <c r="H234" s="206"/>
      <c r="J234" s="115"/>
    </row>
    <row r="235" spans="1:10" s="113" customFormat="1">
      <c r="B235" s="114"/>
      <c r="J235" s="115"/>
    </row>
    <row r="236" spans="1:10" s="113" customFormat="1">
      <c r="B236" s="114"/>
      <c r="E236" s="12" t="str">
        <f>'Research data'!C15</f>
        <v>fever.capacity.network_gas</v>
      </c>
      <c r="F236" s="117">
        <v>2.1999999999999999E-2</v>
      </c>
      <c r="H236" s="113" t="s">
        <v>172</v>
      </c>
      <c r="J236" s="115"/>
    </row>
    <row r="237" spans="1:10">
      <c r="A237" s="95"/>
      <c r="B237" s="96"/>
    </row>
    <row r="238" spans="1:10" s="113" customFormat="1">
      <c r="B238" s="114"/>
      <c r="J238" s="115"/>
    </row>
    <row r="239" spans="1:10" s="113" customFormat="1">
      <c r="B239" s="114"/>
      <c r="C239" s="121" t="str">
        <f>'Research data'!L3</f>
        <v>Ecofys</v>
      </c>
      <c r="D239" s="113" t="s">
        <v>173</v>
      </c>
      <c r="E239" s="113">
        <v>65</v>
      </c>
      <c r="J239" s="115"/>
    </row>
    <row r="240" spans="1:10" s="113" customFormat="1">
      <c r="B240" s="114"/>
      <c r="D240" s="206" t="s">
        <v>236</v>
      </c>
      <c r="J240" s="115"/>
    </row>
    <row r="241" spans="2:10" s="113" customFormat="1">
      <c r="B241" s="114"/>
      <c r="D241" s="209" t="s">
        <v>245</v>
      </c>
      <c r="J241" s="115"/>
    </row>
    <row r="242" spans="2:10" s="113" customFormat="1">
      <c r="B242" s="114"/>
      <c r="J242" s="115"/>
    </row>
    <row r="243" spans="2:10" s="113" customFormat="1">
      <c r="B243" s="114"/>
      <c r="D243" s="208" t="s">
        <v>232</v>
      </c>
      <c r="E243" s="208">
        <v>35</v>
      </c>
      <c r="F243" s="208">
        <v>45</v>
      </c>
      <c r="G243" s="208">
        <v>50</v>
      </c>
      <c r="J243" s="115"/>
    </row>
    <row r="244" spans="2:10" s="113" customFormat="1">
      <c r="B244" s="114"/>
      <c r="D244" s="207" t="s">
        <v>230</v>
      </c>
      <c r="E244" s="211">
        <v>3.25</v>
      </c>
      <c r="F244" s="211">
        <f>G244-((G$243-F$243)/(G$243-E$243))*(G244-E244)</f>
        <v>2.3233333333333333</v>
      </c>
      <c r="G244" s="211">
        <v>1.86</v>
      </c>
      <c r="J244" s="115"/>
    </row>
    <row r="245" spans="2:10" s="113" customFormat="1">
      <c r="B245" s="114"/>
      <c r="D245" s="207" t="s">
        <v>231</v>
      </c>
      <c r="E245" s="211">
        <v>8.7499999999999994E-2</v>
      </c>
      <c r="F245" s="211">
        <f>G245-((G$243-F$243)/(G$243-E$243))*(G245-E245)</f>
        <v>5.7833333333333327E-2</v>
      </c>
      <c r="G245" s="211">
        <v>4.2999999999999997E-2</v>
      </c>
      <c r="J245" s="115"/>
    </row>
    <row r="246" spans="2:10" s="113" customFormat="1">
      <c r="B246" s="114"/>
      <c r="D246" s="206" t="s">
        <v>233</v>
      </c>
      <c r="E246" s="206" t="s">
        <v>234</v>
      </c>
      <c r="G246" s="206" t="s">
        <v>234</v>
      </c>
      <c r="J246" s="115"/>
    </row>
    <row r="247" spans="2:10" s="113" customFormat="1">
      <c r="B247" s="114"/>
      <c r="J247" s="115"/>
    </row>
    <row r="248" spans="2:10" s="113" customFormat="1">
      <c r="B248" s="114"/>
      <c r="J248" s="115"/>
    </row>
    <row r="249" spans="2:10" s="113" customFormat="1">
      <c r="B249" s="114"/>
      <c r="D249" s="118" t="s">
        <v>160</v>
      </c>
      <c r="E249" s="210">
        <f>F244</f>
        <v>2.3233333333333333</v>
      </c>
      <c r="F249" s="113" t="s">
        <v>92</v>
      </c>
      <c r="J249" s="115"/>
    </row>
    <row r="250" spans="2:10" s="113" customFormat="1">
      <c r="B250" s="114"/>
      <c r="D250" s="118" t="s">
        <v>164</v>
      </c>
      <c r="E250" s="210">
        <f>F245</f>
        <v>5.7833333333333327E-2</v>
      </c>
      <c r="F250" s="113" t="s">
        <v>174</v>
      </c>
      <c r="J250" s="115"/>
    </row>
    <row r="251" spans="2:10" s="113" customFormat="1">
      <c r="B251" s="114"/>
      <c r="J251" s="115"/>
    </row>
    <row r="252" spans="2:10" s="113" customFormat="1">
      <c r="B252" s="114"/>
      <c r="C252" s="119"/>
      <c r="D252" s="209" t="s">
        <v>246</v>
      </c>
      <c r="J252" s="115"/>
    </row>
    <row r="253" spans="2:10" s="113" customFormat="1">
      <c r="B253" s="114"/>
      <c r="D253" s="206" t="s">
        <v>235</v>
      </c>
      <c r="J253" s="115"/>
    </row>
    <row r="254" spans="2:10" s="113" customFormat="1">
      <c r="B254" s="114"/>
      <c r="J254" s="115"/>
    </row>
    <row r="255" spans="2:10" s="113" customFormat="1">
      <c r="B255" s="114"/>
      <c r="J255" s="115"/>
    </row>
    <row r="256" spans="2:10" s="113" customFormat="1">
      <c r="B256" s="114"/>
      <c r="J256" s="115"/>
    </row>
    <row r="257" spans="1:10" s="113" customFormat="1">
      <c r="B257" s="114"/>
      <c r="C257" s="12" t="s">
        <v>171</v>
      </c>
      <c r="D257" s="113" t="s">
        <v>178</v>
      </c>
      <c r="J257" s="115"/>
    </row>
    <row r="258" spans="1:10" s="113" customFormat="1">
      <c r="B258" s="114"/>
      <c r="C258" s="12"/>
      <c r="D258" s="113" t="s">
        <v>179</v>
      </c>
      <c r="E258" s="113" t="s">
        <v>180</v>
      </c>
      <c r="J258" s="115"/>
    </row>
    <row r="259" spans="1:10" s="113" customFormat="1">
      <c r="B259" s="114"/>
      <c r="J259" s="115"/>
    </row>
    <row r="260" spans="1:10" s="113" customFormat="1">
      <c r="B260" s="114"/>
      <c r="D260" s="42" t="str">
        <f>Dashboard!C40</f>
        <v>technical_lifetime</v>
      </c>
      <c r="E260" s="122">
        <v>15</v>
      </c>
      <c r="F260" s="123" t="s">
        <v>1</v>
      </c>
      <c r="G260" s="123"/>
      <c r="J260" s="115"/>
    </row>
    <row r="261" spans="1:10" s="113" customFormat="1">
      <c r="B261" s="114"/>
      <c r="D261" s="42" t="str">
        <f>Dashboard!C30</f>
        <v>cost_of_installing</v>
      </c>
      <c r="E261" s="113">
        <v>1000</v>
      </c>
      <c r="F261" s="113" t="s">
        <v>26</v>
      </c>
      <c r="J261" s="115"/>
    </row>
    <row r="262" spans="1:10" s="113" customFormat="1">
      <c r="B262" s="114"/>
      <c r="D262" s="42" t="str">
        <f>Dashboard!C32</f>
        <v>fixed_operation_and_maintenance_costs_per_year</v>
      </c>
      <c r="E262" s="113">
        <v>200</v>
      </c>
      <c r="F262" s="113" t="s">
        <v>45</v>
      </c>
      <c r="J262" s="115"/>
    </row>
    <row r="263" spans="1:10" s="113" customFormat="1">
      <c r="B263" s="114"/>
      <c r="D263" s="42" t="str">
        <f>Dashboard!C25</f>
        <v>heat_output_capacity</v>
      </c>
      <c r="E263" s="125">
        <f>H264/1000</f>
        <v>5.0000000000000001E-3</v>
      </c>
      <c r="F263" s="113" t="s">
        <v>56</v>
      </c>
      <c r="J263" s="115"/>
    </row>
    <row r="264" spans="1:10" s="113" customFormat="1">
      <c r="B264" s="114"/>
      <c r="H264" s="113">
        <v>5</v>
      </c>
      <c r="I264" s="113" t="s">
        <v>108</v>
      </c>
      <c r="J264" s="115"/>
    </row>
    <row r="265" spans="1:10" s="113" customFormat="1">
      <c r="B265" s="114"/>
      <c r="C265" s="12"/>
      <c r="D265" s="124"/>
      <c r="J265" s="115"/>
    </row>
    <row r="266" spans="1:10" s="113" customFormat="1">
      <c r="B266" s="114"/>
      <c r="D266" s="113" t="s">
        <v>181</v>
      </c>
      <c r="E266" s="113">
        <v>7</v>
      </c>
      <c r="F266" s="113" t="s">
        <v>182</v>
      </c>
      <c r="J266" s="115"/>
    </row>
    <row r="267" spans="1:10">
      <c r="A267" s="95"/>
      <c r="B267" s="96"/>
      <c r="D267" s="12" t="str">
        <f>'Research data'!C14</f>
        <v>fever.capacity.electricity</v>
      </c>
      <c r="E267" s="113">
        <f>H264/(E266*E250+E249)/1000</f>
        <v>1.8327326043130307E-3</v>
      </c>
      <c r="F267" s="113" t="s">
        <v>56</v>
      </c>
      <c r="G267" s="98"/>
      <c r="J267" s="88"/>
    </row>
    <row r="268" spans="1:10">
      <c r="A268" s="95"/>
      <c r="B268" s="96"/>
      <c r="E268" s="113"/>
      <c r="F268" s="113"/>
      <c r="G268" s="98"/>
      <c r="J268" s="88"/>
    </row>
    <row r="269" spans="1:10">
      <c r="A269" s="95"/>
      <c r="B269" s="96"/>
      <c r="D269" s="124" t="e">
        <f>Dashboard!#REF!</f>
        <v>#REF!</v>
      </c>
      <c r="E269" s="113">
        <v>0</v>
      </c>
      <c r="F269" s="113" t="s">
        <v>166</v>
      </c>
      <c r="G269" s="113" t="s">
        <v>220</v>
      </c>
      <c r="J269" s="88"/>
    </row>
    <row r="270" spans="1:10">
      <c r="A270" s="95"/>
      <c r="B270" s="96"/>
      <c r="J270" s="88"/>
    </row>
    <row r="271" spans="1:10">
      <c r="A271" s="95"/>
      <c r="B271" s="96"/>
      <c r="J271" s="88"/>
    </row>
    <row r="272" spans="1:10">
      <c r="A272" s="95"/>
      <c r="B272" s="96"/>
      <c r="J272" s="88"/>
    </row>
    <row r="273" spans="1:10">
      <c r="A273" s="95"/>
      <c r="B273" s="96"/>
      <c r="J273" s="88"/>
    </row>
    <row r="274" spans="1:10">
      <c r="A274" s="95"/>
      <c r="B274" s="96"/>
      <c r="J274" s="88"/>
    </row>
    <row r="275" spans="1:10">
      <c r="A275" s="95"/>
      <c r="B275" s="96"/>
      <c r="J275" s="88"/>
    </row>
    <row r="276" spans="1:10">
      <c r="A276" s="95"/>
      <c r="B276" s="96"/>
      <c r="J276" s="88"/>
    </row>
    <row r="277" spans="1:10" s="113" customFormat="1">
      <c r="B277" s="114"/>
      <c r="C277" s="121" t="str">
        <f>'Research data'!M3</f>
        <v>ISSO 72 and Quintel calc</v>
      </c>
      <c r="D277" s="43"/>
      <c r="G277" s="113" t="s">
        <v>175</v>
      </c>
      <c r="J277" s="115"/>
    </row>
    <row r="278" spans="1:10" s="113" customFormat="1">
      <c r="B278" s="114"/>
      <c r="C278" s="12"/>
      <c r="D278" s="113" t="s">
        <v>176</v>
      </c>
      <c r="E278" s="120">
        <v>10</v>
      </c>
      <c r="F278" s="120" t="s">
        <v>177</v>
      </c>
      <c r="J278" s="115"/>
    </row>
    <row r="279" spans="1:10" s="113" customFormat="1">
      <c r="B279" s="114"/>
      <c r="C279" s="12"/>
      <c r="D279" s="113" t="s">
        <v>183</v>
      </c>
      <c r="E279" s="120">
        <v>10</v>
      </c>
      <c r="F279" s="120" t="s">
        <v>184</v>
      </c>
      <c r="J279" s="115"/>
    </row>
    <row r="280" spans="1:10" s="113" customFormat="1">
      <c r="B280" s="114"/>
      <c r="C280" s="12"/>
      <c r="D280" s="113" t="s">
        <v>185</v>
      </c>
      <c r="E280" s="120">
        <v>4.18</v>
      </c>
      <c r="F280" s="120" t="s">
        <v>186</v>
      </c>
      <c r="J280" s="115"/>
    </row>
    <row r="281" spans="1:10" s="113" customFormat="1">
      <c r="B281" s="114"/>
      <c r="C281" s="12"/>
      <c r="D281" s="113" t="s">
        <v>187</v>
      </c>
      <c r="E281" s="120">
        <v>10</v>
      </c>
      <c r="F281" s="120" t="s">
        <v>182</v>
      </c>
      <c r="G281" s="113" t="s">
        <v>188</v>
      </c>
      <c r="J281" s="115"/>
    </row>
    <row r="282" spans="1:10" s="113" customFormat="1">
      <c r="B282" s="114"/>
      <c r="C282" s="12"/>
      <c r="D282" s="113" t="s">
        <v>189</v>
      </c>
      <c r="E282" s="126">
        <f>E278*60*E279/E280/E281</f>
        <v>143.54066985645935</v>
      </c>
      <c r="F282" s="120" t="s">
        <v>190</v>
      </c>
      <c r="J282" s="115"/>
    </row>
    <row r="283" spans="1:10" s="113" customFormat="1">
      <c r="B283" s="114"/>
      <c r="C283" s="12"/>
      <c r="D283" s="113" t="s">
        <v>191</v>
      </c>
      <c r="E283" s="195">
        <v>3600000</v>
      </c>
      <c r="F283" s="120" t="s">
        <v>205</v>
      </c>
      <c r="J283" s="115"/>
    </row>
    <row r="284" spans="1:10" s="113" customFormat="1">
      <c r="B284" s="114"/>
      <c r="C284" s="12"/>
      <c r="D284" s="124" t="e">
        <f>Dashboard!#REF!</f>
        <v>#REF!</v>
      </c>
      <c r="E284" s="194">
        <f>MROUND(E282*E281*E280/E283,0.0001)</f>
        <v>1.7000000000000001E-3</v>
      </c>
      <c r="F284" s="120" t="s">
        <v>166</v>
      </c>
      <c r="H284"/>
      <c r="J284" s="115"/>
    </row>
    <row r="285" spans="1:10" s="113" customFormat="1">
      <c r="B285" s="114"/>
      <c r="C285" s="12"/>
      <c r="J285" s="115"/>
    </row>
    <row r="286" spans="1:10" s="113" customFormat="1">
      <c r="B286" s="114"/>
      <c r="C286" s="12" t="s">
        <v>194</v>
      </c>
      <c r="D286" s="113" t="s">
        <v>176</v>
      </c>
      <c r="E286" s="120">
        <v>20</v>
      </c>
      <c r="F286" s="120" t="s">
        <v>177</v>
      </c>
      <c r="J286" s="115"/>
    </row>
    <row r="287" spans="1:10" s="113" customFormat="1">
      <c r="B287" s="114"/>
      <c r="C287" s="12"/>
      <c r="D287" s="113" t="s">
        <v>183</v>
      </c>
      <c r="E287" s="120">
        <v>10</v>
      </c>
      <c r="F287" s="120" t="s">
        <v>184</v>
      </c>
      <c r="J287" s="115"/>
    </row>
    <row r="288" spans="1:10" s="113" customFormat="1">
      <c r="B288" s="114"/>
      <c r="C288" s="12"/>
      <c r="D288" s="113" t="s">
        <v>185</v>
      </c>
      <c r="E288" s="120">
        <v>4.18</v>
      </c>
      <c r="F288" s="120" t="s">
        <v>186</v>
      </c>
      <c r="J288" s="115"/>
    </row>
    <row r="289" spans="1:10" s="113" customFormat="1">
      <c r="B289" s="114"/>
      <c r="C289" s="12"/>
      <c r="D289" s="113" t="s">
        <v>187</v>
      </c>
      <c r="E289" s="120">
        <v>10</v>
      </c>
      <c r="F289" s="120" t="s">
        <v>182</v>
      </c>
      <c r="G289" s="113" t="s">
        <v>188</v>
      </c>
      <c r="J289" s="115"/>
    </row>
    <row r="290" spans="1:10" s="113" customFormat="1">
      <c r="B290" s="114"/>
      <c r="C290" s="12"/>
      <c r="D290" s="113" t="s">
        <v>189</v>
      </c>
      <c r="E290" s="126">
        <f>E286*60*E287/E288/E289</f>
        <v>287.08133971291869</v>
      </c>
      <c r="F290" s="120" t="s">
        <v>190</v>
      </c>
      <c r="J290" s="115"/>
    </row>
    <row r="291" spans="1:10" s="113" customFormat="1">
      <c r="B291" s="114"/>
      <c r="C291" s="12"/>
      <c r="D291" s="113" t="s">
        <v>191</v>
      </c>
      <c r="E291" s="195">
        <v>3600000</v>
      </c>
      <c r="F291" s="120" t="s">
        <v>192</v>
      </c>
      <c r="J291" s="115"/>
    </row>
    <row r="292" spans="1:10" s="113" customFormat="1">
      <c r="B292" s="114"/>
      <c r="C292" s="12"/>
      <c r="D292" s="124" t="e">
        <f>Dashboard!#REF!</f>
        <v>#REF!</v>
      </c>
      <c r="E292" s="194">
        <f>MROUND(E290*E289*E288/E291,0.0001)</f>
        <v>3.3E-3</v>
      </c>
      <c r="F292" s="120" t="s">
        <v>193</v>
      </c>
      <c r="J292" s="115"/>
    </row>
    <row r="293" spans="1:10" s="113" customFormat="1">
      <c r="B293" s="114"/>
      <c r="J293" s="115"/>
    </row>
    <row r="294" spans="1:10" s="113" customFormat="1">
      <c r="B294" s="114"/>
      <c r="J294" s="115"/>
    </row>
    <row r="295" spans="1:10" s="113" customFormat="1">
      <c r="B295" s="114"/>
      <c r="J295" s="115"/>
    </row>
    <row r="296" spans="1:10" s="113" customFormat="1">
      <c r="B296" s="114"/>
      <c r="J296" s="115"/>
    </row>
    <row r="297" spans="1:10" s="113" customFormat="1">
      <c r="B297" s="114"/>
      <c r="J297" s="115"/>
    </row>
    <row r="298" spans="1:10" s="113" customFormat="1">
      <c r="B298" s="114"/>
      <c r="J298" s="115"/>
    </row>
    <row r="299" spans="1:10" s="113" customFormat="1">
      <c r="B299" s="114"/>
      <c r="J299" s="115"/>
    </row>
    <row r="300" spans="1:10" s="113" customFormat="1">
      <c r="B300" s="114"/>
      <c r="J300" s="115"/>
    </row>
    <row r="301" spans="1:10" s="113" customFormat="1">
      <c r="B301" s="114"/>
      <c r="J301" s="115"/>
    </row>
    <row r="302" spans="1:10">
      <c r="A302" s="95"/>
      <c r="B302" s="96"/>
      <c r="J302" s="88"/>
    </row>
    <row r="303" spans="1:10" s="113" customFormat="1">
      <c r="B303" s="114"/>
      <c r="J303" s="115"/>
    </row>
    <row r="304" spans="1:10" s="113" customFormat="1">
      <c r="B304" s="114"/>
      <c r="C304" s="196" t="s">
        <v>207</v>
      </c>
      <c r="D304" s="196"/>
      <c r="J304" s="115"/>
    </row>
    <row r="305" spans="2:10" s="113" customFormat="1">
      <c r="B305" s="114"/>
      <c r="D305" s="113" t="s">
        <v>208</v>
      </c>
      <c r="E305">
        <v>4.18</v>
      </c>
      <c r="F305" t="s">
        <v>186</v>
      </c>
      <c r="J305" s="115"/>
    </row>
    <row r="306" spans="2:10" s="113" customFormat="1">
      <c r="B306" s="114"/>
      <c r="D306" s="113" t="s">
        <v>209</v>
      </c>
      <c r="E306">
        <v>10</v>
      </c>
      <c r="F306" t="s">
        <v>182</v>
      </c>
      <c r="J306" s="115"/>
    </row>
    <row r="307" spans="2:10" s="113" customFormat="1">
      <c r="B307" s="114"/>
      <c r="E307" s="113">
        <f>E305*E306</f>
        <v>41.8</v>
      </c>
      <c r="F307" s="113" t="s">
        <v>210</v>
      </c>
      <c r="J307" s="115"/>
    </row>
    <row r="308" spans="2:10" s="113" customFormat="1">
      <c r="B308" s="114"/>
      <c r="E308" s="113">
        <v>3600000</v>
      </c>
      <c r="F308" s="113" t="s">
        <v>211</v>
      </c>
      <c r="J308" s="115"/>
    </row>
    <row r="309" spans="2:10" s="113" customFormat="1">
      <c r="B309" s="114"/>
      <c r="E309" s="197">
        <f>E307/E308</f>
        <v>1.161111111111111E-5</v>
      </c>
      <c r="F309" s="113" t="s">
        <v>212</v>
      </c>
      <c r="J309" s="115"/>
    </row>
    <row r="310" spans="2:10" s="113" customFormat="1">
      <c r="B310" s="114"/>
      <c r="E310" s="113">
        <v>500</v>
      </c>
      <c r="F310" s="113" t="s">
        <v>190</v>
      </c>
      <c r="J310" s="115"/>
    </row>
    <row r="311" spans="2:10" s="113" customFormat="1">
      <c r="B311" s="114"/>
      <c r="D311" s="113" t="s">
        <v>213</v>
      </c>
      <c r="E311" s="113">
        <v>1159</v>
      </c>
      <c r="F311" s="113" t="s">
        <v>26</v>
      </c>
      <c r="J311" s="115"/>
    </row>
    <row r="312" spans="2:10" s="113" customFormat="1">
      <c r="B312" s="114"/>
      <c r="D312" s="113" t="s">
        <v>214</v>
      </c>
      <c r="E312" s="125">
        <f>E311/1.21</f>
        <v>957.85123966942149</v>
      </c>
      <c r="F312" s="113" t="s">
        <v>26</v>
      </c>
      <c r="J312" s="115"/>
    </row>
    <row r="313" spans="2:10" s="113" customFormat="1">
      <c r="B313" s="114"/>
      <c r="D313" s="113" t="s">
        <v>215</v>
      </c>
      <c r="E313" s="198">
        <f>E312/E310</f>
        <v>1.9157024793388431</v>
      </c>
      <c r="F313" s="113" t="s">
        <v>216</v>
      </c>
      <c r="J313" s="115"/>
    </row>
    <row r="314" spans="2:10" s="113" customFormat="1">
      <c r="B314" s="114"/>
      <c r="J314" s="115"/>
    </row>
    <row r="315" spans="2:10" s="113" customFormat="1">
      <c r="B315" s="114"/>
      <c r="D315" s="124" t="e">
        <f>Dashboard!#REF!</f>
        <v>#REF!</v>
      </c>
      <c r="E315" s="199">
        <f>E313/E309</f>
        <v>164988.7302779865</v>
      </c>
      <c r="F315" s="113" t="s">
        <v>167</v>
      </c>
      <c r="J315" s="115"/>
    </row>
    <row r="316" spans="2:10" s="113" customFormat="1">
      <c r="B316" s="114"/>
      <c r="D316" s="124"/>
      <c r="E316"/>
      <c r="J316" s="115"/>
    </row>
    <row r="317" spans="2:10" s="113" customFormat="1">
      <c r="B317" s="114"/>
      <c r="D317" s="124"/>
      <c r="E317"/>
      <c r="J317" s="115"/>
    </row>
    <row r="318" spans="2:10" s="113" customFormat="1">
      <c r="B318" s="114"/>
      <c r="D318" s="124"/>
      <c r="E318"/>
      <c r="J318" s="115"/>
    </row>
    <row r="319" spans="2:10" s="113" customFormat="1">
      <c r="B319" s="114"/>
      <c r="C319" s="12" t="s">
        <v>217</v>
      </c>
      <c r="E319" s="113">
        <v>300</v>
      </c>
      <c r="F319" s="113" t="s">
        <v>190</v>
      </c>
      <c r="J319" s="115"/>
    </row>
    <row r="320" spans="2:10" s="113" customFormat="1">
      <c r="B320" s="114"/>
      <c r="D320" s="113" t="s">
        <v>214</v>
      </c>
      <c r="E320" s="125">
        <v>539</v>
      </c>
      <c r="F320" s="113" t="s">
        <v>26</v>
      </c>
      <c r="J320" s="115"/>
    </row>
    <row r="321" spans="2:10" s="113" customFormat="1">
      <c r="B321" s="114"/>
      <c r="D321" s="113" t="s">
        <v>215</v>
      </c>
      <c r="E321" s="198">
        <f>E320/E319</f>
        <v>1.7966666666666666</v>
      </c>
      <c r="F321" s="113" t="s">
        <v>216</v>
      </c>
      <c r="J321" s="115"/>
    </row>
    <row r="322" spans="2:10" s="113" customFormat="1">
      <c r="B322" s="114"/>
      <c r="J322" s="115"/>
    </row>
    <row r="323" spans="2:10" s="113" customFormat="1">
      <c r="B323" s="114"/>
      <c r="D323" s="124" t="e">
        <f>Dashboard!#REF!</f>
        <v>#REF!</v>
      </c>
      <c r="E323" s="199">
        <f>E321/E309</f>
        <v>154736.84210526317</v>
      </c>
      <c r="F323" s="113" t="s">
        <v>167</v>
      </c>
      <c r="J323" s="115"/>
    </row>
    <row r="324" spans="2:10" s="113" customFormat="1">
      <c r="B324" s="114"/>
      <c r="J324" s="115"/>
    </row>
    <row r="325" spans="2:10" s="113" customFormat="1">
      <c r="B325" s="114"/>
      <c r="J325" s="115"/>
    </row>
    <row r="326" spans="2:10" s="113" customFormat="1">
      <c r="B326" s="114"/>
      <c r="J326" s="115"/>
    </row>
    <row r="327" spans="2:10" s="113" customFormat="1">
      <c r="B327" s="114"/>
      <c r="J327" s="115"/>
    </row>
    <row r="328" spans="2:10" s="113" customFormat="1">
      <c r="B328" s="114"/>
      <c r="C328" s="12" t="s">
        <v>227</v>
      </c>
      <c r="D328" s="95"/>
      <c r="J328" s="115"/>
    </row>
    <row r="329" spans="2:10" s="113" customFormat="1">
      <c r="B329" s="114"/>
      <c r="D329" s="204" t="s">
        <v>223</v>
      </c>
      <c r="E329" s="113">
        <v>2808</v>
      </c>
      <c r="F329" s="204" t="s">
        <v>226</v>
      </c>
      <c r="J329" s="115"/>
    </row>
    <row r="330" spans="2:10" s="113" customFormat="1">
      <c r="B330" s="114"/>
      <c r="D330" s="204" t="s">
        <v>224</v>
      </c>
      <c r="E330" s="113">
        <v>4830</v>
      </c>
      <c r="F330" s="204" t="s">
        <v>226</v>
      </c>
      <c r="J330" s="115"/>
    </row>
    <row r="331" spans="2:10" s="113" customFormat="1">
      <c r="B331" s="114"/>
      <c r="D331" s="12" t="s">
        <v>225</v>
      </c>
      <c r="E331" s="113">
        <f>(E330+E329)/2</f>
        <v>3819</v>
      </c>
      <c r="F331" s="204" t="s">
        <v>226</v>
      </c>
      <c r="J331" s="115"/>
    </row>
    <row r="332" spans="2:10" s="113" customFormat="1">
      <c r="B332" s="114"/>
      <c r="D332" s="205" t="s">
        <v>229</v>
      </c>
      <c r="J332" s="115"/>
    </row>
    <row r="333" spans="2:10" s="113" customFormat="1">
      <c r="B333" s="114"/>
      <c r="J333" s="115"/>
    </row>
    <row r="334" spans="2:10" s="113" customFormat="1">
      <c r="B334" s="114"/>
      <c r="J334" s="115"/>
    </row>
    <row r="335" spans="2:10" s="113" customFormat="1">
      <c r="B335" s="114"/>
      <c r="J335" s="115"/>
    </row>
    <row r="336" spans="2:10" s="113" customFormat="1">
      <c r="B336" s="114"/>
      <c r="J336" s="115"/>
    </row>
    <row r="337" spans="2:10" s="113" customFormat="1">
      <c r="B337" s="114"/>
      <c r="J337" s="115"/>
    </row>
    <row r="338" spans="2:10" s="113" customFormat="1">
      <c r="B338" s="114"/>
      <c r="J338" s="115"/>
    </row>
    <row r="339" spans="2:10" s="113" customFormat="1">
      <c r="B339" s="114"/>
      <c r="J339" s="115"/>
    </row>
    <row r="340" spans="2:10" s="113" customFormat="1">
      <c r="B340" s="114"/>
      <c r="J340" s="115"/>
    </row>
    <row r="341" spans="2:10" s="113" customFormat="1">
      <c r="B341" s="114"/>
      <c r="J341" s="115"/>
    </row>
    <row r="342" spans="2:10" s="113" customFormat="1">
      <c r="B342" s="114"/>
      <c r="J342" s="115"/>
    </row>
    <row r="343" spans="2:10" s="113" customFormat="1">
      <c r="B343" s="114"/>
      <c r="J343" s="115"/>
    </row>
    <row r="344" spans="2:10" s="113" customFormat="1">
      <c r="B344" s="114"/>
      <c r="J344" s="115"/>
    </row>
    <row r="345" spans="2:10" s="113" customFormat="1">
      <c r="B345" s="114"/>
      <c r="J345" s="115"/>
    </row>
    <row r="346" spans="2:10" s="113" customFormat="1">
      <c r="B346" s="114"/>
      <c r="D346" s="124"/>
      <c r="E346"/>
      <c r="J346" s="115"/>
    </row>
    <row r="347" spans="2:10" s="113" customFormat="1">
      <c r="B347" s="114"/>
      <c r="C347" s="12"/>
      <c r="F347"/>
      <c r="J347" s="115"/>
    </row>
    <row r="348" spans="2:10" s="113" customFormat="1" ht="17" thickBot="1">
      <c r="B348" s="200"/>
      <c r="C348" s="201"/>
      <c r="D348" s="201"/>
      <c r="E348" s="201"/>
      <c r="F348" s="201"/>
      <c r="G348" s="201"/>
      <c r="H348" s="201"/>
      <c r="I348" s="201"/>
      <c r="J348" s="20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Kas Kranenburg</cp:lastModifiedBy>
  <dcterms:created xsi:type="dcterms:W3CDTF">2011-10-26T09:05:09Z</dcterms:created>
  <dcterms:modified xsi:type="dcterms:W3CDTF">2024-04-09T15:25:58Z</dcterms:modified>
</cp:coreProperties>
</file>