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households/"/>
    </mc:Choice>
  </mc:AlternateContent>
  <xr:revisionPtr revIDLastSave="0" documentId="13_ncr:1_{985F0E9D-3B96-9349-8A26-EE4425284217}" xr6:coauthVersionLast="47" xr6:coauthVersionMax="47" xr10:uidLastSave="{00000000-0000-0000-0000-000000000000}"/>
  <bookViews>
    <workbookView xWindow="0" yWindow="500" windowWidth="512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230" i="16" l="1"/>
  <c r="E21" i="13"/>
  <c r="E20" i="13"/>
  <c r="E19" i="13"/>
  <c r="E18" i="13"/>
  <c r="E9" i="13"/>
  <c r="E25" i="12" l="1"/>
  <c r="Q29" i="13" l="1"/>
  <c r="E189" i="16"/>
  <c r="E191" i="16" s="1"/>
  <c r="J25" i="13" s="1"/>
  <c r="E180" i="16"/>
  <c r="E181" i="16" s="1"/>
  <c r="J27" i="13" s="1"/>
  <c r="E27" i="13" s="1"/>
  <c r="E18" i="16" l="1"/>
  <c r="E47" i="16" s="1"/>
  <c r="R3" i="16"/>
  <c r="H12" i="13" l="1"/>
  <c r="E12" i="13" s="1"/>
  <c r="J3" i="13"/>
  <c r="E29" i="13" l="1"/>
  <c r="O36" i="13"/>
  <c r="D280" i="16"/>
  <c r="E274" i="16"/>
  <c r="N15" i="13" l="1"/>
  <c r="E15" i="13" s="1"/>
  <c r="F257" i="16" l="1"/>
  <c r="E262" i="16" s="1"/>
  <c r="F256" i="16"/>
  <c r="E261" i="16" s="1"/>
  <c r="M13" i="13" s="1"/>
  <c r="E13" i="13" s="1"/>
  <c r="F233" i="16"/>
  <c r="M17" i="13" l="1"/>
  <c r="E17" i="13" s="1"/>
  <c r="E278" i="16"/>
  <c r="M14" i="13" s="1"/>
  <c r="E14" i="13" s="1"/>
  <c r="F235" i="16"/>
  <c r="F222" i="16" s="1"/>
  <c r="E16" i="12" l="1"/>
  <c r="D111" i="16"/>
  <c r="G3" i="13"/>
  <c r="L3" i="13"/>
  <c r="M3" i="13"/>
  <c r="O3" i="13"/>
  <c r="G26" i="13"/>
  <c r="E26" i="13" s="1"/>
  <c r="E30" i="12" s="1"/>
  <c r="G28" i="13"/>
  <c r="E28" i="13" s="1"/>
  <c r="E32" i="12" s="1"/>
  <c r="G30" i="13"/>
  <c r="E30" i="13" s="1"/>
  <c r="E34" i="12" s="1"/>
  <c r="G31" i="13"/>
  <c r="E31" i="13" s="1"/>
  <c r="E35" i="12" s="1"/>
  <c r="G32" i="13"/>
  <c r="E32" i="13" s="1"/>
  <c r="E37" i="12" s="1"/>
  <c r="E33" i="12"/>
  <c r="G37" i="13"/>
  <c r="E37" i="13" s="1"/>
  <c r="E42" i="12" s="1"/>
  <c r="E36" i="13"/>
  <c r="E41" i="12" s="1"/>
  <c r="G35" i="13"/>
  <c r="E35" i="13" s="1"/>
  <c r="E40" i="12" s="1"/>
  <c r="E96" i="16"/>
  <c r="I22" i="13" s="1"/>
  <c r="E24" i="12"/>
  <c r="E23" i="12"/>
  <c r="E22" i="12"/>
  <c r="E21" i="12"/>
  <c r="G16" i="13"/>
  <c r="E19" i="12"/>
  <c r="E18" i="12"/>
  <c r="E17" i="12"/>
  <c r="K11" i="13"/>
  <c r="K10" i="13"/>
  <c r="E13" i="12"/>
  <c r="E57" i="16"/>
  <c r="E100" i="16" s="1"/>
  <c r="G6" i="13" s="1"/>
  <c r="C14" i="13"/>
  <c r="C16" i="13"/>
  <c r="C15" i="13"/>
  <c r="C12" i="13"/>
  <c r="D37" i="13"/>
  <c r="D36" i="13"/>
  <c r="D35" i="13"/>
  <c r="D32" i="13"/>
  <c r="D31" i="13"/>
  <c r="D30" i="13"/>
  <c r="D29" i="13"/>
  <c r="D28" i="13"/>
  <c r="D27" i="13"/>
  <c r="D26" i="13"/>
  <c r="D25" i="13"/>
  <c r="D22" i="13"/>
  <c r="D21" i="13"/>
  <c r="D20" i="13"/>
  <c r="D19" i="13"/>
  <c r="D18" i="13"/>
  <c r="D17" i="13"/>
  <c r="D16" i="13"/>
  <c r="D15" i="13"/>
  <c r="D14" i="13"/>
  <c r="D13" i="13"/>
  <c r="D12" i="13"/>
  <c r="D11" i="13"/>
  <c r="D10" i="13"/>
  <c r="D9" i="13"/>
  <c r="D8" i="13"/>
  <c r="D7" i="13"/>
  <c r="D6" i="13"/>
  <c r="C37" i="13"/>
  <c r="C36" i="13"/>
  <c r="C35" i="13"/>
  <c r="C32" i="13"/>
  <c r="C31" i="13"/>
  <c r="C30" i="13"/>
  <c r="C29" i="13"/>
  <c r="C28" i="13"/>
  <c r="C27" i="13"/>
  <c r="C26" i="13"/>
  <c r="C25" i="13"/>
  <c r="C22" i="13"/>
  <c r="C21" i="13"/>
  <c r="C20" i="13"/>
  <c r="C19" i="13"/>
  <c r="C18" i="13"/>
  <c r="C17" i="13"/>
  <c r="C13" i="13"/>
  <c r="C11" i="13"/>
  <c r="C10" i="13"/>
  <c r="C9" i="13"/>
  <c r="C8" i="13"/>
  <c r="C7" i="13"/>
  <c r="C6" i="13"/>
  <c r="E22" i="13" l="1"/>
  <c r="E26" i="12" s="1"/>
  <c r="I26" i="12" s="1"/>
  <c r="E16" i="13"/>
  <c r="E20" i="12" s="1"/>
  <c r="E14" i="12"/>
  <c r="E10" i="13"/>
  <c r="E6" i="13"/>
  <c r="E10" i="12" s="1"/>
  <c r="E15" i="12"/>
  <c r="E11" i="13"/>
  <c r="E101" i="16"/>
  <c r="G7" i="13" s="1"/>
  <c r="G8" i="13"/>
  <c r="E31" i="12"/>
  <c r="I31" i="12" s="1"/>
  <c r="E25" i="13"/>
  <c r="E29" i="12" s="1"/>
  <c r="I29" i="12" s="1"/>
  <c r="L29" i="13"/>
  <c r="I33" i="12" s="1"/>
  <c r="E8" i="13" l="1"/>
  <c r="E12" i="12" s="1"/>
  <c r="E7" i="13"/>
  <c r="E11" i="12" s="1"/>
  <c r="I25" i="12" l="1"/>
  <c r="I22" i="12"/>
  <c r="I23" i="12"/>
  <c r="I24" i="12"/>
</calcChain>
</file>

<file path=xl/sharedStrings.xml><?xml version="1.0" encoding="utf-8"?>
<sst xmlns="http://schemas.openxmlformats.org/spreadsheetml/2006/main" count="391" uniqueCount="231">
  <si>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</si>
  <si>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</si>
  <si>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</si>
  <si>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</si>
  <si>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</si>
  <si>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</si>
  <si>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</si>
  <si>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</si>
  <si>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</si>
  <si>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</si>
  <si>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</si>
  <si>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</si>
  <si>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</si>
  <si>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</si>
  <si>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</si>
  <si>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</si>
  <si>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</si>
  <si>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</si>
  <si>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</si>
  <si>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</si>
  <si>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</si>
  <si>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</si>
  <si>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</si>
  <si>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</si>
  <si>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</si>
  <si>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</si>
  <si>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</si>
  <si>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</si>
  <si>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</si>
  <si>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</si>
  <si>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</si>
  <si>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</si>
  <si>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</si>
  <si>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</si>
  <si>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</si>
  <si>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</si>
  <si>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</si>
  <si>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</si>
  <si>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</si>
  <si>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</si>
  <si>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</si>
  <si>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</si>
  <si>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</si>
  <si>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</si>
  <si>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</si>
  <si>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</si>
  <si>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</si>
  <si>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</si>
  <si>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</si>
  <si>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</si>
  <si>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</si>
  <si>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</si>
  <si>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</si>
  <si>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</si>
  <si>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</si>
  <si>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</si>
  <si>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</si>
  <si>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</si>
  <si>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</si>
  <si>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</si>
  <si>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</si>
  <si>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</si>
  <si>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</si>
  <si>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</si>
  <si>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</si>
  <si>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</si>
  <si>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</si>
  <si>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</si>
  <si>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</si>
  <si>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</si>
  <si>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</si>
  <si>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</si>
  <si>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</si>
  <si>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</si>
  <si>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</si>
  <si>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</si>
  <si>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</si>
  <si>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</si>
  <si>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</si>
  <si>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</si>
  <si>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</si>
  <si>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</si>
  <si>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input.ambient_heat</t>
  </si>
  <si>
    <t>input.electricity</t>
  </si>
  <si>
    <t>full_load_hours</t>
  </si>
  <si>
    <t>simult_sd</t>
  </si>
  <si>
    <t>simult_se</t>
  </si>
  <si>
    <t>simult_wd</t>
  </si>
  <si>
    <t>simult_we</t>
  </si>
  <si>
    <t>COP</t>
  </si>
  <si>
    <t>investment costs</t>
  </si>
  <si>
    <t>Note: just for the HP</t>
  </si>
  <si>
    <t>total investment costs</t>
  </si>
  <si>
    <t>Date retrieved</t>
  </si>
  <si>
    <t>Investment costs</t>
  </si>
  <si>
    <t>NL</t>
  </si>
  <si>
    <t>nd</t>
  </si>
  <si>
    <t>Cost_of_installing</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</si>
  <si>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</si>
  <si>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</si>
  <si>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</si>
  <si>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</si>
  <si>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</si>
  <si>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</si>
  <si>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</si>
  <si>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</si>
  <si>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Calculated by ETM</t>
  </si>
  <si>
    <r>
      <rPr>
        <sz val="12"/>
        <color theme="1"/>
        <rFont val="Calibri"/>
        <family val="2"/>
        <scheme val="minor"/>
      </rPr>
      <t>electricity</t>
    </r>
    <r>
      <rPr>
        <sz val="12"/>
        <color theme="1"/>
        <rFont val="Calibri"/>
        <family val="2"/>
        <scheme val="minor"/>
      </rPr>
      <t>_output_capacity</t>
    </r>
  </si>
  <si>
    <t>Currently only includes the HP part</t>
  </si>
  <si>
    <t>fixed_o&amp;m_costs</t>
  </si>
  <si>
    <t>08/12/2015</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</si>
  <si>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</si>
  <si>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</si>
  <si>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2015</t>
  </si>
  <si>
    <t>TNO</t>
  </si>
  <si>
    <t>http://refman.et-model.com/publications/2017</t>
  </si>
  <si>
    <t>Quintel working definition</t>
  </si>
  <si>
    <t>Quintel WD</t>
  </si>
  <si>
    <t>Lowest of the two components (heatpump_air_water_electricity and combined_network_gas)</t>
  </si>
  <si>
    <t>we divide the output share by the efficiency</t>
  </si>
  <si>
    <t>output.useable_heat.ambient_heat</t>
  </si>
  <si>
    <t>output.useable_heat.electricity</t>
  </si>
  <si>
    <t>Efficiency of HP part</t>
  </si>
  <si>
    <t>output.cooling</t>
  </si>
  <si>
    <t>fever.base_cop</t>
  </si>
  <si>
    <t>fever.capacity.electricity</t>
  </si>
  <si>
    <t>fever.cop_cutoff</t>
  </si>
  <si>
    <t>fever.cop_per_degree</t>
  </si>
  <si>
    <t>storage.volume</t>
  </si>
  <si>
    <t>MWh</t>
  </si>
  <si>
    <t>hour/year</t>
  </si>
  <si>
    <t>Ecofys</t>
  </si>
  <si>
    <t>DHPA</t>
  </si>
  <si>
    <t>quintel/etsource@0277ad226491f5aae44c874b298cbcf694d2f6cb</t>
  </si>
  <si>
    <t>page</t>
  </si>
  <si>
    <t>COP/degree C</t>
  </si>
  <si>
    <t>201707_Tabel RV WW en koude met warmtepompen</t>
  </si>
  <si>
    <t>oC</t>
  </si>
  <si>
    <t>https://refman.energytransitionmodel.com/search?utf8=%E2%9C%93&amp;q=systeemkosten&amp;commit=Search</t>
  </si>
  <si>
    <t>Phone conversation Peter Wagener notes:</t>
  </si>
  <si>
    <t>output.useable_heat</t>
  </si>
  <si>
    <t>electricity_output_capacity</t>
  </si>
  <si>
    <t>peak_load_units_present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</si>
  <si>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</si>
  <si>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MJ/kg</t>
  </si>
  <si>
    <t>euro/MJ warmte</t>
  </si>
  <si>
    <t>electricity</t>
  </si>
  <si>
    <t>euro/kWh</t>
  </si>
  <si>
    <t>threshold COP</t>
  </si>
  <si>
    <t>Update Marlieke Verweij 20200401:</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</si>
  <si>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</si>
  <si>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t>output temperatuur (graden Celsius)</t>
  </si>
  <si>
    <t>base_cop</t>
  </si>
  <si>
    <t xml:space="preserve">cop_per_degree </t>
  </si>
  <si>
    <t>source</t>
  </si>
  <si>
    <t>linear fit Ecofys curve</t>
  </si>
  <si>
    <t>The input share in the node for the start year should be adjusted soon, will be done together with dataset update!</t>
  </si>
  <si>
    <r>
      <t>With this output temperature and the cost-optimal threshold COP of 2.6, the HHP electricity share (heat output) for houses with energylabel B is 64</t>
    </r>
    <r>
      <rPr>
        <b/>
        <sz val="12"/>
        <color theme="1"/>
        <rFont val="Calibri"/>
        <family val="2"/>
        <scheme val="minor"/>
      </rPr>
      <t>%.</t>
    </r>
  </si>
  <si>
    <t>This is the value that is used for gas</t>
  </si>
  <si>
    <t>Phone conversation</t>
  </si>
  <si>
    <t>See file on Dropbox</t>
  </si>
  <si>
    <t>Ref temperature for output capacity</t>
  </si>
  <si>
    <t xml:space="preserve">HHP's don’t need a buffer for storage as the compressor regulates itself. </t>
  </si>
  <si>
    <t>fever.capacity_electricity</t>
  </si>
  <si>
    <t>PJ</t>
  </si>
  <si>
    <t>TNO1</t>
  </si>
  <si>
    <t>Koen van Bemmelen</t>
  </si>
  <si>
    <t>Grant UK</t>
  </si>
  <si>
    <t>GB</t>
  </si>
  <si>
    <t>input.crude_oil</t>
  </si>
  <si>
    <t>output.useable_heat.crude_oil</t>
  </si>
  <si>
    <t>fever.capacity.crude_oil</t>
  </si>
  <si>
    <t>https://www.grantuk.com/media/5675/grant-vortex-pro-combi-installer-uk-doc-0122-rev-31-february-2024.pdf</t>
  </si>
  <si>
    <t>2024</t>
  </si>
  <si>
    <t>25/03/2024</t>
  </si>
  <si>
    <t>Figure A: Grant VortexAir Oil boiler technical data</t>
  </si>
  <si>
    <t>Source:</t>
  </si>
  <si>
    <t>Oil boiler specifications based on Grant ProCombi 26 Oil Boiler</t>
  </si>
  <si>
    <t>Useful efficiency - at rated heat output and high temperature regime</t>
  </si>
  <si>
    <t>Useful efficiency - at 30% of rated heat output and low temperature regime</t>
  </si>
  <si>
    <t>The analysis below is copied from households_space_heater_hybrid_hydrogen_heatpump_air_water_electricity.converter</t>
  </si>
  <si>
    <t>Note by Koen van Bemmelen on 25/03/2024</t>
  </si>
  <si>
    <t>Additions and alterations are marked in red</t>
  </si>
  <si>
    <r>
      <t xml:space="preserve">For now, we set the </t>
    </r>
    <r>
      <rPr>
        <strike/>
        <sz val="12"/>
        <color theme="1"/>
        <rFont val="Calibri (Body)"/>
      </rPr>
      <t>gas</t>
    </r>
    <r>
      <rPr>
        <sz val="12"/>
        <color theme="1"/>
        <rFont val="Calibri (Body)"/>
      </rPr>
      <t xml:space="preserve"> </t>
    </r>
    <r>
      <rPr>
        <sz val="12"/>
        <color rgb="FFFF0000"/>
        <rFont val="Calibri (Body)"/>
      </rPr>
      <t>oil</t>
    </r>
    <r>
      <rPr>
        <sz val="12"/>
        <color theme="1"/>
        <rFont val="Calibri"/>
        <family val="2"/>
        <scheme val="minor"/>
      </rPr>
      <t xml:space="preserve"> part share to be 0.2</t>
    </r>
  </si>
  <si>
    <r>
      <t xml:space="preserve">output of useable heat share from </t>
    </r>
    <r>
      <rPr>
        <strike/>
        <sz val="12"/>
        <color theme="1"/>
        <rFont val="Calibri (Body)"/>
      </rPr>
      <t>gas</t>
    </r>
    <r>
      <rPr>
        <sz val="12"/>
        <color theme="1"/>
        <rFont val="Calibri (Body)"/>
      </rPr>
      <t xml:space="preserve"> </t>
    </r>
    <r>
      <rPr>
        <sz val="12"/>
        <color rgb="FFFF0000"/>
        <rFont val="Calibri (Body)"/>
      </rPr>
      <t>oil</t>
    </r>
    <r>
      <rPr>
        <sz val="12"/>
        <color theme="1"/>
        <rFont val="Calibri"/>
        <family val="2"/>
        <scheme val="minor"/>
      </rPr>
      <t xml:space="preserve"> part</t>
    </r>
  </si>
  <si>
    <r>
      <t>output.useable_heat</t>
    </r>
    <r>
      <rPr>
        <sz val="12"/>
        <color theme="1"/>
        <rFont val="Calibri"/>
        <family val="2"/>
        <scheme val="minor"/>
      </rPr>
      <t>.crude_oil</t>
    </r>
  </si>
  <si>
    <r>
      <t xml:space="preserve">efficiency of </t>
    </r>
    <r>
      <rPr>
        <strike/>
        <sz val="12"/>
        <color theme="1"/>
        <rFont val="Calibri (Body)"/>
      </rPr>
      <t>gas</t>
    </r>
    <r>
      <rPr>
        <sz val="12"/>
        <color theme="1"/>
        <rFont val="Calibri (Body)"/>
      </rPr>
      <t xml:space="preserve"> </t>
    </r>
    <r>
      <rPr>
        <sz val="12"/>
        <color rgb="FFFF0000"/>
        <rFont val="Calibri (Body)"/>
      </rPr>
      <t>oil</t>
    </r>
    <r>
      <rPr>
        <sz val="12"/>
        <color theme="1"/>
        <rFont val="Calibri"/>
        <family val="2"/>
        <scheme val="minor"/>
      </rPr>
      <t xml:space="preserve"> part</t>
    </r>
  </si>
  <si>
    <t>Average efficiency</t>
  </si>
  <si>
    <t>Typically British sources use the Higher Heating Value of a fuel (=heat of combustion including heat from water vapor condensation).</t>
  </si>
  <si>
    <t>However, because these efficiency figures derive from a EU-regulated product fiche, we assume the efficiency is based on the Lower Heating Value of kerosene</t>
  </si>
  <si>
    <r>
      <t xml:space="preserve">To find the input share of </t>
    </r>
    <r>
      <rPr>
        <strike/>
        <sz val="12"/>
        <color theme="1"/>
        <rFont val="Calibri (Body)"/>
      </rPr>
      <t>network gas</t>
    </r>
    <r>
      <rPr>
        <sz val="12"/>
        <color theme="1"/>
        <rFont val="Calibri (Body)"/>
      </rPr>
      <t xml:space="preserve"> </t>
    </r>
    <r>
      <rPr>
        <sz val="12"/>
        <color rgb="FFFF0000"/>
        <rFont val="Calibri (Body)"/>
      </rPr>
      <t>oil</t>
    </r>
    <r>
      <rPr>
        <sz val="12"/>
        <color theme="1"/>
        <rFont val="Calibri"/>
        <family val="2"/>
        <scheme val="minor"/>
      </rPr>
      <t>,</t>
    </r>
  </si>
  <si>
    <t>Otherwise, you would need to multiply this efficiency by QHHV/QLHV, i.e. a factor &gt; 1</t>
  </si>
  <si>
    <t>For comparison, see the Grant Vortex ProCombi 26 spec sheet</t>
  </si>
  <si>
    <t>https://www.grantuk.com/media/5286/vtxbfair1526-fiche-v13-2023-02-08.pdf</t>
  </si>
  <si>
    <t>2023</t>
  </si>
  <si>
    <t>Wolseley</t>
  </si>
  <si>
    <t>https://www.wolseley.co.uk/product/grant-aerona-3-hpid17r32-inverter-driven-air-source-heat-pump-3-17kw/</t>
  </si>
  <si>
    <t>installation costs</t>
  </si>
  <si>
    <t>Heatable</t>
  </si>
  <si>
    <t>14/03/2023</t>
  </si>
  <si>
    <t>https://heatable.co.uk/boiler-advice/hybrid-heat-pumps</t>
  </si>
  <si>
    <t>Note: just for the oil part of the hhp</t>
  </si>
  <si>
    <t>GBP</t>
  </si>
  <si>
    <t>EUR/GBP</t>
  </si>
  <si>
    <t>As per 25/03/2024</t>
  </si>
  <si>
    <t>COP (note: at Tj = +7 degC, water heating temperature of 55 degC as per EU regulation of 'medium temperature application')</t>
  </si>
  <si>
    <t>Buffering not required</t>
  </si>
  <si>
    <t>EUR</t>
  </si>
  <si>
    <t>CE Delft</t>
  </si>
  <si>
    <t>Note: based on hybrid network gas heat pumps; no better value available for oil HHP</t>
  </si>
  <si>
    <t>cost_of_installation</t>
  </si>
  <si>
    <t>04/2021</t>
  </si>
  <si>
    <t>2021</t>
  </si>
  <si>
    <t>https://refman.energytransitionmodel.com/publications/2195</t>
  </si>
  <si>
    <t>https://ce.nl/wp-content/uploads/2021/04/06_Factsheet-Hybride-warmtepomp_DEF.pdf</t>
  </si>
  <si>
    <t>https://www.wolseley.co.uk/product/grant-vortex-pro-26-erp-combi-oil-boiler/</t>
  </si>
  <si>
    <t>See figure A to the right</t>
  </si>
  <si>
    <r>
      <t>heatpump</t>
    </r>
    <r>
      <rPr>
        <sz val="12"/>
        <color rgb="FFFF0000"/>
        <rFont val="Calibri (Body)"/>
      </rPr>
      <t xml:space="preserve"> </t>
    </r>
    <r>
      <rPr>
        <sz val="12"/>
        <color theme="1"/>
        <rFont val="Calibri"/>
        <family val="2"/>
        <scheme val="minor"/>
      </rPr>
      <t xml:space="preserve">part share is </t>
    </r>
  </si>
  <si>
    <t>oil</t>
  </si>
  <si>
    <t>kg/L</t>
  </si>
  <si>
    <t>taken from crude_oil.carrier</t>
  </si>
  <si>
    <t>for COP1</t>
  </si>
  <si>
    <t>This cut-off COP is the cost-optimal threshold COP calculated based on these oil and electricity prices</t>
  </si>
  <si>
    <t>See Prated in spec sheets below</t>
  </si>
  <si>
    <t>GBP/L</t>
  </si>
  <si>
    <t>https://www.ecb.europa.eu/stats/policy_and_exchange_rates/euro_reference_exchange_rates/html/eurofxref-graph-gbp.en.html</t>
  </si>
  <si>
    <t>https://www.ons.gov.uk/economy/inflationandpriceindices/timeseries/kj5u/mm23</t>
  </si>
  <si>
    <t>Prated according to Grant UK spec sheet above</t>
  </si>
  <si>
    <t>households_space_heater_hybrid_crude_oil_heatpump_air_water_electricity</t>
  </si>
  <si>
    <t>Quintel assumption</t>
  </si>
  <si>
    <t>See  https://docs.energytransitionmodel.com/main/cost-wacc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</si>
</sst>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5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b/>
      <sz val="12"/>
      <color rgb="FFFF0000"/>
      <name val="Calibri"/>
      <family val="2"/>
      <scheme val="minor"/>
    </font>
    <font>
      <sz val="12"/>
      <name val="Calibri"/>
      <family val="2"/>
      <scheme val="minor"/>
    </font>
    <font>
      <sz val="12"/>
      <color theme="1"/>
      <name val="Calibri"/>
      <family val="2"/>
    </font>
    <font>
      <strike/>
      <sz val="12"/>
      <color theme="1"/>
      <name val="Calibri (Body)"/>
    </font>
    <font>
      <sz val="12"/>
      <color theme="1"/>
      <name val="Calibri (Body)"/>
    </font>
    <font>
      <sz val="12"/>
      <color rgb="FFFF0000"/>
      <name val="Calibri (Body)"/>
    </font>
    <font>
      <b/>
      <i/>
      <sz val="12"/>
      <color rgb="FFFF0000"/>
      <name val="Calibri"/>
      <family val="2"/>
      <scheme val="minor"/>
    </font>
    <font>
      <strike/>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270">
    <xf numFmtId="0" fontId="0" fillId="0" borderId="0" xfId="0"/>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2" fontId="31" fillId="3"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xf numFmtId="1" fontId="30" fillId="2" borderId="0" xfId="0" applyNumberFormat="1" applyFont="1" applyFill="1" applyAlignment="1">
      <alignment vertical="center"/>
    </xf>
    <xf numFmtId="2" fontId="30" fillId="2" borderId="0" xfId="0" applyNumberFormat="1" applyFont="1" applyFill="1" applyAlignment="1">
      <alignment horizontal="right" vertical="center"/>
    </xf>
    <xf numFmtId="0" fontId="30" fillId="0" borderId="0" xfId="0" applyFont="1" applyAlignment="1">
      <alignment horizontal="left" vertical="center"/>
    </xf>
    <xf numFmtId="0" fontId="30" fillId="2" borderId="0" xfId="0" applyFont="1" applyFill="1"/>
    <xf numFmtId="0" fontId="30" fillId="2" borderId="9" xfId="0" applyFont="1" applyFill="1" applyBorder="1"/>
    <xf numFmtId="0" fontId="30" fillId="2" borderId="4" xfId="0" applyFont="1" applyFill="1" applyBorder="1"/>
    <xf numFmtId="0" fontId="27" fillId="2" borderId="0" xfId="0" applyFont="1" applyFill="1"/>
    <xf numFmtId="0" fontId="31" fillId="0" borderId="0" xfId="0" applyFont="1"/>
    <xf numFmtId="0" fontId="30" fillId="2" borderId="6" xfId="0" applyFont="1" applyFill="1" applyBorder="1"/>
    <xf numFmtId="0" fontId="31" fillId="3" borderId="17" xfId="0" applyFont="1" applyFill="1" applyBorder="1"/>
    <xf numFmtId="0" fontId="31" fillId="3" borderId="2" xfId="0" applyFont="1" applyFill="1" applyBorder="1"/>
    <xf numFmtId="0" fontId="27" fillId="2" borderId="2" xfId="0" applyFont="1" applyFill="1" applyBorder="1"/>
    <xf numFmtId="0" fontId="34" fillId="3" borderId="0" xfId="0" applyFont="1" applyFill="1"/>
    <xf numFmtId="0" fontId="27" fillId="2" borderId="7" xfId="0" applyFont="1" applyFill="1" applyBorder="1"/>
    <xf numFmtId="0" fontId="30" fillId="0" borderId="0" xfId="0" applyFont="1"/>
    <xf numFmtId="0" fontId="32" fillId="3" borderId="0" xfId="0" applyFont="1" applyFill="1"/>
    <xf numFmtId="0" fontId="30" fillId="2" borderId="0" xfId="0" applyFont="1" applyFill="1" applyAlignment="1">
      <alignment horizontal="left" vertical="center"/>
    </xf>
    <xf numFmtId="0" fontId="26" fillId="2" borderId="0" xfId="0" applyFont="1" applyFill="1"/>
    <xf numFmtId="0" fontId="26" fillId="0" borderId="0" xfId="0" applyFont="1"/>
    <xf numFmtId="0" fontId="26" fillId="2" borderId="3" xfId="0" applyFont="1" applyFill="1" applyBorder="1"/>
    <xf numFmtId="0" fontId="26" fillId="2" borderId="15" xfId="0" applyFont="1" applyFill="1" applyBorder="1"/>
    <xf numFmtId="0" fontId="26" fillId="2" borderId="6" xfId="0" applyFont="1" applyFill="1" applyBorder="1"/>
    <xf numFmtId="0" fontId="26" fillId="2" borderId="10" xfId="0" applyFont="1" applyFill="1" applyBorder="1"/>
    <xf numFmtId="0" fontId="26" fillId="2" borderId="11" xfId="0" applyFont="1" applyFill="1" applyBorder="1"/>
    <xf numFmtId="0" fontId="26" fillId="2" borderId="12" xfId="0" applyFont="1" applyFill="1" applyBorder="1"/>
    <xf numFmtId="0" fontId="35" fillId="2" borderId="0" xfId="0" applyFont="1" applyFill="1"/>
    <xf numFmtId="0" fontId="35" fillId="2" borderId="5" xfId="0" applyFont="1" applyFill="1" applyBorder="1"/>
    <xf numFmtId="0" fontId="36" fillId="2" borderId="0" xfId="0" applyFont="1" applyFill="1"/>
    <xf numFmtId="49" fontId="36" fillId="2" borderId="0" xfId="0" applyNumberFormat="1" applyFont="1" applyFill="1"/>
    <xf numFmtId="0" fontId="36" fillId="2" borderId="3" xfId="0" applyFont="1" applyFill="1" applyBorder="1"/>
    <xf numFmtId="0" fontId="36" fillId="2" borderId="4" xfId="0" applyFont="1" applyFill="1" applyBorder="1"/>
    <xf numFmtId="49" fontId="36" fillId="2" borderId="4" xfId="0" applyNumberFormat="1" applyFont="1" applyFill="1" applyBorder="1"/>
    <xf numFmtId="0" fontId="36" fillId="2" borderId="6" xfId="0" applyFont="1" applyFill="1" applyBorder="1"/>
    <xf numFmtId="0" fontId="37" fillId="2" borderId="0" xfId="0" applyFont="1" applyFill="1"/>
    <xf numFmtId="49" fontId="37" fillId="2" borderId="0" xfId="0" applyNumberFormat="1" applyFont="1" applyFill="1"/>
    <xf numFmtId="0" fontId="36" fillId="2" borderId="16" xfId="0" applyFont="1" applyFill="1" applyBorder="1"/>
    <xf numFmtId="0" fontId="37" fillId="2" borderId="9" xfId="0" applyFont="1" applyFill="1" applyBorder="1"/>
    <xf numFmtId="49" fontId="37" fillId="2" borderId="9" xfId="0" applyNumberFormat="1" applyFont="1" applyFill="1" applyBorder="1"/>
    <xf numFmtId="2" fontId="30" fillId="2" borderId="9" xfId="0" applyNumberFormat="1" applyFont="1" applyFill="1" applyBorder="1" applyAlignment="1">
      <alignment vertical="center"/>
    </xf>
    <xf numFmtId="2" fontId="30" fillId="2" borderId="9" xfId="0" applyNumberFormat="1" applyFont="1" applyFill="1" applyBorder="1" applyAlignment="1">
      <alignment horizontal="left" vertical="center"/>
    </xf>
    <xf numFmtId="0" fontId="25" fillId="2" borderId="0" xfId="0" applyFont="1" applyFill="1"/>
    <xf numFmtId="2" fontId="25" fillId="2" borderId="0" xfId="0" applyNumberFormat="1" applyFont="1" applyFill="1"/>
    <xf numFmtId="0" fontId="25" fillId="2" borderId="3" xfId="0" applyFont="1" applyFill="1" applyBorder="1"/>
    <xf numFmtId="0" fontId="25" fillId="2" borderId="4" xfId="0" applyFont="1" applyFill="1" applyBorder="1"/>
    <xf numFmtId="2" fontId="25" fillId="2" borderId="4" xfId="0" applyNumberFormat="1" applyFont="1" applyFill="1" applyBorder="1"/>
    <xf numFmtId="0" fontId="25" fillId="2" borderId="6" xfId="0" applyFont="1" applyFill="1" applyBorder="1"/>
    <xf numFmtId="0" fontId="25" fillId="2" borderId="0" xfId="0" applyFont="1" applyFill="1" applyAlignment="1">
      <alignment horizontal="left" vertical="center"/>
    </xf>
    <xf numFmtId="1" fontId="25" fillId="2" borderId="0" xfId="0" applyNumberFormat="1" applyFont="1" applyFill="1" applyAlignment="1">
      <alignment vertical="center"/>
    </xf>
    <xf numFmtId="10" fontId="25" fillId="2" borderId="0" xfId="0" applyNumberFormat="1" applyFont="1" applyFill="1" applyAlignment="1">
      <alignment horizontal="left" vertical="center" indent="2"/>
    </xf>
    <xf numFmtId="0" fontId="30" fillId="2" borderId="17" xfId="0" applyFont="1" applyFill="1" applyBorder="1"/>
    <xf numFmtId="0" fontId="24" fillId="2" borderId="2" xfId="0" applyFont="1" applyFill="1" applyBorder="1"/>
    <xf numFmtId="0" fontId="30" fillId="2" borderId="7" xfId="0" applyFont="1" applyFill="1" applyBorder="1"/>
    <xf numFmtId="0" fontId="24" fillId="2" borderId="0" xfId="0" applyFont="1" applyFill="1"/>
    <xf numFmtId="0" fontId="39" fillId="2" borderId="0" xfId="0" applyFont="1" applyFill="1"/>
    <xf numFmtId="0" fontId="24" fillId="2" borderId="18" xfId="0" applyFont="1" applyFill="1" applyBorder="1"/>
    <xf numFmtId="0" fontId="24" fillId="5" borderId="0" xfId="0" applyFont="1" applyFill="1"/>
    <xf numFmtId="0" fontId="24" fillId="6" borderId="0" xfId="0" applyFont="1" applyFill="1"/>
    <xf numFmtId="0" fontId="24" fillId="7" borderId="0" xfId="0" applyFont="1" applyFill="1"/>
    <xf numFmtId="0" fontId="24" fillId="8" borderId="0" xfId="0" applyFont="1" applyFill="1"/>
    <xf numFmtId="0" fontId="24" fillId="2" borderId="7" xfId="0" applyFont="1" applyFill="1" applyBorder="1"/>
    <xf numFmtId="0" fontId="24" fillId="9" borderId="0" xfId="0" applyFont="1" applyFill="1"/>
    <xf numFmtId="0" fontId="24" fillId="10" borderId="0" xfId="0" applyFont="1" applyFill="1"/>
    <xf numFmtId="0" fontId="24" fillId="11" borderId="0" xfId="0" applyFont="1" applyFill="1"/>
    <xf numFmtId="0" fontId="24" fillId="12" borderId="0" xfId="0" applyFont="1" applyFill="1"/>
    <xf numFmtId="0" fontId="30" fillId="2" borderId="16" xfId="0" applyFont="1" applyFill="1" applyBorder="1"/>
    <xf numFmtId="0" fontId="32" fillId="2" borderId="9" xfId="0" applyFont="1" applyFill="1" applyBorder="1"/>
    <xf numFmtId="0" fontId="31" fillId="2" borderId="0" xfId="0" applyFont="1" applyFill="1"/>
    <xf numFmtId="2" fontId="26" fillId="2" borderId="0" xfId="0" applyNumberFormat="1" applyFont="1" applyFill="1"/>
    <xf numFmtId="165" fontId="26" fillId="2" borderId="0" xfId="0" applyNumberFormat="1" applyFont="1" applyFill="1"/>
    <xf numFmtId="0" fontId="35" fillId="2" borderId="19" xfId="0" applyFont="1" applyFill="1" applyBorder="1"/>
    <xf numFmtId="0" fontId="26" fillId="2" borderId="5" xfId="0" applyFont="1" applyFill="1" applyBorder="1"/>
    <xf numFmtId="164" fontId="30" fillId="2" borderId="0" xfId="0" applyNumberFormat="1" applyFont="1" applyFill="1" applyAlignment="1">
      <alignment horizontal="left" vertical="center"/>
    </xf>
    <xf numFmtId="2" fontId="30" fillId="2" borderId="0" xfId="0" applyNumberFormat="1" applyFont="1" applyFill="1" applyAlignment="1">
      <alignment horizontal="left" vertical="center"/>
    </xf>
    <xf numFmtId="0" fontId="30" fillId="2" borderId="9" xfId="0" applyFont="1" applyFill="1" applyBorder="1" applyAlignment="1">
      <alignment vertical="center"/>
    </xf>
    <xf numFmtId="0" fontId="23" fillId="2" borderId="0" xfId="0" applyFont="1" applyFill="1"/>
    <xf numFmtId="0" fontId="30" fillId="2" borderId="3" xfId="0" applyFont="1" applyFill="1" applyBorder="1"/>
    <xf numFmtId="0" fontId="30" fillId="2" borderId="15" xfId="0" applyFont="1" applyFill="1" applyBorder="1"/>
    <xf numFmtId="0" fontId="30" fillId="2" borderId="19" xfId="0" applyFont="1" applyFill="1" applyBorder="1"/>
    <xf numFmtId="0" fontId="23" fillId="2" borderId="6" xfId="0" applyFont="1" applyFill="1" applyBorder="1"/>
    <xf numFmtId="0" fontId="23" fillId="2" borderId="5" xfId="0" applyFont="1" applyFill="1" applyBorder="1"/>
    <xf numFmtId="0" fontId="22" fillId="2" borderId="0" xfId="0" applyFont="1" applyFill="1"/>
    <xf numFmtId="0" fontId="21" fillId="2" borderId="0" xfId="0" applyFont="1" applyFill="1"/>
    <xf numFmtId="0" fontId="20" fillId="0" borderId="0" xfId="0" applyFont="1"/>
    <xf numFmtId="2" fontId="20" fillId="2" borderId="18" xfId="0" applyNumberFormat="1" applyFont="1" applyFill="1" applyBorder="1"/>
    <xf numFmtId="0" fontId="20" fillId="2" borderId="0" xfId="0" applyFont="1" applyFill="1"/>
    <xf numFmtId="0" fontId="20" fillId="2" borderId="5" xfId="0" applyFont="1" applyFill="1" applyBorder="1"/>
    <xf numFmtId="0" fontId="38" fillId="4" borderId="0" xfId="0" applyFont="1" applyFill="1"/>
    <xf numFmtId="0" fontId="38" fillId="4" borderId="6" xfId="0" applyFont="1" applyFill="1" applyBorder="1"/>
    <xf numFmtId="0" fontId="19" fillId="2" borderId="0" xfId="0" applyFont="1" applyFill="1"/>
    <xf numFmtId="0" fontId="18" fillId="2" borderId="0" xfId="0" applyFont="1" applyFill="1"/>
    <xf numFmtId="0" fontId="18" fillId="2" borderId="6" xfId="0" applyFont="1" applyFill="1" applyBorder="1"/>
    <xf numFmtId="166" fontId="20" fillId="2" borderId="18" xfId="0" applyNumberFormat="1" applyFont="1" applyFill="1" applyBorder="1"/>
    <xf numFmtId="0" fontId="18" fillId="2" borderId="18" xfId="0" applyFont="1" applyFill="1" applyBorder="1"/>
    <xf numFmtId="0" fontId="18" fillId="0" borderId="0" xfId="0" applyFont="1"/>
    <xf numFmtId="167" fontId="20" fillId="2" borderId="18" xfId="0" applyNumberFormat="1" applyFont="1" applyFill="1" applyBorder="1"/>
    <xf numFmtId="0" fontId="17" fillId="2" borderId="0" xfId="0" applyFont="1" applyFill="1"/>
    <xf numFmtId="0" fontId="16" fillId="2" borderId="0" xfId="0" applyFont="1" applyFill="1"/>
    <xf numFmtId="167" fontId="20" fillId="0" borderId="0" xfId="0" applyNumberFormat="1" applyFont="1"/>
    <xf numFmtId="0" fontId="15" fillId="2" borderId="0" xfId="0" applyFont="1" applyFill="1"/>
    <xf numFmtId="165" fontId="23" fillId="2" borderId="0" xfId="0" applyNumberFormat="1" applyFont="1" applyFill="1"/>
    <xf numFmtId="0" fontId="14" fillId="2" borderId="0" xfId="0" applyFont="1" applyFill="1"/>
    <xf numFmtId="49" fontId="26" fillId="2" borderId="0" xfId="0" applyNumberFormat="1" applyFont="1" applyFill="1"/>
    <xf numFmtId="0" fontId="13" fillId="0" borderId="0" xfId="0" applyFont="1"/>
    <xf numFmtId="0" fontId="41" fillId="0" borderId="0" xfId="0" applyFont="1"/>
    <xf numFmtId="0" fontId="13" fillId="2" borderId="0" xfId="0" applyFont="1" applyFill="1"/>
    <xf numFmtId="0" fontId="13" fillId="2" borderId="6" xfId="0" applyFont="1" applyFill="1" applyBorder="1"/>
    <xf numFmtId="0" fontId="13" fillId="2" borderId="5" xfId="0" applyFont="1" applyFill="1" applyBorder="1"/>
    <xf numFmtId="167" fontId="13" fillId="2" borderId="18" xfId="0" applyNumberFormat="1" applyFont="1" applyFill="1" applyBorder="1"/>
    <xf numFmtId="0" fontId="0" fillId="2" borderId="0" xfId="0" applyFill="1"/>
    <xf numFmtId="2" fontId="30" fillId="2" borderId="0" xfId="0" applyNumberFormat="1" applyFont="1" applyFill="1"/>
    <xf numFmtId="49" fontId="42" fillId="0" borderId="0" xfId="0" applyNumberFormat="1" applyFont="1"/>
    <xf numFmtId="2" fontId="13" fillId="2" borderId="0" xfId="0" applyNumberFormat="1" applyFont="1" applyFill="1"/>
    <xf numFmtId="165" fontId="0" fillId="2" borderId="0" xfId="0" applyNumberFormat="1" applyFill="1"/>
    <xf numFmtId="165" fontId="20" fillId="2" borderId="18" xfId="0" applyNumberFormat="1" applyFont="1" applyFill="1" applyBorder="1"/>
    <xf numFmtId="49" fontId="26" fillId="2" borderId="6" xfId="0" applyNumberFormat="1" applyFont="1" applyFill="1" applyBorder="1"/>
    <xf numFmtId="49" fontId="13" fillId="0" borderId="0" xfId="0" applyNumberFormat="1" applyFont="1"/>
    <xf numFmtId="0" fontId="13" fillId="0" borderId="6" xfId="0" applyFont="1" applyBorder="1"/>
    <xf numFmtId="0" fontId="25" fillId="2" borderId="15" xfId="0" applyFont="1" applyFill="1" applyBorder="1"/>
    <xf numFmtId="0" fontId="30" fillId="2" borderId="19" xfId="0" applyFont="1" applyFill="1" applyBorder="1" applyAlignment="1">
      <alignment vertical="center"/>
    </xf>
    <xf numFmtId="0" fontId="36" fillId="0" borderId="5" xfId="177" applyFont="1" applyFill="1" applyBorder="1" applyAlignment="1" applyProtection="1"/>
    <xf numFmtId="0" fontId="25" fillId="2" borderId="5" xfId="0" applyFont="1" applyFill="1" applyBorder="1"/>
    <xf numFmtId="0" fontId="25" fillId="2" borderId="10" xfId="0" applyFont="1" applyFill="1" applyBorder="1"/>
    <xf numFmtId="0" fontId="25" fillId="2" borderId="11" xfId="0" applyFont="1" applyFill="1" applyBorder="1"/>
    <xf numFmtId="2" fontId="25" fillId="2" borderId="11" xfId="0" applyNumberFormat="1" applyFont="1" applyFill="1" applyBorder="1"/>
    <xf numFmtId="0" fontId="25" fillId="2" borderId="12" xfId="0" applyFont="1" applyFill="1" applyBorder="1"/>
    <xf numFmtId="167" fontId="25" fillId="0" borderId="18" xfId="0" applyNumberFormat="1" applyFont="1" applyBorder="1" applyAlignment="1">
      <alignment horizontal="right" vertical="center"/>
    </xf>
    <xf numFmtId="167" fontId="25" fillId="0" borderId="0" xfId="0" applyNumberFormat="1" applyFont="1" applyAlignment="1">
      <alignment horizontal="right" vertical="center"/>
    </xf>
    <xf numFmtId="2" fontId="25" fillId="0" borderId="0" xfId="0" applyNumberFormat="1" applyFont="1" applyAlignment="1">
      <alignment horizontal="right" vertical="center"/>
    </xf>
    <xf numFmtId="167" fontId="30" fillId="0" borderId="0" xfId="0" applyNumberFormat="1" applyFont="1" applyAlignment="1">
      <alignment horizontal="right" vertical="center"/>
    </xf>
    <xf numFmtId="2" fontId="30" fillId="0" borderId="0" xfId="0" applyNumberFormat="1" applyFont="1" applyAlignment="1">
      <alignment horizontal="right" vertical="center"/>
    </xf>
    <xf numFmtId="1" fontId="25" fillId="0" borderId="18" xfId="0" applyNumberFormat="1" applyFont="1" applyBorder="1" applyAlignment="1">
      <alignment horizontal="right" vertical="center"/>
    </xf>
    <xf numFmtId="167" fontId="15" fillId="0" borderId="18" xfId="0" applyNumberFormat="1" applyFont="1" applyBorder="1" applyAlignment="1">
      <alignment horizontal="right" vertical="center"/>
    </xf>
    <xf numFmtId="1" fontId="25" fillId="0" borderId="0" xfId="0" applyNumberFormat="1" applyFont="1" applyAlignment="1">
      <alignment horizontal="right" vertical="center"/>
    </xf>
    <xf numFmtId="168" fontId="25" fillId="0" borderId="18" xfId="0" applyNumberFormat="1" applyFont="1" applyBorder="1" applyAlignment="1">
      <alignment horizontal="right" vertical="center"/>
    </xf>
    <xf numFmtId="2" fontId="25" fillId="0" borderId="0" xfId="0" applyNumberFormat="1" applyFont="1"/>
    <xf numFmtId="2" fontId="25" fillId="0" borderId="18" xfId="0" applyNumberFormat="1" applyFont="1" applyBorder="1" applyAlignment="1">
      <alignment horizontal="right" vertical="center"/>
    </xf>
    <xf numFmtId="166" fontId="25" fillId="0" borderId="18" xfId="0" applyNumberFormat="1" applyFont="1" applyBorder="1" applyAlignment="1">
      <alignment horizontal="right" vertical="center"/>
    </xf>
    <xf numFmtId="168" fontId="25" fillId="0" borderId="0" xfId="0" applyNumberFormat="1" applyFont="1" applyAlignment="1">
      <alignment horizontal="right" vertical="center"/>
    </xf>
    <xf numFmtId="0" fontId="25" fillId="0" borderId="0" xfId="0" applyFont="1"/>
    <xf numFmtId="2" fontId="25" fillId="0" borderId="18" xfId="0" applyNumberFormat="1" applyFont="1" applyBorder="1"/>
    <xf numFmtId="166" fontId="25" fillId="0" borderId="0" xfId="0" applyNumberFormat="1" applyFont="1"/>
    <xf numFmtId="166" fontId="25" fillId="0" borderId="0" xfId="0" applyNumberFormat="1" applyFont="1" applyAlignment="1">
      <alignment horizontal="right" vertical="center"/>
    </xf>
    <xf numFmtId="2" fontId="23" fillId="0" borderId="18" xfId="0" applyNumberFormat="1" applyFont="1" applyBorder="1" applyAlignment="1">
      <alignment horizontal="right" vertical="center"/>
    </xf>
    <xf numFmtId="165" fontId="25" fillId="0" borderId="18" xfId="0" applyNumberFormat="1" applyFont="1" applyBorder="1" applyAlignment="1">
      <alignment horizontal="right" vertical="center"/>
    </xf>
    <xf numFmtId="165" fontId="25" fillId="0" borderId="18" xfId="0" applyNumberFormat="1" applyFont="1" applyBorder="1"/>
    <xf numFmtId="165" fontId="25" fillId="0" borderId="0" xfId="0" applyNumberFormat="1" applyFont="1"/>
    <xf numFmtId="0" fontId="40" fillId="0" borderId="5" xfId="0" applyFont="1" applyBorder="1"/>
    <xf numFmtId="165" fontId="25" fillId="0" borderId="0" xfId="0" applyNumberFormat="1" applyFont="1" applyAlignment="1">
      <alignment horizontal="right" vertical="center"/>
    </xf>
    <xf numFmtId="0" fontId="36" fillId="2" borderId="5" xfId="0" applyFont="1" applyFill="1" applyBorder="1"/>
    <xf numFmtId="0" fontId="36" fillId="2" borderId="0" xfId="0" applyFont="1" applyFill="1" applyAlignment="1">
      <alignment horizontal="left"/>
    </xf>
    <xf numFmtId="0" fontId="36" fillId="2" borderId="6" xfId="0" applyFont="1" applyFill="1" applyBorder="1" applyAlignment="1">
      <alignment horizontal="left"/>
    </xf>
    <xf numFmtId="49" fontId="36" fillId="2" borderId="0" xfId="0" applyNumberFormat="1" applyFont="1" applyFill="1" applyAlignment="1">
      <alignment horizontal="left"/>
    </xf>
    <xf numFmtId="0" fontId="36" fillId="2" borderId="5" xfId="0" applyFont="1" applyFill="1" applyBorder="1" applyAlignment="1">
      <alignment horizontal="left"/>
    </xf>
    <xf numFmtId="0" fontId="36" fillId="2" borderId="15" xfId="0" applyFont="1" applyFill="1" applyBorder="1"/>
    <xf numFmtId="0" fontId="37" fillId="2" borderId="19" xfId="0" applyFont="1" applyFill="1" applyBorder="1"/>
    <xf numFmtId="0" fontId="37" fillId="2" borderId="5" xfId="0" applyFont="1" applyFill="1" applyBorder="1"/>
    <xf numFmtId="0" fontId="36" fillId="2" borderId="10" xfId="0" applyFont="1" applyFill="1" applyBorder="1" applyAlignment="1">
      <alignment horizontal="left"/>
    </xf>
    <xf numFmtId="0" fontId="36" fillId="2" borderId="11" xfId="0" applyFont="1" applyFill="1" applyBorder="1" applyAlignment="1">
      <alignment horizontal="left"/>
    </xf>
    <xf numFmtId="49" fontId="36" fillId="2" borderId="11" xfId="0" applyNumberFormat="1" applyFont="1" applyFill="1" applyBorder="1" applyAlignment="1">
      <alignment horizontal="left"/>
    </xf>
    <xf numFmtId="0" fontId="36" fillId="2" borderId="12" xfId="0" applyFont="1" applyFill="1" applyBorder="1" applyAlignment="1">
      <alignment horizontal="left"/>
    </xf>
    <xf numFmtId="0" fontId="37" fillId="2" borderId="0" xfId="0" applyFont="1" applyFill="1" applyAlignment="1">
      <alignment horizontal="left"/>
    </xf>
    <xf numFmtId="0" fontId="36" fillId="0" borderId="0" xfId="0" applyFont="1" applyAlignment="1">
      <alignment horizontal="left" vertical="center"/>
    </xf>
    <xf numFmtId="0" fontId="36" fillId="0" borderId="0" xfId="0" applyFont="1" applyAlignment="1">
      <alignment vertical="top"/>
    </xf>
    <xf numFmtId="0" fontId="36" fillId="0" borderId="0" xfId="0" applyFont="1"/>
    <xf numFmtId="49" fontId="36" fillId="0" borderId="0" xfId="0" applyNumberFormat="1" applyFont="1"/>
    <xf numFmtId="0" fontId="36" fillId="0" borderId="0" xfId="0" applyFont="1" applyAlignment="1">
      <alignment horizontal="left" vertical="top"/>
    </xf>
    <xf numFmtId="0" fontId="36" fillId="0" borderId="0" xfId="0" applyFont="1" applyAlignment="1">
      <alignment horizontal="left" vertical="center" indent="2"/>
    </xf>
    <xf numFmtId="0" fontId="36" fillId="0" borderId="5" xfId="0" applyFont="1" applyBorder="1" applyAlignment="1">
      <alignment vertical="top"/>
    </xf>
    <xf numFmtId="0" fontId="36" fillId="0" borderId="0" xfId="0" applyFont="1" applyAlignment="1">
      <alignment vertical="top" wrapText="1"/>
    </xf>
    <xf numFmtId="165" fontId="36" fillId="0" borderId="0" xfId="0" applyNumberFormat="1" applyFont="1" applyAlignment="1">
      <alignment horizontal="left" vertical="center" indent="2"/>
    </xf>
    <xf numFmtId="49" fontId="36" fillId="0" borderId="0" xfId="0" applyNumberFormat="1" applyFont="1" applyAlignment="1">
      <alignment vertical="top" wrapText="1"/>
    </xf>
    <xf numFmtId="0" fontId="36" fillId="0" borderId="0" xfId="0" applyFont="1" applyAlignment="1">
      <alignment horizontal="left"/>
    </xf>
    <xf numFmtId="49" fontId="36" fillId="0" borderId="0" xfId="0" applyNumberFormat="1" applyFont="1" applyAlignment="1">
      <alignment horizontal="left"/>
    </xf>
    <xf numFmtId="17" fontId="36" fillId="0" borderId="0" xfId="0" applyNumberFormat="1" applyFont="1" applyAlignment="1">
      <alignment horizontal="left"/>
    </xf>
    <xf numFmtId="0" fontId="36" fillId="0" borderId="5" xfId="0" applyFont="1" applyBorder="1" applyAlignment="1">
      <alignment horizontal="left"/>
    </xf>
    <xf numFmtId="2" fontId="36" fillId="0" borderId="0" xfId="0" applyNumberFormat="1" applyFont="1" applyAlignment="1">
      <alignment horizontal="left"/>
    </xf>
    <xf numFmtId="166" fontId="0" fillId="2" borderId="0" xfId="0" applyNumberFormat="1" applyFill="1"/>
    <xf numFmtId="1" fontId="0" fillId="2" borderId="0" xfId="0" applyNumberFormat="1" applyFill="1"/>
    <xf numFmtId="167" fontId="13" fillId="2" borderId="0" xfId="0" applyNumberFormat="1" applyFont="1" applyFill="1"/>
    <xf numFmtId="168" fontId="13" fillId="2" borderId="0" xfId="0" applyNumberFormat="1" applyFont="1" applyFill="1"/>
    <xf numFmtId="0" fontId="13" fillId="2" borderId="10" xfId="0" applyFont="1" applyFill="1" applyBorder="1"/>
    <xf numFmtId="0" fontId="13" fillId="2" borderId="11" xfId="0" applyFont="1" applyFill="1" applyBorder="1"/>
    <xf numFmtId="0" fontId="13" fillId="2" borderId="12" xfId="0" applyFont="1" applyFill="1" applyBorder="1"/>
    <xf numFmtId="49" fontId="12" fillId="0" borderId="0" xfId="0" applyNumberFormat="1" applyFont="1"/>
    <xf numFmtId="0" fontId="41" fillId="2" borderId="0" xfId="0" applyFont="1" applyFill="1"/>
    <xf numFmtId="0" fontId="41" fillId="2" borderId="6" xfId="0" applyFont="1" applyFill="1" applyBorder="1"/>
    <xf numFmtId="167" fontId="41" fillId="0" borderId="0" xfId="0" applyNumberFormat="1" applyFont="1" applyAlignment="1">
      <alignment horizontal="right" vertical="center"/>
    </xf>
    <xf numFmtId="2" fontId="43" fillId="0" borderId="0" xfId="0" applyNumberFormat="1" applyFont="1" applyAlignment="1">
      <alignment horizontal="right" vertical="center"/>
    </xf>
    <xf numFmtId="2" fontId="41" fillId="0" borderId="0" xfId="0" applyNumberFormat="1" applyFont="1" applyAlignment="1">
      <alignment horizontal="right" vertical="center"/>
    </xf>
    <xf numFmtId="0" fontId="41" fillId="0" borderId="5" xfId="177" applyFont="1" applyFill="1" applyBorder="1" applyAlignment="1" applyProtection="1"/>
    <xf numFmtId="1" fontId="41" fillId="0" borderId="0" xfId="0" applyNumberFormat="1" applyFont="1" applyAlignment="1">
      <alignment horizontal="right" vertical="center"/>
    </xf>
    <xf numFmtId="168" fontId="41" fillId="0" borderId="0" xfId="0" applyNumberFormat="1" applyFont="1" applyAlignment="1">
      <alignment horizontal="right" vertical="center"/>
    </xf>
    <xf numFmtId="0" fontId="44" fillId="0" borderId="5" xfId="0" applyFont="1" applyBorder="1" applyAlignment="1">
      <alignment horizontal="left"/>
    </xf>
    <xf numFmtId="0" fontId="42" fillId="2" borderId="0" xfId="0" applyFont="1" applyFill="1"/>
    <xf numFmtId="49" fontId="42" fillId="2" borderId="0" xfId="0" applyNumberFormat="1" applyFont="1" applyFill="1"/>
    <xf numFmtId="0" fontId="12" fillId="2" borderId="0" xfId="0" applyFont="1" applyFill="1"/>
    <xf numFmtId="0" fontId="44" fillId="2" borderId="0" xfId="0" applyFont="1" applyFill="1"/>
    <xf numFmtId="0" fontId="11" fillId="2" borderId="0" xfId="0" applyFont="1" applyFill="1"/>
    <xf numFmtId="0" fontId="10" fillId="2" borderId="0" xfId="0" applyFont="1" applyFill="1"/>
    <xf numFmtId="0" fontId="10" fillId="2" borderId="6" xfId="0" applyFont="1" applyFill="1" applyBorder="1"/>
    <xf numFmtId="1" fontId="10" fillId="0" borderId="0" xfId="0" applyNumberFormat="1" applyFont="1" applyAlignment="1">
      <alignment horizontal="right" vertical="center"/>
    </xf>
    <xf numFmtId="168" fontId="10" fillId="0" borderId="18" xfId="0" applyNumberFormat="1" applyFont="1" applyBorder="1" applyAlignment="1">
      <alignment horizontal="right" vertical="center"/>
    </xf>
    <xf numFmtId="0" fontId="10" fillId="0" borderId="5" xfId="177" applyFont="1" applyFill="1" applyBorder="1" applyAlignment="1" applyProtection="1"/>
    <xf numFmtId="0" fontId="45" fillId="0" borderId="0" xfId="0" applyFont="1"/>
    <xf numFmtId="0" fontId="9" fillId="2" borderId="0" xfId="0" applyFont="1" applyFill="1"/>
    <xf numFmtId="0" fontId="9" fillId="2" borderId="6" xfId="0" applyFont="1" applyFill="1" applyBorder="1"/>
    <xf numFmtId="0" fontId="9" fillId="2" borderId="5" xfId="0" applyFont="1" applyFill="1" applyBorder="1"/>
    <xf numFmtId="166" fontId="9" fillId="2" borderId="0" xfId="0" applyNumberFormat="1" applyFont="1" applyFill="1" applyAlignment="1">
      <alignment horizontal="right" vertical="center"/>
    </xf>
    <xf numFmtId="0" fontId="9" fillId="2" borderId="20" xfId="0" applyFont="1" applyFill="1" applyBorder="1"/>
    <xf numFmtId="0" fontId="30" fillId="2" borderId="20" xfId="0" applyFont="1" applyFill="1" applyBorder="1"/>
    <xf numFmtId="49" fontId="30" fillId="2" borderId="0" xfId="0" applyNumberFormat="1" applyFont="1" applyFill="1"/>
    <xf numFmtId="49" fontId="9" fillId="2" borderId="0" xfId="0" applyNumberFormat="1" applyFont="1" applyFill="1"/>
    <xf numFmtId="166" fontId="9" fillId="2" borderId="0" xfId="0" applyNumberFormat="1" applyFont="1" applyFill="1"/>
    <xf numFmtId="167" fontId="8" fillId="0" borderId="18" xfId="0" applyNumberFormat="1" applyFont="1" applyBorder="1" applyAlignment="1">
      <alignment horizontal="right" vertical="center"/>
    </xf>
    <xf numFmtId="167" fontId="8" fillId="0" borderId="0" xfId="0" applyNumberFormat="1" applyFont="1" applyAlignment="1">
      <alignment horizontal="right" vertical="center"/>
    </xf>
    <xf numFmtId="1" fontId="8" fillId="0" borderId="0" xfId="0" applyNumberFormat="1" applyFont="1" applyAlignment="1">
      <alignment horizontal="right" vertical="center"/>
    </xf>
    <xf numFmtId="168" fontId="8" fillId="0" borderId="18" xfId="0" applyNumberFormat="1" applyFont="1" applyBorder="1" applyAlignment="1">
      <alignment horizontal="right" vertical="center"/>
    </xf>
    <xf numFmtId="0" fontId="8" fillId="0" borderId="0" xfId="0" applyFont="1"/>
    <xf numFmtId="0" fontId="7" fillId="2" borderId="0" xfId="0" applyFont="1" applyFill="1"/>
    <xf numFmtId="0" fontId="7" fillId="2" borderId="6" xfId="0" applyFont="1" applyFill="1" applyBorder="1"/>
    <xf numFmtId="0" fontId="7" fillId="2" borderId="5" xfId="0" applyFont="1" applyFill="1" applyBorder="1"/>
    <xf numFmtId="0" fontId="7" fillId="0" borderId="0" xfId="0" applyFont="1" applyAlignment="1">
      <alignment vertical="center"/>
    </xf>
    <xf numFmtId="168" fontId="7" fillId="0" borderId="0" xfId="0" applyNumberFormat="1" applyFont="1" applyAlignment="1">
      <alignment vertical="center"/>
    </xf>
    <xf numFmtId="2" fontId="7" fillId="2" borderId="0" xfId="0" applyNumberFormat="1" applyFont="1" applyFill="1"/>
    <xf numFmtId="0" fontId="7" fillId="0" borderId="0" xfId="0" applyFont="1"/>
    <xf numFmtId="167" fontId="7" fillId="0" borderId="18" xfId="0" applyNumberFormat="1" applyFont="1" applyBorder="1" applyAlignment="1">
      <alignment horizontal="right" vertical="center"/>
    </xf>
    <xf numFmtId="167" fontId="7" fillId="0" borderId="0" xfId="0" applyNumberFormat="1" applyFont="1" applyAlignment="1">
      <alignment horizontal="right" vertical="center"/>
    </xf>
    <xf numFmtId="1" fontId="7" fillId="0" borderId="18" xfId="0" applyNumberFormat="1" applyFont="1" applyBorder="1" applyAlignment="1">
      <alignment horizontal="right" vertical="center"/>
    </xf>
    <xf numFmtId="167" fontId="7" fillId="0" borderId="18" xfId="0" applyNumberFormat="1" applyFont="1" applyBorder="1"/>
    <xf numFmtId="1" fontId="7" fillId="0" borderId="0" xfId="0" applyNumberFormat="1" applyFont="1" applyAlignment="1">
      <alignment horizontal="right" vertical="center"/>
    </xf>
    <xf numFmtId="2" fontId="7" fillId="0" borderId="0" xfId="0" applyNumberFormat="1" applyFont="1"/>
    <xf numFmtId="168" fontId="7" fillId="0" borderId="18" xfId="0" applyNumberFormat="1" applyFont="1" applyBorder="1" applyAlignment="1">
      <alignment horizontal="right" vertical="center"/>
    </xf>
    <xf numFmtId="14" fontId="36" fillId="0" borderId="0" xfId="0" applyNumberFormat="1" applyFont="1" applyAlignment="1">
      <alignment horizontal="left"/>
    </xf>
    <xf numFmtId="0" fontId="28" fillId="0" borderId="5" xfId="177" applyBorder="1" applyAlignment="1" applyProtection="1">
      <alignment horizontal="left"/>
    </xf>
    <xf numFmtId="0" fontId="6" fillId="2" borderId="0" xfId="0" applyFont="1" applyFill="1"/>
    <xf numFmtId="0" fontId="5" fillId="2" borderId="0" xfId="0" applyFont="1" applyFill="1"/>
    <xf numFmtId="0" fontId="5" fillId="0" borderId="0" xfId="0" applyFont="1"/>
    <xf numFmtId="49" fontId="5" fillId="0" borderId="0" xfId="0" applyNumberFormat="1" applyFont="1"/>
    <xf numFmtId="2" fontId="6" fillId="2" borderId="0" xfId="0" applyNumberFormat="1" applyFont="1" applyFill="1"/>
    <xf numFmtId="0" fontId="5" fillId="0" borderId="0" xfId="0" applyFont="1" applyAlignment="1">
      <alignment horizontal="left" vertical="center"/>
    </xf>
    <xf numFmtId="2" fontId="23" fillId="2" borderId="0" xfId="0" applyNumberFormat="1" applyFont="1" applyFill="1"/>
    <xf numFmtId="0" fontId="49" fillId="2" borderId="0" xfId="0" applyFont="1" applyFill="1"/>
    <xf numFmtId="0" fontId="43" fillId="2" borderId="0" xfId="0" applyFont="1" applyFill="1" applyAlignment="1">
      <alignment wrapText="1"/>
    </xf>
    <xf numFmtId="0" fontId="43" fillId="2" borderId="0" xfId="0" applyFont="1" applyFill="1"/>
    <xf numFmtId="0" fontId="50" fillId="2" borderId="0" xfId="0" applyFont="1" applyFill="1"/>
    <xf numFmtId="0" fontId="5" fillId="2" borderId="18" xfId="0" applyFont="1" applyFill="1" applyBorder="1"/>
    <xf numFmtId="0" fontId="4" fillId="2" borderId="0" xfId="0" applyFont="1" applyFill="1"/>
    <xf numFmtId="0" fontId="3" fillId="2" borderId="0" xfId="0" applyFont="1" applyFill="1"/>
    <xf numFmtId="0" fontId="30" fillId="2" borderId="5" xfId="0" applyFont="1" applyFill="1" applyBorder="1"/>
    <xf numFmtId="0" fontId="45" fillId="0" borderId="18" xfId="0" applyFont="1" applyBorder="1"/>
    <xf numFmtId="0" fontId="2" fillId="2" borderId="18" xfId="0" applyFont="1" applyFill="1" applyBorder="1"/>
    <xf numFmtId="0" fontId="38" fillId="4" borderId="17" xfId="0" applyFont="1" applyFill="1" applyBorder="1" applyAlignment="1">
      <alignment horizontal="left" vertical="top" wrapText="1"/>
    </xf>
    <xf numFmtId="0" fontId="38" fillId="4" borderId="2" xfId="0" applyFont="1" applyFill="1" applyBorder="1" applyAlignment="1">
      <alignment horizontal="left" vertical="top" wrapText="1"/>
    </xf>
    <xf numFmtId="0" fontId="38" fillId="4" borderId="13" xfId="0" applyFont="1" applyFill="1" applyBorder="1" applyAlignment="1">
      <alignment horizontal="left" vertical="top" wrapText="1"/>
    </xf>
    <xf numFmtId="0" fontId="38" fillId="4" borderId="7" xfId="0" applyFont="1" applyFill="1" applyBorder="1" applyAlignment="1">
      <alignment horizontal="left" vertical="top" wrapText="1"/>
    </xf>
    <xf numFmtId="0" fontId="38" fillId="4" borderId="0" xfId="0" applyFont="1" applyFill="1" applyAlignment="1">
      <alignment horizontal="left" vertical="top" wrapText="1"/>
    </xf>
    <xf numFmtId="0" fontId="38" fillId="4" borderId="8" xfId="0" applyFont="1" applyFill="1" applyBorder="1" applyAlignment="1">
      <alignment horizontal="left" vertical="top" wrapText="1"/>
    </xf>
    <xf numFmtId="0" fontId="38" fillId="4" borderId="1" xfId="0" applyFont="1" applyFill="1" applyBorder="1" applyAlignment="1">
      <alignment horizontal="left" vertical="top" wrapText="1"/>
    </xf>
    <xf numFmtId="0" fontId="38" fillId="4" borderId="9" xfId="0" applyFont="1" applyFill="1" applyBorder="1" applyAlignment="1">
      <alignment horizontal="left" vertical="top" wrapText="1"/>
    </xf>
    <xf numFmtId="0" fontId="38" fillId="4" borderId="14" xfId="0" applyFont="1" applyFill="1" applyBorder="1" applyAlignment="1">
      <alignment horizontal="left" vertical="top" wrapText="1"/>
    </xf>
    <xf numFmtId="0" fontId="1" fillId="2" borderId="18" xfId="0" applyFont="1" applyFill="1" applyBorder="1"/>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1241426</xdr:colOff>
      <xdr:row>30</xdr:row>
      <xdr:rowOff>139700</xdr:rowOff>
    </xdr:from>
    <xdr:to>
      <xdr:col>15</xdr:col>
      <xdr:colOff>185874</xdr:colOff>
      <xdr:row>74</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6075026" y="6248400"/>
          <a:ext cx="7047048" cy="8801100"/>
        </a:xfrm>
        <a:prstGeom prst="rect">
          <a:avLst/>
        </a:prstGeom>
      </xdr:spPr>
    </xdr:pic>
    <xdr:clientData/>
  </xdr:twoCellAnchor>
  <xdr:oneCellAnchor>
    <xdr:from>
      <xdr:col>2</xdr:col>
      <xdr:colOff>711200</xdr:colOff>
      <xdr:row>4</xdr:row>
      <xdr:rowOff>101600</xdr:rowOff>
    </xdr:from>
    <xdr:ext cx="5448300" cy="1295400"/>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295400" y="927100"/>
          <a:ext cx="5448300" cy="1295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oil boiler. Henceforth the will be referred to as `HP part' and 'oil part', respectively.</a:t>
          </a:r>
        </a:p>
      </xdr:txBody>
    </xdr:sp>
    <xdr:clientData/>
  </xdr:oneCellAnchor>
  <xdr:twoCellAnchor editAs="oneCell">
    <xdr:from>
      <xdr:col>19</xdr:col>
      <xdr:colOff>673341</xdr:colOff>
      <xdr:row>247</xdr:row>
      <xdr:rowOff>193674</xdr:rowOff>
    </xdr:from>
    <xdr:to>
      <xdr:col>27</xdr:col>
      <xdr:colOff>159480</xdr:colOff>
      <xdr:row>265</xdr:row>
      <xdr:rowOff>50799</xdr:rowOff>
    </xdr:to>
    <xdr:pic>
      <xdr:nvPicPr>
        <xdr:cNvPr id="16" name="Picture 15">
          <a:extLst>
            <a:ext uri="{FF2B5EF4-FFF2-40B4-BE49-F238E27FC236}">
              <a16:creationId xmlns:a16="http://schemas.microsoft.com/office/drawing/2014/main" id="{287DE484-21A4-9849-8B3D-64AB2660F971}"/>
            </a:ext>
          </a:extLst>
        </xdr:cNvPr>
        <xdr:cNvPicPr>
          <a:picLocks noChangeAspect="1"/>
        </xdr:cNvPicPr>
      </xdr:nvPicPr>
      <xdr:blipFill>
        <a:blip xmlns:r="http://schemas.openxmlformats.org/officeDocument/2006/relationships" r:embed="rId2"/>
        <a:stretch>
          <a:fillRect/>
        </a:stretch>
      </xdr:blipFill>
      <xdr:spPr>
        <a:xfrm>
          <a:off x="26860741" y="50396774"/>
          <a:ext cx="5988539" cy="3514725"/>
        </a:xfrm>
        <a:prstGeom prst="rect">
          <a:avLst/>
        </a:prstGeom>
      </xdr:spPr>
    </xdr:pic>
    <xdr:clientData/>
  </xdr:twoCellAnchor>
  <xdr:twoCellAnchor editAs="oneCell">
    <xdr:from>
      <xdr:col>11</xdr:col>
      <xdr:colOff>762000</xdr:colOff>
      <xdr:row>267</xdr:row>
      <xdr:rowOff>119392</xdr:rowOff>
    </xdr:from>
    <xdr:to>
      <xdr:col>18</xdr:col>
      <xdr:colOff>218840</xdr:colOff>
      <xdr:row>287</xdr:row>
      <xdr:rowOff>76200</xdr:rowOff>
    </xdr:to>
    <xdr:pic>
      <xdr:nvPicPr>
        <xdr:cNvPr id="17" name="Picture 16">
          <a:extLst>
            <a:ext uri="{FF2B5EF4-FFF2-40B4-BE49-F238E27FC236}">
              <a16:creationId xmlns:a16="http://schemas.microsoft.com/office/drawing/2014/main" id="{889C68E0-1288-EE4E-BFA7-A2511C4366B4}"/>
            </a:ext>
          </a:extLst>
        </xdr:cNvPr>
        <xdr:cNvPicPr>
          <a:picLocks noChangeAspect="1"/>
        </xdr:cNvPicPr>
      </xdr:nvPicPr>
      <xdr:blipFill>
        <a:blip xmlns:r="http://schemas.openxmlformats.org/officeDocument/2006/relationships" r:embed="rId3"/>
        <a:stretch>
          <a:fillRect/>
        </a:stretch>
      </xdr:blipFill>
      <xdr:spPr>
        <a:xfrm>
          <a:off x="20447000" y="54386492"/>
          <a:ext cx="5146440" cy="4020808"/>
        </a:xfrm>
        <a:prstGeom prst="rect">
          <a:avLst/>
        </a:prstGeom>
      </xdr:spPr>
    </xdr:pic>
    <xdr:clientData/>
  </xdr:twoCellAnchor>
  <xdr:twoCellAnchor editAs="oneCell">
    <xdr:from>
      <xdr:col>12</xdr:col>
      <xdr:colOff>825500</xdr:colOff>
      <xdr:row>248</xdr:row>
      <xdr:rowOff>0</xdr:rowOff>
    </xdr:from>
    <xdr:to>
      <xdr:col>19</xdr:col>
      <xdr:colOff>58928</xdr:colOff>
      <xdr:row>264</xdr:row>
      <xdr:rowOff>50800</xdr:rowOff>
    </xdr:to>
    <xdr:pic>
      <xdr:nvPicPr>
        <xdr:cNvPr id="19" name="Picture 18">
          <a:extLst>
            <a:ext uri="{FF2B5EF4-FFF2-40B4-BE49-F238E27FC236}">
              <a16:creationId xmlns:a16="http://schemas.microsoft.com/office/drawing/2014/main" id="{6A2A1801-F247-BE4A-83C1-55A26935DE59}"/>
            </a:ext>
          </a:extLst>
        </xdr:cNvPr>
        <xdr:cNvPicPr>
          <a:picLocks noChangeAspect="1"/>
        </xdr:cNvPicPr>
      </xdr:nvPicPr>
      <xdr:blipFill>
        <a:blip xmlns:r="http://schemas.openxmlformats.org/officeDocument/2006/relationships" r:embed="rId4"/>
        <a:stretch>
          <a:fillRect/>
        </a:stretch>
      </xdr:blipFill>
      <xdr:spPr>
        <a:xfrm>
          <a:off x="19748500" y="48720375"/>
          <a:ext cx="5900928" cy="3352800"/>
        </a:xfrm>
        <a:prstGeom prst="rect">
          <a:avLst/>
        </a:prstGeom>
      </xdr:spPr>
    </xdr:pic>
    <xdr:clientData/>
  </xdr:twoCellAnchor>
  <xdr:twoCellAnchor editAs="oneCell">
    <xdr:from>
      <xdr:col>9</xdr:col>
      <xdr:colOff>190500</xdr:colOff>
      <xdr:row>249</xdr:row>
      <xdr:rowOff>60325</xdr:rowOff>
    </xdr:from>
    <xdr:to>
      <xdr:col>11</xdr:col>
      <xdr:colOff>98425</xdr:colOff>
      <xdr:row>266</xdr:row>
      <xdr:rowOff>57150</xdr:rowOff>
    </xdr:to>
    <xdr:pic>
      <xdr:nvPicPr>
        <xdr:cNvPr id="20" name="Picture 19">
          <a:extLst>
            <a:ext uri="{FF2B5EF4-FFF2-40B4-BE49-F238E27FC236}">
              <a16:creationId xmlns:a16="http://schemas.microsoft.com/office/drawing/2014/main" id="{BDA24B0B-7FC4-6140-8C0A-5288B499D55C}"/>
            </a:ext>
          </a:extLst>
        </xdr:cNvPr>
        <xdr:cNvPicPr>
          <a:picLocks noChangeAspect="1"/>
        </xdr:cNvPicPr>
      </xdr:nvPicPr>
      <xdr:blipFill>
        <a:blip xmlns:r="http://schemas.openxmlformats.org/officeDocument/2006/relationships" r:embed="rId5"/>
        <a:stretch>
          <a:fillRect/>
        </a:stretch>
      </xdr:blipFill>
      <xdr:spPr>
        <a:xfrm>
          <a:off x="12493625" y="48987075"/>
          <a:ext cx="5575300" cy="3505200"/>
        </a:xfrm>
        <a:prstGeom prst="rect">
          <a:avLst/>
        </a:prstGeom>
      </xdr:spPr>
    </xdr:pic>
    <xdr:clientData/>
  </xdr:twoCellAnchor>
  <xdr:twoCellAnchor editAs="oneCell">
    <xdr:from>
      <xdr:col>16</xdr:col>
      <xdr:colOff>0</xdr:colOff>
      <xdr:row>4</xdr:row>
      <xdr:rowOff>0</xdr:rowOff>
    </xdr:from>
    <xdr:to>
      <xdr:col>23</xdr:col>
      <xdr:colOff>669904</xdr:colOff>
      <xdr:row>53</xdr:row>
      <xdr:rowOff>101600</xdr:rowOff>
    </xdr:to>
    <xdr:pic>
      <xdr:nvPicPr>
        <xdr:cNvPr id="10" name="Picture 9">
          <a:extLst>
            <a:ext uri="{FF2B5EF4-FFF2-40B4-BE49-F238E27FC236}">
              <a16:creationId xmlns:a16="http://schemas.microsoft.com/office/drawing/2014/main" id="{8E49A842-FCE9-C5EA-1B79-3856230D7A59}"/>
            </a:ext>
          </a:extLst>
        </xdr:cNvPr>
        <xdr:cNvPicPr>
          <a:picLocks noChangeAspect="1"/>
        </xdr:cNvPicPr>
      </xdr:nvPicPr>
      <xdr:blipFill>
        <a:blip xmlns:r="http://schemas.openxmlformats.org/officeDocument/2006/relationships" r:embed="rId6"/>
        <a:stretch>
          <a:fillRect/>
        </a:stretch>
      </xdr:blipFill>
      <xdr:spPr>
        <a:xfrm>
          <a:off x="23215600" y="825500"/>
          <a:ext cx="6359504" cy="10058400"/>
        </a:xfrm>
        <a:prstGeom prst="rect">
          <a:avLst/>
        </a:prstGeom>
      </xdr:spPr>
    </xdr:pic>
    <xdr:clientData/>
  </xdr:twoCellAnchor>
  <xdr:twoCellAnchor editAs="oneCell">
    <xdr:from>
      <xdr:col>24</xdr:col>
      <xdr:colOff>762000</xdr:colOff>
      <xdr:row>5</xdr:row>
      <xdr:rowOff>139700</xdr:rowOff>
    </xdr:from>
    <xdr:to>
      <xdr:col>34</xdr:col>
      <xdr:colOff>406400</xdr:colOff>
      <xdr:row>38</xdr:row>
      <xdr:rowOff>150988</xdr:rowOff>
    </xdr:to>
    <xdr:pic>
      <xdr:nvPicPr>
        <xdr:cNvPr id="21" name="Picture 20">
          <a:extLst>
            <a:ext uri="{FF2B5EF4-FFF2-40B4-BE49-F238E27FC236}">
              <a16:creationId xmlns:a16="http://schemas.microsoft.com/office/drawing/2014/main" id="{2AC96D72-50A3-1C5B-C23C-96E1F9C16C2A}"/>
            </a:ext>
          </a:extLst>
        </xdr:cNvPr>
        <xdr:cNvPicPr>
          <a:picLocks noChangeAspect="1"/>
        </xdr:cNvPicPr>
      </xdr:nvPicPr>
      <xdr:blipFill>
        <a:blip xmlns:r="http://schemas.openxmlformats.org/officeDocument/2006/relationships" r:embed="rId7"/>
        <a:stretch>
          <a:fillRect/>
        </a:stretch>
      </xdr:blipFill>
      <xdr:spPr>
        <a:xfrm>
          <a:off x="30480000" y="1168400"/>
          <a:ext cx="7772400" cy="6716888"/>
        </a:xfrm>
        <a:prstGeom prst="rect">
          <a:avLst/>
        </a:prstGeom>
      </xdr:spPr>
    </xdr:pic>
    <xdr:clientData/>
  </xdr:twoCellAnchor>
  <xdr:twoCellAnchor editAs="oneCell">
    <xdr:from>
      <xdr:col>8</xdr:col>
      <xdr:colOff>774700</xdr:colOff>
      <xdr:row>100</xdr:row>
      <xdr:rowOff>114300</xdr:rowOff>
    </xdr:from>
    <xdr:to>
      <xdr:col>14</xdr:col>
      <xdr:colOff>444500</xdr:colOff>
      <xdr:row>145</xdr:row>
      <xdr:rowOff>71529</xdr:rowOff>
    </xdr:to>
    <xdr:pic>
      <xdr:nvPicPr>
        <xdr:cNvPr id="22" name="Picture 21">
          <a:extLst>
            <a:ext uri="{FF2B5EF4-FFF2-40B4-BE49-F238E27FC236}">
              <a16:creationId xmlns:a16="http://schemas.microsoft.com/office/drawing/2014/main" id="{18B2C879-8E12-3B8F-E05B-4C0578F2A1A3}"/>
            </a:ext>
          </a:extLst>
        </xdr:cNvPr>
        <xdr:cNvPicPr>
          <a:picLocks noChangeAspect="1"/>
        </xdr:cNvPicPr>
      </xdr:nvPicPr>
      <xdr:blipFill>
        <a:blip xmlns:r="http://schemas.openxmlformats.org/officeDocument/2006/relationships" r:embed="rId8"/>
        <a:stretch>
          <a:fillRect/>
        </a:stretch>
      </xdr:blipFill>
      <xdr:spPr>
        <a:xfrm>
          <a:off x="14795500" y="20447000"/>
          <a:ext cx="7772400" cy="9101229"/>
        </a:xfrm>
        <a:prstGeom prst="rect">
          <a:avLst/>
        </a:prstGeom>
      </xdr:spPr>
    </xdr:pic>
    <xdr:clientData/>
  </xdr:twoCellAnchor>
  <xdr:twoCellAnchor editAs="oneCell">
    <xdr:from>
      <xdr:col>8</xdr:col>
      <xdr:colOff>215900</xdr:colOff>
      <xdr:row>152</xdr:row>
      <xdr:rowOff>88900</xdr:rowOff>
    </xdr:from>
    <xdr:to>
      <xdr:col>13</xdr:col>
      <xdr:colOff>698500</xdr:colOff>
      <xdr:row>183</xdr:row>
      <xdr:rowOff>119728</xdr:rowOff>
    </xdr:to>
    <xdr:pic>
      <xdr:nvPicPr>
        <xdr:cNvPr id="23" name="Picture 22">
          <a:extLst>
            <a:ext uri="{FF2B5EF4-FFF2-40B4-BE49-F238E27FC236}">
              <a16:creationId xmlns:a16="http://schemas.microsoft.com/office/drawing/2014/main" id="{B4E428D7-8C5A-E3D3-7B52-D3B68D910A51}"/>
            </a:ext>
          </a:extLst>
        </xdr:cNvPr>
        <xdr:cNvPicPr>
          <a:picLocks noChangeAspect="1"/>
        </xdr:cNvPicPr>
      </xdr:nvPicPr>
      <xdr:blipFill>
        <a:blip xmlns:r="http://schemas.openxmlformats.org/officeDocument/2006/relationships" r:embed="rId9"/>
        <a:stretch>
          <a:fillRect/>
        </a:stretch>
      </xdr:blipFill>
      <xdr:spPr>
        <a:xfrm>
          <a:off x="13703300" y="31432500"/>
          <a:ext cx="7772400" cy="6330028"/>
        </a:xfrm>
        <a:prstGeom prst="rect">
          <a:avLst/>
        </a:prstGeom>
      </xdr:spPr>
    </xdr:pic>
    <xdr:clientData/>
  </xdr:twoCellAnchor>
  <xdr:twoCellAnchor editAs="oneCell">
    <xdr:from>
      <xdr:col>8</xdr:col>
      <xdr:colOff>0</xdr:colOff>
      <xdr:row>185</xdr:row>
      <xdr:rowOff>0</xdr:rowOff>
    </xdr:from>
    <xdr:to>
      <xdr:col>11</xdr:col>
      <xdr:colOff>762000</xdr:colOff>
      <xdr:row>216</xdr:row>
      <xdr:rowOff>41031</xdr:rowOff>
    </xdr:to>
    <xdr:pic>
      <xdr:nvPicPr>
        <xdr:cNvPr id="24" name="Picture 23">
          <a:extLst>
            <a:ext uri="{FF2B5EF4-FFF2-40B4-BE49-F238E27FC236}">
              <a16:creationId xmlns:a16="http://schemas.microsoft.com/office/drawing/2014/main" id="{9E6737F7-3CE9-2D12-A755-6488069AD00C}"/>
            </a:ext>
          </a:extLst>
        </xdr:cNvPr>
        <xdr:cNvPicPr>
          <a:picLocks noChangeAspect="1"/>
        </xdr:cNvPicPr>
      </xdr:nvPicPr>
      <xdr:blipFill>
        <a:blip xmlns:r="http://schemas.openxmlformats.org/officeDocument/2006/relationships" r:embed="rId10"/>
        <a:stretch>
          <a:fillRect/>
        </a:stretch>
      </xdr:blipFill>
      <xdr:spPr>
        <a:xfrm>
          <a:off x="14020800" y="38049200"/>
          <a:ext cx="6426200" cy="6340231"/>
        </a:xfrm>
        <a:prstGeom prst="rect">
          <a:avLst/>
        </a:prstGeom>
      </xdr:spPr>
    </xdr:pic>
    <xdr:clientData/>
  </xdr:twoCellAnchor>
  <xdr:twoCellAnchor editAs="oneCell">
    <xdr:from>
      <xdr:col>14</xdr:col>
      <xdr:colOff>139700</xdr:colOff>
      <xdr:row>150</xdr:row>
      <xdr:rowOff>114300</xdr:rowOff>
    </xdr:from>
    <xdr:to>
      <xdr:col>23</xdr:col>
      <xdr:colOff>596900</xdr:colOff>
      <xdr:row>185</xdr:row>
      <xdr:rowOff>23841</xdr:rowOff>
    </xdr:to>
    <xdr:pic>
      <xdr:nvPicPr>
        <xdr:cNvPr id="25" name="Picture 24">
          <a:extLst>
            <a:ext uri="{FF2B5EF4-FFF2-40B4-BE49-F238E27FC236}">
              <a16:creationId xmlns:a16="http://schemas.microsoft.com/office/drawing/2014/main" id="{B6156A4C-8871-050F-04C7-9BCEA3E65D92}"/>
            </a:ext>
          </a:extLst>
        </xdr:cNvPr>
        <xdr:cNvPicPr>
          <a:picLocks noChangeAspect="1"/>
        </xdr:cNvPicPr>
      </xdr:nvPicPr>
      <xdr:blipFill>
        <a:blip xmlns:r="http://schemas.openxmlformats.org/officeDocument/2006/relationships" r:embed="rId11"/>
        <a:stretch>
          <a:fillRect/>
        </a:stretch>
      </xdr:blipFill>
      <xdr:spPr>
        <a:xfrm>
          <a:off x="22263100" y="31051500"/>
          <a:ext cx="7772400" cy="7021541"/>
        </a:xfrm>
        <a:prstGeom prst="rect">
          <a:avLst/>
        </a:prstGeom>
      </xdr:spPr>
    </xdr:pic>
    <xdr:clientData/>
  </xdr:twoCellAnchor>
  <xdr:twoCellAnchor editAs="oneCell">
    <xdr:from>
      <xdr:col>12</xdr:col>
      <xdr:colOff>571500</xdr:colOff>
      <xdr:row>192</xdr:row>
      <xdr:rowOff>177800</xdr:rowOff>
    </xdr:from>
    <xdr:to>
      <xdr:col>22</xdr:col>
      <xdr:colOff>215900</xdr:colOff>
      <xdr:row>212</xdr:row>
      <xdr:rowOff>28248</xdr:rowOff>
    </xdr:to>
    <xdr:pic>
      <xdr:nvPicPr>
        <xdr:cNvPr id="27" name="Picture 26">
          <a:extLst>
            <a:ext uri="{FF2B5EF4-FFF2-40B4-BE49-F238E27FC236}">
              <a16:creationId xmlns:a16="http://schemas.microsoft.com/office/drawing/2014/main" id="{EA9DDE23-92A5-70BD-B302-224934992A0A}"/>
            </a:ext>
          </a:extLst>
        </xdr:cNvPr>
        <xdr:cNvPicPr>
          <a:picLocks noChangeAspect="1"/>
        </xdr:cNvPicPr>
      </xdr:nvPicPr>
      <xdr:blipFill>
        <a:blip xmlns:r="http://schemas.openxmlformats.org/officeDocument/2006/relationships" r:embed="rId12"/>
        <a:stretch>
          <a:fillRect/>
        </a:stretch>
      </xdr:blipFill>
      <xdr:spPr>
        <a:xfrm>
          <a:off x="21069300" y="39649400"/>
          <a:ext cx="7772400" cy="3914448"/>
        </a:xfrm>
        <a:prstGeom prst="rect">
          <a:avLst/>
        </a:prstGeom>
      </xdr:spPr>
    </xdr:pic>
    <xdr:clientData/>
  </xdr:twoCellAnchor>
  <xdr:twoCellAnchor editAs="oneCell">
    <xdr:from>
      <xdr:col>14</xdr:col>
      <xdr:colOff>762000</xdr:colOff>
      <xdr:row>100</xdr:row>
      <xdr:rowOff>139700</xdr:rowOff>
    </xdr:from>
    <xdr:to>
      <xdr:col>24</xdr:col>
      <xdr:colOff>406400</xdr:colOff>
      <xdr:row>145</xdr:row>
      <xdr:rowOff>81627</xdr:rowOff>
    </xdr:to>
    <xdr:pic>
      <xdr:nvPicPr>
        <xdr:cNvPr id="28" name="Picture 27">
          <a:extLst>
            <a:ext uri="{FF2B5EF4-FFF2-40B4-BE49-F238E27FC236}">
              <a16:creationId xmlns:a16="http://schemas.microsoft.com/office/drawing/2014/main" id="{AB0FEB45-7235-B5C3-E342-14BB36126685}"/>
            </a:ext>
          </a:extLst>
        </xdr:cNvPr>
        <xdr:cNvPicPr>
          <a:picLocks noChangeAspect="1"/>
        </xdr:cNvPicPr>
      </xdr:nvPicPr>
      <xdr:blipFill>
        <a:blip xmlns:r="http://schemas.openxmlformats.org/officeDocument/2006/relationships" r:embed="rId13"/>
        <a:stretch>
          <a:fillRect/>
        </a:stretch>
      </xdr:blipFill>
      <xdr:spPr>
        <a:xfrm>
          <a:off x="22885400" y="20472400"/>
          <a:ext cx="7772400" cy="9085927"/>
        </a:xfrm>
        <a:prstGeom prst="rect">
          <a:avLst/>
        </a:prstGeom>
      </xdr:spPr>
    </xdr:pic>
    <xdr:clientData/>
  </xdr:twoCellAnchor>
  <xdr:twoCellAnchor>
    <xdr:from>
      <xdr:col>10</xdr:col>
      <xdr:colOff>482600</xdr:colOff>
      <xdr:row>107</xdr:row>
      <xdr:rowOff>165100</xdr:rowOff>
    </xdr:from>
    <xdr:to>
      <xdr:col>13</xdr:col>
      <xdr:colOff>711200</xdr:colOff>
      <xdr:row>109</xdr:row>
      <xdr:rowOff>12700</xdr:rowOff>
    </xdr:to>
    <xdr:sp macro="" textlink="">
      <xdr:nvSpPr>
        <xdr:cNvPr id="29" name="Rectangle 28">
          <a:extLst>
            <a:ext uri="{FF2B5EF4-FFF2-40B4-BE49-F238E27FC236}">
              <a16:creationId xmlns:a16="http://schemas.microsoft.com/office/drawing/2014/main" id="{DC85CD51-0EDE-EEC1-9C8D-27AA2200F411}"/>
            </a:ext>
          </a:extLst>
        </xdr:cNvPr>
        <xdr:cNvSpPr/>
      </xdr:nvSpPr>
      <xdr:spPr>
        <a:xfrm>
          <a:off x="19354800" y="21920200"/>
          <a:ext cx="2667000" cy="254000"/>
        </a:xfrm>
        <a:prstGeom prst="rect">
          <a:avLst/>
        </a:prstGeom>
        <a:noFill/>
        <a:ln w="28575">
          <a:solidFill>
            <a:srgbClr val="FF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9</xdr:col>
      <xdr:colOff>3632200</xdr:colOff>
      <xdr:row>118</xdr:row>
      <xdr:rowOff>190499</xdr:rowOff>
    </xdr:from>
    <xdr:to>
      <xdr:col>13</xdr:col>
      <xdr:colOff>762000</xdr:colOff>
      <xdr:row>120</xdr:row>
      <xdr:rowOff>127604</xdr:rowOff>
    </xdr:to>
    <xdr:sp macro="" textlink="">
      <xdr:nvSpPr>
        <xdr:cNvPr id="34" name="Rectangle 33">
          <a:extLst>
            <a:ext uri="{FF2B5EF4-FFF2-40B4-BE49-F238E27FC236}">
              <a16:creationId xmlns:a16="http://schemas.microsoft.com/office/drawing/2014/main" id="{24718DCF-14CD-B3FA-E426-0FD92E70F0DC}"/>
            </a:ext>
          </a:extLst>
        </xdr:cNvPr>
        <xdr:cNvSpPr/>
      </xdr:nvSpPr>
      <xdr:spPr>
        <a:xfrm>
          <a:off x="18465800" y="24180799"/>
          <a:ext cx="3606800" cy="343505"/>
        </a:xfrm>
        <a:prstGeom prst="rect">
          <a:avLst/>
        </a:prstGeom>
        <a:noFill/>
        <a:ln w="28575">
          <a:solidFill>
            <a:srgbClr val="FF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10</xdr:col>
      <xdr:colOff>774700</xdr:colOff>
      <xdr:row>221</xdr:row>
      <xdr:rowOff>88900</xdr:rowOff>
    </xdr:from>
    <xdr:to>
      <xdr:col>20</xdr:col>
      <xdr:colOff>419100</xdr:colOff>
      <xdr:row>229</xdr:row>
      <xdr:rowOff>139576</xdr:rowOff>
    </xdr:to>
    <xdr:pic>
      <xdr:nvPicPr>
        <xdr:cNvPr id="4" name="Picture 3">
          <a:extLst>
            <a:ext uri="{FF2B5EF4-FFF2-40B4-BE49-F238E27FC236}">
              <a16:creationId xmlns:a16="http://schemas.microsoft.com/office/drawing/2014/main" id="{EF25D79D-FD6D-3859-CB51-F660F91301DF}"/>
            </a:ext>
          </a:extLst>
        </xdr:cNvPr>
        <xdr:cNvPicPr>
          <a:picLocks noChangeAspect="1"/>
        </xdr:cNvPicPr>
      </xdr:nvPicPr>
      <xdr:blipFill>
        <a:blip xmlns:r="http://schemas.openxmlformats.org/officeDocument/2006/relationships" r:embed="rId14"/>
        <a:stretch>
          <a:fillRect/>
        </a:stretch>
      </xdr:blipFill>
      <xdr:spPr>
        <a:xfrm>
          <a:off x="19646900" y="45008800"/>
          <a:ext cx="7772400" cy="1676276"/>
        </a:xfrm>
        <a:prstGeom prst="rect">
          <a:avLst/>
        </a:prstGeom>
      </xdr:spPr>
    </xdr:pic>
    <xdr:clientData/>
  </xdr:twoCellAnchor>
  <xdr:twoCellAnchor editAs="oneCell">
    <xdr:from>
      <xdr:col>10</xdr:col>
      <xdr:colOff>698500</xdr:colOff>
      <xdr:row>231</xdr:row>
      <xdr:rowOff>103818</xdr:rowOff>
    </xdr:from>
    <xdr:to>
      <xdr:col>19</xdr:col>
      <xdr:colOff>635000</xdr:colOff>
      <xdr:row>248</xdr:row>
      <xdr:rowOff>40869</xdr:rowOff>
    </xdr:to>
    <xdr:pic>
      <xdr:nvPicPr>
        <xdr:cNvPr id="5" name="Picture 4">
          <a:extLst>
            <a:ext uri="{FF2B5EF4-FFF2-40B4-BE49-F238E27FC236}">
              <a16:creationId xmlns:a16="http://schemas.microsoft.com/office/drawing/2014/main" id="{17C753D2-3FA2-8900-755D-7EEA45434BC3}"/>
            </a:ext>
          </a:extLst>
        </xdr:cNvPr>
        <xdr:cNvPicPr>
          <a:picLocks noChangeAspect="1"/>
        </xdr:cNvPicPr>
      </xdr:nvPicPr>
      <xdr:blipFill>
        <a:blip xmlns:r="http://schemas.openxmlformats.org/officeDocument/2006/relationships" r:embed="rId15"/>
        <a:stretch>
          <a:fillRect/>
        </a:stretch>
      </xdr:blipFill>
      <xdr:spPr>
        <a:xfrm>
          <a:off x="19570700" y="47055718"/>
          <a:ext cx="7251700" cy="33914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kaskranenburg/Code/etdataset/nodes_source_analyses/energy/households/households_space_heater_hybrid_hydrogen_heatpump_air_water_electricity.converter.xlsx" TargetMode="External"/><Relationship Id="rId1" Type="http://schemas.openxmlformats.org/officeDocument/2006/relationships/externalLinkPath" Target="households_space_heater_hybrid_hydrogen_heatpump_air_water_electricity.conver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liekeverweij/Downloads/households_space_heater_hybrid_hydrogen_heatpump_air_water_electricity.converter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
      <sheetName val="Dashboard"/>
      <sheetName val="Research data"/>
      <sheetName val="Sources"/>
      <sheetName val="Notes"/>
    </sheetNames>
    <sheetDataSet>
      <sheetData sheetId="0" refreshError="1"/>
      <sheetData sheetId="1" refreshError="1"/>
      <sheetData sheetId="2">
        <row r="3">
          <cell r="G3" t="str">
            <v>Quintel assumption</v>
          </cell>
          <cell r="H3" t="str">
            <v>TNO1</v>
          </cell>
          <cell r="I3" t="str">
            <v>TNO2</v>
          </cell>
          <cell r="J3" t="str">
            <v>Techneco</v>
          </cell>
          <cell r="K3" t="str">
            <v>Techneco2</v>
          </cell>
          <cell r="L3" t="str">
            <v>ODE &amp; VEA</v>
          </cell>
          <cell r="M3" t="str">
            <v>Ecofys</v>
          </cell>
          <cell r="N3" t="str">
            <v>ISSO 72 and Quintel calc</v>
          </cell>
          <cell r="O3" t="str">
            <v>DHPA</v>
          </cell>
          <cell r="P3" t="str">
            <v>Warmtepompforum</v>
          </cell>
          <cell r="Q3" t="str">
            <v>Installand</v>
          </cell>
          <cell r="R3" t="str">
            <v>Nefit</v>
          </cell>
          <cell r="S3" t="str">
            <v>CE Delft (CEGOIA)</v>
          </cell>
        </row>
        <row r="19">
          <cell r="G19">
            <v>0</v>
          </cell>
          <cell r="H19"/>
          <cell r="I19"/>
          <cell r="J19"/>
          <cell r="K19"/>
          <cell r="L19"/>
          <cell r="M19"/>
          <cell r="N19"/>
          <cell r="O19"/>
          <cell r="P19"/>
          <cell r="Q19"/>
          <cell r="R19"/>
          <cell r="S19"/>
          <cell r="T19"/>
        </row>
        <row r="21">
          <cell r="G21">
            <v>0</v>
          </cell>
          <cell r="H21"/>
          <cell r="I21"/>
          <cell r="J21"/>
          <cell r="K21"/>
          <cell r="L21"/>
          <cell r="M21"/>
          <cell r="N21"/>
          <cell r="O21"/>
          <cell r="P21"/>
          <cell r="Q21"/>
          <cell r="R21"/>
          <cell r="S21"/>
          <cell r="T21"/>
        </row>
        <row r="22">
          <cell r="G22">
            <v>1</v>
          </cell>
          <cell r="H22"/>
          <cell r="I22"/>
          <cell r="J22"/>
          <cell r="K22"/>
          <cell r="L22"/>
          <cell r="M22"/>
          <cell r="N22"/>
          <cell r="O22"/>
          <cell r="P22"/>
          <cell r="Q22"/>
          <cell r="R22"/>
          <cell r="S22"/>
          <cell r="T22"/>
        </row>
        <row r="23">
          <cell r="G23">
            <v>0</v>
          </cell>
          <cell r="H23"/>
          <cell r="I23"/>
          <cell r="J23"/>
          <cell r="K23"/>
          <cell r="L23"/>
          <cell r="M23"/>
          <cell r="N23"/>
          <cell r="O23"/>
          <cell r="P23"/>
          <cell r="Q23"/>
          <cell r="R23"/>
          <cell r="S23"/>
          <cell r="T23"/>
        </row>
      </sheetData>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Dashboard"/>
      <sheetName val="Research data"/>
      <sheetName val="Sources"/>
      <sheetName val="Notes"/>
    </sheetNames>
    <sheetDataSet>
      <sheetData sheetId="0"/>
      <sheetData sheetId="1">
        <row r="22">
          <cell r="C22" t="str">
            <v>storage.volume</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6640625" defaultRowHeight="16"/>
  <cols>
    <col min="1" max="1" width="3.5" style="22" customWidth="1"/>
    <col min="2" max="2" width="9.1640625" style="15" customWidth="1"/>
    <col min="3" max="3" width="52.6640625" style="15" customWidth="1"/>
    <col min="4" max="16384" width="10.6640625" style="15"/>
  </cols>
  <sheetData>
    <row r="1" spans="1:3" s="20" customFormat="1">
      <c r="A1" s="18"/>
      <c r="B1" s="19"/>
      <c r="C1" s="19"/>
    </row>
    <row r="2" spans="1:3" ht="21">
      <c r="A2" s="1"/>
      <c r="B2" s="21" t="s">
        <v>13</v>
      </c>
      <c r="C2" s="21"/>
    </row>
    <row r="3" spans="1:3">
      <c r="A3" s="1"/>
      <c r="B3" s="8"/>
      <c r="C3" s="8"/>
    </row>
    <row r="4" spans="1:3">
      <c r="A4" s="1"/>
      <c r="B4" s="2" t="s">
        <v>14</v>
      </c>
      <c r="C4" s="3" t="s">
        <v>228</v>
      </c>
    </row>
    <row r="5" spans="1:3">
      <c r="A5" s="1"/>
      <c r="B5" s="4" t="s">
        <v>57</v>
      </c>
      <c r="C5" s="5" t="s">
        <v>166</v>
      </c>
    </row>
    <row r="6" spans="1:3">
      <c r="A6" s="1"/>
      <c r="B6" s="6" t="s">
        <v>16</v>
      </c>
      <c r="C6" s="7" t="s">
        <v>17</v>
      </c>
    </row>
    <row r="7" spans="1:3">
      <c r="A7" s="1"/>
      <c r="B7" s="8"/>
      <c r="C7" s="8"/>
    </row>
    <row r="8" spans="1:3">
      <c r="A8" s="1"/>
      <c r="B8" s="8"/>
      <c r="C8" s="8"/>
    </row>
    <row r="9" spans="1:3">
      <c r="A9" s="1"/>
      <c r="B9" s="58" t="s">
        <v>58</v>
      </c>
      <c r="C9" s="59"/>
    </row>
    <row r="10" spans="1:3">
      <c r="A10" s="1"/>
      <c r="B10" s="60"/>
      <c r="C10" s="61"/>
    </row>
    <row r="11" spans="1:3">
      <c r="A11" s="1"/>
      <c r="B11" s="60" t="s">
        <v>59</v>
      </c>
      <c r="C11" s="62" t="s">
        <v>60</v>
      </c>
    </row>
    <row r="12" spans="1:3" ht="17" thickBot="1">
      <c r="A12" s="1"/>
      <c r="B12" s="60"/>
      <c r="C12" s="12" t="s">
        <v>61</v>
      </c>
    </row>
    <row r="13" spans="1:3" ht="17" thickBot="1">
      <c r="A13" s="1"/>
      <c r="B13" s="60"/>
      <c r="C13" s="63" t="s">
        <v>62</v>
      </c>
    </row>
    <row r="14" spans="1:3">
      <c r="A14" s="1"/>
      <c r="B14" s="60"/>
      <c r="C14" s="61" t="s">
        <v>63</v>
      </c>
    </row>
    <row r="15" spans="1:3">
      <c r="A15" s="1"/>
      <c r="B15" s="60"/>
      <c r="C15" s="61"/>
    </row>
    <row r="16" spans="1:3">
      <c r="A16" s="1"/>
      <c r="B16" s="60" t="s">
        <v>64</v>
      </c>
      <c r="C16" s="64" t="s">
        <v>65</v>
      </c>
    </row>
    <row r="17" spans="1:3">
      <c r="A17" s="1"/>
      <c r="B17" s="60"/>
      <c r="C17" s="65" t="s">
        <v>66</v>
      </c>
    </row>
    <row r="18" spans="1:3">
      <c r="A18" s="1"/>
      <c r="B18" s="60"/>
      <c r="C18" s="66" t="s">
        <v>67</v>
      </c>
    </row>
    <row r="19" spans="1:3">
      <c r="A19" s="1"/>
      <c r="B19" s="60"/>
      <c r="C19" s="67" t="s">
        <v>68</v>
      </c>
    </row>
    <row r="20" spans="1:3">
      <c r="A20" s="1"/>
      <c r="B20" s="68"/>
      <c r="C20" s="69" t="s">
        <v>69</v>
      </c>
    </row>
    <row r="21" spans="1:3">
      <c r="A21" s="1"/>
      <c r="B21" s="68"/>
      <c r="C21" s="70" t="s">
        <v>70</v>
      </c>
    </row>
    <row r="22" spans="1:3">
      <c r="A22" s="1"/>
      <c r="B22" s="68"/>
      <c r="C22" s="71" t="s">
        <v>71</v>
      </c>
    </row>
    <row r="23" spans="1:3">
      <c r="B23" s="68"/>
      <c r="C23" s="72" t="s">
        <v>72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8"/>
  <sheetViews>
    <sheetView tabSelected="1" topLeftCell="A6" zoomScaleNormal="100" workbookViewId="0">
      <selection activeCell="I42" sqref="I42"/>
    </sheetView>
  </sheetViews>
  <sheetFormatPr baseColWidth="10" defaultColWidth="10.6640625" defaultRowHeight="16"/>
  <cols>
    <col min="1" max="1" width="3.33203125" style="26" customWidth="1"/>
    <col min="2" max="2" width="4.33203125" style="26" customWidth="1"/>
    <col min="3" max="3" width="46" style="26" customWidth="1"/>
    <col min="4" max="4" width="12.6640625" style="26" customWidth="1"/>
    <col min="5" max="5" width="17.5" style="26" customWidth="1"/>
    <col min="6" max="6" width="4.5" style="26" customWidth="1"/>
    <col min="7" max="7" width="45" style="26" customWidth="1"/>
    <col min="8" max="8" width="5.1640625" style="26" customWidth="1"/>
    <col min="9" max="9" width="44.6640625" style="26" customWidth="1"/>
    <col min="10" max="10" width="3" style="26" customWidth="1"/>
    <col min="11" max="16384" width="10.6640625" style="26"/>
  </cols>
  <sheetData>
    <row r="2" spans="1:11">
      <c r="B2" s="260" t="s">
        <v>143</v>
      </c>
      <c r="C2" s="261"/>
      <c r="D2" s="261"/>
      <c r="E2" s="262"/>
    </row>
    <row r="3" spans="1:11">
      <c r="B3" s="263"/>
      <c r="C3" s="264"/>
      <c r="D3" s="264"/>
      <c r="E3" s="265"/>
    </row>
    <row r="4" spans="1:11" ht="39" customHeight="1">
      <c r="B4" s="266"/>
      <c r="C4" s="267"/>
      <c r="D4" s="267"/>
      <c r="E4" s="268"/>
    </row>
    <row r="5" spans="1:11" ht="17" thickBot="1"/>
    <row r="6" spans="1:11">
      <c r="B6" s="28"/>
      <c r="C6" s="14"/>
      <c r="D6" s="14"/>
      <c r="E6" s="14"/>
      <c r="F6" s="14"/>
      <c r="G6" s="14"/>
      <c r="H6" s="14"/>
      <c r="I6" s="14"/>
      <c r="J6" s="29"/>
    </row>
    <row r="7" spans="1:11" s="34" customFormat="1" ht="19">
      <c r="B7" s="73"/>
      <c r="C7" s="13" t="s">
        <v>25</v>
      </c>
      <c r="D7" s="74" t="s">
        <v>11</v>
      </c>
      <c r="E7" s="13" t="s">
        <v>4</v>
      </c>
      <c r="F7" s="13"/>
      <c r="G7" s="13" t="s">
        <v>10</v>
      </c>
      <c r="H7" s="13"/>
      <c r="I7" s="13" t="s">
        <v>0</v>
      </c>
      <c r="J7" s="78"/>
    </row>
    <row r="8" spans="1:11" s="34" customFormat="1" ht="19">
      <c r="B8" s="17"/>
      <c r="C8" s="12"/>
      <c r="D8" s="24"/>
      <c r="E8" s="12"/>
      <c r="F8" s="12"/>
      <c r="G8" s="12"/>
      <c r="H8" s="12"/>
      <c r="I8" s="12"/>
      <c r="J8" s="35"/>
    </row>
    <row r="9" spans="1:11" s="34" customFormat="1" ht="20" thickBot="1">
      <c r="B9" s="17"/>
      <c r="C9" s="12" t="s">
        <v>79</v>
      </c>
      <c r="D9" s="8"/>
      <c r="E9" s="12"/>
      <c r="F9" s="12"/>
      <c r="G9" s="12"/>
      <c r="H9" s="12"/>
      <c r="I9" s="12"/>
      <c r="J9" s="35"/>
    </row>
    <row r="10" spans="1:11" s="34" customFormat="1" ht="20" thickBot="1">
      <c r="B10" s="123"/>
      <c r="C10" s="91" t="s">
        <v>82</v>
      </c>
      <c r="D10" s="16" t="s">
        <v>3</v>
      </c>
      <c r="E10" s="103">
        <f>'Research data'!E6</f>
        <v>0.63765000000000005</v>
      </c>
      <c r="F10" s="91"/>
      <c r="G10" s="91"/>
      <c r="H10" s="23"/>
      <c r="I10" s="259" t="s">
        <v>229</v>
      </c>
      <c r="J10" s="35"/>
    </row>
    <row r="11" spans="1:11" ht="20" thickBot="1">
      <c r="A11" s="34"/>
      <c r="B11" s="123"/>
      <c r="C11" s="111" t="s">
        <v>83</v>
      </c>
      <c r="D11" s="16" t="s">
        <v>3</v>
      </c>
      <c r="E11" s="103">
        <f>'Research data'!E7</f>
        <v>0.15182000000000001</v>
      </c>
      <c r="F11" s="91"/>
      <c r="G11" s="106"/>
      <c r="H11" s="23"/>
      <c r="I11" s="259" t="s">
        <v>229</v>
      </c>
      <c r="J11" s="35"/>
      <c r="K11" s="34"/>
    </row>
    <row r="12" spans="1:11" ht="20" thickBot="1">
      <c r="A12" s="34"/>
      <c r="B12" s="123"/>
      <c r="C12" s="245" t="s">
        <v>169</v>
      </c>
      <c r="D12" s="16" t="s">
        <v>3</v>
      </c>
      <c r="E12" s="103">
        <f>'Research data'!E8</f>
        <v>0.21052999999999999</v>
      </c>
      <c r="F12" s="91"/>
      <c r="G12" s="91"/>
      <c r="H12" s="23"/>
      <c r="I12" s="259" t="s">
        <v>229</v>
      </c>
      <c r="J12" s="35"/>
      <c r="K12" s="34"/>
    </row>
    <row r="13" spans="1:11" ht="20" thickBot="1">
      <c r="A13" s="34"/>
      <c r="B13" s="123"/>
      <c r="C13" s="192" t="s">
        <v>123</v>
      </c>
      <c r="D13" s="16" t="s">
        <v>3</v>
      </c>
      <c r="E13" s="103">
        <f>'Research data'!E9</f>
        <v>0</v>
      </c>
      <c r="F13" s="91"/>
      <c r="G13" s="91"/>
      <c r="H13" s="23"/>
      <c r="I13" s="259" t="s">
        <v>229</v>
      </c>
      <c r="J13" s="35"/>
      <c r="K13" s="34"/>
    </row>
    <row r="14" spans="1:11" ht="20" thickBot="1">
      <c r="A14" s="34"/>
      <c r="B14" s="123"/>
      <c r="C14" s="111" t="s">
        <v>120</v>
      </c>
      <c r="D14" s="16" t="s">
        <v>3</v>
      </c>
      <c r="E14" s="103">
        <f>'Research data'!K10</f>
        <v>1</v>
      </c>
      <c r="F14" s="91"/>
      <c r="G14" s="91"/>
      <c r="H14" s="23"/>
      <c r="I14" s="259" t="s">
        <v>229</v>
      </c>
      <c r="J14" s="35"/>
      <c r="K14" s="93"/>
    </row>
    <row r="15" spans="1:11" ht="20" thickBot="1">
      <c r="A15" s="34"/>
      <c r="B15" s="123"/>
      <c r="C15" s="111" t="s">
        <v>121</v>
      </c>
      <c r="D15" s="16" t="s">
        <v>3</v>
      </c>
      <c r="E15" s="103">
        <f>'Research data'!K11</f>
        <v>1</v>
      </c>
      <c r="F15" s="91"/>
      <c r="G15" s="91"/>
      <c r="H15" s="23"/>
      <c r="I15" s="259" t="s">
        <v>229</v>
      </c>
      <c r="J15" s="35"/>
      <c r="K15" s="93"/>
    </row>
    <row r="16" spans="1:11" ht="20" thickBot="1">
      <c r="A16" s="34"/>
      <c r="B16" s="123"/>
      <c r="C16" s="245" t="s">
        <v>170</v>
      </c>
      <c r="D16" s="16" t="s">
        <v>3</v>
      </c>
      <c r="E16" s="103">
        <f>'Research data'!E12</f>
        <v>0.95</v>
      </c>
      <c r="F16" s="91"/>
      <c r="G16" s="91"/>
      <c r="H16" s="23"/>
      <c r="I16" s="244" t="s">
        <v>167</v>
      </c>
      <c r="J16" s="35"/>
      <c r="K16" s="93"/>
    </row>
    <row r="17" spans="1:11" ht="20" thickBot="1">
      <c r="A17" s="34"/>
      <c r="B17" s="123"/>
      <c r="C17" s="124" t="s">
        <v>124</v>
      </c>
      <c r="D17" s="16" t="s">
        <v>3</v>
      </c>
      <c r="E17" s="103">
        <f>'Research data'!E13</f>
        <v>2.3233299999999999</v>
      </c>
      <c r="F17" s="91"/>
      <c r="G17" s="91"/>
      <c r="H17" s="23"/>
      <c r="I17" s="269" t="s">
        <v>131</v>
      </c>
      <c r="J17" s="35"/>
      <c r="K17" s="93"/>
    </row>
    <row r="18" spans="1:11" ht="20" thickBot="1">
      <c r="A18" s="34"/>
      <c r="B18" s="123"/>
      <c r="C18" s="124" t="s">
        <v>125</v>
      </c>
      <c r="D18" s="16" t="s">
        <v>3</v>
      </c>
      <c r="E18" s="103">
        <f>'Research data'!E14</f>
        <v>4.47E-3</v>
      </c>
      <c r="F18" s="91"/>
      <c r="G18" s="91"/>
      <c r="H18" s="23"/>
      <c r="I18" s="269" t="s">
        <v>131</v>
      </c>
      <c r="J18" s="35"/>
      <c r="K18" s="93"/>
    </row>
    <row r="19" spans="1:11" ht="20" thickBot="1">
      <c r="A19" s="34"/>
      <c r="B19" s="123"/>
      <c r="C19" s="246" t="s">
        <v>171</v>
      </c>
      <c r="D19" s="16" t="s">
        <v>3</v>
      </c>
      <c r="E19" s="116">
        <f>'Research data'!E15</f>
        <v>2.1999999999999999E-2</v>
      </c>
      <c r="F19" s="91"/>
      <c r="G19" s="91"/>
      <c r="H19" s="23"/>
      <c r="I19" s="259" t="s">
        <v>229</v>
      </c>
      <c r="J19" s="35"/>
      <c r="K19" s="93"/>
    </row>
    <row r="20" spans="1:11" ht="20" thickBot="1">
      <c r="A20" s="34"/>
      <c r="B20" s="123"/>
      <c r="C20" s="192" t="s">
        <v>126</v>
      </c>
      <c r="D20" s="16" t="s">
        <v>3</v>
      </c>
      <c r="E20" s="103">
        <f>'Research data'!E16</f>
        <v>3.47201</v>
      </c>
      <c r="F20" s="91"/>
      <c r="G20" s="91"/>
      <c r="H20" s="23"/>
      <c r="I20" s="259" t="s">
        <v>229</v>
      </c>
      <c r="J20" s="35"/>
      <c r="K20" s="93"/>
    </row>
    <row r="21" spans="1:11" ht="20" thickBot="1">
      <c r="A21" s="34"/>
      <c r="B21" s="123"/>
      <c r="C21" s="124" t="s">
        <v>127</v>
      </c>
      <c r="D21" s="16" t="s">
        <v>3</v>
      </c>
      <c r="E21" s="103">
        <f>'Research data'!E17</f>
        <v>5.7829999999999999E-2</v>
      </c>
      <c r="F21" s="91"/>
      <c r="G21" s="91"/>
      <c r="H21" s="23"/>
      <c r="I21" s="269" t="s">
        <v>131</v>
      </c>
      <c r="J21" s="35"/>
      <c r="K21" s="93"/>
    </row>
    <row r="22" spans="1:11" ht="17" thickBot="1">
      <c r="A22" s="93"/>
      <c r="B22" s="123"/>
      <c r="C22" s="111" t="s">
        <v>27</v>
      </c>
      <c r="D22" s="16" t="s">
        <v>3</v>
      </c>
      <c r="E22" s="92">
        <f>'Research data'!E18</f>
        <v>0</v>
      </c>
      <c r="F22" s="91"/>
      <c r="G22" s="91"/>
      <c r="H22" s="91"/>
      <c r="I22" s="254" t="str">
        <f>LOOKUP(E22,'[2]Research data'!G19:T19,'[2]Research data'!G$3:T$3)</f>
        <v>Quintel assumption</v>
      </c>
      <c r="J22" s="94"/>
      <c r="K22" s="93"/>
    </row>
    <row r="23" spans="1:11" ht="17" thickBot="1">
      <c r="A23" s="93"/>
      <c r="B23" s="123"/>
      <c r="C23" s="111" t="s">
        <v>84</v>
      </c>
      <c r="D23" s="16" t="s">
        <v>130</v>
      </c>
      <c r="E23" s="92">
        <f>'Research data'!E19</f>
        <v>0</v>
      </c>
      <c r="F23" s="91"/>
      <c r="G23" s="91"/>
      <c r="H23" s="91"/>
      <c r="I23" s="254" t="str">
        <f>LOOKUP(E23,'[2]Research data'!G21:T21,'[2]Research data'!G$3:T$3)</f>
        <v>Quintel assumption</v>
      </c>
      <c r="J23" s="94"/>
      <c r="K23" s="93"/>
    </row>
    <row r="24" spans="1:11" ht="20" thickBot="1">
      <c r="A24" s="93"/>
      <c r="B24" s="123"/>
      <c r="C24" s="111" t="s">
        <v>7</v>
      </c>
      <c r="D24" s="16" t="s">
        <v>3</v>
      </c>
      <c r="E24" s="92">
        <f>'Research data'!E20</f>
        <v>1</v>
      </c>
      <c r="F24" s="91"/>
      <c r="G24" s="91"/>
      <c r="H24" s="91"/>
      <c r="I24" s="254" t="str">
        <f>LOOKUP(E24,'[2]Research data'!G22:T22,'[2]Research data'!G$3:T$3)</f>
        <v>Quintel assumption</v>
      </c>
      <c r="J24" s="94"/>
      <c r="K24" s="34"/>
    </row>
    <row r="25" spans="1:11" ht="17" thickBot="1">
      <c r="B25" s="123"/>
      <c r="C25" s="102" t="s">
        <v>107</v>
      </c>
      <c r="D25" s="16" t="s">
        <v>56</v>
      </c>
      <c r="E25" s="100">
        <f>'Research data'!E21</f>
        <v>0</v>
      </c>
      <c r="F25" s="27"/>
      <c r="G25" s="102" t="s">
        <v>112</v>
      </c>
      <c r="H25" s="27"/>
      <c r="I25" s="254" t="str">
        <f>LOOKUP(E25,'[2]Research data'!G23:T23,'[2]Research data'!G$3:T$3)</f>
        <v>Quintel assumption</v>
      </c>
      <c r="J25" s="79"/>
      <c r="K25" s="93"/>
    </row>
    <row r="26" spans="1:11" ht="17" thickBot="1">
      <c r="B26" s="123"/>
      <c r="C26" s="27" t="s">
        <v>34</v>
      </c>
      <c r="D26" s="16" t="s">
        <v>56</v>
      </c>
      <c r="E26" s="100">
        <f>'Research data'!E22</f>
        <v>1.2200000000000001E-2</v>
      </c>
      <c r="F26" s="27"/>
      <c r="G26" s="27" t="s">
        <v>46</v>
      </c>
      <c r="H26" s="27"/>
      <c r="I26" s="101" t="str">
        <f>LOOKUP(E26,'Research data'!G22:R22,'Research data'!G$3:R$3)</f>
        <v>Grant UK</v>
      </c>
      <c r="J26" s="79"/>
      <c r="K26" s="93"/>
    </row>
    <row r="27" spans="1:11">
      <c r="B27" s="123"/>
      <c r="C27" s="49"/>
      <c r="D27" s="75"/>
      <c r="E27" s="76"/>
      <c r="G27" s="49"/>
      <c r="J27" s="79"/>
    </row>
    <row r="28" spans="1:11" ht="17" thickBot="1">
      <c r="B28" s="123"/>
      <c r="C28" s="12" t="s">
        <v>73</v>
      </c>
      <c r="D28" s="75"/>
      <c r="E28" s="76"/>
      <c r="G28" s="49"/>
      <c r="J28" s="79"/>
    </row>
    <row r="29" spans="1:11" ht="17" thickBot="1">
      <c r="B29" s="123"/>
      <c r="C29" s="27" t="s">
        <v>35</v>
      </c>
      <c r="D29" s="16" t="s">
        <v>26</v>
      </c>
      <c r="E29" s="92">
        <f>'Research data'!E25</f>
        <v>7808</v>
      </c>
      <c r="F29" s="27"/>
      <c r="G29" s="27" t="s">
        <v>6</v>
      </c>
      <c r="H29" s="27"/>
      <c r="I29" s="101" t="str">
        <f>LOOKUP(E29,'Research data'!G25:R25,'Research data'!G$3:R$3)</f>
        <v>Wolseley</v>
      </c>
      <c r="J29" s="79"/>
    </row>
    <row r="30" spans="1:11" ht="17" thickBot="1">
      <c r="B30" s="123"/>
      <c r="C30" s="27" t="s">
        <v>36</v>
      </c>
      <c r="D30" s="16" t="s">
        <v>26</v>
      </c>
      <c r="E30" s="92">
        <f>'Research data'!E26</f>
        <v>0</v>
      </c>
      <c r="F30" s="27"/>
      <c r="G30" s="27" t="s">
        <v>47</v>
      </c>
      <c r="H30" s="27"/>
      <c r="I30" s="259" t="s">
        <v>229</v>
      </c>
      <c r="J30" s="79"/>
    </row>
    <row r="31" spans="1:11" ht="17" thickBot="1">
      <c r="B31" s="123"/>
      <c r="C31" s="27" t="s">
        <v>9</v>
      </c>
      <c r="D31" s="16" t="s">
        <v>26</v>
      </c>
      <c r="E31" s="122">
        <f>'Research data'!E27</f>
        <v>3218</v>
      </c>
      <c r="F31" s="27"/>
      <c r="G31" s="27" t="s">
        <v>20</v>
      </c>
      <c r="H31" s="27"/>
      <c r="I31" s="101" t="str">
        <f>LOOKUP(E31,'Research data'!G27:R27,'Research data'!G$3:R$3)</f>
        <v>Wolseley</v>
      </c>
      <c r="J31" s="79"/>
    </row>
    <row r="32" spans="1:11" ht="17" thickBot="1">
      <c r="B32" s="123"/>
      <c r="C32" s="27" t="s">
        <v>37</v>
      </c>
      <c r="D32" s="16" t="s">
        <v>26</v>
      </c>
      <c r="E32" s="92">
        <f>'Research data'!E28</f>
        <v>0</v>
      </c>
      <c r="F32" s="27"/>
      <c r="G32" s="102" t="s">
        <v>111</v>
      </c>
      <c r="H32" s="27"/>
      <c r="I32" s="259" t="s">
        <v>229</v>
      </c>
      <c r="J32" s="79"/>
    </row>
    <row r="33" spans="2:10" ht="17" thickBot="1">
      <c r="B33" s="123"/>
      <c r="C33" s="27" t="s">
        <v>38</v>
      </c>
      <c r="D33" s="16" t="s">
        <v>45</v>
      </c>
      <c r="E33" s="122">
        <f>'Research data'!E29</f>
        <v>150</v>
      </c>
      <c r="F33" s="27"/>
      <c r="G33" s="27" t="s">
        <v>48</v>
      </c>
      <c r="H33" s="27"/>
      <c r="I33" s="101" t="str">
        <f>LOOKUP(E33,'Research data'!G29:R29,'Research data'!G$3:R$3)</f>
        <v>CE Delft</v>
      </c>
      <c r="J33" s="79"/>
    </row>
    <row r="34" spans="2:10" ht="17" thickBot="1">
      <c r="B34" s="123"/>
      <c r="C34" s="27" t="s">
        <v>39</v>
      </c>
      <c r="D34" s="16" t="s">
        <v>44</v>
      </c>
      <c r="E34" s="92">
        <f>'Research data'!E30</f>
        <v>0</v>
      </c>
      <c r="F34" s="27"/>
      <c r="G34" s="27" t="s">
        <v>49</v>
      </c>
      <c r="H34" s="27"/>
      <c r="I34" s="259" t="s">
        <v>229</v>
      </c>
      <c r="J34" s="79"/>
    </row>
    <row r="35" spans="2:10" ht="17" thickBot="1">
      <c r="B35" s="123"/>
      <c r="C35" s="27" t="s">
        <v>40</v>
      </c>
      <c r="D35" s="16" t="s">
        <v>44</v>
      </c>
      <c r="E35" s="92">
        <f>'Research data'!E31</f>
        <v>0</v>
      </c>
      <c r="F35" s="27"/>
      <c r="G35" s="27" t="s">
        <v>50</v>
      </c>
      <c r="H35" s="27"/>
      <c r="I35" s="259" t="s">
        <v>229</v>
      </c>
      <c r="J35" s="79"/>
    </row>
    <row r="36" spans="2:10" ht="17" thickBot="1">
      <c r="B36" s="123"/>
      <c r="C36" s="27" t="s">
        <v>43</v>
      </c>
      <c r="D36" s="16" t="s">
        <v>2</v>
      </c>
      <c r="E36" s="92">
        <v>0.02</v>
      </c>
      <c r="F36" s="27"/>
      <c r="G36" s="27" t="s">
        <v>19</v>
      </c>
      <c r="H36" s="27"/>
      <c r="I36" s="258" t="s">
        <v>230</v>
      </c>
      <c r="J36" s="79"/>
    </row>
    <row r="37" spans="2:10" ht="17" thickBot="1">
      <c r="B37" s="123"/>
      <c r="C37" s="27" t="s">
        <v>31</v>
      </c>
      <c r="D37" s="16" t="s">
        <v>8</v>
      </c>
      <c r="E37" s="92">
        <f>'Research data'!E32</f>
        <v>0</v>
      </c>
      <c r="F37" s="27"/>
      <c r="G37" s="27"/>
      <c r="H37" s="27"/>
      <c r="I37" s="259" t="s">
        <v>229</v>
      </c>
      <c r="J37" s="79"/>
    </row>
    <row r="38" spans="2:10">
      <c r="B38" s="125"/>
      <c r="C38" s="112"/>
      <c r="D38" s="16"/>
      <c r="E38" s="77"/>
      <c r="F38" s="27"/>
      <c r="G38" s="27"/>
      <c r="H38" s="27"/>
      <c r="J38" s="79"/>
    </row>
    <row r="39" spans="2:10" ht="20" customHeight="1" thickBot="1">
      <c r="B39" s="30"/>
      <c r="C39" s="12" t="s">
        <v>5</v>
      </c>
      <c r="D39" s="75"/>
      <c r="E39" s="77"/>
      <c r="J39" s="79"/>
    </row>
    <row r="40" spans="2:10" ht="17" thickBot="1">
      <c r="B40" s="123"/>
      <c r="C40" s="27" t="s">
        <v>41</v>
      </c>
      <c r="D40" s="16" t="s">
        <v>1</v>
      </c>
      <c r="E40" s="92">
        <f>'Research data'!E35</f>
        <v>0</v>
      </c>
      <c r="F40" s="27"/>
      <c r="G40" s="27" t="s">
        <v>22</v>
      </c>
      <c r="H40" s="27"/>
      <c r="I40" s="259" t="s">
        <v>229</v>
      </c>
      <c r="J40" s="79"/>
    </row>
    <row r="41" spans="2:10" ht="17" thickBot="1">
      <c r="B41" s="123"/>
      <c r="C41" s="27" t="s">
        <v>42</v>
      </c>
      <c r="D41" s="16" t="s">
        <v>1</v>
      </c>
      <c r="E41" s="92">
        <f>'Research data'!E36</f>
        <v>15</v>
      </c>
      <c r="F41" s="27"/>
      <c r="G41" s="27" t="s">
        <v>21</v>
      </c>
      <c r="H41" s="27"/>
      <c r="I41" s="269" t="s">
        <v>132</v>
      </c>
      <c r="J41" s="79"/>
    </row>
    <row r="42" spans="2:10" ht="17" thickBot="1">
      <c r="B42" s="123"/>
      <c r="C42" s="27" t="s">
        <v>28</v>
      </c>
      <c r="D42" s="16" t="s">
        <v>3</v>
      </c>
      <c r="E42" s="92">
        <f>'Research data'!E37</f>
        <v>0</v>
      </c>
      <c r="F42" s="27"/>
      <c r="G42" s="27"/>
      <c r="H42" s="27"/>
      <c r="I42" s="259" t="s">
        <v>229</v>
      </c>
      <c r="J42" s="79"/>
    </row>
    <row r="43" spans="2:10" ht="17" thickBot="1">
      <c r="B43" s="31"/>
      <c r="C43" s="32"/>
      <c r="D43" s="32"/>
      <c r="E43" s="32"/>
      <c r="F43" s="32"/>
      <c r="G43" s="32"/>
      <c r="H43" s="32"/>
      <c r="I43" s="32"/>
      <c r="J43" s="33"/>
    </row>
    <row r="48" spans="2:10">
      <c r="B48" s="11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S41"/>
  <sheetViews>
    <sheetView zoomScaleNormal="100" workbookViewId="0">
      <selection activeCell="A18" sqref="A18:XFD18"/>
    </sheetView>
  </sheetViews>
  <sheetFormatPr baseColWidth="10" defaultColWidth="10.6640625" defaultRowHeight="16"/>
  <cols>
    <col min="1" max="2" width="3.5" style="49" customWidth="1"/>
    <col min="3" max="3" width="53.6640625" style="49" bestFit="1" customWidth="1"/>
    <col min="4" max="4" width="9.5" style="49" bestFit="1" customWidth="1"/>
    <col min="5" max="5" width="7.6640625" style="49" bestFit="1" customWidth="1"/>
    <col min="6" max="6" width="4.6640625" style="49" customWidth="1"/>
    <col min="7" max="7" width="10.83203125" style="50" bestFit="1" customWidth="1"/>
    <col min="8" max="8" width="5.83203125" style="50" bestFit="1" customWidth="1"/>
    <col min="9" max="9" width="8.83203125" style="50" bestFit="1" customWidth="1"/>
    <col min="10" max="10" width="8" style="50" bestFit="1" customWidth="1"/>
    <col min="11" max="12" width="7.6640625" style="50" bestFit="1" customWidth="1"/>
    <col min="13" max="13" width="5.83203125" style="50" bestFit="1" customWidth="1"/>
    <col min="14" max="14" width="18.6640625" style="50" bestFit="1" customWidth="1"/>
    <col min="15" max="15" width="7.6640625" style="50" bestFit="1" customWidth="1"/>
    <col min="16" max="16" width="8.83203125" style="50" bestFit="1" customWidth="1"/>
    <col min="17" max="17" width="16" style="50" bestFit="1" customWidth="1"/>
    <col min="18" max="18" width="2.5" style="50" customWidth="1"/>
    <col min="19" max="19" width="97.33203125" style="49" bestFit="1" customWidth="1"/>
    <col min="20" max="16384" width="10.6640625" style="49"/>
  </cols>
  <sheetData>
    <row r="1" spans="2:19" ht="17" thickBot="1"/>
    <row r="2" spans="2:19">
      <c r="B2" s="51"/>
      <c r="C2" s="52"/>
      <c r="D2" s="52"/>
      <c r="E2" s="52"/>
      <c r="F2" s="52"/>
      <c r="G2" s="53"/>
      <c r="H2" s="53"/>
      <c r="I2" s="53"/>
      <c r="J2" s="53"/>
      <c r="K2" s="53"/>
      <c r="L2" s="53"/>
      <c r="M2" s="53"/>
      <c r="N2" s="53"/>
      <c r="O2" s="53"/>
      <c r="P2" s="53"/>
      <c r="Q2" s="53"/>
      <c r="R2" s="53"/>
      <c r="S2" s="126"/>
    </row>
    <row r="3" spans="2:19" s="12" customFormat="1">
      <c r="B3" s="17"/>
      <c r="C3" s="82" t="s">
        <v>75</v>
      </c>
      <c r="D3" s="82" t="s">
        <v>11</v>
      </c>
      <c r="E3" s="82" t="s">
        <v>69</v>
      </c>
      <c r="F3" s="82"/>
      <c r="G3" s="48" t="str">
        <f>Sources!E15</f>
        <v>Grant UK</v>
      </c>
      <c r="H3" s="48" t="s">
        <v>165</v>
      </c>
      <c r="I3" s="48" t="s">
        <v>167</v>
      </c>
      <c r="J3" s="48" t="str">
        <f>Sources!E8</f>
        <v>Wolseley</v>
      </c>
      <c r="K3" s="47"/>
      <c r="L3" s="47" t="str">
        <f>Sources!E10</f>
        <v>CE Delft</v>
      </c>
      <c r="M3" s="47" t="str">
        <f>Sources!E18</f>
        <v>Ecofys</v>
      </c>
      <c r="N3" s="47" t="s">
        <v>229</v>
      </c>
      <c r="O3" s="47" t="str">
        <f>Sources!E21</f>
        <v>Wolseley</v>
      </c>
      <c r="P3" s="47"/>
      <c r="Q3" s="47" t="s">
        <v>208</v>
      </c>
      <c r="S3" s="127" t="s">
        <v>77</v>
      </c>
    </row>
    <row r="4" spans="2:19">
      <c r="B4" s="54"/>
      <c r="C4" s="55"/>
      <c r="D4" s="55"/>
      <c r="E4" s="56"/>
      <c r="F4" s="56"/>
      <c r="G4" s="80"/>
      <c r="H4" s="80"/>
      <c r="I4" s="80"/>
      <c r="J4" s="10"/>
      <c r="K4" s="81"/>
      <c r="L4" s="81"/>
      <c r="M4" s="81"/>
      <c r="N4" s="81"/>
      <c r="O4" s="81"/>
      <c r="P4" s="81"/>
      <c r="Q4" s="81"/>
      <c r="R4" s="81"/>
      <c r="S4" s="128"/>
    </row>
    <row r="5" spans="2:19" ht="17" thickBot="1">
      <c r="B5" s="54"/>
      <c r="C5" s="25" t="s">
        <v>74</v>
      </c>
      <c r="D5" s="91"/>
      <c r="E5" s="9"/>
      <c r="F5" s="9"/>
      <c r="G5" s="9"/>
      <c r="H5" s="9"/>
      <c r="I5" s="9"/>
      <c r="J5" s="9"/>
      <c r="K5" s="9"/>
      <c r="L5" s="9"/>
      <c r="M5" s="9"/>
      <c r="N5" s="9"/>
      <c r="O5" s="9"/>
      <c r="P5" s="9"/>
      <c r="Q5" s="9"/>
      <c r="R5" s="9"/>
      <c r="S5" s="128"/>
    </row>
    <row r="6" spans="2:19" ht="17" thickBot="1">
      <c r="B6" s="54"/>
      <c r="C6" s="233" t="str">
        <f>Dashboard!C10</f>
        <v>input.ambient_heat</v>
      </c>
      <c r="D6" s="233" t="str">
        <f>Dashboard!D10</f>
        <v>-</v>
      </c>
      <c r="E6" s="234">
        <f>ROUND(G6,5)</f>
        <v>0.63765000000000005</v>
      </c>
      <c r="F6" s="235"/>
      <c r="G6" s="234">
        <f>Notes!E100</f>
        <v>0.63765182186234826</v>
      </c>
      <c r="H6" s="135"/>
      <c r="I6" s="135"/>
      <c r="J6" s="136"/>
      <c r="K6" s="136"/>
      <c r="L6" s="136"/>
      <c r="M6" s="136"/>
      <c r="N6" s="136"/>
      <c r="O6" s="136"/>
      <c r="P6" s="136"/>
      <c r="Q6" s="136"/>
      <c r="R6" s="136"/>
      <c r="S6" s="198"/>
    </row>
    <row r="7" spans="2:19" ht="17" thickBot="1">
      <c r="B7" s="54"/>
      <c r="C7" s="233" t="str">
        <f>Dashboard!C11</f>
        <v>input.electricity</v>
      </c>
      <c r="D7" s="233" t="str">
        <f>Dashboard!D11</f>
        <v>-</v>
      </c>
      <c r="E7" s="234">
        <f>ROUND(G7,5)</f>
        <v>0.15182000000000001</v>
      </c>
      <c r="F7" s="137"/>
      <c r="G7" s="234">
        <f>Notes!E101</f>
        <v>0.15182186234817813</v>
      </c>
      <c r="H7" s="135"/>
      <c r="I7" s="135"/>
      <c r="J7" s="138"/>
      <c r="K7" s="136"/>
      <c r="L7" s="136"/>
      <c r="M7" s="136"/>
      <c r="N7" s="136"/>
      <c r="O7" s="136"/>
      <c r="P7" s="136"/>
      <c r="Q7" s="136"/>
      <c r="R7" s="138"/>
      <c r="S7" s="198"/>
    </row>
    <row r="8" spans="2:19" s="193" customFormat="1" ht="17" thickBot="1">
      <c r="B8" s="194"/>
      <c r="C8" s="233" t="str">
        <f>Dashboard!C12</f>
        <v>input.crude_oil</v>
      </c>
      <c r="D8" s="233" t="str">
        <f>Dashboard!D12</f>
        <v>-</v>
      </c>
      <c r="E8" s="234">
        <f>ROUND(G8,5)</f>
        <v>0.21052999999999999</v>
      </c>
      <c r="F8" s="137"/>
      <c r="G8" s="234">
        <f>Notes!E57</f>
        <v>0.2105263157894737</v>
      </c>
      <c r="H8" s="195"/>
      <c r="I8" s="195"/>
      <c r="J8" s="196"/>
      <c r="K8" s="197"/>
      <c r="L8" s="197"/>
      <c r="M8" s="197"/>
      <c r="N8" s="197"/>
      <c r="O8" s="197"/>
      <c r="P8" s="197"/>
      <c r="Q8" s="197"/>
      <c r="R8" s="196"/>
      <c r="S8" s="198"/>
    </row>
    <row r="9" spans="2:19" ht="17" thickBot="1">
      <c r="B9" s="54"/>
      <c r="C9" s="233" t="str">
        <f>Dashboard!C13</f>
        <v>output.cooling</v>
      </c>
      <c r="D9" s="233" t="str">
        <f>Dashboard!D13</f>
        <v>-</v>
      </c>
      <c r="E9" s="236">
        <f>ROUND(G9,5)</f>
        <v>0</v>
      </c>
      <c r="F9" s="137"/>
      <c r="G9" s="234">
        <v>0</v>
      </c>
      <c r="H9" s="135"/>
      <c r="I9" s="135"/>
      <c r="J9" s="138"/>
      <c r="K9" s="138"/>
      <c r="L9" s="138"/>
      <c r="M9" s="138"/>
      <c r="N9" s="138"/>
      <c r="O9" s="138"/>
      <c r="P9" s="138"/>
      <c r="Q9" s="138"/>
      <c r="R9" s="138"/>
      <c r="S9" s="128" t="s">
        <v>116</v>
      </c>
    </row>
    <row r="10" spans="2:19" ht="17" thickBot="1">
      <c r="B10" s="54"/>
      <c r="C10" s="233" t="str">
        <f>Dashboard!C14</f>
        <v>output.useable_heat.ambient_heat</v>
      </c>
      <c r="D10" s="233" t="str">
        <f>Dashboard!D14</f>
        <v>-</v>
      </c>
      <c r="E10" s="237">
        <f>ROUND(K10,5)</f>
        <v>1</v>
      </c>
      <c r="F10" s="137"/>
      <c r="G10" s="235"/>
      <c r="H10" s="135"/>
      <c r="I10" s="135"/>
      <c r="J10" s="138"/>
      <c r="K10" s="134">
        <f>Notes!E105</f>
        <v>1</v>
      </c>
      <c r="L10" s="138"/>
      <c r="M10" s="138"/>
      <c r="N10" s="138"/>
      <c r="O10" s="138"/>
      <c r="P10" s="138"/>
      <c r="Q10" s="138"/>
      <c r="R10" s="138"/>
      <c r="S10" s="128"/>
    </row>
    <row r="11" spans="2:19" ht="17" thickBot="1">
      <c r="B11" s="54"/>
      <c r="C11" s="233" t="str">
        <f>Dashboard!C15</f>
        <v>output.useable_heat.electricity</v>
      </c>
      <c r="D11" s="233" t="str">
        <f>Dashboard!D15</f>
        <v>-</v>
      </c>
      <c r="E11" s="237">
        <f>ROUND(K11,5)</f>
        <v>1</v>
      </c>
      <c r="F11" s="137"/>
      <c r="G11" s="235"/>
      <c r="H11" s="135"/>
      <c r="I11" s="135"/>
      <c r="J11" s="138"/>
      <c r="K11" s="134">
        <f>Notes!E106</f>
        <v>1</v>
      </c>
      <c r="L11" s="138"/>
      <c r="M11" s="138"/>
      <c r="N11" s="138"/>
      <c r="O11" s="138"/>
      <c r="P11" s="138"/>
      <c r="Q11" s="138"/>
      <c r="R11" s="138"/>
      <c r="S11" s="128"/>
    </row>
    <row r="12" spans="2:19" s="207" customFormat="1" ht="17" thickBot="1">
      <c r="B12" s="208"/>
      <c r="C12" s="233" t="str">
        <f>Dashboard!C16</f>
        <v>output.useable_heat.crude_oil</v>
      </c>
      <c r="D12" s="233" t="str">
        <f>Dashboard!D16</f>
        <v>-</v>
      </c>
      <c r="E12" s="234">
        <f>ROUND(H12,5)</f>
        <v>0.95</v>
      </c>
      <c r="F12" s="235"/>
      <c r="G12" s="238"/>
      <c r="H12" s="210">
        <f>Notes!E18</f>
        <v>0.95</v>
      </c>
      <c r="I12" s="210"/>
      <c r="J12" s="209"/>
      <c r="K12" s="209"/>
      <c r="L12" s="209"/>
      <c r="M12" s="209"/>
      <c r="N12" s="209"/>
      <c r="O12" s="209"/>
      <c r="P12" s="209"/>
      <c r="Q12" s="209"/>
      <c r="R12" s="209"/>
      <c r="S12" s="211"/>
    </row>
    <row r="13" spans="2:19" ht="17" thickBot="1">
      <c r="B13" s="54"/>
      <c r="C13" s="233" t="str">
        <f>Dashboard!C17</f>
        <v>fever.base_cop</v>
      </c>
      <c r="D13" s="233" t="str">
        <f>Dashboard!D17</f>
        <v>-</v>
      </c>
      <c r="E13" s="234">
        <f>ROUND(M13,5)</f>
        <v>2.3233299999999999</v>
      </c>
      <c r="F13" s="235"/>
      <c r="G13" s="239"/>
      <c r="H13" s="143"/>
      <c r="I13" s="143"/>
      <c r="J13" s="141"/>
      <c r="K13" s="141"/>
      <c r="L13" s="141"/>
      <c r="M13" s="144">
        <f>Notes!E261</f>
        <v>2.3233333333333333</v>
      </c>
      <c r="N13" s="141"/>
      <c r="O13" s="141"/>
      <c r="P13" s="141"/>
      <c r="Q13" s="141"/>
      <c r="R13" s="141"/>
      <c r="S13" s="128"/>
    </row>
    <row r="14" spans="2:19" ht="17" thickBot="1">
      <c r="B14" s="54"/>
      <c r="C14" s="233" t="str">
        <f>Dashboard!C18</f>
        <v>fever.capacity.electricity</v>
      </c>
      <c r="D14" s="233" t="str">
        <f>Dashboard!D18</f>
        <v>-</v>
      </c>
      <c r="E14" s="234">
        <f>ROUND(M14,5)</f>
        <v>4.47E-3</v>
      </c>
      <c r="F14" s="235"/>
      <c r="G14" s="239"/>
      <c r="H14" s="143"/>
      <c r="I14" s="143"/>
      <c r="J14" s="141"/>
      <c r="K14" s="141"/>
      <c r="L14" s="141"/>
      <c r="M14" s="145">
        <f>Notes!E278</f>
        <v>4.4718675545237941E-3</v>
      </c>
      <c r="N14" s="141"/>
      <c r="O14" s="141"/>
      <c r="P14" s="141"/>
      <c r="Q14" s="141"/>
      <c r="R14" s="141"/>
      <c r="S14" s="128"/>
    </row>
    <row r="15" spans="2:19" s="193" customFormat="1" ht="17" thickBot="1">
      <c r="B15" s="194"/>
      <c r="C15" s="233" t="str">
        <f>Dashboard!C19</f>
        <v>fever.capacity.crude_oil</v>
      </c>
      <c r="D15" s="233" t="str">
        <f>Dashboard!D19</f>
        <v>-</v>
      </c>
      <c r="E15" s="234">
        <f>ROUND(N15,5)</f>
        <v>2.1999999999999999E-2</v>
      </c>
      <c r="F15" s="235"/>
      <c r="H15" s="200"/>
      <c r="I15" s="200"/>
      <c r="J15" s="199"/>
      <c r="K15" s="199"/>
      <c r="L15" s="199"/>
      <c r="M15" s="199"/>
      <c r="N15" s="240">
        <f>Notes!F248</f>
        <v>2.1999999999999999E-2</v>
      </c>
      <c r="O15" s="199"/>
      <c r="P15" s="199"/>
      <c r="Q15" s="199"/>
      <c r="R15" s="199"/>
      <c r="S15" s="198" t="s">
        <v>158</v>
      </c>
    </row>
    <row r="16" spans="2:19" ht="17" thickBot="1">
      <c r="B16" s="54"/>
      <c r="C16" s="91" t="str">
        <f>Dashboard!C20</f>
        <v>fever.cop_cutoff</v>
      </c>
      <c r="D16" s="91" t="str">
        <f>Dashboard!D20</f>
        <v>-</v>
      </c>
      <c r="E16" s="140">
        <f>ROUND(G16,5)</f>
        <v>3.47201</v>
      </c>
      <c r="F16" s="135"/>
      <c r="G16" s="142">
        <f>Notes!F222</f>
        <v>3.4720056678082183</v>
      </c>
      <c r="H16" s="146"/>
      <c r="I16" s="146"/>
      <c r="J16" s="141"/>
      <c r="K16" s="141"/>
      <c r="L16" s="141"/>
      <c r="M16" s="141"/>
      <c r="N16" s="141"/>
      <c r="O16" s="141"/>
      <c r="P16" s="141"/>
      <c r="Q16" s="141"/>
      <c r="R16" s="141"/>
      <c r="S16" s="128"/>
    </row>
    <row r="17" spans="1:19" s="193" customFormat="1" ht="17" thickBot="1">
      <c r="B17" s="194"/>
      <c r="C17" s="226" t="str">
        <f>Dashboard!C21</f>
        <v>fever.cop_per_degree</v>
      </c>
      <c r="D17" s="112" t="str">
        <f>Dashboard!D21</f>
        <v>-</v>
      </c>
      <c r="E17" s="222">
        <f>ROUND(M17,5)</f>
        <v>5.7829999999999999E-2</v>
      </c>
      <c r="F17" s="223"/>
      <c r="G17" s="224"/>
      <c r="H17" s="224"/>
      <c r="I17" s="224"/>
      <c r="J17" s="224"/>
      <c r="K17" s="224"/>
      <c r="L17" s="224"/>
      <c r="M17" s="225">
        <f>Notes!E262</f>
        <v>5.7833333333333327E-2</v>
      </c>
      <c r="N17" s="199"/>
      <c r="O17" s="199"/>
      <c r="P17" s="199"/>
      <c r="Q17" s="199"/>
      <c r="R17" s="199"/>
      <c r="S17" s="198"/>
    </row>
    <row r="18" spans="1:19" ht="17" thickBot="1">
      <c r="B18" s="54"/>
      <c r="C18" s="91" t="str">
        <f>Dashboard!C22</f>
        <v>availability</v>
      </c>
      <c r="D18" s="91" t="str">
        <f>Dashboard!D22</f>
        <v>-</v>
      </c>
      <c r="E18" s="139">
        <f>ROUND(G18,5)</f>
        <v>0</v>
      </c>
      <c r="F18" s="138"/>
      <c r="G18" s="139">
        <v>0</v>
      </c>
      <c r="H18" s="141"/>
      <c r="I18" s="141"/>
      <c r="J18" s="141"/>
      <c r="K18" s="141"/>
      <c r="L18" s="141"/>
      <c r="M18" s="141"/>
      <c r="N18" s="141"/>
      <c r="O18" s="141"/>
      <c r="P18" s="141"/>
      <c r="Q18" s="141"/>
      <c r="R18" s="141"/>
      <c r="S18" s="128" t="s">
        <v>104</v>
      </c>
    </row>
    <row r="19" spans="1:19" ht="17" thickBot="1">
      <c r="B19" s="54"/>
      <c r="C19" s="91" t="str">
        <f>Dashboard!C23</f>
        <v>full_load_hours</v>
      </c>
      <c r="D19" s="91" t="str">
        <f>Dashboard!D23</f>
        <v>hour/year</v>
      </c>
      <c r="E19" s="139">
        <f>ROUND(G19,5)</f>
        <v>0</v>
      </c>
      <c r="F19" s="138"/>
      <c r="G19" s="139">
        <v>0</v>
      </c>
      <c r="H19" s="141"/>
      <c r="I19" s="141"/>
      <c r="J19" s="143"/>
      <c r="K19" s="143"/>
      <c r="L19" s="136"/>
      <c r="M19" s="136"/>
      <c r="N19" s="136"/>
      <c r="O19" s="136"/>
      <c r="P19" s="136"/>
      <c r="Q19" s="136"/>
      <c r="R19" s="136"/>
      <c r="S19" s="128" t="s">
        <v>106</v>
      </c>
    </row>
    <row r="20" spans="1:19" ht="17" thickBot="1">
      <c r="B20" s="54"/>
      <c r="C20" s="91" t="str">
        <f>Dashboard!C24</f>
        <v>households_supplied_per_unit</v>
      </c>
      <c r="D20" s="91" t="str">
        <f>Dashboard!D24</f>
        <v>-</v>
      </c>
      <c r="E20" s="139">
        <f>ROUND(G20,5)</f>
        <v>1</v>
      </c>
      <c r="F20" s="138"/>
      <c r="G20" s="139">
        <v>1</v>
      </c>
      <c r="H20" s="141"/>
      <c r="I20" s="141"/>
      <c r="J20" s="136"/>
      <c r="K20" s="136"/>
      <c r="L20" s="136"/>
      <c r="M20" s="136"/>
      <c r="N20" s="136"/>
      <c r="O20" s="136"/>
      <c r="P20" s="136"/>
      <c r="Q20" s="136"/>
      <c r="R20" s="136"/>
      <c r="S20" s="128" t="s">
        <v>10</v>
      </c>
    </row>
    <row r="21" spans="1:19" ht="17" thickBot="1">
      <c r="B21" s="54"/>
      <c r="C21" s="91" t="str">
        <f>Dashboard!C25</f>
        <v>electricity_output_capacity</v>
      </c>
      <c r="D21" s="91" t="str">
        <f>Dashboard!D25</f>
        <v>MW</v>
      </c>
      <c r="E21" s="145">
        <f>ROUND(G21,5)</f>
        <v>0</v>
      </c>
      <c r="F21" s="147"/>
      <c r="G21" s="148">
        <v>0</v>
      </c>
      <c r="H21" s="143"/>
      <c r="I21" s="143"/>
      <c r="J21" s="143"/>
      <c r="K21" s="143"/>
      <c r="L21" s="143"/>
      <c r="M21" s="143"/>
      <c r="N21" s="143"/>
      <c r="O21" s="143"/>
      <c r="P21" s="143"/>
      <c r="Q21" s="143"/>
      <c r="R21" s="143"/>
      <c r="S21" s="128" t="s">
        <v>105</v>
      </c>
    </row>
    <row r="22" spans="1:19" ht="17" thickBot="1">
      <c r="B22" s="54"/>
      <c r="C22" s="91" t="str">
        <f>Dashboard!C26</f>
        <v>heat_output_capacity</v>
      </c>
      <c r="D22" s="91" t="str">
        <f>Dashboard!D26</f>
        <v>MW</v>
      </c>
      <c r="E22" s="145">
        <f>ROUND(I22,5)</f>
        <v>1.2200000000000001E-2</v>
      </c>
      <c r="F22" s="149"/>
      <c r="G22" s="149"/>
      <c r="H22" s="149"/>
      <c r="I22" s="145">
        <f>Notes!E96</f>
        <v>1.2199999999999999E-2</v>
      </c>
      <c r="J22" s="149"/>
      <c r="L22" s="150"/>
      <c r="M22" s="150"/>
      <c r="N22" s="150"/>
      <c r="O22" s="150"/>
      <c r="P22" s="150"/>
      <c r="Q22" s="150"/>
      <c r="R22" s="143"/>
      <c r="S22" s="128" t="s">
        <v>108</v>
      </c>
    </row>
    <row r="23" spans="1:19">
      <c r="B23" s="54"/>
      <c r="C23" s="57"/>
      <c r="S23" s="128"/>
    </row>
    <row r="24" spans="1:19" ht="17" thickBot="1">
      <c r="B24" s="54"/>
      <c r="C24" s="25" t="s">
        <v>76</v>
      </c>
      <c r="D24" s="25"/>
      <c r="S24" s="128"/>
    </row>
    <row r="25" spans="1:19" ht="17" thickBot="1">
      <c r="A25" s="95"/>
      <c r="B25" s="96"/>
      <c r="C25" s="91" t="str">
        <f>Dashboard!C29</f>
        <v>initial_investment</v>
      </c>
      <c r="D25" s="91" t="str">
        <f>Dashboard!D29</f>
        <v>euro</v>
      </c>
      <c r="E25" s="139">
        <f>J25</f>
        <v>7808</v>
      </c>
      <c r="F25" s="147"/>
      <c r="G25" s="143"/>
      <c r="H25" s="143"/>
      <c r="I25" s="143"/>
      <c r="J25" s="151">
        <f>Notes!E191</f>
        <v>7808</v>
      </c>
      <c r="K25" s="143"/>
      <c r="L25" s="143"/>
      <c r="M25" s="143"/>
      <c r="N25" s="143"/>
      <c r="O25" s="143"/>
      <c r="P25" s="143"/>
      <c r="Q25" s="49"/>
      <c r="R25" s="143"/>
      <c r="S25" s="128"/>
    </row>
    <row r="26" spans="1:19" ht="17" thickBot="1">
      <c r="A26" s="95"/>
      <c r="B26" s="96"/>
      <c r="C26" s="91" t="str">
        <f>Dashboard!C30</f>
        <v>ccs_investment</v>
      </c>
      <c r="D26" s="91" t="str">
        <f>Dashboard!D30</f>
        <v>euro</v>
      </c>
      <c r="E26" s="139">
        <f t="shared" ref="E26:E32" si="0">G26</f>
        <v>0</v>
      </c>
      <c r="F26" s="147"/>
      <c r="G26" s="139">
        <f>J26</f>
        <v>0</v>
      </c>
      <c r="H26" s="141"/>
      <c r="I26" s="141"/>
      <c r="J26" s="143"/>
      <c r="K26" s="143"/>
      <c r="L26" s="143"/>
      <c r="M26" s="143"/>
      <c r="N26" s="143"/>
      <c r="O26" s="143"/>
      <c r="P26" s="143"/>
      <c r="Q26" s="143"/>
      <c r="R26" s="143"/>
      <c r="S26" s="128" t="s">
        <v>105</v>
      </c>
    </row>
    <row r="27" spans="1:19" ht="17" thickBot="1">
      <c r="A27" s="95"/>
      <c r="B27" s="96"/>
      <c r="C27" s="91" t="str">
        <f>Dashboard!C31</f>
        <v>cost_of_installing</v>
      </c>
      <c r="D27" s="91" t="str">
        <f>Dashboard!D31</f>
        <v>euro</v>
      </c>
      <c r="E27" s="139">
        <f>ROUND(J27,0)</f>
        <v>3218</v>
      </c>
      <c r="F27" s="147"/>
      <c r="G27" s="143"/>
      <c r="H27" s="143"/>
      <c r="I27" s="143"/>
      <c r="J27" s="151">
        <f>Notes!E181</f>
        <v>3217.5</v>
      </c>
      <c r="K27" s="143"/>
      <c r="L27" s="143"/>
      <c r="M27" s="143"/>
      <c r="N27" s="143"/>
      <c r="O27" s="153"/>
      <c r="P27" s="154"/>
      <c r="Q27" s="151"/>
      <c r="R27" s="143"/>
      <c r="S27" s="128" t="s">
        <v>195</v>
      </c>
    </row>
    <row r="28" spans="1:19" ht="17" thickBot="1">
      <c r="A28" s="95"/>
      <c r="B28" s="96"/>
      <c r="C28" s="91" t="str">
        <f>Dashboard!C32</f>
        <v>decommissioning_costs</v>
      </c>
      <c r="D28" s="91" t="str">
        <f>Dashboard!D32</f>
        <v>euro</v>
      </c>
      <c r="E28" s="139">
        <f t="shared" si="0"/>
        <v>0</v>
      </c>
      <c r="F28" s="147"/>
      <c r="G28" s="139">
        <f>J28</f>
        <v>0</v>
      </c>
      <c r="H28" s="141"/>
      <c r="I28" s="141"/>
      <c r="J28" s="143"/>
      <c r="K28" s="143"/>
      <c r="L28" s="143"/>
      <c r="M28" s="143"/>
      <c r="N28" s="143"/>
      <c r="O28" s="154"/>
      <c r="P28" s="154"/>
      <c r="Q28" s="143"/>
      <c r="R28" s="143"/>
      <c r="S28" s="128" t="s">
        <v>105</v>
      </c>
    </row>
    <row r="29" spans="1:19" ht="17" thickBot="1">
      <c r="A29" s="95"/>
      <c r="B29" s="96"/>
      <c r="C29" s="91" t="str">
        <f>Dashboard!C33</f>
        <v>fixed_operation_and_maintenance_costs_per_year</v>
      </c>
      <c r="D29" s="91" t="str">
        <f>Dashboard!D33</f>
        <v>euro/year</v>
      </c>
      <c r="E29" s="152">
        <f>Q29</f>
        <v>150</v>
      </c>
      <c r="F29" s="147"/>
      <c r="G29" s="143"/>
      <c r="H29" s="143"/>
      <c r="I29" s="143"/>
      <c r="J29" s="143"/>
      <c r="K29" s="143"/>
      <c r="L29" s="145">
        <f>Notes!E217</f>
        <v>0</v>
      </c>
      <c r="M29" s="150"/>
      <c r="N29" s="150"/>
      <c r="P29" s="156"/>
      <c r="Q29" s="152">
        <f>Notes!E196</f>
        <v>150</v>
      </c>
      <c r="R29" s="143"/>
      <c r="S29" s="128"/>
    </row>
    <row r="30" spans="1:19" ht="17" thickBot="1">
      <c r="A30" s="95"/>
      <c r="B30" s="96"/>
      <c r="C30" s="91" t="str">
        <f>Dashboard!C34</f>
        <v>variable_operation_and_maintenance_costs_per_full_load_hour</v>
      </c>
      <c r="D30" s="91" t="str">
        <f>Dashboard!D34</f>
        <v>euro/FLH</v>
      </c>
      <c r="E30" s="142">
        <f>G30</f>
        <v>0</v>
      </c>
      <c r="F30" s="147"/>
      <c r="G30" s="139">
        <f>J30</f>
        <v>0</v>
      </c>
      <c r="H30" s="141"/>
      <c r="I30" s="141"/>
      <c r="J30" s="143"/>
      <c r="K30" s="143"/>
      <c r="L30" s="143"/>
      <c r="M30" s="143"/>
      <c r="N30" s="143"/>
      <c r="O30" s="143"/>
      <c r="P30" s="143"/>
      <c r="Q30" s="143"/>
      <c r="R30" s="143"/>
      <c r="S30" s="128" t="s">
        <v>106</v>
      </c>
    </row>
    <row r="31" spans="1:19" ht="17" thickBot="1">
      <c r="A31" s="95"/>
      <c r="B31" s="96"/>
      <c r="C31" s="91" t="str">
        <f>Dashboard!C35</f>
        <v>variable_operation_and_maintenance_costs_for_ccs_per_full_load_hour</v>
      </c>
      <c r="D31" s="91" t="str">
        <f>Dashboard!D35</f>
        <v>euro/FLH</v>
      </c>
      <c r="E31" s="142">
        <f>G31</f>
        <v>0</v>
      </c>
      <c r="F31" s="147"/>
      <c r="G31" s="139">
        <f>J31</f>
        <v>0</v>
      </c>
      <c r="H31" s="141"/>
      <c r="I31" s="141"/>
      <c r="J31" s="143"/>
      <c r="K31" s="143"/>
      <c r="L31" s="143"/>
      <c r="M31" s="143"/>
      <c r="N31" s="143"/>
      <c r="O31" s="143"/>
      <c r="P31" s="143"/>
      <c r="Q31" s="143"/>
      <c r="R31" s="143"/>
      <c r="S31" s="128" t="s">
        <v>105</v>
      </c>
    </row>
    <row r="32" spans="1:19" ht="17" thickBot="1">
      <c r="A32" s="95"/>
      <c r="B32" s="96"/>
      <c r="C32" s="91" t="str">
        <f>Dashboard!C37</f>
        <v>takes_part_in_ets</v>
      </c>
      <c r="D32" s="91" t="str">
        <f>Dashboard!D37</f>
        <v>yes=1, no=0</v>
      </c>
      <c r="E32" s="139">
        <f t="shared" si="0"/>
        <v>0</v>
      </c>
      <c r="F32" s="147"/>
      <c r="G32" s="139">
        <f>J32</f>
        <v>0</v>
      </c>
      <c r="H32" s="141"/>
      <c r="I32" s="141"/>
      <c r="J32" s="143"/>
      <c r="K32" s="143"/>
      <c r="L32" s="143"/>
      <c r="M32" s="143"/>
      <c r="N32" s="143"/>
      <c r="O32" s="143"/>
      <c r="P32" s="143"/>
      <c r="Q32" s="143"/>
      <c r="R32" s="143"/>
      <c r="S32" s="128" t="s">
        <v>105</v>
      </c>
    </row>
    <row r="33" spans="1:19">
      <c r="A33" s="95"/>
      <c r="B33" s="96"/>
      <c r="C33" s="25"/>
      <c r="S33" s="128"/>
    </row>
    <row r="34" spans="1:19" ht="17" thickBot="1">
      <c r="A34" s="95"/>
      <c r="B34" s="96"/>
      <c r="C34" s="11" t="s">
        <v>5</v>
      </c>
      <c r="S34" s="128"/>
    </row>
    <row r="35" spans="1:19" ht="17" thickBot="1">
      <c r="A35" s="95"/>
      <c r="B35" s="96"/>
      <c r="C35" s="91" t="str">
        <f>Dashboard!C40</f>
        <v>construction_time</v>
      </c>
      <c r="D35" s="91" t="str">
        <f>Dashboard!D40</f>
        <v>years</v>
      </c>
      <c r="E35" s="139">
        <f>G35</f>
        <v>0</v>
      </c>
      <c r="F35" s="147"/>
      <c r="G35" s="139">
        <f>J35</f>
        <v>0</v>
      </c>
      <c r="H35" s="141"/>
      <c r="I35" s="141"/>
      <c r="J35" s="143"/>
      <c r="K35" s="143"/>
      <c r="L35" s="143"/>
      <c r="M35" s="143"/>
      <c r="N35" s="143"/>
      <c r="O35" s="143"/>
      <c r="P35" s="143"/>
      <c r="Q35" s="143"/>
      <c r="R35" s="143"/>
      <c r="S35" s="128" t="s">
        <v>105</v>
      </c>
    </row>
    <row r="36" spans="1:19" ht="17" thickBot="1">
      <c r="A36" s="95"/>
      <c r="B36" s="96"/>
      <c r="C36" s="91" t="str">
        <f>Dashboard!C41</f>
        <v>technical_lifetime</v>
      </c>
      <c r="D36" s="91" t="str">
        <f>Dashboard!D41</f>
        <v>years</v>
      </c>
      <c r="E36" s="139">
        <f>O36</f>
        <v>15</v>
      </c>
      <c r="F36" s="147"/>
      <c r="G36" s="143"/>
      <c r="H36" s="143"/>
      <c r="I36" s="143"/>
      <c r="J36" s="143"/>
      <c r="K36" s="143"/>
      <c r="L36" s="143"/>
      <c r="M36" s="143"/>
      <c r="N36" s="143"/>
      <c r="O36" s="148">
        <f>Notes!E271</f>
        <v>15</v>
      </c>
      <c r="P36" s="143"/>
      <c r="Q36" s="143"/>
      <c r="R36" s="143"/>
      <c r="S36" s="155" t="s">
        <v>118</v>
      </c>
    </row>
    <row r="37" spans="1:19" ht="17" thickBot="1">
      <c r="A37" s="95"/>
      <c r="B37" s="96"/>
      <c r="C37" s="91" t="str">
        <f>Dashboard!C42</f>
        <v>free_co2_factor</v>
      </c>
      <c r="D37" s="91" t="str">
        <f>Dashboard!D42</f>
        <v>-</v>
      </c>
      <c r="E37" s="139">
        <f t="shared" ref="E37" si="1">G37</f>
        <v>0</v>
      </c>
      <c r="F37" s="147"/>
      <c r="G37" s="139">
        <f>J37</f>
        <v>0</v>
      </c>
      <c r="H37" s="141"/>
      <c r="I37" s="141"/>
      <c r="J37" s="143"/>
      <c r="K37" s="143"/>
      <c r="L37" s="143"/>
      <c r="M37" s="143"/>
      <c r="N37" s="143"/>
      <c r="O37" s="143"/>
      <c r="P37" s="143"/>
      <c r="Q37" s="143"/>
      <c r="R37" s="143"/>
      <c r="S37" s="128" t="s">
        <v>105</v>
      </c>
    </row>
    <row r="38" spans="1:19">
      <c r="B38" s="54"/>
      <c r="S38" s="129"/>
    </row>
    <row r="39" spans="1:19">
      <c r="B39" s="54"/>
      <c r="S39" s="129"/>
    </row>
    <row r="40" spans="1:19">
      <c r="B40" s="54"/>
      <c r="S40" s="129"/>
    </row>
    <row r="41" spans="1:19" ht="17" thickBot="1">
      <c r="B41" s="130"/>
      <c r="C41" s="131"/>
      <c r="D41" s="131"/>
      <c r="E41" s="131"/>
      <c r="F41" s="131"/>
      <c r="G41" s="132"/>
      <c r="H41" s="132"/>
      <c r="I41" s="132"/>
      <c r="J41" s="132"/>
      <c r="K41" s="132"/>
      <c r="L41" s="132"/>
      <c r="M41" s="132"/>
      <c r="N41" s="132"/>
      <c r="O41" s="132"/>
      <c r="P41" s="132"/>
      <c r="Q41" s="132"/>
      <c r="R41" s="132"/>
      <c r="S41" s="13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60"/>
  <sheetViews>
    <sheetView zoomScaleNormal="100" workbookViewId="0">
      <selection activeCell="E12" sqref="E12"/>
    </sheetView>
  </sheetViews>
  <sheetFormatPr baseColWidth="10" defaultColWidth="33.1640625" defaultRowHeight="16"/>
  <cols>
    <col min="1" max="1" width="3.33203125" style="36" customWidth="1"/>
    <col min="2" max="2" width="3.5" style="36" customWidth="1"/>
    <col min="3" max="3" width="25.1640625" style="36" customWidth="1"/>
    <col min="4" max="4" width="3.1640625" style="36" customWidth="1"/>
    <col min="5" max="5" width="16.1640625" style="36" customWidth="1"/>
    <col min="6" max="6" width="10.33203125" style="36" customWidth="1"/>
    <col min="7" max="9" width="12.1640625" style="36" customWidth="1"/>
    <col min="10" max="10" width="33.6640625" style="37" customWidth="1"/>
    <col min="11" max="11" width="96" style="36" bestFit="1" customWidth="1"/>
    <col min="12" max="16384" width="33.1640625" style="36"/>
  </cols>
  <sheetData>
    <row r="1" spans="2:11" ht="17" thickBot="1"/>
    <row r="2" spans="2:11">
      <c r="B2" s="38"/>
      <c r="C2" s="39"/>
      <c r="D2" s="39"/>
      <c r="E2" s="39"/>
      <c r="F2" s="39"/>
      <c r="G2" s="39"/>
      <c r="H2" s="39"/>
      <c r="I2" s="39"/>
      <c r="J2" s="40"/>
      <c r="K2" s="162"/>
    </row>
    <row r="3" spans="2:11">
      <c r="B3" s="41"/>
      <c r="C3" s="42" t="s">
        <v>18</v>
      </c>
      <c r="D3" s="42"/>
      <c r="E3" s="42"/>
      <c r="F3" s="42"/>
      <c r="G3" s="42"/>
      <c r="H3" s="42"/>
      <c r="I3" s="42"/>
      <c r="J3" s="43"/>
      <c r="K3" s="157"/>
    </row>
    <row r="4" spans="2:11">
      <c r="B4" s="41"/>
      <c r="K4" s="157"/>
    </row>
    <row r="5" spans="2:11">
      <c r="B5" s="44"/>
      <c r="C5" s="45" t="s">
        <v>23</v>
      </c>
      <c r="D5" s="45"/>
      <c r="E5" s="45" t="s">
        <v>0</v>
      </c>
      <c r="F5" s="45" t="s">
        <v>15</v>
      </c>
      <c r="G5" s="45" t="s">
        <v>24</v>
      </c>
      <c r="H5" s="45" t="s">
        <v>80</v>
      </c>
      <c r="I5" s="45" t="s">
        <v>93</v>
      </c>
      <c r="J5" s="46" t="s">
        <v>81</v>
      </c>
      <c r="K5" s="163" t="s">
        <v>12</v>
      </c>
    </row>
    <row r="6" spans="2:11">
      <c r="B6" s="41"/>
      <c r="C6" s="42"/>
      <c r="D6" s="42"/>
      <c r="E6" s="42"/>
      <c r="F6" s="42"/>
      <c r="G6" s="42"/>
      <c r="H6" s="42"/>
      <c r="I6" s="42"/>
      <c r="J6" s="43"/>
      <c r="K6" s="164"/>
    </row>
    <row r="7" spans="2:11">
      <c r="B7" s="41"/>
      <c r="C7" s="169"/>
      <c r="D7" s="42"/>
      <c r="J7" s="43"/>
      <c r="K7" s="164"/>
    </row>
    <row r="8" spans="2:11">
      <c r="B8" s="41"/>
      <c r="C8" s="170" t="s">
        <v>94</v>
      </c>
      <c r="D8" s="171"/>
      <c r="E8" s="172" t="s">
        <v>195</v>
      </c>
      <c r="F8" s="172" t="s">
        <v>168</v>
      </c>
      <c r="G8" s="173" t="s">
        <v>96</v>
      </c>
      <c r="H8" s="173" t="s">
        <v>96</v>
      </c>
      <c r="I8" s="173" t="s">
        <v>174</v>
      </c>
      <c r="J8" s="173"/>
      <c r="K8" s="128" t="s">
        <v>196</v>
      </c>
    </row>
    <row r="9" spans="2:11">
      <c r="B9" s="41"/>
      <c r="C9" s="174" t="s">
        <v>97</v>
      </c>
      <c r="D9" s="175"/>
      <c r="E9" s="172" t="s">
        <v>198</v>
      </c>
      <c r="F9" s="172" t="s">
        <v>168</v>
      </c>
      <c r="G9" s="173" t="s">
        <v>199</v>
      </c>
      <c r="H9" s="173" t="s">
        <v>194</v>
      </c>
      <c r="I9" s="173" t="s">
        <v>174</v>
      </c>
      <c r="J9" s="173"/>
      <c r="K9" s="176" t="s">
        <v>200</v>
      </c>
    </row>
    <row r="10" spans="2:11" ht="34">
      <c r="B10" s="41"/>
      <c r="C10" s="170" t="s">
        <v>109</v>
      </c>
      <c r="D10" s="178"/>
      <c r="E10" s="171" t="s">
        <v>208</v>
      </c>
      <c r="F10" s="177" t="s">
        <v>95</v>
      </c>
      <c r="G10" s="179" t="s">
        <v>211</v>
      </c>
      <c r="H10" s="179" t="s">
        <v>212</v>
      </c>
      <c r="I10" s="179" t="s">
        <v>174</v>
      </c>
      <c r="J10" s="179" t="s">
        <v>213</v>
      </c>
      <c r="K10" s="176" t="s">
        <v>214</v>
      </c>
    </row>
    <row r="11" spans="2:11">
      <c r="B11" s="41"/>
      <c r="C11" s="180"/>
      <c r="D11" s="178"/>
      <c r="E11" s="171"/>
      <c r="F11" s="177"/>
      <c r="G11" s="179"/>
      <c r="H11" s="179"/>
      <c r="I11" s="179"/>
      <c r="J11" s="179"/>
      <c r="K11" s="176"/>
    </row>
    <row r="12" spans="2:11" ht="17">
      <c r="B12" s="41"/>
      <c r="C12" s="174" t="s">
        <v>34</v>
      </c>
      <c r="D12" s="178"/>
      <c r="E12" s="171" t="s">
        <v>167</v>
      </c>
      <c r="F12" s="177" t="s">
        <v>168</v>
      </c>
      <c r="G12" s="179" t="s">
        <v>173</v>
      </c>
      <c r="H12" s="179" t="s">
        <v>194</v>
      </c>
      <c r="I12" s="179" t="s">
        <v>174</v>
      </c>
      <c r="J12" s="179"/>
      <c r="K12" s="176" t="s">
        <v>193</v>
      </c>
    </row>
    <row r="13" spans="2:11">
      <c r="B13" s="41"/>
      <c r="C13" s="170"/>
      <c r="D13" s="178"/>
      <c r="E13" s="171"/>
      <c r="F13" s="177"/>
      <c r="G13" s="179"/>
      <c r="H13" s="179"/>
      <c r="I13" s="179"/>
      <c r="J13" s="179"/>
      <c r="K13" s="176"/>
    </row>
    <row r="14" spans="2:11" ht="34">
      <c r="B14" s="41"/>
      <c r="C14" s="248" t="s">
        <v>169</v>
      </c>
      <c r="D14" s="178"/>
      <c r="E14" s="171" t="s">
        <v>114</v>
      </c>
      <c r="F14" s="177" t="s">
        <v>95</v>
      </c>
      <c r="G14" s="179" t="s">
        <v>113</v>
      </c>
      <c r="H14" s="179" t="s">
        <v>113</v>
      </c>
      <c r="I14" s="179" t="s">
        <v>110</v>
      </c>
      <c r="J14" s="179" t="s">
        <v>115</v>
      </c>
    </row>
    <row r="15" spans="2:11" s="158" customFormat="1" ht="17">
      <c r="B15" s="159"/>
      <c r="C15" s="180" t="s">
        <v>82</v>
      </c>
      <c r="D15" s="180"/>
      <c r="E15" s="171" t="s">
        <v>167</v>
      </c>
      <c r="F15" s="177" t="s">
        <v>168</v>
      </c>
      <c r="G15" s="179" t="s">
        <v>173</v>
      </c>
      <c r="H15" s="179" t="s">
        <v>194</v>
      </c>
      <c r="I15" s="179" t="s">
        <v>174</v>
      </c>
      <c r="J15" s="179"/>
      <c r="K15" s="176" t="s">
        <v>193</v>
      </c>
    </row>
    <row r="16" spans="2:11" s="158" customFormat="1" ht="17">
      <c r="B16" s="159"/>
      <c r="C16" s="180" t="s">
        <v>83</v>
      </c>
      <c r="D16" s="180"/>
      <c r="E16" s="171" t="s">
        <v>167</v>
      </c>
      <c r="F16" s="177" t="s">
        <v>168</v>
      </c>
      <c r="G16" s="179" t="s">
        <v>173</v>
      </c>
      <c r="H16" s="179" t="s">
        <v>194</v>
      </c>
      <c r="I16" s="179" t="s">
        <v>174</v>
      </c>
      <c r="J16" s="179"/>
      <c r="K16" s="176" t="s">
        <v>193</v>
      </c>
    </row>
    <row r="17" spans="2:11" s="158" customFormat="1">
      <c r="B17" s="159"/>
      <c r="C17" s="180"/>
      <c r="D17" s="180"/>
      <c r="E17" s="180"/>
      <c r="F17" s="180"/>
      <c r="G17" s="180"/>
      <c r="H17" s="180"/>
      <c r="I17" s="180"/>
      <c r="J17" s="181"/>
      <c r="K17" s="183"/>
    </row>
    <row r="18" spans="2:11" s="158" customFormat="1">
      <c r="B18" s="159"/>
      <c r="C18" s="181" t="s">
        <v>124</v>
      </c>
      <c r="D18" s="180"/>
      <c r="E18" s="180" t="s">
        <v>131</v>
      </c>
      <c r="F18" s="180" t="s">
        <v>95</v>
      </c>
      <c r="G18" s="180">
        <v>2015</v>
      </c>
      <c r="H18" s="180">
        <v>2015</v>
      </c>
      <c r="I18" s="182">
        <v>42948</v>
      </c>
      <c r="J18" s="181" t="s">
        <v>138</v>
      </c>
      <c r="K18" s="183"/>
    </row>
    <row r="19" spans="2:11" s="158" customFormat="1">
      <c r="B19" s="159"/>
      <c r="C19" s="181" t="s">
        <v>127</v>
      </c>
      <c r="D19" s="180"/>
      <c r="E19" s="180"/>
      <c r="F19" s="180"/>
      <c r="G19" s="180"/>
      <c r="H19" s="180"/>
      <c r="I19" s="180"/>
      <c r="J19" s="181"/>
      <c r="K19" s="183"/>
    </row>
    <row r="20" spans="2:11" s="158" customFormat="1">
      <c r="B20" s="159"/>
      <c r="C20" s="180"/>
      <c r="D20" s="180"/>
      <c r="E20" s="180"/>
      <c r="F20" s="180"/>
      <c r="G20" s="180"/>
      <c r="H20" s="180"/>
      <c r="I20" s="180"/>
      <c r="J20" s="181"/>
      <c r="K20" s="183"/>
    </row>
    <row r="21" spans="2:11" s="158" customFormat="1">
      <c r="B21" s="159"/>
      <c r="C21" s="180" t="s">
        <v>35</v>
      </c>
      <c r="D21" s="180"/>
      <c r="E21" s="180" t="s">
        <v>195</v>
      </c>
      <c r="F21" s="180" t="s">
        <v>168</v>
      </c>
      <c r="G21" s="180" t="s">
        <v>96</v>
      </c>
      <c r="H21" s="180" t="s">
        <v>96</v>
      </c>
      <c r="I21" s="173" t="s">
        <v>174</v>
      </c>
      <c r="J21" s="181"/>
      <c r="K21" s="128" t="s">
        <v>196</v>
      </c>
    </row>
    <row r="22" spans="2:11" s="158" customFormat="1">
      <c r="B22" s="159"/>
      <c r="C22" s="180"/>
      <c r="D22" s="180"/>
      <c r="E22" s="180" t="s">
        <v>195</v>
      </c>
      <c r="F22" s="180" t="s">
        <v>168</v>
      </c>
      <c r="G22" s="180" t="s">
        <v>96</v>
      </c>
      <c r="H22" s="180" t="s">
        <v>96</v>
      </c>
      <c r="I22" s="173" t="s">
        <v>174</v>
      </c>
      <c r="J22" s="181"/>
      <c r="K22" s="201" t="s">
        <v>215</v>
      </c>
    </row>
    <row r="23" spans="2:11" s="158" customFormat="1">
      <c r="B23" s="159"/>
      <c r="C23" s="180"/>
      <c r="D23" s="180"/>
      <c r="E23" s="180"/>
      <c r="F23" s="180"/>
      <c r="G23" s="180"/>
      <c r="H23" s="180"/>
      <c r="I23" s="182"/>
      <c r="J23" s="181"/>
      <c r="K23" s="183"/>
    </row>
    <row r="24" spans="2:11" s="158" customFormat="1">
      <c r="B24" s="159"/>
      <c r="C24" s="181" t="s">
        <v>125</v>
      </c>
      <c r="D24" s="180"/>
      <c r="E24" s="180"/>
      <c r="F24" s="180"/>
      <c r="G24" s="180"/>
      <c r="H24" s="180"/>
      <c r="I24" s="180"/>
      <c r="J24" s="181"/>
      <c r="K24" s="183"/>
    </row>
    <row r="25" spans="2:11" s="158" customFormat="1">
      <c r="B25" s="159"/>
      <c r="C25" s="184" t="s">
        <v>42</v>
      </c>
      <c r="D25" s="180"/>
      <c r="E25" s="180" t="s">
        <v>132</v>
      </c>
      <c r="F25" s="180" t="s">
        <v>95</v>
      </c>
      <c r="G25" s="180"/>
      <c r="H25" s="180"/>
      <c r="I25" s="182">
        <v>42948</v>
      </c>
      <c r="J25" s="181" t="s">
        <v>139</v>
      </c>
      <c r="K25" s="183" t="s">
        <v>136</v>
      </c>
    </row>
    <row r="26" spans="2:11" s="158" customFormat="1" ht="17">
      <c r="B26" s="159"/>
      <c r="C26" s="184" t="s">
        <v>128</v>
      </c>
      <c r="D26" s="180"/>
      <c r="E26" s="171" t="s">
        <v>167</v>
      </c>
      <c r="F26" s="177" t="s">
        <v>168</v>
      </c>
      <c r="G26" s="179" t="s">
        <v>173</v>
      </c>
      <c r="H26" s="179" t="s">
        <v>194</v>
      </c>
      <c r="I26" s="179" t="s">
        <v>174</v>
      </c>
      <c r="J26" s="179"/>
      <c r="K26" s="176" t="s">
        <v>193</v>
      </c>
    </row>
    <row r="27" spans="2:11" s="158" customFormat="1">
      <c r="B27" s="159"/>
      <c r="D27" s="180"/>
      <c r="E27" s="180"/>
      <c r="F27" s="180"/>
      <c r="G27" s="180"/>
      <c r="H27" s="180"/>
      <c r="I27" s="180"/>
      <c r="J27" s="181"/>
      <c r="K27" s="183"/>
    </row>
    <row r="28" spans="2:11" s="158" customFormat="1">
      <c r="B28" s="159"/>
      <c r="C28" s="180" t="s">
        <v>123</v>
      </c>
      <c r="D28" s="180"/>
      <c r="E28" s="180"/>
      <c r="F28" s="180"/>
      <c r="G28" s="180"/>
      <c r="H28" s="180"/>
      <c r="I28" s="180"/>
      <c r="J28" s="181"/>
      <c r="K28" s="183"/>
    </row>
    <row r="29" spans="2:11" s="158" customFormat="1">
      <c r="B29" s="159"/>
      <c r="C29" s="180" t="s">
        <v>140</v>
      </c>
      <c r="D29" s="180"/>
    </row>
    <row r="30" spans="2:11" s="158" customFormat="1">
      <c r="B30" s="159"/>
      <c r="C30" s="181"/>
      <c r="D30" s="180"/>
      <c r="E30" s="180"/>
      <c r="F30" s="180"/>
      <c r="G30" s="180"/>
      <c r="H30" s="180"/>
      <c r="I30" s="241"/>
      <c r="J30" s="181"/>
      <c r="K30" s="242"/>
    </row>
    <row r="31" spans="2:11" s="158" customFormat="1">
      <c r="B31" s="159"/>
      <c r="C31" s="180" t="s">
        <v>29</v>
      </c>
      <c r="D31" s="180"/>
      <c r="E31" s="180"/>
      <c r="F31" s="180"/>
      <c r="G31" s="180"/>
      <c r="H31" s="180"/>
      <c r="I31" s="180"/>
      <c r="J31" s="181"/>
      <c r="K31" s="183"/>
    </row>
    <row r="32" spans="2:11" s="158" customFormat="1">
      <c r="B32" s="159"/>
      <c r="C32" s="180" t="s">
        <v>84</v>
      </c>
      <c r="D32" s="180"/>
      <c r="E32" s="180"/>
      <c r="F32" s="180"/>
      <c r="G32" s="180"/>
      <c r="H32" s="180"/>
      <c r="I32" s="180"/>
      <c r="J32" s="181"/>
      <c r="K32" s="183"/>
    </row>
    <row r="33" spans="2:11" s="158" customFormat="1">
      <c r="B33" s="159"/>
      <c r="C33" s="180" t="s">
        <v>7</v>
      </c>
      <c r="D33" s="180"/>
      <c r="E33" s="180"/>
      <c r="F33" s="180"/>
      <c r="G33" s="180"/>
      <c r="H33" s="180"/>
      <c r="I33" s="180"/>
      <c r="J33" s="181"/>
      <c r="K33" s="183"/>
    </row>
    <row r="34" spans="2:11" s="158" customFormat="1">
      <c r="B34" s="159"/>
      <c r="C34" s="180" t="s">
        <v>32</v>
      </c>
      <c r="D34" s="180"/>
      <c r="E34" s="180"/>
      <c r="F34" s="180"/>
      <c r="G34" s="180"/>
      <c r="H34" s="180"/>
      <c r="I34" s="180"/>
      <c r="J34" s="181"/>
      <c r="K34" s="183"/>
    </row>
    <row r="35" spans="2:11" s="158" customFormat="1">
      <c r="B35" s="159"/>
      <c r="C35" s="180" t="s">
        <v>33</v>
      </c>
      <c r="D35" s="180"/>
      <c r="E35" s="180"/>
      <c r="F35" s="180"/>
      <c r="G35" s="180"/>
      <c r="H35" s="180"/>
      <c r="I35" s="180"/>
      <c r="J35" s="181"/>
      <c r="K35" s="183"/>
    </row>
    <row r="36" spans="2:11" s="158" customFormat="1">
      <c r="B36" s="159"/>
      <c r="C36" s="180" t="s">
        <v>141</v>
      </c>
      <c r="D36" s="180"/>
      <c r="E36" s="180"/>
      <c r="F36" s="180"/>
      <c r="G36" s="180"/>
      <c r="H36" s="180"/>
      <c r="I36" s="180"/>
      <c r="J36" s="181"/>
      <c r="K36" s="183"/>
    </row>
    <row r="37" spans="2:11" s="158" customFormat="1">
      <c r="B37" s="159"/>
      <c r="C37" s="180" t="s">
        <v>85</v>
      </c>
      <c r="D37" s="180"/>
      <c r="E37" s="180"/>
      <c r="F37" s="180"/>
      <c r="G37" s="180"/>
      <c r="H37" s="180"/>
      <c r="I37" s="180"/>
      <c r="J37" s="181"/>
      <c r="K37" s="183"/>
    </row>
    <row r="38" spans="2:11" s="158" customFormat="1">
      <c r="B38" s="159"/>
      <c r="C38" s="180" t="s">
        <v>86</v>
      </c>
      <c r="D38" s="180"/>
      <c r="E38" s="180"/>
      <c r="F38" s="180"/>
      <c r="G38" s="180"/>
      <c r="H38" s="180"/>
      <c r="I38" s="180"/>
      <c r="J38" s="181"/>
      <c r="K38" s="183"/>
    </row>
    <row r="39" spans="2:11" s="158" customFormat="1">
      <c r="B39" s="159"/>
      <c r="C39" s="180" t="s">
        <v>87</v>
      </c>
      <c r="D39" s="180"/>
      <c r="E39" s="180"/>
      <c r="F39" s="180"/>
      <c r="G39" s="180"/>
      <c r="H39" s="180"/>
      <c r="I39" s="180"/>
      <c r="J39" s="181"/>
      <c r="K39" s="183"/>
    </row>
    <row r="40" spans="2:11" s="158" customFormat="1">
      <c r="B40" s="159"/>
      <c r="C40" s="180" t="s">
        <v>88</v>
      </c>
      <c r="D40" s="180"/>
      <c r="E40" s="180"/>
      <c r="F40" s="180"/>
      <c r="G40" s="180"/>
      <c r="H40" s="180"/>
      <c r="I40" s="180"/>
      <c r="J40" s="181"/>
      <c r="K40" s="183"/>
    </row>
    <row r="41" spans="2:11" s="158" customFormat="1">
      <c r="B41" s="159"/>
      <c r="C41" s="180" t="s">
        <v>142</v>
      </c>
      <c r="D41" s="180"/>
      <c r="E41" s="180"/>
      <c r="F41" s="180"/>
      <c r="G41" s="180"/>
      <c r="H41" s="180"/>
      <c r="I41" s="180"/>
      <c r="J41" s="181"/>
      <c r="K41" s="183"/>
    </row>
    <row r="42" spans="2:11" s="158" customFormat="1">
      <c r="B42" s="159"/>
      <c r="C42" s="180" t="s">
        <v>36</v>
      </c>
      <c r="D42" s="180"/>
      <c r="E42" s="180"/>
      <c r="F42" s="180"/>
      <c r="G42" s="180"/>
      <c r="H42" s="180"/>
      <c r="I42" s="180"/>
      <c r="J42" s="181"/>
      <c r="K42" s="183"/>
    </row>
    <row r="43" spans="2:11" s="158" customFormat="1">
      <c r="B43" s="159"/>
      <c r="C43" s="180" t="s">
        <v>37</v>
      </c>
      <c r="D43" s="180"/>
      <c r="E43" s="180"/>
      <c r="F43" s="180"/>
      <c r="G43" s="180"/>
      <c r="H43" s="180"/>
      <c r="I43" s="180"/>
      <c r="J43" s="181"/>
      <c r="K43" s="183"/>
    </row>
    <row r="44" spans="2:11" s="158" customFormat="1">
      <c r="B44" s="159"/>
      <c r="C44" s="180" t="s">
        <v>39</v>
      </c>
      <c r="D44" s="180"/>
      <c r="E44" s="180"/>
      <c r="F44" s="180"/>
      <c r="G44" s="180"/>
      <c r="H44" s="180"/>
      <c r="I44" s="180"/>
      <c r="J44" s="181"/>
      <c r="K44" s="183"/>
    </row>
    <row r="45" spans="2:11" s="158" customFormat="1">
      <c r="B45" s="159"/>
      <c r="C45" s="180" t="s">
        <v>40</v>
      </c>
      <c r="D45" s="180"/>
      <c r="E45" s="180"/>
      <c r="F45" s="180"/>
      <c r="G45" s="180"/>
      <c r="H45" s="180"/>
      <c r="I45" s="180"/>
      <c r="J45" s="181"/>
      <c r="K45" s="183"/>
    </row>
    <row r="46" spans="2:11" s="158" customFormat="1">
      <c r="B46" s="159"/>
      <c r="C46" s="180" t="s">
        <v>43</v>
      </c>
      <c r="D46" s="180"/>
      <c r="E46" s="180"/>
      <c r="F46" s="180"/>
      <c r="G46" s="180"/>
      <c r="H46" s="180"/>
      <c r="I46" s="180"/>
      <c r="J46" s="181"/>
      <c r="K46" s="183"/>
    </row>
    <row r="47" spans="2:11" s="158" customFormat="1">
      <c r="B47" s="159"/>
      <c r="C47" s="180" t="s">
        <v>31</v>
      </c>
      <c r="D47" s="180"/>
      <c r="E47" s="180"/>
      <c r="F47" s="180"/>
      <c r="G47" s="180"/>
      <c r="H47" s="180"/>
      <c r="I47" s="180"/>
      <c r="J47" s="181"/>
      <c r="K47" s="183"/>
    </row>
    <row r="48" spans="2:11" s="158" customFormat="1">
      <c r="B48" s="159"/>
      <c r="C48" s="180" t="s">
        <v>30</v>
      </c>
      <c r="D48" s="180"/>
      <c r="E48" s="180"/>
      <c r="F48" s="180"/>
      <c r="G48" s="180"/>
      <c r="H48" s="180"/>
      <c r="I48" s="180"/>
      <c r="J48" s="181"/>
      <c r="K48" s="183"/>
    </row>
    <row r="49" spans="1:11" s="158" customFormat="1">
      <c r="B49" s="159"/>
      <c r="C49" s="180" t="s">
        <v>41</v>
      </c>
      <c r="D49" s="180"/>
      <c r="E49" s="180"/>
      <c r="F49" s="180"/>
      <c r="G49" s="180"/>
      <c r="H49" s="180"/>
      <c r="I49" s="180"/>
      <c r="J49" s="181"/>
      <c r="K49" s="183"/>
    </row>
    <row r="50" spans="1:11" s="158" customFormat="1">
      <c r="B50" s="159"/>
      <c r="C50" s="180" t="s">
        <v>28</v>
      </c>
      <c r="D50" s="180"/>
      <c r="E50" s="180"/>
      <c r="F50" s="180"/>
      <c r="G50" s="180"/>
      <c r="H50" s="180"/>
      <c r="I50" s="180"/>
      <c r="J50" s="181"/>
      <c r="K50" s="183"/>
    </row>
    <row r="51" spans="1:11" s="158" customFormat="1">
      <c r="B51" s="159"/>
      <c r="C51" s="180" t="s">
        <v>51</v>
      </c>
      <c r="D51" s="180"/>
      <c r="E51" s="180"/>
      <c r="F51" s="180"/>
      <c r="G51" s="180"/>
      <c r="H51" s="180"/>
      <c r="I51" s="180"/>
      <c r="J51" s="181"/>
      <c r="K51" s="183"/>
    </row>
    <row r="52" spans="1:11" s="158" customFormat="1">
      <c r="B52" s="159"/>
      <c r="C52" s="180" t="s">
        <v>52</v>
      </c>
      <c r="D52" s="180"/>
      <c r="E52" s="180"/>
      <c r="F52" s="180"/>
      <c r="G52" s="180"/>
      <c r="H52" s="180"/>
      <c r="I52" s="180"/>
      <c r="J52" s="181"/>
      <c r="K52" s="183"/>
    </row>
    <row r="53" spans="1:11" s="158" customFormat="1">
      <c r="B53" s="159"/>
      <c r="C53" s="180" t="s">
        <v>54</v>
      </c>
      <c r="D53" s="180"/>
      <c r="E53" s="180"/>
      <c r="F53" s="180"/>
      <c r="G53" s="180"/>
      <c r="H53" s="180"/>
      <c r="I53" s="180"/>
      <c r="J53" s="181"/>
      <c r="K53" s="183"/>
    </row>
    <row r="54" spans="1:11" s="158" customFormat="1">
      <c r="B54" s="159"/>
      <c r="C54" s="180" t="s">
        <v>55</v>
      </c>
      <c r="D54" s="180"/>
      <c r="E54" s="180"/>
      <c r="F54" s="180"/>
      <c r="G54" s="180"/>
      <c r="H54" s="180"/>
      <c r="I54" s="180"/>
      <c r="J54" s="181"/>
      <c r="K54" s="183"/>
    </row>
    <row r="55" spans="1:11" s="158" customFormat="1">
      <c r="B55" s="159"/>
      <c r="C55" s="180" t="s">
        <v>53</v>
      </c>
      <c r="D55" s="180"/>
      <c r="E55" s="180"/>
      <c r="F55" s="180"/>
      <c r="G55" s="180"/>
      <c r="H55" s="180"/>
      <c r="I55" s="180"/>
      <c r="J55" s="181"/>
      <c r="K55" s="183"/>
    </row>
    <row r="56" spans="1:11" s="158" customFormat="1">
      <c r="B56" s="159"/>
      <c r="J56" s="160"/>
      <c r="K56" s="161"/>
    </row>
    <row r="57" spans="1:11" s="158" customFormat="1">
      <c r="B57" s="159"/>
      <c r="J57" s="160"/>
      <c r="K57" s="161"/>
    </row>
    <row r="58" spans="1:11" s="158" customFormat="1">
      <c r="B58" s="159"/>
      <c r="J58" s="160"/>
      <c r="K58" s="161"/>
    </row>
    <row r="59" spans="1:11" s="158" customFormat="1" ht="17" thickBot="1">
      <c r="B59" s="165"/>
      <c r="C59" s="166"/>
      <c r="D59" s="166"/>
      <c r="E59" s="166"/>
      <c r="F59" s="166"/>
      <c r="G59" s="166"/>
      <c r="H59" s="166"/>
      <c r="I59" s="166"/>
      <c r="J59" s="167"/>
      <c r="K59" s="168"/>
    </row>
    <row r="60" spans="1:11">
      <c r="A60" s="15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Z349"/>
  <sheetViews>
    <sheetView showGridLines="0" topLeftCell="A237" zoomScaleNormal="100" workbookViewId="0">
      <selection activeCell="G237" sqref="G237"/>
    </sheetView>
  </sheetViews>
  <sheetFormatPr baseColWidth="10" defaultColWidth="10.6640625" defaultRowHeight="16"/>
  <cols>
    <col min="1" max="1" width="3.5" style="83" customWidth="1"/>
    <col min="2" max="2" width="4.1640625" style="83" customWidth="1"/>
    <col min="3" max="3" width="14.5" style="83" customWidth="1"/>
    <col min="4" max="4" width="54.1640625" style="83" customWidth="1"/>
    <col min="5" max="5" width="18.1640625" style="83" customWidth="1"/>
    <col min="6" max="6" width="12.5" style="83" bestFit="1" customWidth="1"/>
    <col min="7" max="7" width="66.33203125" style="83" customWidth="1"/>
    <col min="8" max="9" width="10.6640625" style="83"/>
    <col min="10" max="10" width="53" style="83" customWidth="1"/>
    <col min="11" max="16384" width="10.6640625" style="83"/>
  </cols>
  <sheetData>
    <row r="2" spans="2:26" ht="17" thickBot="1">
      <c r="Q2" s="12" t="s">
        <v>175</v>
      </c>
    </row>
    <row r="3" spans="2:26">
      <c r="B3" s="84"/>
      <c r="C3" s="14"/>
      <c r="D3" s="14"/>
      <c r="E3" s="14"/>
      <c r="F3" s="14"/>
      <c r="G3" s="14"/>
      <c r="H3" s="14"/>
      <c r="I3" s="14"/>
      <c r="J3" s="85"/>
      <c r="Q3" s="244" t="s">
        <v>176</v>
      </c>
      <c r="R3" s="83" t="str">
        <f>Sources!E12</f>
        <v>Grant UK</v>
      </c>
      <c r="Z3" s="244" t="s">
        <v>192</v>
      </c>
    </row>
    <row r="4" spans="2:26">
      <c r="B4" s="73"/>
      <c r="C4" s="13" t="s">
        <v>0</v>
      </c>
      <c r="D4" s="13" t="s">
        <v>78</v>
      </c>
      <c r="E4" s="13"/>
      <c r="F4" s="13"/>
      <c r="G4" s="13"/>
      <c r="H4" s="13"/>
      <c r="I4" s="13"/>
      <c r="J4" s="86"/>
      <c r="Z4" s="83" t="s">
        <v>172</v>
      </c>
    </row>
    <row r="5" spans="2:26">
      <c r="B5" s="87"/>
      <c r="J5" s="88"/>
    </row>
    <row r="6" spans="2:26">
      <c r="B6" s="87"/>
      <c r="J6" s="88"/>
    </row>
    <row r="7" spans="2:26">
      <c r="B7" s="87"/>
      <c r="D7" s="98"/>
      <c r="J7" s="88"/>
    </row>
    <row r="8" spans="2:26">
      <c r="B8" s="87"/>
      <c r="C8" s="89"/>
      <c r="J8" s="88"/>
    </row>
    <row r="9" spans="2:26">
      <c r="B9" s="87"/>
      <c r="J9" s="88"/>
    </row>
    <row r="10" spans="2:26">
      <c r="B10" s="87"/>
      <c r="J10" s="88"/>
    </row>
    <row r="11" spans="2:26">
      <c r="B11" s="87"/>
      <c r="J11" s="88"/>
    </row>
    <row r="12" spans="2:26">
      <c r="B12" s="87"/>
      <c r="J12" s="88"/>
    </row>
    <row r="13" spans="2:26">
      <c r="B13" s="87"/>
      <c r="J13" s="88"/>
    </row>
    <row r="14" spans="2:26">
      <c r="B14" s="87"/>
      <c r="E14" s="244"/>
      <c r="J14" s="88"/>
    </row>
    <row r="15" spans="2:26">
      <c r="B15" s="87"/>
      <c r="C15" s="244" t="s">
        <v>167</v>
      </c>
      <c r="D15" s="244" t="s">
        <v>177</v>
      </c>
      <c r="E15" s="243">
        <v>0.93600000000000005</v>
      </c>
      <c r="F15" s="243"/>
      <c r="G15" s="244" t="s">
        <v>178</v>
      </c>
      <c r="H15" s="244" t="s">
        <v>216</v>
      </c>
      <c r="J15" s="88"/>
    </row>
    <row r="16" spans="2:26">
      <c r="B16" s="87"/>
      <c r="C16" s="243"/>
      <c r="D16" s="243"/>
      <c r="E16" s="243">
        <v>0.96399999999999997</v>
      </c>
      <c r="F16" s="243" t="s">
        <v>164</v>
      </c>
      <c r="G16" s="244" t="s">
        <v>179</v>
      </c>
      <c r="J16" s="88"/>
    </row>
    <row r="17" spans="2:10">
      <c r="B17" s="87"/>
      <c r="C17" s="243"/>
      <c r="D17" s="243"/>
      <c r="E17" s="243"/>
      <c r="F17" s="243"/>
      <c r="G17" s="243"/>
      <c r="J17" s="88"/>
    </row>
    <row r="18" spans="2:10">
      <c r="B18" s="87"/>
      <c r="C18" s="243"/>
      <c r="D18" s="243"/>
      <c r="E18" s="247">
        <f>AVERAGE(E15:E16)</f>
        <v>0.95</v>
      </c>
      <c r="F18" s="243"/>
      <c r="G18" s="244" t="s">
        <v>187</v>
      </c>
      <c r="J18" s="88"/>
    </row>
    <row r="19" spans="2:10">
      <c r="B19" s="87"/>
      <c r="J19" s="88"/>
    </row>
    <row r="20" spans="2:10">
      <c r="B20" s="87"/>
      <c r="D20" s="244" t="s">
        <v>188</v>
      </c>
      <c r="J20" s="88"/>
    </row>
    <row r="21" spans="2:10">
      <c r="B21" s="87"/>
      <c r="D21" s="244" t="s">
        <v>189</v>
      </c>
      <c r="J21" s="88"/>
    </row>
    <row r="22" spans="2:10">
      <c r="B22" s="87"/>
      <c r="D22" s="244" t="s">
        <v>191</v>
      </c>
      <c r="J22" s="88"/>
    </row>
    <row r="23" spans="2:10">
      <c r="B23" s="87"/>
      <c r="J23" s="88"/>
    </row>
    <row r="24" spans="2:10">
      <c r="B24" s="87"/>
      <c r="J24" s="88"/>
    </row>
    <row r="25" spans="2:10">
      <c r="B25" s="87"/>
      <c r="J25" s="88"/>
    </row>
    <row r="26" spans="2:10">
      <c r="B26" s="87"/>
      <c r="J26" s="88"/>
    </row>
    <row r="27" spans="2:10">
      <c r="B27" s="87"/>
      <c r="J27" s="88"/>
    </row>
    <row r="28" spans="2:10">
      <c r="B28" s="87"/>
      <c r="J28" s="88"/>
    </row>
    <row r="29" spans="2:10">
      <c r="B29" s="87"/>
      <c r="G29" s="250" t="s">
        <v>181</v>
      </c>
      <c r="J29" s="88"/>
    </row>
    <row r="30" spans="2:10">
      <c r="B30" s="87"/>
      <c r="G30" s="252" t="s">
        <v>180</v>
      </c>
      <c r="J30" s="88"/>
    </row>
    <row r="31" spans="2:10">
      <c r="B31" s="87"/>
      <c r="G31" s="252" t="s">
        <v>182</v>
      </c>
      <c r="J31" s="88"/>
    </row>
    <row r="32" spans="2:10">
      <c r="B32" s="87"/>
      <c r="C32" s="104" t="s">
        <v>114</v>
      </c>
      <c r="G32" s="98" t="s">
        <v>100</v>
      </c>
      <c r="J32" s="88"/>
    </row>
    <row r="33" spans="2:10">
      <c r="B33" s="87"/>
      <c r="G33" s="244" t="s">
        <v>217</v>
      </c>
      <c r="J33" s="88"/>
    </row>
    <row r="34" spans="2:10">
      <c r="B34" s="87"/>
      <c r="G34" s="98" t="s">
        <v>102</v>
      </c>
      <c r="J34" s="88"/>
    </row>
    <row r="35" spans="2:10">
      <c r="B35" s="87"/>
      <c r="G35" s="98" t="s">
        <v>101</v>
      </c>
      <c r="J35" s="88"/>
    </row>
    <row r="36" spans="2:10">
      <c r="B36" s="87"/>
      <c r="J36" s="88"/>
    </row>
    <row r="37" spans="2:10">
      <c r="B37" s="87"/>
      <c r="G37" s="98" t="s">
        <v>103</v>
      </c>
      <c r="J37" s="88"/>
    </row>
    <row r="38" spans="2:10">
      <c r="B38" s="87"/>
      <c r="H38" s="90"/>
      <c r="J38" s="88"/>
    </row>
    <row r="39" spans="2:10">
      <c r="B39" s="87"/>
      <c r="G39" s="244" t="s">
        <v>183</v>
      </c>
      <c r="J39" s="88"/>
    </row>
    <row r="40" spans="2:10">
      <c r="B40" s="87"/>
      <c r="J40" s="88"/>
    </row>
    <row r="41" spans="2:10">
      <c r="B41" s="87"/>
      <c r="J41" s="88"/>
    </row>
    <row r="42" spans="2:10">
      <c r="B42" s="87"/>
      <c r="G42" s="90"/>
      <c r="J42" s="88"/>
    </row>
    <row r="43" spans="2:10">
      <c r="B43" s="87"/>
      <c r="J43" s="88"/>
    </row>
    <row r="44" spans="2:10">
      <c r="B44" s="87"/>
      <c r="J44" s="88"/>
    </row>
    <row r="45" spans="2:10">
      <c r="B45" s="87"/>
      <c r="D45"/>
      <c r="E45" s="83">
        <v>0.2</v>
      </c>
      <c r="G45" s="244" t="s">
        <v>184</v>
      </c>
      <c r="J45" s="88"/>
    </row>
    <row r="46" spans="2:10">
      <c r="B46" s="87"/>
      <c r="J46" s="88"/>
    </row>
    <row r="47" spans="2:10">
      <c r="B47" s="87"/>
      <c r="E47" s="249">
        <f>E18</f>
        <v>0.95</v>
      </c>
      <c r="G47" s="244" t="s">
        <v>185</v>
      </c>
      <c r="J47" s="88"/>
    </row>
    <row r="48" spans="2:10">
      <c r="B48" s="87"/>
      <c r="G48" s="244" t="s">
        <v>186</v>
      </c>
      <c r="J48" s="88"/>
    </row>
    <row r="49" spans="2:10">
      <c r="B49" s="87"/>
      <c r="J49" s="88"/>
    </row>
    <row r="50" spans="2:10">
      <c r="B50" s="87"/>
      <c r="G50" s="98"/>
      <c r="J50" s="88"/>
    </row>
    <row r="51" spans="2:10">
      <c r="B51" s="87"/>
      <c r="G51" s="98"/>
      <c r="J51" s="88"/>
    </row>
    <row r="52" spans="2:10">
      <c r="B52" s="87"/>
      <c r="J52" s="88"/>
    </row>
    <row r="53" spans="2:10">
      <c r="B53" s="87"/>
      <c r="G53" s="244" t="s">
        <v>190</v>
      </c>
      <c r="J53" s="88"/>
    </row>
    <row r="54" spans="2:10">
      <c r="B54" s="87"/>
      <c r="F54" s="97"/>
      <c r="G54" s="105" t="s">
        <v>119</v>
      </c>
      <c r="J54" s="88"/>
    </row>
    <row r="55" spans="2:10">
      <c r="B55" s="87"/>
      <c r="J55" s="88"/>
    </row>
    <row r="56" spans="2:10">
      <c r="B56" s="87"/>
      <c r="J56" s="88"/>
    </row>
    <row r="57" spans="2:10">
      <c r="B57" s="87"/>
      <c r="E57" s="207">
        <f>E45/E47</f>
        <v>0.2105263157894737</v>
      </c>
      <c r="F57" s="193"/>
      <c r="G57" s="244" t="s">
        <v>169</v>
      </c>
      <c r="J57" s="88"/>
    </row>
    <row r="58" spans="2:10">
      <c r="B58" s="87"/>
      <c r="G58" s="250"/>
      <c r="J58" s="88"/>
    </row>
    <row r="59" spans="2:10">
      <c r="B59" s="87"/>
      <c r="G59" s="251"/>
      <c r="J59" s="88"/>
    </row>
    <row r="60" spans="2:10">
      <c r="B60" s="87"/>
      <c r="G60" s="12"/>
      <c r="J60" s="88"/>
    </row>
    <row r="61" spans="2:10">
      <c r="B61" s="87"/>
      <c r="E61" s="253"/>
      <c r="F61" s="253"/>
      <c r="G61" s="253"/>
      <c r="J61" s="88"/>
    </row>
    <row r="62" spans="2:10">
      <c r="B62" s="87"/>
      <c r="E62" s="253"/>
      <c r="F62" s="253"/>
      <c r="G62" s="253"/>
      <c r="J62" s="88"/>
    </row>
    <row r="63" spans="2:10">
      <c r="B63" s="87"/>
      <c r="E63" s="253"/>
      <c r="F63" s="253"/>
      <c r="G63" s="253"/>
      <c r="J63" s="88"/>
    </row>
    <row r="64" spans="2:10">
      <c r="B64" s="87"/>
      <c r="E64" s="253"/>
      <c r="F64" s="253"/>
      <c r="G64" s="253"/>
      <c r="J64" s="88"/>
    </row>
    <row r="65" spans="2:10">
      <c r="B65" s="87"/>
      <c r="E65" s="253"/>
      <c r="F65" s="253"/>
      <c r="G65" s="253"/>
      <c r="J65" s="88"/>
    </row>
    <row r="66" spans="2:10">
      <c r="B66" s="87"/>
      <c r="E66" s="253"/>
      <c r="F66" s="253"/>
      <c r="G66" s="253"/>
      <c r="J66" s="88"/>
    </row>
    <row r="67" spans="2:10">
      <c r="B67" s="87"/>
      <c r="E67" s="253"/>
      <c r="F67" s="253"/>
      <c r="G67" s="253"/>
      <c r="J67" s="88"/>
    </row>
    <row r="68" spans="2:10">
      <c r="B68" s="87"/>
      <c r="E68" s="253"/>
      <c r="F68" s="253"/>
      <c r="G68" s="253"/>
      <c r="J68" s="88"/>
    </row>
    <row r="69" spans="2:10">
      <c r="B69" s="87"/>
      <c r="E69" s="253"/>
      <c r="F69" s="253"/>
      <c r="G69" s="253"/>
      <c r="J69" s="88"/>
    </row>
    <row r="70" spans="2:10">
      <c r="B70" s="87"/>
      <c r="E70" s="253"/>
      <c r="F70" s="253"/>
      <c r="G70" s="253"/>
      <c r="J70" s="88"/>
    </row>
    <row r="71" spans="2:10">
      <c r="B71" s="87"/>
      <c r="E71" s="253"/>
      <c r="F71" s="253"/>
      <c r="G71" s="253"/>
      <c r="J71" s="88"/>
    </row>
    <row r="72" spans="2:10">
      <c r="B72" s="87"/>
      <c r="E72" s="253"/>
      <c r="F72" s="253"/>
      <c r="G72" s="253"/>
      <c r="J72" s="88"/>
    </row>
    <row r="73" spans="2:10">
      <c r="B73" s="87"/>
      <c r="J73" s="88"/>
    </row>
    <row r="74" spans="2:10">
      <c r="B74" s="87"/>
      <c r="J74" s="88"/>
    </row>
    <row r="75" spans="2:10">
      <c r="B75" s="87"/>
      <c r="C75" s="89"/>
      <c r="J75" s="88"/>
    </row>
    <row r="76" spans="2:10">
      <c r="B76" s="87"/>
      <c r="J76" s="88"/>
    </row>
    <row r="77" spans="2:10">
      <c r="B77" s="87"/>
      <c r="J77" s="88"/>
    </row>
    <row r="78" spans="2:10">
      <c r="B78" s="87"/>
      <c r="J78" s="88"/>
    </row>
    <row r="79" spans="2:10">
      <c r="B79" s="87"/>
      <c r="J79" s="88"/>
    </row>
    <row r="80" spans="2:10">
      <c r="B80" s="87"/>
      <c r="J80" s="88"/>
    </row>
    <row r="81" spans="2:10">
      <c r="B81" s="87"/>
      <c r="J81" s="88"/>
    </row>
    <row r="82" spans="2:10">
      <c r="B82" s="87"/>
      <c r="J82" s="88"/>
    </row>
    <row r="83" spans="2:10">
      <c r="B83" s="87"/>
      <c r="J83" s="88"/>
    </row>
    <row r="84" spans="2:10">
      <c r="B84" s="87"/>
      <c r="J84" s="88"/>
    </row>
    <row r="85" spans="2:10">
      <c r="B85" s="87"/>
      <c r="J85" s="88"/>
    </row>
    <row r="86" spans="2:10">
      <c r="B86" s="87"/>
      <c r="J86" s="88"/>
    </row>
    <row r="87" spans="2:10">
      <c r="B87" s="87"/>
      <c r="J87" s="88"/>
    </row>
    <row r="88" spans="2:10">
      <c r="B88" s="87"/>
      <c r="J88" s="88"/>
    </row>
    <row r="89" spans="2:10">
      <c r="B89" s="87"/>
      <c r="J89" s="88"/>
    </row>
    <row r="90" spans="2:10">
      <c r="B90" s="87"/>
      <c r="J90" s="88"/>
    </row>
    <row r="91" spans="2:10">
      <c r="B91" s="87"/>
      <c r="C91" s="12" t="s">
        <v>167</v>
      </c>
      <c r="H91" s="90"/>
      <c r="J91" s="88"/>
    </row>
    <row r="92" spans="2:10">
      <c r="B92" s="87"/>
      <c r="J92" s="88"/>
    </row>
    <row r="93" spans="2:10">
      <c r="B93" s="87"/>
      <c r="J93" s="88"/>
    </row>
    <row r="94" spans="2:10">
      <c r="B94" s="87"/>
      <c r="J94" s="88"/>
    </row>
    <row r="95" spans="2:10">
      <c r="B95" s="87"/>
      <c r="E95" s="98">
        <v>12.2</v>
      </c>
      <c r="F95" s="98" t="s">
        <v>98</v>
      </c>
      <c r="G95" s="98" t="s">
        <v>34</v>
      </c>
      <c r="H95" s="255" t="s">
        <v>223</v>
      </c>
      <c r="J95" s="88"/>
    </row>
    <row r="96" spans="2:10">
      <c r="B96" s="87"/>
      <c r="E96" s="98">
        <f>E95/1000</f>
        <v>1.2199999999999999E-2</v>
      </c>
      <c r="F96" s="98" t="s">
        <v>56</v>
      </c>
      <c r="G96" s="98" t="s">
        <v>99</v>
      </c>
      <c r="J96" s="88"/>
    </row>
    <row r="97" spans="2:10">
      <c r="B97" s="87"/>
      <c r="J97" s="88"/>
    </row>
    <row r="98" spans="2:10">
      <c r="B98" s="87"/>
      <c r="H98" s="90"/>
      <c r="J98" s="88"/>
    </row>
    <row r="99" spans="2:10">
      <c r="B99" s="87"/>
      <c r="E99" s="83">
        <v>5.2</v>
      </c>
      <c r="G99" s="244" t="s">
        <v>205</v>
      </c>
      <c r="J99" s="88"/>
    </row>
    <row r="100" spans="2:10">
      <c r="B100" s="87"/>
      <c r="E100" s="83">
        <f>(1-E57)*(1-1/E99)</f>
        <v>0.63765182186234826</v>
      </c>
      <c r="G100" s="97" t="s">
        <v>82</v>
      </c>
      <c r="J100" s="88"/>
    </row>
    <row r="101" spans="2:10">
      <c r="B101" s="87"/>
      <c r="E101" s="83">
        <f>(1-E57)/E99</f>
        <v>0.15182186234817813</v>
      </c>
      <c r="G101" s="97" t="s">
        <v>83</v>
      </c>
      <c r="J101" s="88"/>
    </row>
    <row r="102" spans="2:10">
      <c r="B102" s="87"/>
      <c r="D102"/>
      <c r="J102" s="88"/>
    </row>
    <row r="103" spans="2:10">
      <c r="B103" s="87"/>
      <c r="J103" s="88"/>
    </row>
    <row r="104" spans="2:10">
      <c r="B104" s="87"/>
      <c r="J104" s="88"/>
    </row>
    <row r="105" spans="2:10">
      <c r="B105" s="87"/>
      <c r="E105" s="108">
        <v>1</v>
      </c>
      <c r="G105" s="107" t="s">
        <v>120</v>
      </c>
      <c r="J105" s="88"/>
    </row>
    <row r="106" spans="2:10">
      <c r="B106" s="87"/>
      <c r="E106" s="108">
        <v>1</v>
      </c>
      <c r="F106"/>
      <c r="G106" s="107" t="s">
        <v>121</v>
      </c>
      <c r="J106" s="88"/>
    </row>
    <row r="107" spans="2:10">
      <c r="B107" s="87"/>
      <c r="J107" s="88"/>
    </row>
    <row r="108" spans="2:10">
      <c r="B108" s="87"/>
      <c r="G108" s="109" t="s">
        <v>122</v>
      </c>
      <c r="J108" s="88"/>
    </row>
    <row r="109" spans="2:10">
      <c r="B109" s="87"/>
      <c r="J109" s="88"/>
    </row>
    <row r="110" spans="2:10">
      <c r="B110" s="87"/>
      <c r="J110" s="88"/>
    </row>
    <row r="111" spans="2:10">
      <c r="B111" s="87"/>
      <c r="D111" s="119" t="e">
        <f>Dashboard!#REF!</f>
        <v>#REF!</v>
      </c>
      <c r="E111" s="113">
        <v>0</v>
      </c>
      <c r="F111" s="113" t="s">
        <v>129</v>
      </c>
      <c r="G111" s="244" t="s">
        <v>206</v>
      </c>
      <c r="J111" s="88"/>
    </row>
    <row r="112" spans="2:10">
      <c r="B112" s="87"/>
      <c r="J112" s="88"/>
    </row>
    <row r="113" spans="2:10">
      <c r="B113" s="87"/>
      <c r="J113" s="88"/>
    </row>
    <row r="114" spans="2:10">
      <c r="B114" s="87"/>
      <c r="J114" s="88"/>
    </row>
    <row r="115" spans="2:10">
      <c r="B115" s="87"/>
      <c r="H115" s="90"/>
      <c r="J115" s="88"/>
    </row>
    <row r="116" spans="2:10">
      <c r="B116" s="87"/>
      <c r="J116" s="88"/>
    </row>
    <row r="117" spans="2:10">
      <c r="B117" s="87"/>
      <c r="J117" s="88"/>
    </row>
    <row r="118" spans="2:10">
      <c r="B118" s="87"/>
      <c r="J118" s="88"/>
    </row>
    <row r="119" spans="2:10">
      <c r="B119" s="87"/>
      <c r="J119" s="88"/>
    </row>
    <row r="120" spans="2:10">
      <c r="B120" s="87"/>
      <c r="J120" s="88"/>
    </row>
    <row r="121" spans="2:10">
      <c r="B121" s="87"/>
      <c r="J121" s="88"/>
    </row>
    <row r="122" spans="2:10">
      <c r="B122" s="87"/>
      <c r="J122" s="88"/>
    </row>
    <row r="123" spans="2:10">
      <c r="B123" s="87"/>
      <c r="J123" s="88"/>
    </row>
    <row r="124" spans="2:10">
      <c r="B124" s="87"/>
      <c r="H124" s="90"/>
      <c r="J124" s="88"/>
    </row>
    <row r="125" spans="2:10">
      <c r="B125" s="87"/>
      <c r="J125" s="88"/>
    </row>
    <row r="126" spans="2:10">
      <c r="B126" s="87"/>
      <c r="J126" s="88"/>
    </row>
    <row r="127" spans="2:10">
      <c r="B127" s="87"/>
      <c r="J127" s="88"/>
    </row>
    <row r="128" spans="2:10">
      <c r="B128" s="87"/>
      <c r="J128" s="88"/>
    </row>
    <row r="129" spans="1:10">
      <c r="B129" s="87"/>
      <c r="J129" s="88"/>
    </row>
    <row r="130" spans="1:10">
      <c r="B130" s="87"/>
      <c r="J130" s="88"/>
    </row>
    <row r="131" spans="1:10">
      <c r="B131" s="87"/>
      <c r="J131" s="88"/>
    </row>
    <row r="132" spans="1:10">
      <c r="B132" s="87"/>
      <c r="J132" s="88"/>
    </row>
    <row r="133" spans="1:10">
      <c r="B133" s="87"/>
      <c r="J133" s="88"/>
    </row>
    <row r="134" spans="1:10">
      <c r="B134" s="87"/>
      <c r="J134" s="88"/>
    </row>
    <row r="135" spans="1:10">
      <c r="B135" s="87"/>
      <c r="J135" s="88"/>
    </row>
    <row r="136" spans="1:10">
      <c r="B136" s="87"/>
      <c r="J136" s="88"/>
    </row>
    <row r="137" spans="1:10">
      <c r="B137" s="87"/>
      <c r="J137" s="88"/>
    </row>
    <row r="138" spans="1:10">
      <c r="B138" s="87"/>
      <c r="J138" s="88"/>
    </row>
    <row r="139" spans="1:10">
      <c r="B139" s="87"/>
      <c r="J139" s="88"/>
    </row>
    <row r="140" spans="1:10">
      <c r="B140" s="87"/>
      <c r="J140" s="88"/>
    </row>
    <row r="141" spans="1:10">
      <c r="A141" s="98"/>
      <c r="B141" s="99"/>
      <c r="H141" s="90"/>
      <c r="J141" s="88"/>
    </row>
    <row r="142" spans="1:10">
      <c r="A142" s="98"/>
      <c r="B142" s="99"/>
      <c r="J142" s="88"/>
    </row>
    <row r="143" spans="1:10">
      <c r="A143" s="98"/>
      <c r="B143" s="99"/>
      <c r="J143" s="88"/>
    </row>
    <row r="144" spans="1:10">
      <c r="A144" s="98"/>
      <c r="B144" s="99"/>
      <c r="J144" s="88"/>
    </row>
    <row r="145" spans="1:2">
      <c r="A145" s="98"/>
      <c r="B145" s="99"/>
    </row>
    <row r="146" spans="1:2">
      <c r="A146" s="98"/>
      <c r="B146" s="99"/>
    </row>
    <row r="147" spans="1:2">
      <c r="A147" s="98"/>
      <c r="B147" s="99"/>
    </row>
    <row r="148" spans="1:2">
      <c r="A148" s="98"/>
      <c r="B148" s="99"/>
    </row>
    <row r="149" spans="1:2">
      <c r="A149" s="98"/>
      <c r="B149" s="99"/>
    </row>
    <row r="150" spans="1:2">
      <c r="A150" s="98"/>
      <c r="B150" s="99"/>
    </row>
    <row r="151" spans="1:2">
      <c r="A151" s="98"/>
      <c r="B151" s="99"/>
    </row>
    <row r="152" spans="1:2">
      <c r="A152" s="98"/>
      <c r="B152" s="99"/>
    </row>
    <row r="153" spans="1:2">
      <c r="A153" s="98"/>
      <c r="B153" s="99"/>
    </row>
    <row r="154" spans="1:2">
      <c r="A154" s="98"/>
      <c r="B154" s="99"/>
    </row>
    <row r="155" spans="1:2">
      <c r="A155" s="98"/>
      <c r="B155" s="99"/>
    </row>
    <row r="156" spans="1:2">
      <c r="A156" s="98"/>
      <c r="B156" s="99"/>
    </row>
    <row r="157" spans="1:2">
      <c r="A157" s="98"/>
      <c r="B157" s="99"/>
    </row>
    <row r="158" spans="1:2">
      <c r="A158" s="98"/>
      <c r="B158" s="99"/>
    </row>
    <row r="159" spans="1:2">
      <c r="A159" s="98"/>
      <c r="B159" s="99"/>
    </row>
    <row r="160" spans="1:2">
      <c r="A160" s="95"/>
      <c r="B160" s="96"/>
    </row>
    <row r="161" spans="1:7">
      <c r="A161" s="95"/>
      <c r="B161" s="96"/>
    </row>
    <row r="162" spans="1:7">
      <c r="A162" s="95"/>
      <c r="B162" s="96"/>
    </row>
    <row r="163" spans="1:7">
      <c r="A163" s="95"/>
      <c r="B163" s="96"/>
    </row>
    <row r="164" spans="1:7">
      <c r="A164" s="95"/>
      <c r="B164" s="96"/>
    </row>
    <row r="165" spans="1:7">
      <c r="A165" s="95"/>
      <c r="B165" s="96"/>
    </row>
    <row r="166" spans="1:7">
      <c r="A166" s="95"/>
      <c r="B166" s="96"/>
    </row>
    <row r="167" spans="1:7">
      <c r="A167" s="95"/>
      <c r="B167" s="96"/>
    </row>
    <row r="168" spans="1:7">
      <c r="A168" s="95"/>
      <c r="B168" s="96"/>
    </row>
    <row r="169" spans="1:7">
      <c r="A169" s="95"/>
      <c r="B169" s="96"/>
      <c r="C169" s="12" t="s">
        <v>195</v>
      </c>
    </row>
    <row r="170" spans="1:7">
      <c r="A170" s="95"/>
      <c r="B170" s="96"/>
      <c r="E170" s="83">
        <v>1.17</v>
      </c>
      <c r="F170" s="244" t="s">
        <v>203</v>
      </c>
      <c r="G170" s="244" t="s">
        <v>204</v>
      </c>
    </row>
    <row r="171" spans="1:7">
      <c r="A171" s="95"/>
      <c r="B171" s="96"/>
    </row>
    <row r="172" spans="1:7">
      <c r="A172" s="95"/>
      <c r="B172" s="96"/>
    </row>
    <row r="173" spans="1:7">
      <c r="A173" s="95"/>
      <c r="B173" s="96"/>
    </row>
    <row r="174" spans="1:7">
      <c r="A174" s="95"/>
      <c r="B174" s="96"/>
    </row>
    <row r="175" spans="1:7">
      <c r="A175" s="95"/>
      <c r="B175" s="96"/>
    </row>
    <row r="176" spans="1:7">
      <c r="A176" s="95"/>
      <c r="B176" s="96"/>
    </row>
    <row r="177" spans="1:9">
      <c r="A177" s="95"/>
      <c r="B177" s="96"/>
      <c r="E177" s="83">
        <v>4224.6400000000003</v>
      </c>
      <c r="F177" s="244" t="s">
        <v>202</v>
      </c>
      <c r="G177" s="97" t="s">
        <v>90</v>
      </c>
    </row>
    <row r="178" spans="1:9">
      <c r="A178" s="95"/>
      <c r="B178" s="96"/>
      <c r="G178" s="97" t="s">
        <v>91</v>
      </c>
    </row>
    <row r="179" spans="1:9">
      <c r="A179" s="95"/>
      <c r="B179" s="96"/>
    </row>
    <row r="180" spans="1:9">
      <c r="A180" s="95"/>
      <c r="B180" s="96"/>
      <c r="C180" s="12" t="s">
        <v>198</v>
      </c>
      <c r="E180" s="83">
        <f>AVERAGE(1500,3000)+500</f>
        <v>2750</v>
      </c>
      <c r="F180" s="244" t="s">
        <v>202</v>
      </c>
      <c r="G180" s="244" t="s">
        <v>197</v>
      </c>
    </row>
    <row r="181" spans="1:9">
      <c r="A181" s="95"/>
      <c r="B181" s="96"/>
      <c r="E181" s="83">
        <f>E180*E170</f>
        <v>3217.5</v>
      </c>
      <c r="F181" s="244" t="s">
        <v>207</v>
      </c>
      <c r="G181" s="244" t="s">
        <v>210</v>
      </c>
    </row>
    <row r="182" spans="1:9">
      <c r="A182" s="95"/>
      <c r="B182" s="96"/>
    </row>
    <row r="183" spans="1:9">
      <c r="A183" s="95"/>
      <c r="B183" s="96"/>
    </row>
    <row r="184" spans="1:9">
      <c r="A184" s="95"/>
      <c r="B184" s="96"/>
    </row>
    <row r="185" spans="1:9">
      <c r="A185" s="95"/>
      <c r="B185" s="96"/>
    </row>
    <row r="186" spans="1:9">
      <c r="A186" s="95"/>
      <c r="B186" s="96"/>
      <c r="C186" s="12" t="s">
        <v>195</v>
      </c>
      <c r="E186" s="83">
        <v>2448.7600000000002</v>
      </c>
      <c r="F186" s="244" t="s">
        <v>202</v>
      </c>
      <c r="G186" s="97" t="s">
        <v>90</v>
      </c>
      <c r="I186" s="98"/>
    </row>
    <row r="187" spans="1:9">
      <c r="A187" s="95"/>
      <c r="B187" s="96"/>
      <c r="G187" s="244" t="s">
        <v>201</v>
      </c>
    </row>
    <row r="188" spans="1:9">
      <c r="A188" s="95"/>
      <c r="B188" s="96"/>
    </row>
    <row r="189" spans="1:9">
      <c r="A189" s="95"/>
      <c r="B189" s="96"/>
      <c r="E189" s="83">
        <f>E177+E186</f>
        <v>6673.4000000000005</v>
      </c>
      <c r="F189" s="95" t="s">
        <v>202</v>
      </c>
      <c r="G189" s="97" t="s">
        <v>92</v>
      </c>
    </row>
    <row r="190" spans="1:9">
      <c r="A190" s="95"/>
      <c r="B190" s="96"/>
    </row>
    <row r="191" spans="1:9">
      <c r="A191" s="95"/>
      <c r="B191" s="96"/>
      <c r="E191" s="83">
        <f>ROUND(E189*E170,0)</f>
        <v>7808</v>
      </c>
      <c r="F191" s="95" t="s">
        <v>207</v>
      </c>
      <c r="G191" s="97" t="s">
        <v>92</v>
      </c>
    </row>
    <row r="192" spans="1:9">
      <c r="A192" s="95"/>
      <c r="B192" s="96"/>
      <c r="F192" s="244"/>
      <c r="G192" s="244"/>
    </row>
    <row r="193" spans="1:7">
      <c r="A193" s="95"/>
      <c r="B193" s="96"/>
    </row>
    <row r="194" spans="1:7">
      <c r="A194" s="95"/>
      <c r="B194" s="96"/>
    </row>
    <row r="195" spans="1:7">
      <c r="A195" s="95"/>
      <c r="B195" s="96"/>
    </row>
    <row r="196" spans="1:7">
      <c r="A196" s="95"/>
      <c r="B196" s="96"/>
      <c r="C196" s="12" t="s">
        <v>208</v>
      </c>
      <c r="E196" s="83">
        <v>150</v>
      </c>
      <c r="F196" s="244" t="s">
        <v>207</v>
      </c>
      <c r="G196" s="27" t="s">
        <v>38</v>
      </c>
    </row>
    <row r="197" spans="1:7">
      <c r="A197" s="95"/>
      <c r="B197" s="96"/>
      <c r="G197" s="244" t="s">
        <v>209</v>
      </c>
    </row>
    <row r="198" spans="1:7">
      <c r="A198" s="95"/>
      <c r="B198" s="96"/>
    </row>
    <row r="199" spans="1:7">
      <c r="A199" s="95"/>
      <c r="B199" s="96"/>
    </row>
    <row r="200" spans="1:7">
      <c r="A200" s="95"/>
      <c r="B200" s="96"/>
    </row>
    <row r="201" spans="1:7">
      <c r="A201" s="95"/>
      <c r="B201" s="96"/>
    </row>
    <row r="202" spans="1:7">
      <c r="A202" s="95"/>
      <c r="B202" s="96"/>
    </row>
    <row r="203" spans="1:7">
      <c r="A203" s="95"/>
      <c r="B203" s="96"/>
    </row>
    <row r="204" spans="1:7">
      <c r="A204" s="95"/>
      <c r="B204" s="96"/>
      <c r="F204" s="98"/>
      <c r="G204" s="98"/>
    </row>
    <row r="205" spans="1:7">
      <c r="A205" s="95"/>
      <c r="B205" s="96"/>
      <c r="G205" s="98"/>
    </row>
    <row r="206" spans="1:7">
      <c r="A206" s="95"/>
      <c r="B206" s="96"/>
      <c r="F206" s="98"/>
      <c r="G206" s="98"/>
    </row>
    <row r="207" spans="1:7">
      <c r="A207" s="95"/>
      <c r="B207" s="96"/>
      <c r="G207" s="98"/>
    </row>
    <row r="208" spans="1:7">
      <c r="A208" s="95"/>
      <c r="B208" s="96"/>
    </row>
    <row r="209" spans="1:12">
      <c r="A209" s="95"/>
      <c r="B209" s="96"/>
      <c r="F209" s="98"/>
      <c r="G209" s="98"/>
    </row>
    <row r="210" spans="1:12">
      <c r="A210" s="95"/>
      <c r="B210" s="96"/>
      <c r="G210" s="98"/>
    </row>
    <row r="211" spans="1:12">
      <c r="A211" s="95"/>
      <c r="B211" s="96"/>
    </row>
    <row r="212" spans="1:12">
      <c r="A212" s="95"/>
      <c r="B212" s="96"/>
      <c r="F212" s="98"/>
      <c r="G212" s="98"/>
    </row>
    <row r="213" spans="1:12">
      <c r="A213" s="95"/>
      <c r="B213" s="96"/>
      <c r="G213" s="98"/>
    </row>
    <row r="214" spans="1:12">
      <c r="A214" s="95"/>
      <c r="B214" s="96"/>
    </row>
    <row r="215" spans="1:12">
      <c r="A215" s="95"/>
      <c r="B215" s="96"/>
      <c r="C215" s="98"/>
    </row>
    <row r="216" spans="1:12">
      <c r="A216" s="95"/>
      <c r="B216" s="96"/>
    </row>
    <row r="217" spans="1:12">
      <c r="A217" s="95"/>
      <c r="B217" s="96"/>
      <c r="F217" s="98"/>
      <c r="G217" s="98"/>
    </row>
    <row r="218" spans="1:12">
      <c r="A218" s="95"/>
      <c r="B218" s="96"/>
      <c r="G218" s="98"/>
    </row>
    <row r="219" spans="1:12">
      <c r="A219" s="95"/>
      <c r="B219" s="96"/>
    </row>
    <row r="220" spans="1:12">
      <c r="A220" s="95"/>
      <c r="B220" s="96"/>
    </row>
    <row r="221" spans="1:12" s="113" customFormat="1">
      <c r="B221" s="114"/>
      <c r="J221" s="115"/>
      <c r="L221" s="213" t="s">
        <v>225</v>
      </c>
    </row>
    <row r="222" spans="1:12" s="213" customFormat="1">
      <c r="B222" s="214"/>
      <c r="C222" s="12" t="s">
        <v>117</v>
      </c>
      <c r="E222" s="12" t="s">
        <v>126</v>
      </c>
      <c r="F222" s="213">
        <f>F235</f>
        <v>3.4720056678082183</v>
      </c>
      <c r="J222" s="215"/>
    </row>
    <row r="223" spans="1:12" s="213" customFormat="1">
      <c r="B223" s="214"/>
      <c r="C223" s="12"/>
      <c r="E223" s="12"/>
      <c r="J223" s="215"/>
    </row>
    <row r="224" spans="1:12" s="213" customFormat="1">
      <c r="B224" s="214"/>
      <c r="C224" s="12"/>
      <c r="E224" s="244" t="s">
        <v>222</v>
      </c>
      <c r="J224" s="215"/>
    </row>
    <row r="225" spans="2:12" s="213" customFormat="1">
      <c r="B225" s="214"/>
      <c r="C225" s="12"/>
      <c r="E225" s="12"/>
      <c r="J225" s="215"/>
    </row>
    <row r="226" spans="2:12" s="213" customFormat="1">
      <c r="B226" s="214"/>
      <c r="C226" s="12"/>
      <c r="E226" s="244" t="s">
        <v>218</v>
      </c>
      <c r="F226" s="213">
        <v>0.51100000000000001</v>
      </c>
      <c r="G226" s="256" t="s">
        <v>224</v>
      </c>
      <c r="J226" s="215"/>
    </row>
    <row r="227" spans="2:12" s="213" customFormat="1">
      <c r="B227" s="214"/>
      <c r="C227" s="12"/>
      <c r="F227" s="213">
        <v>0.86763000000000001</v>
      </c>
      <c r="G227" s="256" t="s">
        <v>203</v>
      </c>
      <c r="J227" s="215"/>
    </row>
    <row r="228" spans="2:12" s="213" customFormat="1">
      <c r="B228" s="214"/>
      <c r="C228" s="12"/>
      <c r="F228" s="213">
        <v>0.82</v>
      </c>
      <c r="G228" s="244" t="s">
        <v>219</v>
      </c>
      <c r="H228" s="244" t="s">
        <v>220</v>
      </c>
    </row>
    <row r="229" spans="2:12" s="213" customFormat="1">
      <c r="B229" s="214"/>
      <c r="C229" s="12"/>
      <c r="F229" s="213">
        <v>42</v>
      </c>
      <c r="G229" s="244" t="s">
        <v>144</v>
      </c>
      <c r="H229" s="244" t="s">
        <v>220</v>
      </c>
      <c r="I229" s="212"/>
      <c r="J229" s="212"/>
    </row>
    <row r="230" spans="2:12" s="213" customFormat="1">
      <c r="B230" s="214"/>
      <c r="C230" s="12"/>
      <c r="F230" s="213">
        <f>F226/F227/F228/F229/E18</f>
        <v>1.800112268810164E-2</v>
      </c>
      <c r="G230" s="213" t="s">
        <v>145</v>
      </c>
      <c r="H230" s="212"/>
      <c r="I230" s="212"/>
      <c r="J230" s="212"/>
    </row>
    <row r="231" spans="2:12" s="213" customFormat="1">
      <c r="B231" s="214"/>
      <c r="C231" s="12"/>
      <c r="J231" s="215"/>
      <c r="L231" s="213" t="s">
        <v>226</v>
      </c>
    </row>
    <row r="232" spans="2:12" s="213" customFormat="1">
      <c r="B232" s="214"/>
      <c r="C232" s="12"/>
      <c r="E232" s="213" t="s">
        <v>146</v>
      </c>
      <c r="F232" s="213">
        <v>0.22500000000000001</v>
      </c>
      <c r="G232" s="213" t="s">
        <v>147</v>
      </c>
      <c r="J232" s="215"/>
    </row>
    <row r="233" spans="2:12" s="213" customFormat="1">
      <c r="B233" s="214"/>
      <c r="C233" s="12"/>
      <c r="E233" s="12"/>
      <c r="F233" s="213">
        <f>F232/3.6</f>
        <v>6.25E-2</v>
      </c>
      <c r="G233" s="213" t="s">
        <v>145</v>
      </c>
      <c r="H233" s="244" t="s">
        <v>221</v>
      </c>
      <c r="J233" s="215"/>
    </row>
    <row r="234" spans="2:12" s="213" customFormat="1">
      <c r="B234" s="214"/>
      <c r="C234" s="12"/>
      <c r="E234" s="12"/>
      <c r="J234" s="215"/>
    </row>
    <row r="235" spans="2:12" s="213" customFormat="1">
      <c r="B235" s="214"/>
      <c r="C235" s="12"/>
      <c r="E235" s="12" t="s">
        <v>148</v>
      </c>
      <c r="F235" s="12">
        <f>F233/F230</f>
        <v>3.4720056678082183</v>
      </c>
      <c r="J235" s="215"/>
    </row>
    <row r="236" spans="2:12" s="213" customFormat="1">
      <c r="B236" s="214"/>
      <c r="C236" s="12"/>
      <c r="E236" s="12"/>
      <c r="J236" s="215"/>
    </row>
    <row r="237" spans="2:12" s="213" customFormat="1">
      <c r="B237" s="214"/>
      <c r="C237" s="12"/>
      <c r="E237" s="12"/>
      <c r="J237" s="215"/>
    </row>
    <row r="238" spans="2:12" s="213" customFormat="1">
      <c r="B238" s="214"/>
      <c r="C238" s="12"/>
      <c r="E238" s="12"/>
      <c r="J238" s="215"/>
    </row>
    <row r="239" spans="2:12" s="213" customFormat="1">
      <c r="B239" s="214"/>
      <c r="C239" s="12"/>
      <c r="E239" s="12"/>
      <c r="J239" s="215"/>
    </row>
    <row r="240" spans="2:12" s="213" customFormat="1">
      <c r="B240" s="214"/>
      <c r="C240" s="12"/>
      <c r="E240" s="12"/>
      <c r="J240" s="215"/>
    </row>
    <row r="241" spans="1:10" s="213" customFormat="1">
      <c r="B241" s="214"/>
      <c r="C241" s="12"/>
      <c r="E241" s="12"/>
      <c r="J241" s="215"/>
    </row>
    <row r="242" spans="1:10" s="213" customFormat="1">
      <c r="B242" s="214"/>
      <c r="C242" s="12"/>
      <c r="E242" s="12"/>
      <c r="J242" s="215"/>
    </row>
    <row r="243" spans="1:10" s="213" customFormat="1">
      <c r="B243" s="214"/>
      <c r="C243" s="12"/>
      <c r="E243" s="12"/>
      <c r="J243" s="215"/>
    </row>
    <row r="244" spans="1:10" s="213" customFormat="1">
      <c r="B244" s="214"/>
      <c r="C244" s="12"/>
      <c r="E244" s="12"/>
      <c r="J244" s="215"/>
    </row>
    <row r="245" spans="1:10" s="213" customFormat="1">
      <c r="B245" s="214"/>
      <c r="C245" s="12"/>
      <c r="E245" s="12"/>
      <c r="J245" s="215"/>
    </row>
    <row r="246" spans="1:10" s="213" customFormat="1">
      <c r="B246" s="214"/>
      <c r="C246" s="12"/>
      <c r="E246" s="12"/>
      <c r="J246" s="215"/>
    </row>
    <row r="247" spans="1:10" s="213" customFormat="1">
      <c r="B247" s="214"/>
      <c r="J247" s="215"/>
    </row>
    <row r="248" spans="1:10" s="213" customFormat="1">
      <c r="B248" s="214"/>
      <c r="E248" s="12" t="s">
        <v>171</v>
      </c>
      <c r="F248" s="216">
        <v>2.1999999999999999E-2</v>
      </c>
      <c r="H248" s="213" t="s">
        <v>133</v>
      </c>
      <c r="J248" s="215"/>
    </row>
    <row r="249" spans="1:10" s="213" customFormat="1">
      <c r="A249" s="95"/>
      <c r="B249" s="96"/>
    </row>
    <row r="250" spans="1:10" s="213" customFormat="1">
      <c r="B250" s="214"/>
      <c r="J250" s="215"/>
    </row>
    <row r="251" spans="1:10" s="213" customFormat="1">
      <c r="B251" s="214"/>
      <c r="C251" s="118" t="s">
        <v>131</v>
      </c>
      <c r="D251" s="213" t="s">
        <v>134</v>
      </c>
      <c r="E251" s="213">
        <v>65</v>
      </c>
      <c r="J251" s="215"/>
    </row>
    <row r="252" spans="1:10" s="213" customFormat="1">
      <c r="B252" s="214"/>
      <c r="D252" s="213" t="s">
        <v>149</v>
      </c>
      <c r="J252" s="215"/>
    </row>
    <row r="253" spans="1:10" s="213" customFormat="1">
      <c r="B253" s="214"/>
      <c r="D253" s="213" t="s">
        <v>150</v>
      </c>
      <c r="J253" s="215"/>
    </row>
    <row r="254" spans="1:10" s="213" customFormat="1">
      <c r="B254" s="214"/>
      <c r="J254" s="215"/>
    </row>
    <row r="255" spans="1:10" s="213" customFormat="1">
      <c r="B255" s="214"/>
      <c r="D255" s="217" t="s">
        <v>151</v>
      </c>
      <c r="E255" s="218">
        <v>35</v>
      </c>
      <c r="F255" s="218">
        <v>45</v>
      </c>
      <c r="G255" s="218">
        <v>50</v>
      </c>
      <c r="J255" s="215"/>
    </row>
    <row r="256" spans="1:10" s="213" customFormat="1">
      <c r="B256" s="214"/>
      <c r="D256" s="217" t="s">
        <v>152</v>
      </c>
      <c r="E256" s="217">
        <v>3.25</v>
      </c>
      <c r="F256" s="217">
        <f>G256-((G$255-F$255)/(G$255-E$255))*(G256-E256)</f>
        <v>2.3233333333333333</v>
      </c>
      <c r="G256" s="217">
        <v>1.86</v>
      </c>
      <c r="J256" s="215"/>
    </row>
    <row r="257" spans="2:10" s="213" customFormat="1">
      <c r="B257" s="214"/>
      <c r="D257" s="217" t="s">
        <v>153</v>
      </c>
      <c r="E257" s="217">
        <v>8.7499999999999994E-2</v>
      </c>
      <c r="F257" s="217">
        <f>G257-((G$255-F$255)/(G$255-E$255))*(G257-E257)</f>
        <v>5.7833333333333327E-2</v>
      </c>
      <c r="G257" s="217">
        <v>4.2999999999999997E-2</v>
      </c>
      <c r="J257" s="215"/>
    </row>
    <row r="258" spans="2:10" s="213" customFormat="1">
      <c r="B258" s="214"/>
      <c r="D258" s="213" t="s">
        <v>154</v>
      </c>
      <c r="E258" s="213" t="s">
        <v>155</v>
      </c>
      <c r="G258" s="213" t="s">
        <v>155</v>
      </c>
      <c r="J258" s="215"/>
    </row>
    <row r="259" spans="2:10" s="213" customFormat="1">
      <c r="B259" s="214"/>
      <c r="J259" s="215"/>
    </row>
    <row r="260" spans="2:10" s="213" customFormat="1">
      <c r="B260" s="214"/>
      <c r="J260" s="215"/>
    </row>
    <row r="261" spans="2:10" s="213" customFormat="1">
      <c r="B261" s="214"/>
      <c r="D261" s="219" t="s">
        <v>124</v>
      </c>
      <c r="E261" s="221">
        <f>F256</f>
        <v>2.3233333333333333</v>
      </c>
      <c r="F261" s="213" t="s">
        <v>89</v>
      </c>
      <c r="J261" s="215"/>
    </row>
    <row r="262" spans="2:10" s="213" customFormat="1">
      <c r="B262" s="214"/>
      <c r="D262" s="219" t="s">
        <v>127</v>
      </c>
      <c r="E262" s="221">
        <f>F257</f>
        <v>5.7833333333333327E-2</v>
      </c>
      <c r="F262" s="213" t="s">
        <v>135</v>
      </c>
      <c r="J262" s="215"/>
    </row>
    <row r="263" spans="2:10" s="213" customFormat="1">
      <c r="B263" s="214"/>
      <c r="J263" s="215"/>
    </row>
    <row r="264" spans="2:10" s="213" customFormat="1">
      <c r="B264" s="214"/>
      <c r="C264" s="220"/>
      <c r="D264" s="213" t="s">
        <v>157</v>
      </c>
      <c r="J264" s="215"/>
    </row>
    <row r="265" spans="2:10" s="213" customFormat="1">
      <c r="B265" s="214"/>
      <c r="D265" s="213" t="s">
        <v>156</v>
      </c>
      <c r="J265" s="215"/>
    </row>
    <row r="266" spans="2:10" s="213" customFormat="1">
      <c r="B266" s="214"/>
      <c r="J266" s="215"/>
    </row>
    <row r="267" spans="2:10" s="213" customFormat="1">
      <c r="B267" s="214"/>
    </row>
    <row r="268" spans="2:10" s="227" customFormat="1">
      <c r="B268" s="228"/>
      <c r="C268" s="12" t="s">
        <v>132</v>
      </c>
      <c r="D268" s="227" t="s">
        <v>159</v>
      </c>
      <c r="J268" s="229"/>
    </row>
    <row r="269" spans="2:10" s="227" customFormat="1">
      <c r="B269" s="228"/>
      <c r="C269" s="12"/>
      <c r="D269" s="227" t="s">
        <v>160</v>
      </c>
      <c r="E269" s="227" t="s">
        <v>136</v>
      </c>
      <c r="J269" s="229"/>
    </row>
    <row r="270" spans="2:10" s="227" customFormat="1">
      <c r="B270" s="228"/>
      <c r="J270" s="229"/>
    </row>
    <row r="271" spans="2:10" s="227" customFormat="1">
      <c r="B271" s="228"/>
      <c r="D271" s="42" t="s">
        <v>42</v>
      </c>
      <c r="E271" s="230">
        <v>15</v>
      </c>
      <c r="F271" s="231" t="s">
        <v>1</v>
      </c>
      <c r="G271" s="231"/>
      <c r="J271" s="229"/>
    </row>
    <row r="272" spans="2:10" s="227" customFormat="1">
      <c r="B272" s="228"/>
      <c r="D272" s="42" t="s">
        <v>9</v>
      </c>
      <c r="E272" s="227">
        <v>1000</v>
      </c>
      <c r="F272" s="227" t="s">
        <v>26</v>
      </c>
      <c r="J272" s="229"/>
    </row>
    <row r="273" spans="1:10" s="227" customFormat="1">
      <c r="B273" s="228"/>
      <c r="D273" s="42" t="s">
        <v>38</v>
      </c>
      <c r="E273" s="227">
        <v>200</v>
      </c>
      <c r="F273" s="227" t="s">
        <v>45</v>
      </c>
      <c r="J273" s="229"/>
    </row>
    <row r="274" spans="1:10" s="227" customFormat="1">
      <c r="B274" s="228"/>
      <c r="D274" s="42" t="s">
        <v>34</v>
      </c>
      <c r="E274" s="232">
        <f>H275/1000</f>
        <v>1.2199999999999999E-2</v>
      </c>
      <c r="F274" s="227" t="s">
        <v>56</v>
      </c>
      <c r="J274" s="229"/>
    </row>
    <row r="275" spans="1:10" s="227" customFormat="1">
      <c r="B275" s="228"/>
      <c r="H275" s="256">
        <v>12.2</v>
      </c>
      <c r="I275" s="256" t="s">
        <v>98</v>
      </c>
      <c r="J275" s="257" t="s">
        <v>227</v>
      </c>
    </row>
    <row r="276" spans="1:10" s="227" customFormat="1">
      <c r="B276" s="228"/>
      <c r="C276" s="12"/>
      <c r="D276" s="119"/>
      <c r="J276" s="229"/>
    </row>
    <row r="277" spans="1:10" s="227" customFormat="1">
      <c r="B277" s="228"/>
      <c r="D277" s="227" t="s">
        <v>161</v>
      </c>
      <c r="E277" s="227">
        <v>7</v>
      </c>
      <c r="F277" s="227" t="s">
        <v>137</v>
      </c>
      <c r="J277" s="229"/>
    </row>
    <row r="278" spans="1:10" s="227" customFormat="1">
      <c r="A278" s="95"/>
      <c r="B278" s="96"/>
      <c r="D278" s="12" t="s">
        <v>163</v>
      </c>
      <c r="E278" s="227">
        <f>H275/(E277*E262+E261)/1000</f>
        <v>4.4718675545237941E-3</v>
      </c>
      <c r="F278" s="227" t="s">
        <v>56</v>
      </c>
    </row>
    <row r="279" spans="1:10" s="227" customFormat="1">
      <c r="A279" s="95"/>
      <c r="B279" s="96"/>
    </row>
    <row r="280" spans="1:10" s="227" customFormat="1">
      <c r="A280" s="95"/>
      <c r="B280" s="96"/>
      <c r="D280" s="119" t="str">
        <f>[3]Dashboard!C$22</f>
        <v>storage.volume</v>
      </c>
      <c r="E280" s="227">
        <v>0</v>
      </c>
      <c r="F280" s="227" t="s">
        <v>129</v>
      </c>
      <c r="G280" s="227" t="s">
        <v>162</v>
      </c>
    </row>
    <row r="281" spans="1:10" s="227" customFormat="1">
      <c r="A281" s="95"/>
      <c r="B281" s="96"/>
    </row>
    <row r="282" spans="1:10" s="227" customFormat="1">
      <c r="A282" s="95"/>
      <c r="B282" s="96"/>
    </row>
    <row r="283" spans="1:10" s="227" customFormat="1">
      <c r="A283" s="95"/>
      <c r="B283" s="96"/>
    </row>
    <row r="284" spans="1:10" s="227" customFormat="1">
      <c r="A284" s="95"/>
      <c r="B284" s="96"/>
    </row>
    <row r="285" spans="1:10" s="113" customFormat="1">
      <c r="B285" s="114"/>
      <c r="C285" s="118"/>
      <c r="D285" s="43"/>
      <c r="J285" s="115"/>
    </row>
    <row r="286" spans="1:10" s="113" customFormat="1">
      <c r="B286" s="114"/>
      <c r="C286" s="12"/>
      <c r="E286" s="117"/>
      <c r="F286" s="117"/>
      <c r="J286" s="115"/>
    </row>
    <row r="287" spans="1:10" s="113" customFormat="1">
      <c r="B287" s="114"/>
      <c r="C287" s="12"/>
      <c r="E287" s="117"/>
      <c r="F287" s="117"/>
      <c r="J287" s="115"/>
    </row>
    <row r="288" spans="1:10" s="113" customFormat="1">
      <c r="B288" s="114"/>
      <c r="C288" s="12"/>
      <c r="E288" s="117"/>
      <c r="F288" s="117"/>
      <c r="J288" s="115"/>
    </row>
    <row r="289" spans="2:10" s="113" customFormat="1">
      <c r="B289" s="114"/>
      <c r="C289" s="12"/>
      <c r="E289" s="117"/>
      <c r="F289" s="117"/>
      <c r="J289" s="115"/>
    </row>
    <row r="290" spans="2:10" s="113" customFormat="1">
      <c r="B290" s="114"/>
      <c r="C290" s="12"/>
      <c r="E290" s="121"/>
      <c r="F290" s="117"/>
      <c r="J290" s="115"/>
    </row>
    <row r="291" spans="2:10" s="113" customFormat="1">
      <c r="B291" s="114"/>
      <c r="C291" s="12"/>
      <c r="E291" s="186"/>
      <c r="F291" s="117"/>
      <c r="J291" s="115"/>
    </row>
    <row r="292" spans="2:10" s="113" customFormat="1">
      <c r="B292" s="114"/>
      <c r="C292" s="12"/>
      <c r="D292" s="119"/>
      <c r="E292" s="185"/>
      <c r="F292" s="117"/>
      <c r="H292"/>
      <c r="J292" s="115"/>
    </row>
    <row r="293" spans="2:10" s="113" customFormat="1">
      <c r="B293" s="114"/>
      <c r="C293" s="12"/>
      <c r="J293" s="115"/>
    </row>
    <row r="294" spans="2:10" s="113" customFormat="1">
      <c r="B294" s="114"/>
      <c r="C294" s="12"/>
      <c r="E294" s="117"/>
      <c r="F294" s="117"/>
      <c r="J294" s="115"/>
    </row>
    <row r="295" spans="2:10" s="113" customFormat="1">
      <c r="B295" s="114"/>
      <c r="C295" s="12"/>
      <c r="E295" s="117"/>
      <c r="F295" s="117"/>
      <c r="J295" s="115"/>
    </row>
    <row r="296" spans="2:10" s="113" customFormat="1">
      <c r="B296" s="114"/>
      <c r="C296" s="12"/>
      <c r="E296" s="117"/>
      <c r="F296" s="117"/>
      <c r="J296" s="115"/>
    </row>
    <row r="297" spans="2:10" s="113" customFormat="1">
      <c r="B297" s="114"/>
      <c r="C297" s="12"/>
      <c r="E297" s="117"/>
      <c r="F297" s="117"/>
      <c r="J297" s="115"/>
    </row>
    <row r="298" spans="2:10" s="113" customFormat="1">
      <c r="B298" s="114"/>
      <c r="C298" s="12"/>
      <c r="E298" s="121"/>
      <c r="F298" s="117"/>
      <c r="J298" s="115"/>
    </row>
    <row r="299" spans="2:10" s="113" customFormat="1">
      <c r="B299" s="114"/>
      <c r="C299" s="12"/>
      <c r="E299" s="186"/>
      <c r="F299" s="117"/>
      <c r="J299" s="115"/>
    </row>
    <row r="300" spans="2:10" s="113" customFormat="1">
      <c r="B300" s="114"/>
      <c r="C300" s="12"/>
      <c r="D300" s="119"/>
      <c r="E300" s="185"/>
      <c r="F300" s="117"/>
      <c r="J300" s="115"/>
    </row>
    <row r="301" spans="2:10" s="113" customFormat="1">
      <c r="B301" s="114"/>
      <c r="J301" s="115"/>
    </row>
    <row r="302" spans="2:10" s="113" customFormat="1">
      <c r="B302" s="114"/>
      <c r="J302" s="115"/>
    </row>
    <row r="303" spans="2:10" s="113" customFormat="1">
      <c r="B303" s="114"/>
      <c r="J303" s="115"/>
    </row>
    <row r="304" spans="2:10" s="113" customFormat="1">
      <c r="B304" s="114"/>
      <c r="J304" s="115"/>
    </row>
    <row r="305" spans="1:10" s="113" customFormat="1">
      <c r="B305" s="114"/>
      <c r="J305" s="115"/>
    </row>
    <row r="306" spans="1:10" s="113" customFormat="1">
      <c r="B306" s="114"/>
      <c r="J306" s="115"/>
    </row>
    <row r="307" spans="1:10" s="113" customFormat="1">
      <c r="B307" s="114"/>
      <c r="J307" s="115"/>
    </row>
    <row r="308" spans="1:10" s="113" customFormat="1">
      <c r="B308" s="114"/>
      <c r="J308" s="115"/>
    </row>
    <row r="309" spans="1:10" s="113" customFormat="1">
      <c r="B309" s="114"/>
      <c r="J309" s="115"/>
    </row>
    <row r="310" spans="1:10">
      <c r="A310" s="95"/>
      <c r="B310" s="96"/>
    </row>
    <row r="311" spans="1:10" s="113" customFormat="1">
      <c r="B311" s="114"/>
      <c r="J311" s="115"/>
    </row>
    <row r="312" spans="1:10" s="113" customFormat="1">
      <c r="B312" s="114"/>
      <c r="C312" s="202"/>
      <c r="D312" s="202"/>
      <c r="J312" s="115"/>
    </row>
    <row r="313" spans="1:10" s="113" customFormat="1">
      <c r="B313" s="114"/>
      <c r="E313" s="117"/>
      <c r="F313" s="117"/>
      <c r="J313" s="115"/>
    </row>
    <row r="314" spans="1:10" s="113" customFormat="1">
      <c r="B314" s="114"/>
      <c r="E314" s="117"/>
      <c r="F314" s="117"/>
      <c r="J314" s="115"/>
    </row>
    <row r="315" spans="1:10" s="113" customFormat="1">
      <c r="B315" s="114"/>
      <c r="J315" s="115"/>
    </row>
    <row r="316" spans="1:10" s="113" customFormat="1">
      <c r="B316" s="114"/>
      <c r="J316" s="115"/>
    </row>
    <row r="317" spans="1:10" s="113" customFormat="1">
      <c r="B317" s="114"/>
      <c r="E317" s="187"/>
      <c r="J317" s="115"/>
    </row>
    <row r="318" spans="1:10" s="113" customFormat="1">
      <c r="B318" s="114"/>
      <c r="J318" s="115"/>
    </row>
    <row r="319" spans="1:10" s="113" customFormat="1">
      <c r="B319" s="114"/>
      <c r="J319" s="115"/>
    </row>
    <row r="320" spans="1:10" s="113" customFormat="1">
      <c r="B320" s="114"/>
      <c r="E320" s="120"/>
      <c r="J320" s="115"/>
    </row>
    <row r="321" spans="2:10" s="113" customFormat="1">
      <c r="B321" s="114"/>
      <c r="E321" s="188"/>
      <c r="J321" s="115"/>
    </row>
    <row r="322" spans="2:10" s="113" customFormat="1">
      <c r="B322" s="114"/>
      <c r="J322" s="115"/>
    </row>
    <row r="323" spans="2:10" s="113" customFormat="1">
      <c r="B323" s="114"/>
      <c r="D323" s="203"/>
      <c r="E323" s="186"/>
      <c r="J323" s="115"/>
    </row>
    <row r="324" spans="2:10" s="113" customFormat="1">
      <c r="B324" s="114"/>
      <c r="D324" s="203"/>
      <c r="E324" s="117"/>
      <c r="J324" s="115"/>
    </row>
    <row r="325" spans="2:10" s="113" customFormat="1">
      <c r="B325" s="114"/>
      <c r="D325" s="203"/>
      <c r="E325" s="117"/>
      <c r="J325" s="115"/>
    </row>
    <row r="326" spans="2:10" s="113" customFormat="1">
      <c r="B326" s="114"/>
      <c r="D326" s="203"/>
      <c r="E326" s="117"/>
      <c r="J326" s="115"/>
    </row>
    <row r="327" spans="2:10" s="113" customFormat="1">
      <c r="B327" s="114"/>
      <c r="C327" s="12"/>
      <c r="J327" s="115"/>
    </row>
    <row r="328" spans="2:10" s="113" customFormat="1">
      <c r="B328" s="114"/>
      <c r="E328" s="120"/>
      <c r="J328" s="115"/>
    </row>
    <row r="329" spans="2:10" s="113" customFormat="1">
      <c r="B329" s="114"/>
      <c r="E329" s="188"/>
      <c r="J329" s="115"/>
    </row>
    <row r="330" spans="2:10" s="113" customFormat="1">
      <c r="B330" s="114"/>
      <c r="J330" s="115"/>
    </row>
    <row r="331" spans="2:10" s="113" customFormat="1">
      <c r="B331" s="114"/>
      <c r="D331" s="203"/>
      <c r="E331" s="186"/>
      <c r="J331" s="115"/>
    </row>
    <row r="332" spans="2:10" s="113" customFormat="1">
      <c r="B332" s="114"/>
      <c r="J332" s="115"/>
    </row>
    <row r="333" spans="2:10" s="113" customFormat="1">
      <c r="B333" s="114"/>
      <c r="D333" s="203"/>
      <c r="E333" s="117"/>
      <c r="J333" s="115"/>
    </row>
    <row r="334" spans="2:10" s="113" customFormat="1">
      <c r="B334" s="114"/>
      <c r="D334" s="203"/>
      <c r="E334" s="117"/>
      <c r="J334" s="115"/>
    </row>
    <row r="335" spans="2:10" s="113" customFormat="1">
      <c r="B335" s="114"/>
      <c r="D335" s="203"/>
      <c r="E335" s="117"/>
      <c r="J335" s="115"/>
    </row>
    <row r="336" spans="2:10" s="113" customFormat="1">
      <c r="B336" s="114"/>
      <c r="D336" s="203"/>
      <c r="E336" s="117"/>
      <c r="J336" s="115"/>
    </row>
    <row r="337" spans="2:10" s="113" customFormat="1">
      <c r="B337" s="114"/>
      <c r="D337" s="203"/>
      <c r="E337" s="117"/>
      <c r="J337" s="115"/>
    </row>
    <row r="338" spans="2:10" s="113" customFormat="1">
      <c r="B338" s="114"/>
      <c r="D338" s="203"/>
      <c r="E338" s="117"/>
      <c r="J338" s="115"/>
    </row>
    <row r="339" spans="2:10" s="113" customFormat="1">
      <c r="B339" s="114"/>
      <c r="C339" s="12"/>
      <c r="D339" s="205"/>
      <c r="G339" s="206"/>
      <c r="J339" s="115"/>
    </row>
    <row r="340" spans="2:10" s="113" customFormat="1">
      <c r="B340" s="114"/>
      <c r="D340" s="205"/>
      <c r="G340" s="204"/>
      <c r="J340" s="115"/>
    </row>
    <row r="341" spans="2:10" s="113" customFormat="1">
      <c r="B341" s="114"/>
      <c r="D341" s="203"/>
      <c r="E341" s="117"/>
      <c r="J341" s="115"/>
    </row>
    <row r="342" spans="2:10" s="113" customFormat="1">
      <c r="B342" s="114"/>
      <c r="D342" s="203"/>
      <c r="E342" s="117"/>
      <c r="J342" s="115"/>
    </row>
    <row r="343" spans="2:10" s="113" customFormat="1">
      <c r="B343" s="114"/>
      <c r="D343" s="203"/>
      <c r="E343" s="117"/>
      <c r="J343" s="115"/>
    </row>
    <row r="344" spans="2:10" s="113" customFormat="1">
      <c r="B344" s="114"/>
      <c r="D344" s="203"/>
      <c r="E344" s="117"/>
      <c r="J344" s="115"/>
    </row>
    <row r="345" spans="2:10" s="113" customFormat="1">
      <c r="B345" s="114"/>
      <c r="D345" s="203"/>
      <c r="E345" s="117"/>
      <c r="J345" s="115"/>
    </row>
    <row r="346" spans="2:10" s="113" customFormat="1">
      <c r="B346" s="114"/>
      <c r="D346" s="203"/>
      <c r="E346" s="117"/>
      <c r="J346" s="115"/>
    </row>
    <row r="347" spans="2:10" s="113" customFormat="1">
      <c r="B347" s="114"/>
      <c r="D347" s="203"/>
      <c r="E347" s="117"/>
      <c r="J347" s="115"/>
    </row>
    <row r="348" spans="2:10" s="113" customFormat="1">
      <c r="B348" s="114"/>
      <c r="C348" s="12"/>
      <c r="F348"/>
      <c r="J348" s="115"/>
    </row>
    <row r="349" spans="2:10" s="113" customFormat="1" ht="17" thickBot="1">
      <c r="B349" s="189"/>
      <c r="C349" s="190"/>
      <c r="D349" s="190"/>
      <c r="E349" s="190"/>
      <c r="F349" s="190"/>
      <c r="G349" s="190"/>
      <c r="H349" s="190"/>
      <c r="I349" s="190"/>
      <c r="J349" s="19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2024-04-10T07:39:08Z</dcterms:modified>
</cp:coreProperties>
</file>