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1"/>
  <workbookPr showInkAnnotation="0" codeName="ThisWorkbook" autoCompressPictures="0"/>
  <mc:AlternateContent xmlns:mc="http://schemas.openxmlformats.org/markup-compatibility/2006">
    <mc:Choice Requires="x15">
      <x15ac:absPath xmlns:x15ac="http://schemas.microsoft.com/office/spreadsheetml/2010/11/ac" url="/Users/kaskranenburg/Code/etdataset/nodes_source_analyses/energy/households/"/>
    </mc:Choice>
  </mc:AlternateContent>
  <xr:revisionPtr revIDLastSave="0" documentId="13_ncr:1_{08970AE3-E38D-8546-82C0-42284AC38FFA}" xr6:coauthVersionLast="47" xr6:coauthVersionMax="47" xr10:uidLastSave="{00000000-0000-0000-0000-000000000000}"/>
  <bookViews>
    <workbookView xWindow="0" yWindow="500" windowWidth="38400" windowHeight="21100" tabRatio="762" activeTab="1" xr2:uid="{00000000-000D-0000-FFFF-FFFF00000000}"/>
  </bookViews>
  <sheets>
    <sheet name="Cover sheet" sheetId="14" r:id="rId1"/>
    <sheet name="Dashboard" sheetId="12" r:id="rId2"/>
    <sheet name="Research data" sheetId="13" r:id="rId3"/>
    <sheet name="Sources" sheetId="15" r:id="rId4"/>
    <sheet name="Notes" sheetId="16" r:id="rId5"/>
  </sheets>
  <externalReferences>
    <externalReference r:id="rId6"/>
    <externalReference r:id="rId7"/>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E27" i="12" l="1"/>
  <c r="H12" i="13"/>
  <c r="E12" i="13" s="1"/>
  <c r="E18" i="16"/>
  <c r="J3" i="13"/>
  <c r="J18" i="13"/>
  <c r="J29" i="13"/>
  <c r="O31" i="13" l="1"/>
  <c r="E31" i="13" s="1"/>
  <c r="O29" i="13"/>
  <c r="O38" i="13"/>
  <c r="S27" i="13"/>
  <c r="D276" i="16"/>
  <c r="E270" i="16"/>
  <c r="G15" i="13" l="1"/>
  <c r="F253" i="16" l="1"/>
  <c r="E258" i="16" s="1"/>
  <c r="F252" i="16"/>
  <c r="E257" i="16" s="1"/>
  <c r="M13" i="13" s="1"/>
  <c r="F229" i="16"/>
  <c r="F227" i="16"/>
  <c r="M17" i="13" l="1"/>
  <c r="E274" i="16"/>
  <c r="M14" i="13" s="1"/>
  <c r="F231" i="16"/>
  <c r="F222" i="16" s="1"/>
  <c r="E63" i="16"/>
  <c r="E64" i="16" s="1"/>
  <c r="E68" i="16" s="1"/>
  <c r="E69" i="16" s="1"/>
  <c r="I12" i="13" s="1"/>
  <c r="E336" i="16" l="1"/>
  <c r="D336" i="16"/>
  <c r="D335" i="16" l="1"/>
  <c r="S3" i="13"/>
  <c r="R3" i="13"/>
  <c r="E16" i="12" l="1"/>
  <c r="E325" i="16"/>
  <c r="E311" i="16"/>
  <c r="E313" i="16" s="1"/>
  <c r="E316" i="16"/>
  <c r="E317" i="16" s="1"/>
  <c r="Q3" i="13"/>
  <c r="D319" i="16"/>
  <c r="D327" i="16"/>
  <c r="E18" i="13"/>
  <c r="E22" i="12" s="1"/>
  <c r="D194" i="16"/>
  <c r="D288" i="16"/>
  <c r="O18" i="13"/>
  <c r="G3" i="13"/>
  <c r="E294" i="16"/>
  <c r="E296" i="16" s="1"/>
  <c r="P18" i="13" s="1"/>
  <c r="E286" i="16"/>
  <c r="E288" i="16" s="1"/>
  <c r="N18" i="13" s="1"/>
  <c r="K3" i="13"/>
  <c r="L3" i="13"/>
  <c r="M3" i="13"/>
  <c r="N3" i="13"/>
  <c r="C281" i="16" s="1"/>
  <c r="O3" i="13"/>
  <c r="P3" i="13"/>
  <c r="G28" i="13"/>
  <c r="E28" i="13" s="1"/>
  <c r="E32" i="12" s="1"/>
  <c r="I32" i="12" s="1"/>
  <c r="E29" i="13"/>
  <c r="G30" i="13"/>
  <c r="E30" i="13" s="1"/>
  <c r="E34" i="12" s="1"/>
  <c r="G32" i="13"/>
  <c r="E32" i="13" s="1"/>
  <c r="E36" i="12" s="1"/>
  <c r="G33" i="13"/>
  <c r="E33" i="13" s="1"/>
  <c r="E37" i="12" s="1"/>
  <c r="G34" i="13"/>
  <c r="E34" i="13" s="1"/>
  <c r="E39" i="12" s="1"/>
  <c r="E35" i="12"/>
  <c r="I35" i="12" s="1"/>
  <c r="E38" i="13"/>
  <c r="E43" i="12" s="1"/>
  <c r="G37" i="13"/>
  <c r="E37" i="13" s="1"/>
  <c r="E42" i="12" s="1"/>
  <c r="E191" i="16"/>
  <c r="E96" i="16"/>
  <c r="K24" i="13" s="1"/>
  <c r="E24" i="13" s="1"/>
  <c r="E28" i="12" s="1"/>
  <c r="E22" i="13"/>
  <c r="E26" i="12" s="1"/>
  <c r="E21" i="13"/>
  <c r="E25" i="12" s="1"/>
  <c r="E20" i="13"/>
  <c r="E24" i="12" s="1"/>
  <c r="E19" i="13"/>
  <c r="E23" i="12" s="1"/>
  <c r="E17" i="13"/>
  <c r="E21" i="12" s="1"/>
  <c r="G16" i="13"/>
  <c r="E16" i="13" s="1"/>
  <c r="E20" i="12" s="1"/>
  <c r="E15" i="13"/>
  <c r="E19" i="12" s="1"/>
  <c r="E14" i="13"/>
  <c r="E18" i="12" s="1"/>
  <c r="E13" i="13"/>
  <c r="E17" i="12" s="1"/>
  <c r="K11" i="13"/>
  <c r="E15" i="12" s="1"/>
  <c r="K10" i="13"/>
  <c r="E14" i="12" s="1"/>
  <c r="E9" i="13"/>
  <c r="E13" i="12" s="1"/>
  <c r="E57" i="16"/>
  <c r="E100" i="16" s="1"/>
  <c r="G6" i="13" s="1"/>
  <c r="E6" i="13" s="1"/>
  <c r="E10" i="12" s="1"/>
  <c r="D296" i="16"/>
  <c r="C14" i="13"/>
  <c r="C16" i="13"/>
  <c r="C15" i="13"/>
  <c r="C12" i="13"/>
  <c r="D38" i="13"/>
  <c r="D37" i="13"/>
  <c r="D34" i="13"/>
  <c r="D33" i="13"/>
  <c r="D32" i="13"/>
  <c r="D31" i="13"/>
  <c r="D30" i="13"/>
  <c r="D29" i="13"/>
  <c r="D28" i="13"/>
  <c r="D27" i="13"/>
  <c r="D24" i="13"/>
  <c r="D23" i="13"/>
  <c r="D22" i="13"/>
  <c r="D21" i="13"/>
  <c r="D20" i="13"/>
  <c r="D19" i="13"/>
  <c r="D18" i="13"/>
  <c r="D17" i="13"/>
  <c r="D16" i="13"/>
  <c r="D15" i="13"/>
  <c r="D14" i="13"/>
  <c r="D13" i="13"/>
  <c r="D12" i="13"/>
  <c r="D11" i="13"/>
  <c r="D10" i="13"/>
  <c r="D9" i="13"/>
  <c r="D8" i="13"/>
  <c r="D7" i="13"/>
  <c r="D6" i="13"/>
  <c r="C38" i="13"/>
  <c r="C37" i="13"/>
  <c r="C34" i="13"/>
  <c r="C33" i="13"/>
  <c r="C32" i="13"/>
  <c r="C31" i="13"/>
  <c r="C30" i="13"/>
  <c r="C29" i="13"/>
  <c r="C28" i="13"/>
  <c r="C27" i="13"/>
  <c r="C24" i="13"/>
  <c r="C23" i="13"/>
  <c r="C22" i="13"/>
  <c r="C21" i="13"/>
  <c r="C20" i="13"/>
  <c r="C19" i="13"/>
  <c r="C18" i="13"/>
  <c r="C17" i="13"/>
  <c r="C13" i="13"/>
  <c r="C11" i="13"/>
  <c r="C10" i="13"/>
  <c r="C9" i="13"/>
  <c r="C8" i="13"/>
  <c r="C7" i="13"/>
  <c r="C6" i="13"/>
  <c r="E212" i="16"/>
  <c r="E206" i="16"/>
  <c r="I14" i="12" l="1"/>
  <c r="I15" i="12"/>
  <c r="I28" i="12"/>
  <c r="I18" i="12"/>
  <c r="I21" i="12"/>
  <c r="I43" i="12"/>
  <c r="I26" i="12"/>
  <c r="I34" i="12"/>
  <c r="E101" i="16"/>
  <c r="G7" i="13" s="1"/>
  <c r="E7" i="13" s="1"/>
  <c r="E11" i="12" s="1"/>
  <c r="I11" i="12" s="1"/>
  <c r="I37" i="12"/>
  <c r="I17" i="12"/>
  <c r="G8" i="13"/>
  <c r="E8" i="13" s="1"/>
  <c r="E12" i="12" s="1"/>
  <c r="I12" i="12" s="1"/>
  <c r="E72" i="16"/>
  <c r="E33" i="12"/>
  <c r="I33" i="12" s="1"/>
  <c r="E27" i="13"/>
  <c r="E31" i="12" s="1"/>
  <c r="I31" i="12" s="1"/>
  <c r="I23" i="12"/>
  <c r="I36" i="12"/>
  <c r="I13" i="12"/>
  <c r="I19" i="12"/>
  <c r="I24" i="12"/>
  <c r="I27" i="12"/>
  <c r="I10" i="12"/>
  <c r="I20" i="12"/>
  <c r="I25" i="12"/>
  <c r="I42" i="12"/>
  <c r="I39" i="12"/>
  <c r="E11" i="13"/>
  <c r="I16" i="12"/>
  <c r="I22" i="12"/>
  <c r="E327" i="16"/>
  <c r="E319" i="16"/>
  <c r="E10" i="13"/>
  <c r="E217" i="16"/>
  <c r="L31" i="13" s="1"/>
</calcChain>
</file>

<file path=xl/sharedStrings.xml><?xml version="1.0" encoding="utf-8"?>
<sst xmlns="http://schemas.openxmlformats.org/spreadsheetml/2006/main" count="437" uniqueCount="268">
  <si>
    <t>Source</t>
  </si>
  <si>
    <t>years</t>
  </si>
  <si>
    <t>%</t>
  </si>
  <si>
    <t>-</t>
  </si>
  <si>
    <t>Value</t>
  </si>
  <si>
    <t>Other</t>
  </si>
  <si>
    <t>Initial investment costs</t>
  </si>
  <si>
    <t>households_supplied_per_unit</t>
  </si>
  <si>
    <t>yes=1, no=0</t>
  </si>
  <si>
    <t>cost_of_installing</t>
  </si>
  <si>
    <t>Definition</t>
  </si>
  <si>
    <t>Unit</t>
  </si>
  <si>
    <t>Link</t>
  </si>
  <si>
    <t>Cover Sheet</t>
  </si>
  <si>
    <t>Document</t>
  </si>
  <si>
    <t>Country</t>
  </si>
  <si>
    <t>Organization</t>
  </si>
  <si>
    <t>Quintel Intelligence</t>
  </si>
  <si>
    <t>Definition on the sources</t>
  </si>
  <si>
    <t>Weighted average cost of capita</t>
  </si>
  <si>
    <t>Installation cost</t>
  </si>
  <si>
    <t>Technical lifetime of the plant</t>
  </si>
  <si>
    <t xml:space="preserve">Construction time of the plant </t>
  </si>
  <si>
    <t>Type</t>
  </si>
  <si>
    <t>Date published</t>
  </si>
  <si>
    <t>Attribute</t>
  </si>
  <si>
    <t>euro</t>
  </si>
  <si>
    <t>availability</t>
  </si>
  <si>
    <t>free_co2_factor</t>
  </si>
  <si>
    <t>forecasting_error</t>
  </si>
  <si>
    <t>land_use_per_unit</t>
  </si>
  <si>
    <t>takes_part_in_ets</t>
  </si>
  <si>
    <t>part_load_efficiency_penalty</t>
  </si>
  <si>
    <t>part_load_operating_point</t>
  </si>
  <si>
    <t>heat_output_capacity</t>
  </si>
  <si>
    <t>initial_investment</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</si>
  <si>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</si>
  <si>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</si>
  <si>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</si>
  <si>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</si>
  <si>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</si>
  <si>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</si>
  <si>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technical_lifetime</t>
  </si>
  <si>
    <t>wacc</t>
  </si>
  <si>
    <t>euro/FLH</t>
  </si>
  <si>
    <t>euro/year</t>
  </si>
  <si>
    <t>Heat output capacity</t>
  </si>
  <si>
    <t>Investment cost with ccs</t>
  </si>
  <si>
    <t>Fixed operational and maintenance costs per year</t>
  </si>
  <si>
    <t>Variable operational and maintenance costs</t>
  </si>
  <si>
    <t>Variable operational and maintenance costs for ccs</t>
  </si>
  <si>
    <t>hours_prep_nl</t>
  </si>
  <si>
    <t>hours_prod_nl</t>
  </si>
  <si>
    <t>hours_remov_nl</t>
  </si>
  <si>
    <t>hours_place_nl</t>
  </si>
  <si>
    <t>hours_maint_nl</t>
  </si>
  <si>
    <t>MW</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</si>
  <si>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</si>
  <si>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</si>
  <si>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</si>
  <si>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</si>
  <si>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</si>
  <si>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</si>
  <si>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</si>
  <si>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</si>
  <si>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</si>
  <si>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</si>
  <si>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</si>
  <si>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</si>
  <si>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</si>
  <si>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</si>
  <si>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</si>
  <si>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</si>
  <si>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Cost</t>
  </si>
  <si>
    <t xml:space="preserve">Technical </t>
  </si>
  <si>
    <t>Parameter</t>
  </si>
  <si>
    <t>Costs</t>
  </si>
  <si>
    <t>Comments</t>
  </si>
  <si>
    <t>Notes</t>
  </si>
  <si>
    <t>Technical</t>
  </si>
  <si>
    <t>Subject year</t>
  </si>
  <si>
    <t>ETM Library URL</t>
  </si>
  <si>
    <t>input.ambient_heat</t>
  </si>
  <si>
    <t>input.electricity</t>
  </si>
  <si>
    <t>full_load_hours</t>
  </si>
  <si>
    <t>simult_sd</t>
  </si>
  <si>
    <t>simult_se</t>
  </si>
  <si>
    <t>simult_wd</t>
  </si>
  <si>
    <t>simult_we</t>
  </si>
  <si>
    <t>http://techneco.nl/wp-content/uploads/2015/09/2015-Elga-Gelijkwaardigheidsverklaring.pdf</t>
  </si>
  <si>
    <t>http://techneco.nl/wp-content/uploads/2015/09/Brochure-Elga-2015-web.pdf</t>
  </si>
  <si>
    <t>COP</t>
  </si>
  <si>
    <t>input.network_gas</t>
  </si>
  <si>
    <t>investment costs</t>
  </si>
  <si>
    <t>installing costs</t>
  </si>
  <si>
    <t>Note: just for the HP</t>
  </si>
  <si>
    <t>total investment costs</t>
  </si>
  <si>
    <t>Note: just for the gas part of the hhp</t>
  </si>
  <si>
    <t>Techneco</t>
  </si>
  <si>
    <t>Date retrieved</t>
  </si>
  <si>
    <t>Investment costs</t>
  </si>
  <si>
    <t>NL</t>
  </si>
  <si>
    <t>nd</t>
  </si>
  <si>
    <t>03/12/2015</t>
  </si>
  <si>
    <t>http://www.rvdwal.nl/uploads/files/ELGA.pdf</t>
  </si>
  <si>
    <t>Cost_of_installing</t>
  </si>
  <si>
    <t>kW</t>
  </si>
  <si>
    <t>Note: for HP part</t>
  </si>
  <si>
    <t>Quintel definitions</t>
  </si>
  <si>
    <r>
      <t xml:space="preserve">0.801 </t>
    </r>
    <r>
      <rPr>
        <sz val="12"/>
        <color theme="1"/>
        <rFont val="Calibri"/>
        <family val="2"/>
        <scheme val="minor"/>
      </rPr>
      <t>according to</t>
    </r>
    <r>
      <rPr>
        <sz val="12"/>
        <color theme="1"/>
        <rFont val="Calibri"/>
        <family val="2"/>
        <scheme val="minor"/>
      </rPr>
      <t xml:space="preserve"> TNO</t>
    </r>
  </si>
  <si>
    <t>0.63 according to Techneco</t>
  </si>
  <si>
    <t>But the ETM has significantly lower Q</t>
  </si>
  <si>
    <t>From households_space_heater_heatpump_air_water_electricity</t>
  </si>
  <si>
    <t>NA</t>
  </si>
  <si>
    <t>from households_space_heater_combined_network_gas</t>
  </si>
  <si>
    <t>Calculated by ETM</t>
  </si>
  <si>
    <t>euro/yr</t>
  </si>
  <si>
    <t>for HP part</t>
  </si>
  <si>
    <t>for gas part</t>
  </si>
  <si>
    <t>total fixed operational costs</t>
  </si>
  <si>
    <t>for HHP</t>
  </si>
  <si>
    <t>fixed operational costs incl. taxes</t>
  </si>
  <si>
    <t>fixed operational costs excl taxes</t>
  </si>
  <si>
    <t>fixed operational costs excl. taxes</t>
  </si>
  <si>
    <r>
      <rPr>
        <sz val="12"/>
        <color theme="1"/>
        <rFont val="Calibri"/>
        <family val="2"/>
        <scheme val="minor"/>
      </rPr>
      <t>electricity</t>
    </r>
    <r>
      <rPr>
        <sz val="12"/>
        <color theme="1"/>
        <rFont val="Calibri"/>
        <family val="2"/>
        <scheme val="minor"/>
      </rPr>
      <t>_output_capacity</t>
    </r>
  </si>
  <si>
    <t>Currently only includes the HP part</t>
  </si>
  <si>
    <t>fixed_o&amp;m_costs</t>
  </si>
  <si>
    <t>ODE &amp; VEA</t>
  </si>
  <si>
    <t>BE</t>
  </si>
  <si>
    <t>Aug 2013</t>
  </si>
  <si>
    <t>08/12/2015</t>
  </si>
  <si>
    <t>http://www2.vlaanderen.be/economie/energiesparen/milieuvriendelijke/Publicaties/Warmte_uit_de_natuur_Waterpomp-aug2013.pdf</t>
  </si>
  <si>
    <t>http://refman.et-model.com/publications/2014</t>
  </si>
  <si>
    <t>http://refman.et-model.com/publications/2015</t>
  </si>
  <si>
    <t xml:space="preserve">heatpump part share is </t>
  </si>
  <si>
    <t>ODE</t>
  </si>
  <si>
    <r>
      <t>Dec</t>
    </r>
    <r>
      <rPr>
        <sz val="12"/>
        <color theme="1"/>
        <rFont val="Calibri"/>
        <family val="2"/>
        <scheme val="minor"/>
      </rPr>
      <t>o</t>
    </r>
    <r>
      <rPr>
        <sz val="12"/>
        <color theme="1"/>
        <rFont val="Calibri"/>
        <family val="2"/>
        <scheme val="minor"/>
      </rPr>
      <t xml:space="preserve">mmissioning cost </t>
    </r>
  </si>
  <si>
    <t>Techneco2</t>
  </si>
  <si>
    <t>2015</t>
  </si>
  <si>
    <t>http://refman.et-model.com/publications/2016</t>
  </si>
  <si>
    <t>TNO</t>
  </si>
  <si>
    <t>http://refman.et-model.com/publications/2017</t>
  </si>
  <si>
    <t>Based on HR-107 condensing boiler</t>
  </si>
  <si>
    <t>From households_space_heater_combined_network_gas</t>
  </si>
  <si>
    <t>Quintel working definition</t>
  </si>
  <si>
    <t>Quintel WD</t>
  </si>
  <si>
    <t>Lowest of the two components (heatpump_air_water_electricity and combined_network_gas)</t>
  </si>
  <si>
    <t>For now, we set the gas part share to be 0.2</t>
  </si>
  <si>
    <t>output of useable heat share from gas part</t>
  </si>
  <si>
    <t>To find the input share of network gas,</t>
  </si>
  <si>
    <t>we divide the output share by the efficiency</t>
  </si>
  <si>
    <r>
      <t>output.useable_heat</t>
    </r>
    <r>
      <rPr>
        <sz val="12"/>
        <color theme="1"/>
        <rFont val="Calibri"/>
        <family val="2"/>
        <scheme val="minor"/>
      </rPr>
      <t>.network_gas</t>
    </r>
  </si>
  <si>
    <t>output.useable_heat.ambient_heat</t>
  </si>
  <si>
    <t>output.useable_heat.electricity</t>
  </si>
  <si>
    <t>efficiency of gas part</t>
  </si>
  <si>
    <t>Efficiency of HP part</t>
  </si>
  <si>
    <t>storage.cost_per_mwh</t>
  </si>
  <si>
    <t>output.cooling</t>
  </si>
  <si>
    <t>fever.base_cop</t>
  </si>
  <si>
    <t>fever.capacity.electricity</t>
  </si>
  <si>
    <t>fever.cop_cutoff</t>
  </si>
  <si>
    <t>fever.cop_per_degree</t>
  </si>
  <si>
    <t>storage.volume</t>
  </si>
  <si>
    <t>MWh</t>
  </si>
  <si>
    <t>euro/MWh</t>
  </si>
  <si>
    <t>hour/year</t>
  </si>
  <si>
    <t>Ecofys</t>
  </si>
  <si>
    <t>ISSO 72 and Quintel calc</t>
  </si>
  <si>
    <t>DHPA</t>
  </si>
  <si>
    <t>quintel/etsource@0277ad226491f5aae44c874b298cbcf694d2f6cb</t>
  </si>
  <si>
    <t>page</t>
  </si>
  <si>
    <t>COP/degree C</t>
  </si>
  <si>
    <t>Note</t>
  </si>
  <si>
    <t>buffer time</t>
  </si>
  <si>
    <t>min</t>
  </si>
  <si>
    <t>201707_Tabel RV WW en koude met warmtepompen</t>
  </si>
  <si>
    <t>oC</t>
  </si>
  <si>
    <t>output capacity</t>
  </si>
  <si>
    <t>kW output</t>
  </si>
  <si>
    <t>specific capacity water</t>
  </si>
  <si>
    <t>kJ/oC/l</t>
  </si>
  <si>
    <t>temperature difference system</t>
  </si>
  <si>
    <t>Educated guess based on various sources</t>
  </si>
  <si>
    <t>volume of buffer</t>
  </si>
  <si>
    <t>liter</t>
  </si>
  <si>
    <t>conversion kJ to kWh</t>
  </si>
  <si>
    <t>kJ to kWh</t>
  </si>
  <si>
    <t>kWh</t>
  </si>
  <si>
    <t>Warmtepompforum</t>
  </si>
  <si>
    <t>https://refman.energytransitionmodel.com/search?utf8=%E2%9C%93&amp;q=systeemkosten&amp;commit=Search</t>
  </si>
  <si>
    <t>?</t>
  </si>
  <si>
    <t>https://warmtepomp-weetjes.nl/warmtepomp/buffervat/</t>
  </si>
  <si>
    <t>Phone conversation Peter Wagener notes:</t>
  </si>
  <si>
    <t>http://www.warmtepompforum.nl/Volumebuffervat.php</t>
  </si>
  <si>
    <t>output.useable_heat</t>
  </si>
  <si>
    <t>electricity_output_capacity</t>
  </si>
  <si>
    <t>peak_load_units_present</t>
  </si>
  <si>
    <t>various, see comments in Researh data tab</t>
  </si>
  <si>
    <t>kJ to MWh</t>
  </si>
  <si>
    <t>Buffering not required for Techneco Elga, it is self modulling</t>
  </si>
  <si>
    <t>Installand</t>
  </si>
  <si>
    <t>specific heat capacity of water</t>
  </si>
  <si>
    <t>delta T</t>
  </si>
  <si>
    <t>kJ/l</t>
  </si>
  <si>
    <t>kJ/MWh</t>
  </si>
  <si>
    <t>MWh/liter</t>
  </si>
  <si>
    <t>costs including VAT</t>
  </si>
  <si>
    <t>costs excluding VAT</t>
  </si>
  <si>
    <t>costs/liter</t>
  </si>
  <si>
    <t>euro/liter</t>
  </si>
  <si>
    <t>Nefit</t>
  </si>
  <si>
    <t>https://www.installand.nl/shop/verwarming/warmtepomp/nibe-buffervat-ukv-500-80302</t>
  </si>
  <si>
    <t>http://nl.documents2.nefit.nl/download/pdf/file/6720819095.pdf</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</si>
  <si>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</si>
  <si>
    <t>households_space_heater_hybrid_hydrogen_heatpump_air_water_electricity.converter</t>
  </si>
  <si>
    <t>Roos de Kok</t>
  </si>
  <si>
    <t>input.hydrogen</t>
  </si>
  <si>
    <t>output.useable_heat.hydrogen</t>
  </si>
  <si>
    <t>fever.capacity.hydrogen</t>
  </si>
  <si>
    <t>output.hydrogen</t>
  </si>
  <si>
    <t>CE Delft (CEGOIA)</t>
  </si>
  <si>
    <t>Parameters_CEGOIA</t>
  </si>
  <si>
    <t>They assume maintenance is 2% of the investment.</t>
  </si>
  <si>
    <t>Including cost of installing</t>
  </si>
  <si>
    <t>MJ/m3</t>
  </si>
  <si>
    <t>MJ/kg</t>
  </si>
  <si>
    <t>This cut-off COP is the cost-optimal threshold COP calculated based on these gas and electricity prices</t>
  </si>
  <si>
    <t>gas</t>
  </si>
  <si>
    <t>euro/m3</t>
  </si>
  <si>
    <t>euro/MJ warmte</t>
  </si>
  <si>
    <t>electricity</t>
  </si>
  <si>
    <t>euro/kWh</t>
  </si>
  <si>
    <t>voor COP1</t>
  </si>
  <si>
    <t>threshold COP</t>
  </si>
  <si>
    <t>Update Marlieke Verweij 20200401:</t>
  </si>
  <si>
    <r>
      <t xml:space="preserve">Output temperature is assumed to be </t>
    </r>
    <r>
      <rPr>
        <b/>
        <sz val="12"/>
        <color theme="1"/>
        <rFont val="Calibri"/>
        <family val="2"/>
        <scheme val="minor"/>
      </rPr>
      <t xml:space="preserve">45 degrees </t>
    </r>
    <r>
      <rPr>
        <sz val="12"/>
        <color theme="1"/>
        <rFont val="Calibri"/>
        <family val="2"/>
        <scheme val="minor"/>
      </rPr>
      <t xml:space="preserve">and the COP curve is based on the Ecofys COP curves for 35 and 50 degrees Celsius. </t>
    </r>
  </si>
  <si>
    <t>output temperatuur (graden Celsius)</t>
  </si>
  <si>
    <t>base_cop</t>
  </si>
  <si>
    <t xml:space="preserve">cop_per_degree </t>
  </si>
  <si>
    <t>source</t>
  </si>
  <si>
    <t>linear fit Ecofys curve</t>
  </si>
  <si>
    <t>The input share in the node for the start year should be adjusted soon, will be done together with dataset update!</t>
  </si>
  <si>
    <r>
      <t>With this output temperature and the cost-optimal threshold COP of 2.6, the HHP electricity share (heat output) for houses with energylabel B is 64</t>
    </r>
    <r>
      <rPr>
        <b/>
        <sz val="12"/>
        <color theme="1"/>
        <rFont val="Calibri"/>
        <family val="2"/>
        <scheme val="minor"/>
      </rPr>
      <t>%.</t>
    </r>
  </si>
  <si>
    <t>This is the value that is used for gas</t>
  </si>
  <si>
    <t>These values don't match with the shares on ETSource. They should match the new COP curve and will be updated if all datasets will be updated!</t>
  </si>
  <si>
    <t>Cegoia</t>
  </si>
  <si>
    <t>fever.capacity.network_gas</t>
  </si>
  <si>
    <t>Phone conversation</t>
  </si>
  <si>
    <t>See file on Dropbox</t>
  </si>
  <si>
    <t>Ref temperature for output capacity</t>
  </si>
  <si>
    <t xml:space="preserve">HHP's don’t need a buffer for storage as the compressor regulates itself. </t>
  </si>
  <si>
    <t>fever.capacity_electricity</t>
  </si>
  <si>
    <t>https://energy.nl/data/hydrogen-h%e2%82%82-boiler-services-sector/</t>
  </si>
  <si>
    <t>Technology Factsheet Hydrogen (H₂) boiler services sector</t>
  </si>
  <si>
    <t>PJ</t>
  </si>
  <si>
    <t>hydrogen input</t>
  </si>
  <si>
    <t>heat output</t>
  </si>
  <si>
    <t>TNO1</t>
  </si>
  <si>
    <t>TNO2</t>
  </si>
  <si>
    <t>Note by Koen van Bemmelen on 25/03/2024</t>
  </si>
  <si>
    <t>The analysis below calculates what share of natural gas HHV a combined network gas heater actually converts to useable heat, and then uses this efficiency to calculate how much useable heat it would convert out of the HHV of hydrogen. It then recalculates the LHV efficiency using this figure.</t>
  </si>
  <si>
    <t>LHV natural gas</t>
  </si>
  <si>
    <t>HHV natural gas</t>
  </si>
  <si>
    <t>HHV hydrogen</t>
  </si>
  <si>
    <t>LHV hydrogen</t>
  </si>
  <si>
    <t>Quintel assumption</t>
  </si>
  <si>
    <t>See  https://docs.energytransitionmodel.com/main/cost-wacc/#households-real-wacc-2</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</si>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</sst>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quot;€&quot;\ * #,##0.00_-;_-&quot;€&quot;\ * #,##0.00\-;_-&quot;€&quot;\ * &quot;-&quot;??_-;_-@_-"/>
    <numFmt numFmtId="165" formatCode="0.0"/>
    <numFmt numFmtId="166" formatCode="0.0000"/>
    <numFmt numFmtId="167" formatCode="0.00000"/>
    <numFmt numFmtId="168" formatCode="0.000"/>
  </numFmts>
  <fonts count="46">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b/>
      <sz val="14"/>
      <color theme="1"/>
      <name val="Calibri"/>
      <family val="2"/>
      <scheme val="minor"/>
    </font>
    <font>
      <sz val="12"/>
      <name val="Calibri"/>
      <family val="2"/>
      <scheme val="minor"/>
    </font>
    <font>
      <b/>
      <sz val="12"/>
      <name val="Calibri"/>
      <family val="2"/>
      <scheme val="minor"/>
    </font>
    <font>
      <sz val="12"/>
      <color rgb="FF000000"/>
      <name val="Calibri"/>
      <family val="2"/>
    </font>
    <font>
      <i/>
      <sz val="12"/>
      <color theme="1"/>
      <name val="Calibri"/>
      <family val="2"/>
      <scheme val="minor"/>
    </font>
    <font>
      <sz val="12"/>
      <name val="Calibri"/>
      <family val="2"/>
    </font>
    <font>
      <sz val="12"/>
      <color rgb="FFFF0000"/>
      <name val="Calibri"/>
      <family val="2"/>
      <scheme val="minor"/>
    </font>
    <font>
      <b/>
      <sz val="12"/>
      <color theme="1"/>
      <name val="Lettertype hoofdtekst"/>
    </font>
    <font>
      <b/>
      <sz val="12"/>
      <color rgb="FFFF0000"/>
      <name val="Calibri"/>
      <family val="2"/>
      <scheme val="minor"/>
    </font>
    <font>
      <sz val="12"/>
      <name val="Calibri"/>
      <family val="2"/>
      <scheme val="minor"/>
    </font>
    <font>
      <sz val="12"/>
      <color theme="1"/>
      <name val="Calibri"/>
      <family val="2"/>
    </font>
    <font>
      <b/>
      <i/>
      <sz val="12"/>
      <color theme="1"/>
      <name val="Calibri"/>
      <family val="2"/>
      <scheme val="minor"/>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s>
  <borders count="21">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thin">
        <color indexed="64"/>
      </left>
      <right style="thin">
        <color indexed="64"/>
      </right>
      <top style="thin">
        <color indexed="64"/>
      </top>
      <bottom style="thin">
        <color indexed="64"/>
      </bottom>
      <diagonal/>
    </border>
  </borders>
  <cellStyleXfs count="379">
    <xf numFmtId="0" fontId="0" fillId="0" borderId="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alignment vertical="top"/>
      <protection locked="0"/>
    </xf>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cellStyleXfs>
  <cellXfs count="264">
    <xf numFmtId="0" fontId="0" fillId="0" borderId="0" xfId="0"/>
    <xf numFmtId="0" fontId="30" fillId="3" borderId="7" xfId="0" applyFont="1" applyFill="1" applyBorder="1"/>
    <xf numFmtId="0" fontId="31" fillId="3" borderId="17" xfId="0" applyFont="1" applyFill="1" applyBorder="1"/>
    <xf numFmtId="0" fontId="30" fillId="3" borderId="13" xfId="0" applyFont="1" applyFill="1" applyBorder="1"/>
    <xf numFmtId="0" fontId="32" fillId="3" borderId="7" xfId="0" applyFont="1" applyFill="1" applyBorder="1" applyAlignment="1">
      <alignment vertical="center"/>
    </xf>
    <xf numFmtId="2" fontId="30" fillId="3" borderId="8" xfId="0" applyNumberFormat="1" applyFont="1" applyFill="1" applyBorder="1" applyAlignment="1">
      <alignment horizontal="left"/>
    </xf>
    <xf numFmtId="0" fontId="32" fillId="3" borderId="1" xfId="0" applyFont="1" applyFill="1" applyBorder="1" applyAlignment="1">
      <alignment vertical="center"/>
    </xf>
    <xf numFmtId="0" fontId="30" fillId="3" borderId="14" xfId="0" applyFont="1" applyFill="1" applyBorder="1"/>
    <xf numFmtId="0" fontId="30" fillId="3" borderId="0" xfId="0" applyFont="1" applyFill="1"/>
    <xf numFmtId="1" fontId="29" fillId="2" borderId="0" xfId="0" applyNumberFormat="1" applyFont="1" applyFill="1" applyAlignment="1">
      <alignment vertical="center"/>
    </xf>
    <xf numFmtId="2" fontId="29" fillId="2" borderId="0" xfId="0" applyNumberFormat="1" applyFont="1" applyFill="1" applyAlignment="1">
      <alignment horizontal="right" vertical="center"/>
    </xf>
    <xf numFmtId="0" fontId="29" fillId="0" borderId="0" xfId="0" applyFont="1" applyAlignment="1">
      <alignment horizontal="left" vertical="center"/>
    </xf>
    <xf numFmtId="0" fontId="29" fillId="2" borderId="0" xfId="0" applyFont="1" applyFill="1"/>
    <xf numFmtId="0" fontId="29" fillId="2" borderId="9" xfId="0" applyFont="1" applyFill="1" applyBorder="1"/>
    <xf numFmtId="0" fontId="29" fillId="2" borderId="4" xfId="0" applyFont="1" applyFill="1" applyBorder="1"/>
    <xf numFmtId="0" fontId="26" fillId="2" borderId="0" xfId="0" applyFont="1" applyFill="1"/>
    <xf numFmtId="0" fontId="30" fillId="0" borderId="0" xfId="0" applyFont="1"/>
    <xf numFmtId="0" fontId="29" fillId="2" borderId="6" xfId="0" applyFont="1" applyFill="1" applyBorder="1"/>
    <xf numFmtId="0" fontId="30" fillId="3" borderId="17" xfId="0" applyFont="1" applyFill="1" applyBorder="1"/>
    <xf numFmtId="0" fontId="30" fillId="3" borderId="2" xfId="0" applyFont="1" applyFill="1" applyBorder="1"/>
    <xf numFmtId="0" fontId="26" fillId="2" borderId="2" xfId="0" applyFont="1" applyFill="1" applyBorder="1"/>
    <xf numFmtId="0" fontId="33" fillId="3" borderId="0" xfId="0" applyFont="1" applyFill="1"/>
    <xf numFmtId="0" fontId="26" fillId="2" borderId="7" xfId="0" applyFont="1" applyFill="1" applyBorder="1"/>
    <xf numFmtId="0" fontId="29" fillId="0" borderId="0" xfId="0" applyFont="1"/>
    <xf numFmtId="0" fontId="31" fillId="3" borderId="0" xfId="0" applyFont="1" applyFill="1"/>
    <xf numFmtId="0" fontId="29" fillId="2" borderId="0" xfId="0" applyFont="1" applyFill="1" applyAlignment="1">
      <alignment horizontal="left" vertical="center"/>
    </xf>
    <xf numFmtId="0" fontId="25" fillId="2" borderId="0" xfId="0" applyFont="1" applyFill="1"/>
    <xf numFmtId="0" fontId="25" fillId="0" borderId="0" xfId="0" applyFont="1"/>
    <xf numFmtId="0" fontId="25" fillId="2" borderId="3" xfId="0" applyFont="1" applyFill="1" applyBorder="1"/>
    <xf numFmtId="0" fontId="25" fillId="2" borderId="15" xfId="0" applyFont="1" applyFill="1" applyBorder="1"/>
    <xf numFmtId="0" fontId="25" fillId="2" borderId="6" xfId="0" applyFont="1" applyFill="1" applyBorder="1"/>
    <xf numFmtId="0" fontId="25" fillId="2" borderId="10" xfId="0" applyFont="1" applyFill="1" applyBorder="1"/>
    <xf numFmtId="0" fontId="25" fillId="2" borderId="11" xfId="0" applyFont="1" applyFill="1" applyBorder="1"/>
    <xf numFmtId="0" fontId="25" fillId="2" borderId="12" xfId="0" applyFont="1" applyFill="1" applyBorder="1"/>
    <xf numFmtId="0" fontId="34" fillId="2" borderId="0" xfId="0" applyFont="1" applyFill="1"/>
    <xf numFmtId="0" fontId="34" fillId="2" borderId="5" xfId="0" applyFont="1" applyFill="1" applyBorder="1"/>
    <xf numFmtId="0" fontId="35" fillId="2" borderId="0" xfId="0" applyFont="1" applyFill="1"/>
    <xf numFmtId="49" fontId="35" fillId="2" borderId="0" xfId="0" applyNumberFormat="1" applyFont="1" applyFill="1"/>
    <xf numFmtId="0" fontId="35" fillId="2" borderId="3" xfId="0" applyFont="1" applyFill="1" applyBorder="1"/>
    <xf numFmtId="0" fontId="35" fillId="2" borderId="4" xfId="0" applyFont="1" applyFill="1" applyBorder="1"/>
    <xf numFmtId="49" fontId="35" fillId="2" borderId="4" xfId="0" applyNumberFormat="1" applyFont="1" applyFill="1" applyBorder="1"/>
    <xf numFmtId="0" fontId="35" fillId="2" borderId="6" xfId="0" applyFont="1" applyFill="1" applyBorder="1"/>
    <xf numFmtId="0" fontId="36" fillId="2" borderId="0" xfId="0" applyFont="1" applyFill="1"/>
    <xf numFmtId="49" fontId="36" fillId="2" borderId="0" xfId="0" applyNumberFormat="1" applyFont="1" applyFill="1"/>
    <xf numFmtId="0" fontId="35" fillId="2" borderId="16" xfId="0" applyFont="1" applyFill="1" applyBorder="1"/>
    <xf numFmtId="0" fontId="36" fillId="2" borderId="9" xfId="0" applyFont="1" applyFill="1" applyBorder="1"/>
    <xf numFmtId="49" fontId="36" fillId="2" borderId="9" xfId="0" applyNumberFormat="1" applyFont="1" applyFill="1" applyBorder="1"/>
    <xf numFmtId="2" fontId="29" fillId="2" borderId="9" xfId="0" applyNumberFormat="1" applyFont="1" applyFill="1" applyBorder="1" applyAlignment="1">
      <alignment vertical="center"/>
    </xf>
    <xf numFmtId="2" fontId="29" fillId="2" borderId="9" xfId="0" applyNumberFormat="1" applyFont="1" applyFill="1" applyBorder="1" applyAlignment="1">
      <alignment horizontal="left" vertical="center"/>
    </xf>
    <xf numFmtId="0" fontId="24" fillId="2" borderId="0" xfId="0" applyFont="1" applyFill="1"/>
    <xf numFmtId="2" fontId="24" fillId="2" borderId="0" xfId="0" applyNumberFormat="1" applyFont="1" applyFill="1"/>
    <xf numFmtId="0" fontId="24" fillId="2" borderId="3" xfId="0" applyFont="1" applyFill="1" applyBorder="1"/>
    <xf numFmtId="0" fontId="24" fillId="2" borderId="4" xfId="0" applyFont="1" applyFill="1" applyBorder="1"/>
    <xf numFmtId="2" fontId="24" fillId="2" borderId="4" xfId="0" applyNumberFormat="1" applyFont="1" applyFill="1" applyBorder="1"/>
    <xf numFmtId="0" fontId="24" fillId="2" borderId="6" xfId="0" applyFont="1" applyFill="1" applyBorder="1"/>
    <xf numFmtId="0" fontId="24" fillId="2" borderId="0" xfId="0" applyFont="1" applyFill="1" applyAlignment="1">
      <alignment horizontal="left" vertical="center"/>
    </xf>
    <xf numFmtId="1" fontId="24" fillId="2" borderId="0" xfId="0" applyNumberFormat="1" applyFont="1" applyFill="1" applyAlignment="1">
      <alignment vertical="center"/>
    </xf>
    <xf numFmtId="10" fontId="24" fillId="2" borderId="0" xfId="0" applyNumberFormat="1" applyFont="1" applyFill="1" applyAlignment="1">
      <alignment horizontal="left" vertical="center" indent="2"/>
    </xf>
    <xf numFmtId="0" fontId="29" fillId="2" borderId="17" xfId="0" applyFont="1" applyFill="1" applyBorder="1"/>
    <xf numFmtId="0" fontId="23" fillId="2" borderId="2" xfId="0" applyFont="1" applyFill="1" applyBorder="1"/>
    <xf numFmtId="0" fontId="29" fillId="2" borderId="7" xfId="0" applyFont="1" applyFill="1" applyBorder="1"/>
    <xf numFmtId="0" fontId="23" fillId="2" borderId="0" xfId="0" applyFont="1" applyFill="1"/>
    <xf numFmtId="0" fontId="38" fillId="2" borderId="0" xfId="0" applyFont="1" applyFill="1"/>
    <xf numFmtId="0" fontId="23" fillId="2" borderId="18" xfId="0" applyFont="1" applyFill="1" applyBorder="1"/>
    <xf numFmtId="0" fontId="23" fillId="5" borderId="0" xfId="0" applyFont="1" applyFill="1"/>
    <xf numFmtId="0" fontId="23" fillId="6" borderId="0" xfId="0" applyFont="1" applyFill="1"/>
    <xf numFmtId="0" fontId="23" fillId="7" borderId="0" xfId="0" applyFont="1" applyFill="1"/>
    <xf numFmtId="0" fontId="23" fillId="8" borderId="0" xfId="0" applyFont="1" applyFill="1"/>
    <xf numFmtId="0" fontId="23" fillId="2" borderId="7" xfId="0" applyFont="1" applyFill="1" applyBorder="1"/>
    <xf numFmtId="0" fontId="23" fillId="9" borderId="0" xfId="0" applyFont="1" applyFill="1"/>
    <xf numFmtId="0" fontId="23" fillId="10" borderId="0" xfId="0" applyFont="1" applyFill="1"/>
    <xf numFmtId="0" fontId="23" fillId="11" borderId="0" xfId="0" applyFont="1" applyFill="1"/>
    <xf numFmtId="0" fontId="23" fillId="12" borderId="0" xfId="0" applyFont="1" applyFill="1"/>
    <xf numFmtId="0" fontId="29" fillId="2" borderId="16" xfId="0" applyFont="1" applyFill="1" applyBorder="1"/>
    <xf numFmtId="0" fontId="31" fillId="2" borderId="9" xfId="0" applyFont="1" applyFill="1" applyBorder="1"/>
    <xf numFmtId="0" fontId="30" fillId="2" borderId="0" xfId="0" applyFont="1" applyFill="1"/>
    <xf numFmtId="2" fontId="25" fillId="2" borderId="0" xfId="0" applyNumberFormat="1" applyFont="1" applyFill="1"/>
    <xf numFmtId="165" fontId="25" fillId="2" borderId="0" xfId="0" applyNumberFormat="1" applyFont="1" applyFill="1"/>
    <xf numFmtId="0" fontId="34" fillId="2" borderId="19" xfId="0" applyFont="1" applyFill="1" applyBorder="1"/>
    <xf numFmtId="0" fontId="25" fillId="2" borderId="5" xfId="0" applyFont="1" applyFill="1" applyBorder="1"/>
    <xf numFmtId="164" fontId="29" fillId="2" borderId="0" xfId="0" applyNumberFormat="1" applyFont="1" applyFill="1" applyAlignment="1">
      <alignment horizontal="left" vertical="center"/>
    </xf>
    <xf numFmtId="2" fontId="29" fillId="2" borderId="0" xfId="0" applyNumberFormat="1" applyFont="1" applyFill="1" applyAlignment="1">
      <alignment horizontal="left" vertical="center"/>
    </xf>
    <xf numFmtId="0" fontId="29" fillId="2" borderId="9" xfId="0" applyFont="1" applyFill="1" applyBorder="1" applyAlignment="1">
      <alignment vertical="center"/>
    </xf>
    <xf numFmtId="0" fontId="22" fillId="2" borderId="0" xfId="0" applyFont="1" applyFill="1"/>
    <xf numFmtId="0" fontId="29" fillId="2" borderId="3" xfId="0" applyFont="1" applyFill="1" applyBorder="1"/>
    <xf numFmtId="0" fontId="29" fillId="2" borderId="15" xfId="0" applyFont="1" applyFill="1" applyBorder="1"/>
    <xf numFmtId="0" fontId="29" fillId="2" borderId="19" xfId="0" applyFont="1" applyFill="1" applyBorder="1"/>
    <xf numFmtId="0" fontId="22" fillId="2" borderId="6" xfId="0" applyFont="1" applyFill="1" applyBorder="1"/>
    <xf numFmtId="0" fontId="22" fillId="2" borderId="5" xfId="0" applyFont="1" applyFill="1" applyBorder="1"/>
    <xf numFmtId="0" fontId="21" fillId="2" borderId="0" xfId="0" applyFont="1" applyFill="1"/>
    <xf numFmtId="0" fontId="20" fillId="2" borderId="0" xfId="0" applyFont="1" applyFill="1"/>
    <xf numFmtId="0" fontId="19" fillId="0" borderId="0" xfId="0" applyFont="1"/>
    <xf numFmtId="2" fontId="19" fillId="2" borderId="18" xfId="0" applyNumberFormat="1" applyFont="1" applyFill="1" applyBorder="1"/>
    <xf numFmtId="0" fontId="19" fillId="2" borderId="0" xfId="0" applyFont="1" applyFill="1"/>
    <xf numFmtId="0" fontId="19" fillId="2" borderId="5" xfId="0" applyFont="1" applyFill="1" applyBorder="1"/>
    <xf numFmtId="0" fontId="37" fillId="4" borderId="0" xfId="0" applyFont="1" applyFill="1"/>
    <xf numFmtId="0" fontId="37" fillId="4" borderId="6" xfId="0" applyFont="1" applyFill="1" applyBorder="1"/>
    <xf numFmtId="0" fontId="18" fillId="2" borderId="0" xfId="0" applyFont="1" applyFill="1"/>
    <xf numFmtId="0" fontId="17" fillId="2" borderId="0" xfId="0" applyFont="1" applyFill="1"/>
    <xf numFmtId="0" fontId="17" fillId="2" borderId="6" xfId="0" applyFont="1" applyFill="1" applyBorder="1"/>
    <xf numFmtId="166" fontId="19" fillId="2" borderId="18" xfId="0" applyNumberFormat="1" applyFont="1" applyFill="1" applyBorder="1"/>
    <xf numFmtId="0" fontId="17" fillId="2" borderId="18" xfId="0" applyFont="1" applyFill="1" applyBorder="1"/>
    <xf numFmtId="0" fontId="17" fillId="0" borderId="0" xfId="0" applyFont="1"/>
    <xf numFmtId="167" fontId="19" fillId="2" borderId="18" xfId="0" applyNumberFormat="1" applyFont="1" applyFill="1" applyBorder="1"/>
    <xf numFmtId="0" fontId="16" fillId="2" borderId="0" xfId="0" applyFont="1" applyFill="1"/>
    <xf numFmtId="0" fontId="15" fillId="2" borderId="0" xfId="0" applyFont="1" applyFill="1"/>
    <xf numFmtId="0" fontId="14" fillId="2" borderId="0" xfId="0" applyFont="1" applyFill="1"/>
    <xf numFmtId="167" fontId="19" fillId="0" borderId="0" xfId="0" applyNumberFormat="1" applyFont="1"/>
    <xf numFmtId="0" fontId="13" fillId="2" borderId="0" xfId="0" applyFont="1" applyFill="1"/>
    <xf numFmtId="165" fontId="22" fillId="2" borderId="0" xfId="0" applyNumberFormat="1" applyFont="1" applyFill="1"/>
    <xf numFmtId="0" fontId="12" fillId="2" borderId="0" xfId="0" applyFont="1" applyFill="1"/>
    <xf numFmtId="49" fontId="25" fillId="2" borderId="0" xfId="0" applyNumberFormat="1" applyFont="1" applyFill="1"/>
    <xf numFmtId="0" fontId="11" fillId="0" borderId="0" xfId="0" applyFont="1"/>
    <xf numFmtId="0" fontId="40" fillId="0" borderId="0" xfId="0" applyFont="1"/>
    <xf numFmtId="0" fontId="11" fillId="2" borderId="0" xfId="0" applyFont="1" applyFill="1"/>
    <xf numFmtId="0" fontId="11" fillId="2" borderId="6" xfId="0" applyFont="1" applyFill="1" applyBorder="1"/>
    <xf numFmtId="0" fontId="11" fillId="2" borderId="5" xfId="0" applyFont="1" applyFill="1" applyBorder="1"/>
    <xf numFmtId="167" fontId="11" fillId="2" borderId="18" xfId="0" applyNumberFormat="1" applyFont="1" applyFill="1" applyBorder="1"/>
    <xf numFmtId="0" fontId="0" fillId="2" borderId="0" xfId="0" applyFill="1"/>
    <xf numFmtId="2" fontId="29" fillId="2" borderId="0" xfId="0" applyNumberFormat="1" applyFont="1" applyFill="1"/>
    <xf numFmtId="49" fontId="41" fillId="0" borderId="0" xfId="0" applyNumberFormat="1" applyFont="1"/>
    <xf numFmtId="2" fontId="11" fillId="2" borderId="0" xfId="0" applyNumberFormat="1" applyFont="1" applyFill="1"/>
    <xf numFmtId="165" fontId="0" fillId="2" borderId="0" xfId="0" applyNumberFormat="1" applyFill="1"/>
    <xf numFmtId="165" fontId="19" fillId="2" borderId="18" xfId="0" applyNumberFormat="1" applyFont="1" applyFill="1" applyBorder="1"/>
    <xf numFmtId="49" fontId="25" fillId="2" borderId="6" xfId="0" applyNumberFormat="1" applyFont="1" applyFill="1" applyBorder="1"/>
    <xf numFmtId="49" fontId="11" fillId="0" borderId="0" xfId="0" applyNumberFormat="1" applyFont="1"/>
    <xf numFmtId="0" fontId="11" fillId="0" borderId="6" xfId="0" applyFont="1" applyBorder="1"/>
    <xf numFmtId="0" fontId="24" fillId="2" borderId="15" xfId="0" applyFont="1" applyFill="1" applyBorder="1"/>
    <xf numFmtId="0" fontId="29" fillId="2" borderId="19" xfId="0" applyFont="1" applyFill="1" applyBorder="1" applyAlignment="1">
      <alignment vertical="center"/>
    </xf>
    <xf numFmtId="0" fontId="35" fillId="0" borderId="5" xfId="177" applyFont="1" applyFill="1" applyBorder="1" applyAlignment="1" applyProtection="1"/>
    <xf numFmtId="0" fontId="24" fillId="2" borderId="5" xfId="0" applyFont="1" applyFill="1" applyBorder="1"/>
    <xf numFmtId="0" fontId="24" fillId="2" borderId="10" xfId="0" applyFont="1" applyFill="1" applyBorder="1"/>
    <xf numFmtId="0" fontId="24" fillId="2" borderId="11" xfId="0" applyFont="1" applyFill="1" applyBorder="1"/>
    <xf numFmtId="2" fontId="24" fillId="2" borderId="11" xfId="0" applyNumberFormat="1" applyFont="1" applyFill="1" applyBorder="1"/>
    <xf numFmtId="0" fontId="24" fillId="2" borderId="12" xfId="0" applyFont="1" applyFill="1" applyBorder="1"/>
    <xf numFmtId="167" fontId="24" fillId="0" borderId="18" xfId="0" applyNumberFormat="1" applyFont="1" applyBorder="1" applyAlignment="1">
      <alignment horizontal="right" vertical="center"/>
    </xf>
    <xf numFmtId="167" fontId="24" fillId="0" borderId="0" xfId="0" applyNumberFormat="1" applyFont="1" applyAlignment="1">
      <alignment horizontal="right" vertical="center"/>
    </xf>
    <xf numFmtId="2" fontId="24" fillId="0" borderId="0" xfId="0" applyNumberFormat="1" applyFont="1" applyAlignment="1">
      <alignment horizontal="right" vertical="center"/>
    </xf>
    <xf numFmtId="167" fontId="29" fillId="0" borderId="0" xfId="0" applyNumberFormat="1" applyFont="1" applyAlignment="1">
      <alignment horizontal="right" vertical="center"/>
    </xf>
    <xf numFmtId="2" fontId="29" fillId="0" borderId="0" xfId="0" applyNumberFormat="1" applyFont="1" applyAlignment="1">
      <alignment horizontal="right" vertical="center"/>
    </xf>
    <xf numFmtId="1" fontId="24" fillId="0" borderId="18" xfId="0" applyNumberFormat="1" applyFont="1" applyBorder="1" applyAlignment="1">
      <alignment horizontal="right" vertical="center"/>
    </xf>
    <xf numFmtId="167" fontId="13" fillId="0" borderId="18" xfId="0" applyNumberFormat="1" applyFont="1" applyBorder="1" applyAlignment="1">
      <alignment horizontal="right" vertical="center"/>
    </xf>
    <xf numFmtId="1" fontId="24" fillId="0" borderId="0" xfId="0" applyNumberFormat="1" applyFont="1" applyAlignment="1">
      <alignment horizontal="right" vertical="center"/>
    </xf>
    <xf numFmtId="168" fontId="24" fillId="0" borderId="18" xfId="0" applyNumberFormat="1" applyFont="1" applyBorder="1" applyAlignment="1">
      <alignment horizontal="right" vertical="center"/>
    </xf>
    <xf numFmtId="2" fontId="24" fillId="0" borderId="0" xfId="0" applyNumberFormat="1" applyFont="1"/>
    <xf numFmtId="2" fontId="24" fillId="0" borderId="18" xfId="0" applyNumberFormat="1" applyFont="1" applyBorder="1" applyAlignment="1">
      <alignment horizontal="right" vertical="center"/>
    </xf>
    <xf numFmtId="166" fontId="24" fillId="0" borderId="18" xfId="0" applyNumberFormat="1" applyFont="1" applyBorder="1" applyAlignment="1">
      <alignment horizontal="right" vertical="center"/>
    </xf>
    <xf numFmtId="168" fontId="24" fillId="0" borderId="0" xfId="0" applyNumberFormat="1" applyFont="1" applyAlignment="1">
      <alignment horizontal="right" vertical="center"/>
    </xf>
    <xf numFmtId="0" fontId="24" fillId="0" borderId="0" xfId="0" applyFont="1"/>
    <xf numFmtId="2" fontId="24" fillId="0" borderId="18" xfId="0" applyNumberFormat="1" applyFont="1" applyBorder="1"/>
    <xf numFmtId="166" fontId="24" fillId="0" borderId="0" xfId="0" applyNumberFormat="1" applyFont="1"/>
    <xf numFmtId="166" fontId="24" fillId="0" borderId="0" xfId="0" applyNumberFormat="1" applyFont="1" applyAlignment="1">
      <alignment horizontal="right" vertical="center"/>
    </xf>
    <xf numFmtId="2" fontId="22" fillId="0" borderId="18" xfId="0" applyNumberFormat="1" applyFont="1" applyBorder="1" applyAlignment="1">
      <alignment horizontal="right" vertical="center"/>
    </xf>
    <xf numFmtId="165" fontId="24" fillId="0" borderId="18" xfId="0" applyNumberFormat="1" applyFont="1" applyBorder="1" applyAlignment="1">
      <alignment horizontal="right" vertical="center"/>
    </xf>
    <xf numFmtId="165" fontId="24" fillId="0" borderId="18" xfId="0" applyNumberFormat="1" applyFont="1" applyBorder="1"/>
    <xf numFmtId="165" fontId="24" fillId="0" borderId="0" xfId="0" applyNumberFormat="1" applyFont="1"/>
    <xf numFmtId="0" fontId="39" fillId="0" borderId="5" xfId="0" applyFont="1" applyBorder="1"/>
    <xf numFmtId="165" fontId="24" fillId="0" borderId="0" xfId="0" applyNumberFormat="1" applyFont="1" applyAlignment="1">
      <alignment horizontal="right" vertical="center"/>
    </xf>
    <xf numFmtId="0" fontId="35" fillId="2" borderId="5" xfId="0" applyFont="1" applyFill="1" applyBorder="1"/>
    <xf numFmtId="0" fontId="35" fillId="2" borderId="0" xfId="0" applyFont="1" applyFill="1" applyAlignment="1">
      <alignment horizontal="left"/>
    </xf>
    <xf numFmtId="0" fontId="35" fillId="2" borderId="6" xfId="0" applyFont="1" applyFill="1" applyBorder="1" applyAlignment="1">
      <alignment horizontal="left"/>
    </xf>
    <xf numFmtId="49" fontId="35" fillId="2" borderId="0" xfId="0" applyNumberFormat="1" applyFont="1" applyFill="1" applyAlignment="1">
      <alignment horizontal="left"/>
    </xf>
    <xf numFmtId="0" fontId="35" fillId="2" borderId="5" xfId="0" applyFont="1" applyFill="1" applyBorder="1" applyAlignment="1">
      <alignment horizontal="left"/>
    </xf>
    <xf numFmtId="0" fontId="35" fillId="2" borderId="15" xfId="0" applyFont="1" applyFill="1" applyBorder="1"/>
    <xf numFmtId="0" fontId="36" fillId="2" borderId="19" xfId="0" applyFont="1" applyFill="1" applyBorder="1"/>
    <xf numFmtId="0" fontId="36" fillId="2" borderId="5" xfId="0" applyFont="1" applyFill="1" applyBorder="1"/>
    <xf numFmtId="0" fontId="35" fillId="2" borderId="10" xfId="0" applyFont="1" applyFill="1" applyBorder="1" applyAlignment="1">
      <alignment horizontal="left"/>
    </xf>
    <xf numFmtId="0" fontId="35" fillId="2" borderId="11" xfId="0" applyFont="1" applyFill="1" applyBorder="1" applyAlignment="1">
      <alignment horizontal="left"/>
    </xf>
    <xf numFmtId="49" fontId="35" fillId="2" borderId="11" xfId="0" applyNumberFormat="1" applyFont="1" applyFill="1" applyBorder="1" applyAlignment="1">
      <alignment horizontal="left"/>
    </xf>
    <xf numFmtId="0" fontId="35" fillId="2" borderId="12" xfId="0" applyFont="1" applyFill="1" applyBorder="1" applyAlignment="1">
      <alignment horizontal="left"/>
    </xf>
    <xf numFmtId="0" fontId="36" fillId="2" borderId="0" xfId="0" applyFont="1" applyFill="1" applyAlignment="1">
      <alignment horizontal="left"/>
    </xf>
    <xf numFmtId="0" fontId="35" fillId="0" borderId="0" xfId="0" applyFont="1" applyAlignment="1">
      <alignment horizontal="left" vertical="center"/>
    </xf>
    <xf numFmtId="0" fontId="35" fillId="0" borderId="0" xfId="0" applyFont="1" applyAlignment="1">
      <alignment vertical="top"/>
    </xf>
    <xf numFmtId="0" fontId="35" fillId="0" borderId="0" xfId="0" applyFont="1"/>
    <xf numFmtId="49" fontId="35" fillId="0" borderId="0" xfId="0" applyNumberFormat="1" applyFont="1"/>
    <xf numFmtId="0" fontId="35" fillId="0" borderId="0" xfId="0" applyFont="1" applyAlignment="1">
      <alignment horizontal="left" vertical="top"/>
    </xf>
    <xf numFmtId="0" fontId="35" fillId="0" borderId="0" xfId="0" applyFont="1" applyAlignment="1">
      <alignment horizontal="left" vertical="center" indent="2"/>
    </xf>
    <xf numFmtId="0" fontId="35" fillId="0" borderId="5" xfId="0" applyFont="1" applyBorder="1" applyAlignment="1">
      <alignment vertical="top"/>
    </xf>
    <xf numFmtId="0" fontId="35" fillId="0" borderId="0" xfId="0" applyFont="1" applyAlignment="1">
      <alignment vertical="top" wrapText="1"/>
    </xf>
    <xf numFmtId="165" fontId="35" fillId="0" borderId="0" xfId="0" applyNumberFormat="1" applyFont="1" applyAlignment="1">
      <alignment horizontal="left" vertical="center" indent="2"/>
    </xf>
    <xf numFmtId="49" fontId="35" fillId="0" borderId="0" xfId="0" applyNumberFormat="1" applyFont="1" applyAlignment="1">
      <alignment vertical="top" wrapText="1"/>
    </xf>
    <xf numFmtId="0" fontId="35" fillId="0" borderId="0" xfId="0" applyFont="1" applyAlignment="1">
      <alignment horizontal="left"/>
    </xf>
    <xf numFmtId="49" fontId="35" fillId="0" borderId="0" xfId="0" applyNumberFormat="1" applyFont="1" applyAlignment="1">
      <alignment horizontal="left"/>
    </xf>
    <xf numFmtId="17" fontId="35" fillId="0" borderId="0" xfId="0" applyNumberFormat="1" applyFont="1" applyAlignment="1">
      <alignment horizontal="left"/>
    </xf>
    <xf numFmtId="0" fontId="35" fillId="0" borderId="5" xfId="0" applyFont="1" applyBorder="1" applyAlignment="1">
      <alignment horizontal="left"/>
    </xf>
    <xf numFmtId="0" fontId="0" fillId="0" borderId="0" xfId="0" applyAlignment="1">
      <alignment horizontal="left"/>
    </xf>
    <xf numFmtId="2" fontId="35" fillId="0" borderId="0" xfId="0" applyNumberFormat="1" applyFont="1" applyAlignment="1">
      <alignment horizontal="left"/>
    </xf>
    <xf numFmtId="0" fontId="11" fillId="0" borderId="0" xfId="0" applyFont="1" applyAlignment="1">
      <alignment horizontal="left"/>
    </xf>
    <xf numFmtId="166" fontId="0" fillId="2" borderId="0" xfId="0" applyNumberFormat="1" applyFill="1"/>
    <xf numFmtId="1" fontId="0" fillId="2" borderId="0" xfId="0" applyNumberFormat="1" applyFill="1"/>
    <xf numFmtId="167" fontId="11" fillId="2" borderId="0" xfId="0" applyNumberFormat="1" applyFont="1" applyFill="1"/>
    <xf numFmtId="168" fontId="11" fillId="2" borderId="0" xfId="0" applyNumberFormat="1" applyFont="1" applyFill="1"/>
    <xf numFmtId="0" fontId="11" fillId="2" borderId="10" xfId="0" applyFont="1" applyFill="1" applyBorder="1"/>
    <xf numFmtId="0" fontId="11" fillId="2" borderId="11" xfId="0" applyFont="1" applyFill="1" applyBorder="1"/>
    <xf numFmtId="0" fontId="11" fillId="2" borderId="12" xfId="0" applyFont="1" applyFill="1" applyBorder="1"/>
    <xf numFmtId="0" fontId="10" fillId="0" borderId="0" xfId="0" applyFont="1"/>
    <xf numFmtId="49" fontId="10" fillId="0" borderId="0" xfId="0" applyNumberFormat="1" applyFont="1"/>
    <xf numFmtId="0" fontId="40" fillId="2" borderId="0" xfId="0" applyFont="1" applyFill="1"/>
    <xf numFmtId="0" fontId="40" fillId="2" borderId="6" xfId="0" applyFont="1" applyFill="1" applyBorder="1"/>
    <xf numFmtId="0" fontId="40" fillId="0" borderId="0" xfId="0" applyFont="1" applyAlignment="1">
      <alignment horizontal="left" vertical="center"/>
    </xf>
    <xf numFmtId="167" fontId="40" fillId="0" borderId="0" xfId="0" applyNumberFormat="1" applyFont="1" applyAlignment="1">
      <alignment horizontal="right" vertical="center"/>
    </xf>
    <xf numFmtId="2" fontId="42" fillId="0" borderId="0" xfId="0" applyNumberFormat="1" applyFont="1" applyAlignment="1">
      <alignment horizontal="right" vertical="center"/>
    </xf>
    <xf numFmtId="2" fontId="40" fillId="0" borderId="0" xfId="0" applyNumberFormat="1" applyFont="1" applyAlignment="1">
      <alignment horizontal="right" vertical="center"/>
    </xf>
    <xf numFmtId="0" fontId="40" fillId="0" borderId="5" xfId="177" applyFont="1" applyFill="1" applyBorder="1" applyAlignment="1" applyProtection="1"/>
    <xf numFmtId="1" fontId="40" fillId="0" borderId="0" xfId="0" applyNumberFormat="1" applyFont="1" applyAlignment="1">
      <alignment horizontal="right" vertical="center"/>
    </xf>
    <xf numFmtId="168" fontId="40" fillId="0" borderId="0" xfId="0" applyNumberFormat="1" applyFont="1" applyAlignment="1">
      <alignment horizontal="right" vertical="center"/>
    </xf>
    <xf numFmtId="0" fontId="43" fillId="0" borderId="0" xfId="0" applyFont="1" applyAlignment="1">
      <alignment horizontal="left"/>
    </xf>
    <xf numFmtId="0" fontId="43" fillId="0" borderId="5" xfId="0" applyFont="1" applyBorder="1" applyAlignment="1">
      <alignment horizontal="left"/>
    </xf>
    <xf numFmtId="2" fontId="22" fillId="0" borderId="0" xfId="0" applyNumberFormat="1" applyFont="1" applyAlignment="1">
      <alignment horizontal="right" vertical="center"/>
    </xf>
    <xf numFmtId="0" fontId="41" fillId="2" borderId="0" xfId="0" applyFont="1" applyFill="1"/>
    <xf numFmtId="49" fontId="41" fillId="2" borderId="0" xfId="0" applyNumberFormat="1" applyFont="1" applyFill="1"/>
    <xf numFmtId="0" fontId="10" fillId="2" borderId="0" xfId="0" applyFont="1" applyFill="1"/>
    <xf numFmtId="0" fontId="43" fillId="2" borderId="0" xfId="0" applyFont="1" applyFill="1"/>
    <xf numFmtId="0" fontId="9" fillId="2" borderId="0" xfId="0" applyFont="1" applyFill="1"/>
    <xf numFmtId="0" fontId="8" fillId="2" borderId="0" xfId="0" applyFont="1" applyFill="1"/>
    <xf numFmtId="0" fontId="8" fillId="2" borderId="6" xfId="0" applyFont="1" applyFill="1" applyBorder="1"/>
    <xf numFmtId="1" fontId="8" fillId="0" borderId="0" xfId="0" applyNumberFormat="1" applyFont="1" applyAlignment="1">
      <alignment horizontal="right" vertical="center"/>
    </xf>
    <xf numFmtId="168" fontId="8" fillId="0" borderId="18" xfId="0" applyNumberFormat="1" applyFont="1" applyBorder="1" applyAlignment="1">
      <alignment horizontal="right" vertical="center"/>
    </xf>
    <xf numFmtId="0" fontId="8" fillId="0" borderId="5" xfId="177" applyFont="1" applyFill="1" applyBorder="1" applyAlignment="1" applyProtection="1"/>
    <xf numFmtId="0" fontId="7" fillId="2" borderId="0" xfId="0" applyFont="1" applyFill="1"/>
    <xf numFmtId="0" fontId="7" fillId="2" borderId="6" xfId="0" applyFont="1" applyFill="1" applyBorder="1"/>
    <xf numFmtId="0" fontId="7" fillId="2" borderId="5" xfId="0" applyFont="1" applyFill="1" applyBorder="1"/>
    <xf numFmtId="166" fontId="7" fillId="2" borderId="0" xfId="0" applyNumberFormat="1" applyFont="1" applyFill="1" applyAlignment="1">
      <alignment horizontal="right" vertical="center"/>
    </xf>
    <xf numFmtId="0" fontId="7" fillId="2" borderId="20" xfId="0" applyFont="1" applyFill="1" applyBorder="1"/>
    <xf numFmtId="0" fontId="29" fillId="2" borderId="20" xfId="0" applyFont="1" applyFill="1" applyBorder="1"/>
    <xf numFmtId="49" fontId="29" fillId="2" borderId="0" xfId="0" applyNumberFormat="1" applyFont="1" applyFill="1"/>
    <xf numFmtId="49" fontId="7" fillId="2" borderId="0" xfId="0" applyNumberFormat="1" applyFont="1" applyFill="1"/>
    <xf numFmtId="166" fontId="7" fillId="2" borderId="0" xfId="0" applyNumberFormat="1" applyFont="1" applyFill="1"/>
    <xf numFmtId="167" fontId="6" fillId="0" borderId="18" xfId="0" applyNumberFormat="1" applyFont="1" applyBorder="1" applyAlignment="1">
      <alignment horizontal="right" vertical="center"/>
    </xf>
    <xf numFmtId="167" fontId="6" fillId="0" borderId="0" xfId="0" applyNumberFormat="1" applyFont="1" applyAlignment="1">
      <alignment horizontal="right" vertical="center"/>
    </xf>
    <xf numFmtId="1" fontId="6" fillId="0" borderId="0" xfId="0" applyNumberFormat="1" applyFont="1" applyAlignment="1">
      <alignment horizontal="right" vertical="center"/>
    </xf>
    <xf numFmtId="168" fontId="6" fillId="0" borderId="18" xfId="0" applyNumberFormat="1" applyFont="1" applyBorder="1" applyAlignment="1">
      <alignment horizontal="right" vertical="center"/>
    </xf>
    <xf numFmtId="0" fontId="6" fillId="0" borderId="0" xfId="0" applyFont="1"/>
    <xf numFmtId="0" fontId="5" fillId="2" borderId="0" xfId="0" applyFont="1" applyFill="1"/>
    <xf numFmtId="0" fontId="5" fillId="2" borderId="6" xfId="0" applyFont="1" applyFill="1" applyBorder="1"/>
    <xf numFmtId="0" fontId="5" fillId="2" borderId="5" xfId="0" applyFont="1" applyFill="1" applyBorder="1"/>
    <xf numFmtId="0" fontId="5" fillId="0" borderId="0" xfId="0" applyFont="1" applyAlignment="1">
      <alignment vertical="center"/>
    </xf>
    <xf numFmtId="168" fontId="5" fillId="0" borderId="0" xfId="0" applyNumberFormat="1" applyFont="1" applyAlignment="1">
      <alignment vertical="center"/>
    </xf>
    <xf numFmtId="2" fontId="5" fillId="2" borderId="0" xfId="0" applyNumberFormat="1" applyFont="1" applyFill="1"/>
    <xf numFmtId="0" fontId="5" fillId="0" borderId="0" xfId="0" applyFont="1"/>
    <xf numFmtId="167" fontId="5" fillId="0" borderId="18" xfId="0" applyNumberFormat="1" applyFont="1" applyBorder="1" applyAlignment="1">
      <alignment horizontal="right" vertical="center"/>
    </xf>
    <xf numFmtId="167" fontId="5" fillId="0" borderId="0" xfId="0" applyNumberFormat="1" applyFont="1" applyAlignment="1">
      <alignment horizontal="right" vertical="center"/>
    </xf>
    <xf numFmtId="1" fontId="5" fillId="0" borderId="18" xfId="0" applyNumberFormat="1" applyFont="1" applyBorder="1" applyAlignment="1">
      <alignment horizontal="right" vertical="center"/>
    </xf>
    <xf numFmtId="167" fontId="5" fillId="0" borderId="18" xfId="0" applyNumberFormat="1" applyFont="1" applyBorder="1"/>
    <xf numFmtId="1" fontId="5" fillId="0" borderId="0" xfId="0" applyNumberFormat="1" applyFont="1" applyAlignment="1">
      <alignment horizontal="right" vertical="center"/>
    </xf>
    <xf numFmtId="2" fontId="5" fillId="0" borderId="0" xfId="0" applyNumberFormat="1" applyFont="1"/>
    <xf numFmtId="168" fontId="5" fillId="0" borderId="18" xfId="0" applyNumberFormat="1" applyFont="1" applyBorder="1" applyAlignment="1">
      <alignment horizontal="right" vertical="center"/>
    </xf>
    <xf numFmtId="14" fontId="35" fillId="0" borderId="0" xfId="0" applyNumberFormat="1" applyFont="1" applyAlignment="1">
      <alignment horizontal="left"/>
    </xf>
    <xf numFmtId="0" fontId="27" fillId="0" borderId="5" xfId="177" applyBorder="1" applyAlignment="1" applyProtection="1">
      <alignment horizontal="left"/>
    </xf>
    <xf numFmtId="0" fontId="4" fillId="2" borderId="0" xfId="0" applyFont="1" applyFill="1"/>
    <xf numFmtId="0" fontId="45" fillId="2" borderId="0" xfId="0" applyFont="1" applyFill="1"/>
    <xf numFmtId="0" fontId="45" fillId="2" borderId="0" xfId="0" applyFont="1" applyFill="1" applyAlignment="1">
      <alignment wrapText="1"/>
    </xf>
    <xf numFmtId="0" fontId="3" fillId="2" borderId="0" xfId="0" applyFont="1" applyFill="1"/>
    <xf numFmtId="0" fontId="44" fillId="0" borderId="18" xfId="0" applyFont="1" applyBorder="1"/>
    <xf numFmtId="0" fontId="2" fillId="0" borderId="0" xfId="0" applyFont="1"/>
    <xf numFmtId="0" fontId="37" fillId="4" borderId="17" xfId="0" applyFont="1" applyFill="1" applyBorder="1" applyAlignment="1">
      <alignment horizontal="left" vertical="top" wrapText="1"/>
    </xf>
    <xf numFmtId="0" fontId="37" fillId="4" borderId="2" xfId="0" applyFont="1" applyFill="1" applyBorder="1" applyAlignment="1">
      <alignment horizontal="left" vertical="top" wrapText="1"/>
    </xf>
    <xf numFmtId="0" fontId="37" fillId="4" borderId="13" xfId="0" applyFont="1" applyFill="1" applyBorder="1" applyAlignment="1">
      <alignment horizontal="left" vertical="top" wrapText="1"/>
    </xf>
    <xf numFmtId="0" fontId="37" fillId="4" borderId="7" xfId="0" applyFont="1" applyFill="1" applyBorder="1" applyAlignment="1">
      <alignment horizontal="left" vertical="top" wrapText="1"/>
    </xf>
    <xf numFmtId="0" fontId="37" fillId="4" borderId="0" xfId="0" applyFont="1" applyFill="1" applyAlignment="1">
      <alignment horizontal="left" vertical="top" wrapText="1"/>
    </xf>
    <xf numFmtId="0" fontId="37" fillId="4" borderId="8" xfId="0" applyFont="1" applyFill="1" applyBorder="1" applyAlignment="1">
      <alignment horizontal="left" vertical="top" wrapText="1"/>
    </xf>
    <xf numFmtId="0" fontId="37" fillId="4" borderId="1" xfId="0" applyFont="1" applyFill="1" applyBorder="1" applyAlignment="1">
      <alignment horizontal="left" vertical="top" wrapText="1"/>
    </xf>
    <xf numFmtId="0" fontId="37" fillId="4" borderId="9" xfId="0" applyFont="1" applyFill="1" applyBorder="1" applyAlignment="1">
      <alignment horizontal="left" vertical="top" wrapText="1"/>
    </xf>
    <xf numFmtId="0" fontId="37" fillId="4" borderId="14" xfId="0" applyFont="1" applyFill="1" applyBorder="1" applyAlignment="1">
      <alignment horizontal="left" vertical="top" wrapText="1"/>
    </xf>
  </cellXfs>
  <cellStyles count="37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s>
</file>

<file path=xl/drawings/drawing1.xml><?xml version="1.0" encoding="utf-8"?>
<xdr:wsDr xmlns:xdr="http://schemas.openxmlformats.org/drawingml/2006/spreadsheetDrawing" xmlns:a="http://schemas.openxmlformats.org/drawingml/2006/main">
  <xdr:twoCellAnchor editAs="oneCell">
    <xdr:from>
      <xdr:col>9</xdr:col>
      <xdr:colOff>873125</xdr:colOff>
      <xdr:row>30</xdr:row>
      <xdr:rowOff>50800</xdr:rowOff>
    </xdr:from>
    <xdr:to>
      <xdr:col>19</xdr:col>
      <xdr:colOff>748564</xdr:colOff>
      <xdr:row>94</xdr:row>
      <xdr:rowOff>193964</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stretch>
          <a:fillRect/>
        </a:stretch>
      </xdr:blipFill>
      <xdr:spPr>
        <a:xfrm>
          <a:off x="13176250" y="6257925"/>
          <a:ext cx="13162814" cy="14243339"/>
        </a:xfrm>
        <a:prstGeom prst="rect">
          <a:avLst/>
        </a:prstGeom>
      </xdr:spPr>
    </xdr:pic>
    <xdr:clientData/>
  </xdr:twoCellAnchor>
  <xdr:twoCellAnchor editAs="oneCell">
    <xdr:from>
      <xdr:col>8</xdr:col>
      <xdr:colOff>1041400</xdr:colOff>
      <xdr:row>91</xdr:row>
      <xdr:rowOff>0</xdr:rowOff>
    </xdr:from>
    <xdr:to>
      <xdr:col>16</xdr:col>
      <xdr:colOff>1154</xdr:colOff>
      <xdr:row>160</xdr:row>
      <xdr:rowOff>143163</xdr:rowOff>
    </xdr:to>
    <xdr:pic>
      <xdr:nvPicPr>
        <xdr:cNvPr id="3" name="Picture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2"/>
        <a:stretch>
          <a:fillRect/>
        </a:stretch>
      </xdr:blipFill>
      <xdr:spPr>
        <a:xfrm>
          <a:off x="8572500" y="15836900"/>
          <a:ext cx="11850254" cy="13313063"/>
        </a:xfrm>
        <a:prstGeom prst="rect">
          <a:avLst/>
        </a:prstGeom>
      </xdr:spPr>
    </xdr:pic>
    <xdr:clientData/>
  </xdr:twoCellAnchor>
  <xdr:twoCellAnchor editAs="oneCell">
    <xdr:from>
      <xdr:col>9</xdr:col>
      <xdr:colOff>0</xdr:colOff>
      <xdr:row>166</xdr:row>
      <xdr:rowOff>152400</xdr:rowOff>
    </xdr:from>
    <xdr:to>
      <xdr:col>12</xdr:col>
      <xdr:colOff>749300</xdr:colOff>
      <xdr:row>182</xdr:row>
      <xdr:rowOff>25400</xdr:rowOff>
    </xdr:to>
    <xdr:pic>
      <xdr:nvPicPr>
        <xdr:cNvPr id="5" name="Picture 4">
          <a:extLst>
            <a:ext uri="{FF2B5EF4-FFF2-40B4-BE49-F238E27FC236}">
              <a16:creationId xmlns:a16="http://schemas.microsoft.com/office/drawing/2014/main" id="{00000000-0008-0000-0400-000005000000}"/>
            </a:ext>
          </a:extLst>
        </xdr:cNvPr>
        <xdr:cNvPicPr>
          <a:picLocks noChangeAspect="1"/>
        </xdr:cNvPicPr>
      </xdr:nvPicPr>
      <xdr:blipFill rotWithShape="1">
        <a:blip xmlns:r="http://schemas.openxmlformats.org/officeDocument/2006/relationships" r:embed="rId3" cstate="screen">
          <a:extLst>
            <a:ext uri="{28A0092B-C50C-407E-A947-70E740481C1C}">
              <a14:useLocalDpi xmlns:a14="http://schemas.microsoft.com/office/drawing/2010/main"/>
            </a:ext>
          </a:extLst>
        </a:blip>
        <a:srcRect/>
        <a:stretch/>
      </xdr:blipFill>
      <xdr:spPr>
        <a:xfrm>
          <a:off x="8610600" y="30302200"/>
          <a:ext cx="8293100" cy="2921000"/>
        </a:xfrm>
        <a:prstGeom prst="rect">
          <a:avLst/>
        </a:prstGeom>
      </xdr:spPr>
    </xdr:pic>
    <xdr:clientData/>
  </xdr:twoCellAnchor>
  <xdr:twoCellAnchor editAs="oneCell">
    <xdr:from>
      <xdr:col>8</xdr:col>
      <xdr:colOff>927100</xdr:colOff>
      <xdr:row>190</xdr:row>
      <xdr:rowOff>0</xdr:rowOff>
    </xdr:from>
    <xdr:to>
      <xdr:col>13</xdr:col>
      <xdr:colOff>0</xdr:colOff>
      <xdr:row>219</xdr:row>
      <xdr:rowOff>165100</xdr:rowOff>
    </xdr:to>
    <xdr:pic>
      <xdr:nvPicPr>
        <xdr:cNvPr id="7" name="Picture 6">
          <a:extLst>
            <a:ext uri="{FF2B5EF4-FFF2-40B4-BE49-F238E27FC236}">
              <a16:creationId xmlns:a16="http://schemas.microsoft.com/office/drawing/2014/main" id="{00000000-0008-0000-0400-000007000000}"/>
            </a:ext>
          </a:extLst>
        </xdr:cNvPr>
        <xdr:cNvPicPr>
          <a:picLocks noChangeAspect="1"/>
        </xdr:cNvPicPr>
      </xdr:nvPicPr>
      <xdr:blipFill>
        <a:blip xmlns:r="http://schemas.openxmlformats.org/officeDocument/2006/relationships" r:embed="rId4"/>
        <a:stretch>
          <a:fillRect/>
        </a:stretch>
      </xdr:blipFill>
      <xdr:spPr>
        <a:xfrm>
          <a:off x="8458200" y="34721800"/>
          <a:ext cx="8509000" cy="5689600"/>
        </a:xfrm>
        <a:prstGeom prst="rect">
          <a:avLst/>
        </a:prstGeom>
      </xdr:spPr>
    </xdr:pic>
    <xdr:clientData/>
  </xdr:twoCellAnchor>
  <xdr:oneCellAnchor>
    <xdr:from>
      <xdr:col>2</xdr:col>
      <xdr:colOff>673100</xdr:colOff>
      <xdr:row>7</xdr:row>
      <xdr:rowOff>139700</xdr:rowOff>
    </xdr:from>
    <xdr:ext cx="5448300" cy="1169551"/>
    <xdr:sp macro="" textlink="">
      <xdr:nvSpPr>
        <xdr:cNvPr id="8" name="TextBox 7">
          <a:extLst>
            <a:ext uri="{FF2B5EF4-FFF2-40B4-BE49-F238E27FC236}">
              <a16:creationId xmlns:a16="http://schemas.microsoft.com/office/drawing/2014/main" id="{00000000-0008-0000-0400-000008000000}"/>
            </a:ext>
          </a:extLst>
        </xdr:cNvPr>
        <xdr:cNvSpPr txBox="1"/>
      </xdr:nvSpPr>
      <xdr:spPr>
        <a:xfrm>
          <a:off x="1460500" y="1485900"/>
          <a:ext cx="5448300" cy="116955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t">
          <a:spAutoFit/>
        </a:bodyPr>
        <a:lstStyle/>
        <a:p>
          <a:pPr algn="l"/>
          <a:r>
            <a:rPr lang="en-US" sz="1400"/>
            <a:t>Note: since the hybrid heatpump (HHP) is modeled as one converter, but in fact has two subtechnologies, it is necessary to find attribute values for both technologies. These two subtechnologies are an air/water</a:t>
          </a:r>
          <a:r>
            <a:rPr lang="en-US" sz="1400" baseline="0"/>
            <a:t> HP and network gas condensing boiler. Henceforth the will be referred to as `HP part' and 'gas part', respectively.</a:t>
          </a:r>
        </a:p>
      </xdr:txBody>
    </xdr:sp>
    <xdr:clientData/>
  </xdr:oneCellAnchor>
  <xdr:twoCellAnchor editAs="oneCell">
    <xdr:from>
      <xdr:col>8</xdr:col>
      <xdr:colOff>886125</xdr:colOff>
      <xdr:row>281</xdr:row>
      <xdr:rowOff>19538</xdr:rowOff>
    </xdr:from>
    <xdr:to>
      <xdr:col>16</xdr:col>
      <xdr:colOff>260033</xdr:colOff>
      <xdr:row>290</xdr:row>
      <xdr:rowOff>105449</xdr:rowOff>
    </xdr:to>
    <xdr:pic>
      <xdr:nvPicPr>
        <xdr:cNvPr id="12" name="Picture 11">
          <a:extLst>
            <a:ext uri="{FF2B5EF4-FFF2-40B4-BE49-F238E27FC236}">
              <a16:creationId xmlns:a16="http://schemas.microsoft.com/office/drawing/2014/main" id="{00000000-0008-0000-0400-00000C000000}"/>
            </a:ext>
          </a:extLst>
        </xdr:cNvPr>
        <xdr:cNvPicPr>
          <a:picLocks noChangeAspect="1"/>
        </xdr:cNvPicPr>
      </xdr:nvPicPr>
      <xdr:blipFill>
        <a:blip xmlns:r="http://schemas.openxmlformats.org/officeDocument/2006/relationships" r:embed="rId5"/>
        <a:stretch>
          <a:fillRect/>
        </a:stretch>
      </xdr:blipFill>
      <xdr:spPr>
        <a:xfrm>
          <a:off x="13573425" y="4502638"/>
          <a:ext cx="10753108" cy="1914711"/>
        </a:xfrm>
        <a:prstGeom prst="rect">
          <a:avLst/>
        </a:prstGeom>
      </xdr:spPr>
    </xdr:pic>
    <xdr:clientData/>
  </xdr:twoCellAnchor>
  <xdr:twoCellAnchor editAs="oneCell">
    <xdr:from>
      <xdr:col>8</xdr:col>
      <xdr:colOff>937845</xdr:colOff>
      <xdr:row>291</xdr:row>
      <xdr:rowOff>97691</xdr:rowOff>
    </xdr:from>
    <xdr:to>
      <xdr:col>11</xdr:col>
      <xdr:colOff>795558</xdr:colOff>
      <xdr:row>304</xdr:row>
      <xdr:rowOff>172397</xdr:rowOff>
    </xdr:to>
    <xdr:pic>
      <xdr:nvPicPr>
        <xdr:cNvPr id="13" name="Picture 12">
          <a:extLst>
            <a:ext uri="{FF2B5EF4-FFF2-40B4-BE49-F238E27FC236}">
              <a16:creationId xmlns:a16="http://schemas.microsoft.com/office/drawing/2014/main" id="{00000000-0008-0000-0400-00000D000000}"/>
            </a:ext>
          </a:extLst>
        </xdr:cNvPr>
        <xdr:cNvPicPr>
          <a:picLocks noChangeAspect="1"/>
        </xdr:cNvPicPr>
      </xdr:nvPicPr>
      <xdr:blipFill>
        <a:blip xmlns:r="http://schemas.openxmlformats.org/officeDocument/2006/relationships" r:embed="rId6"/>
        <a:stretch>
          <a:fillRect/>
        </a:stretch>
      </xdr:blipFill>
      <xdr:spPr>
        <a:xfrm>
          <a:off x="13625145" y="6612791"/>
          <a:ext cx="6474413" cy="2716306"/>
        </a:xfrm>
        <a:prstGeom prst="rect">
          <a:avLst/>
        </a:prstGeom>
      </xdr:spPr>
    </xdr:pic>
    <xdr:clientData/>
  </xdr:twoCellAnchor>
  <xdr:twoCellAnchor editAs="oneCell">
    <xdr:from>
      <xdr:col>8</xdr:col>
      <xdr:colOff>887307</xdr:colOff>
      <xdr:row>306</xdr:row>
      <xdr:rowOff>64347</xdr:rowOff>
    </xdr:from>
    <xdr:to>
      <xdr:col>10</xdr:col>
      <xdr:colOff>551180</xdr:colOff>
      <xdr:row>320</xdr:row>
      <xdr:rowOff>1193</xdr:rowOff>
    </xdr:to>
    <xdr:pic>
      <xdr:nvPicPr>
        <xdr:cNvPr id="11" name="Picture 10">
          <a:extLst>
            <a:ext uri="{FF2B5EF4-FFF2-40B4-BE49-F238E27FC236}">
              <a16:creationId xmlns:a16="http://schemas.microsoft.com/office/drawing/2014/main" id="{00000000-0008-0000-0400-00000B000000}"/>
            </a:ext>
          </a:extLst>
        </xdr:cNvPr>
        <xdr:cNvPicPr>
          <a:picLocks noChangeAspect="1"/>
        </xdr:cNvPicPr>
      </xdr:nvPicPr>
      <xdr:blipFill>
        <a:blip xmlns:r="http://schemas.openxmlformats.org/officeDocument/2006/relationships" r:embed="rId7"/>
        <a:stretch>
          <a:fillRect/>
        </a:stretch>
      </xdr:blipFill>
      <xdr:spPr>
        <a:xfrm>
          <a:off x="13574607" y="6376247"/>
          <a:ext cx="5328073" cy="2781646"/>
        </a:xfrm>
        <a:prstGeom prst="rect">
          <a:avLst/>
        </a:prstGeom>
      </xdr:spPr>
    </xdr:pic>
    <xdr:clientData/>
  </xdr:twoCellAnchor>
  <xdr:twoCellAnchor editAs="oneCell">
    <xdr:from>
      <xdr:col>9</xdr:col>
      <xdr:colOff>0</xdr:colOff>
      <xdr:row>322</xdr:row>
      <xdr:rowOff>0</xdr:rowOff>
    </xdr:from>
    <xdr:to>
      <xdr:col>16</xdr:col>
      <xdr:colOff>165100</xdr:colOff>
      <xdr:row>327</xdr:row>
      <xdr:rowOff>101600</xdr:rowOff>
    </xdr:to>
    <xdr:pic>
      <xdr:nvPicPr>
        <xdr:cNvPr id="14" name="Picture 13">
          <a:extLst>
            <a:ext uri="{FF2B5EF4-FFF2-40B4-BE49-F238E27FC236}">
              <a16:creationId xmlns:a16="http://schemas.microsoft.com/office/drawing/2014/main" id="{00000000-0008-0000-0400-00000E000000}"/>
            </a:ext>
          </a:extLst>
        </xdr:cNvPr>
        <xdr:cNvPicPr>
          <a:picLocks noChangeAspect="1"/>
        </xdr:cNvPicPr>
      </xdr:nvPicPr>
      <xdr:blipFill>
        <a:blip xmlns:r="http://schemas.openxmlformats.org/officeDocument/2006/relationships" r:embed="rId8"/>
        <a:stretch>
          <a:fillRect/>
        </a:stretch>
      </xdr:blipFill>
      <xdr:spPr>
        <a:xfrm>
          <a:off x="13639800" y="9563100"/>
          <a:ext cx="10591800" cy="1117600"/>
        </a:xfrm>
        <a:prstGeom prst="rect">
          <a:avLst/>
        </a:prstGeom>
      </xdr:spPr>
    </xdr:pic>
    <xdr:clientData/>
  </xdr:twoCellAnchor>
  <xdr:twoCellAnchor editAs="oneCell">
    <xdr:from>
      <xdr:col>9</xdr:col>
      <xdr:colOff>111760</xdr:colOff>
      <xdr:row>327</xdr:row>
      <xdr:rowOff>162560</xdr:rowOff>
    </xdr:from>
    <xdr:to>
      <xdr:col>16</xdr:col>
      <xdr:colOff>607060</xdr:colOff>
      <xdr:row>329</xdr:row>
      <xdr:rowOff>162560</xdr:rowOff>
    </xdr:to>
    <xdr:pic>
      <xdr:nvPicPr>
        <xdr:cNvPr id="15" name="Picture 14">
          <a:extLst>
            <a:ext uri="{FF2B5EF4-FFF2-40B4-BE49-F238E27FC236}">
              <a16:creationId xmlns:a16="http://schemas.microsoft.com/office/drawing/2014/main" id="{00000000-0008-0000-0400-00000F000000}"/>
            </a:ext>
          </a:extLst>
        </xdr:cNvPr>
        <xdr:cNvPicPr>
          <a:picLocks noChangeAspect="1"/>
        </xdr:cNvPicPr>
      </xdr:nvPicPr>
      <xdr:blipFill>
        <a:blip xmlns:r="http://schemas.openxmlformats.org/officeDocument/2006/relationships" r:embed="rId9"/>
        <a:stretch>
          <a:fillRect/>
        </a:stretch>
      </xdr:blipFill>
      <xdr:spPr>
        <a:xfrm>
          <a:off x="13751560" y="10741660"/>
          <a:ext cx="10922000" cy="406400"/>
        </a:xfrm>
        <a:prstGeom prst="rect">
          <a:avLst/>
        </a:prstGeom>
      </xdr:spPr>
    </xdr:pic>
    <xdr:clientData/>
  </xdr:twoCellAnchor>
  <xdr:twoCellAnchor editAs="oneCell">
    <xdr:from>
      <xdr:col>12</xdr:col>
      <xdr:colOff>406641</xdr:colOff>
      <xdr:row>225</xdr:row>
      <xdr:rowOff>193674</xdr:rowOff>
    </xdr:from>
    <xdr:to>
      <xdr:col>19</xdr:col>
      <xdr:colOff>705580</xdr:colOff>
      <xdr:row>243</xdr:row>
      <xdr:rowOff>50799</xdr:rowOff>
    </xdr:to>
    <xdr:pic>
      <xdr:nvPicPr>
        <xdr:cNvPr id="16" name="Picture 15">
          <a:extLst>
            <a:ext uri="{FF2B5EF4-FFF2-40B4-BE49-F238E27FC236}">
              <a16:creationId xmlns:a16="http://schemas.microsoft.com/office/drawing/2014/main" id="{287DE484-21A4-9849-8B3D-64AB2660F971}"/>
            </a:ext>
          </a:extLst>
        </xdr:cNvPr>
        <xdr:cNvPicPr>
          <a:picLocks noChangeAspect="1"/>
        </xdr:cNvPicPr>
      </xdr:nvPicPr>
      <xdr:blipFill>
        <a:blip xmlns:r="http://schemas.openxmlformats.org/officeDocument/2006/relationships" r:embed="rId10"/>
        <a:stretch>
          <a:fillRect/>
        </a:stretch>
      </xdr:blipFill>
      <xdr:spPr>
        <a:xfrm>
          <a:off x="19329641" y="44992924"/>
          <a:ext cx="6966439" cy="3571875"/>
        </a:xfrm>
        <a:prstGeom prst="rect">
          <a:avLst/>
        </a:prstGeom>
      </xdr:spPr>
    </xdr:pic>
    <xdr:clientData/>
  </xdr:twoCellAnchor>
  <xdr:twoCellAnchor editAs="oneCell">
    <xdr:from>
      <xdr:col>9</xdr:col>
      <xdr:colOff>101600</xdr:colOff>
      <xdr:row>221</xdr:row>
      <xdr:rowOff>68592</xdr:rowOff>
    </xdr:from>
    <xdr:to>
      <xdr:col>11</xdr:col>
      <xdr:colOff>396640</xdr:colOff>
      <xdr:row>241</xdr:row>
      <xdr:rowOff>25400</xdr:rowOff>
    </xdr:to>
    <xdr:pic>
      <xdr:nvPicPr>
        <xdr:cNvPr id="17" name="Picture 16">
          <a:extLst>
            <a:ext uri="{FF2B5EF4-FFF2-40B4-BE49-F238E27FC236}">
              <a16:creationId xmlns:a16="http://schemas.microsoft.com/office/drawing/2014/main" id="{889C68E0-1288-EE4E-BFA7-A2511C4366B4}"/>
            </a:ext>
          </a:extLst>
        </xdr:cNvPr>
        <xdr:cNvPicPr>
          <a:picLocks noChangeAspect="1"/>
        </xdr:cNvPicPr>
      </xdr:nvPicPr>
      <xdr:blipFill>
        <a:blip xmlns:r="http://schemas.openxmlformats.org/officeDocument/2006/relationships" r:embed="rId11"/>
        <a:stretch>
          <a:fillRect/>
        </a:stretch>
      </xdr:blipFill>
      <xdr:spPr>
        <a:xfrm>
          <a:off x="11290300" y="43362892"/>
          <a:ext cx="5959240" cy="4020808"/>
        </a:xfrm>
        <a:prstGeom prst="rect">
          <a:avLst/>
        </a:prstGeom>
      </xdr:spPr>
    </xdr:pic>
    <xdr:clientData/>
  </xdr:twoCellAnchor>
  <xdr:twoCellAnchor editAs="oneCell">
    <xdr:from>
      <xdr:col>12</xdr:col>
      <xdr:colOff>825500</xdr:colOff>
      <xdr:row>244</xdr:row>
      <xdr:rowOff>0</xdr:rowOff>
    </xdr:from>
    <xdr:to>
      <xdr:col>19</xdr:col>
      <xdr:colOff>58928</xdr:colOff>
      <xdr:row>260</xdr:row>
      <xdr:rowOff>50800</xdr:rowOff>
    </xdr:to>
    <xdr:pic>
      <xdr:nvPicPr>
        <xdr:cNvPr id="19" name="Picture 18">
          <a:extLst>
            <a:ext uri="{FF2B5EF4-FFF2-40B4-BE49-F238E27FC236}">
              <a16:creationId xmlns:a16="http://schemas.microsoft.com/office/drawing/2014/main" id="{6A2A1801-F247-BE4A-83C1-55A26935DE59}"/>
            </a:ext>
          </a:extLst>
        </xdr:cNvPr>
        <xdr:cNvPicPr>
          <a:picLocks noChangeAspect="1"/>
        </xdr:cNvPicPr>
      </xdr:nvPicPr>
      <xdr:blipFill>
        <a:blip xmlns:r="http://schemas.openxmlformats.org/officeDocument/2006/relationships" r:embed="rId12"/>
        <a:stretch>
          <a:fillRect/>
        </a:stretch>
      </xdr:blipFill>
      <xdr:spPr>
        <a:xfrm>
          <a:off x="19748500" y="48720375"/>
          <a:ext cx="5900928" cy="3352800"/>
        </a:xfrm>
        <a:prstGeom prst="rect">
          <a:avLst/>
        </a:prstGeom>
      </xdr:spPr>
    </xdr:pic>
    <xdr:clientData/>
  </xdr:twoCellAnchor>
  <xdr:twoCellAnchor editAs="oneCell">
    <xdr:from>
      <xdr:col>9</xdr:col>
      <xdr:colOff>190500</xdr:colOff>
      <xdr:row>245</xdr:row>
      <xdr:rowOff>60325</xdr:rowOff>
    </xdr:from>
    <xdr:to>
      <xdr:col>11</xdr:col>
      <xdr:colOff>98425</xdr:colOff>
      <xdr:row>262</xdr:row>
      <xdr:rowOff>57150</xdr:rowOff>
    </xdr:to>
    <xdr:pic>
      <xdr:nvPicPr>
        <xdr:cNvPr id="20" name="Picture 19">
          <a:extLst>
            <a:ext uri="{FF2B5EF4-FFF2-40B4-BE49-F238E27FC236}">
              <a16:creationId xmlns:a16="http://schemas.microsoft.com/office/drawing/2014/main" id="{BDA24B0B-7FC4-6140-8C0A-5288B499D55C}"/>
            </a:ext>
          </a:extLst>
        </xdr:cNvPr>
        <xdr:cNvPicPr>
          <a:picLocks noChangeAspect="1"/>
        </xdr:cNvPicPr>
      </xdr:nvPicPr>
      <xdr:blipFill>
        <a:blip xmlns:r="http://schemas.openxmlformats.org/officeDocument/2006/relationships" r:embed="rId13"/>
        <a:stretch>
          <a:fillRect/>
        </a:stretch>
      </xdr:blipFill>
      <xdr:spPr>
        <a:xfrm>
          <a:off x="12493625" y="48987075"/>
          <a:ext cx="5575300" cy="3505200"/>
        </a:xfrm>
        <a:prstGeom prst="rect">
          <a:avLst/>
        </a:prstGeom>
      </xdr:spPr>
    </xdr:pic>
    <xdr:clientData/>
  </xdr:twoCellAnchor>
  <xdr:twoCellAnchor editAs="oneCell">
    <xdr:from>
      <xdr:col>9</xdr:col>
      <xdr:colOff>675947</xdr:colOff>
      <xdr:row>14</xdr:row>
      <xdr:rowOff>95250</xdr:rowOff>
    </xdr:from>
    <xdr:to>
      <xdr:col>23</xdr:col>
      <xdr:colOff>598044</xdr:colOff>
      <xdr:row>29</xdr:row>
      <xdr:rowOff>85082</xdr:rowOff>
    </xdr:to>
    <xdr:pic>
      <xdr:nvPicPr>
        <xdr:cNvPr id="18" name="Picture 17">
          <a:extLst>
            <a:ext uri="{FF2B5EF4-FFF2-40B4-BE49-F238E27FC236}">
              <a16:creationId xmlns:a16="http://schemas.microsoft.com/office/drawing/2014/main" id="{CBA06766-A637-3242-AA84-80470C5E650D}"/>
            </a:ext>
          </a:extLst>
        </xdr:cNvPr>
        <xdr:cNvPicPr>
          <a:picLocks noChangeAspect="1"/>
        </xdr:cNvPicPr>
      </xdr:nvPicPr>
      <xdr:blipFill>
        <a:blip xmlns:r="http://schemas.openxmlformats.org/officeDocument/2006/relationships" r:embed="rId14"/>
        <a:stretch>
          <a:fillRect/>
        </a:stretch>
      </xdr:blipFill>
      <xdr:spPr>
        <a:xfrm>
          <a:off x="12979072" y="3000375"/>
          <a:ext cx="17019472" cy="3085457"/>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Projects/etdataset/nodes_source_analyses/households/6_residences_analysi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marliekeverweij/Downloads/households_space_heater_hybrid_hydrogen_heatpump_air_water_electricity.converter_old.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
      <sheetName val="Dashboard"/>
      <sheetName val="Research data"/>
      <sheetName val="Sources"/>
      <sheetName val="Notes"/>
    </sheetNames>
    <sheetDataSet>
      <sheetData sheetId="0"/>
      <sheetData sheetId="1">
        <row r="22">
          <cell r="C22" t="str">
            <v>storage.volume</v>
          </cell>
        </row>
      </sheetData>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4.xml.rels><?xml version="1.0" encoding="UTF-8" standalone="yes"?>
<Relationships xmlns="http://schemas.openxmlformats.org/package/2006/relationships"><Relationship Id="rId2" Type="http://schemas.openxmlformats.org/officeDocument/2006/relationships/hyperlink" Target="https://energy.nl/data/hydrogen-h%e2%82%82-boiler-services-sector/" TargetMode="External"/><Relationship Id="rId1" Type="http://schemas.openxmlformats.org/officeDocument/2006/relationships/hyperlink" Target="https://www.installand.nl/shop/verwarming/warmtepomp/nibe-buffervat-ukv-500-80302"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C23"/>
  <sheetViews>
    <sheetView workbookViewId="0">
      <selection activeCell="C22" sqref="C22"/>
    </sheetView>
  </sheetViews>
  <sheetFormatPr baseColWidth="10" defaultColWidth="10.6640625" defaultRowHeight="16"/>
  <cols>
    <col min="1" max="1" width="3.5" style="22" customWidth="1"/>
    <col min="2" max="2" width="9.1640625" style="15" customWidth="1"/>
    <col min="3" max="3" width="52.6640625" style="15" customWidth="1"/>
    <col min="4" max="16384" width="10.6640625" style="15"/>
  </cols>
  <sheetData>
    <row r="1" spans="1:3" s="20" customFormat="1">
      <c r="A1" s="18"/>
      <c r="B1" s="19"/>
      <c r="C1" s="19"/>
    </row>
    <row r="2" spans="1:3" ht="21">
      <c r="A2" s="1"/>
      <c r="B2" s="21" t="s">
        <v>13</v>
      </c>
      <c r="C2" s="21"/>
    </row>
    <row r="3" spans="1:3">
      <c r="A3" s="1"/>
      <c r="B3" s="8"/>
      <c r="C3" s="8"/>
    </row>
    <row r="4" spans="1:3">
      <c r="A4" s="1"/>
      <c r="B4" s="2" t="s">
        <v>14</v>
      </c>
      <c r="C4" s="3" t="s">
        <v>214</v>
      </c>
    </row>
    <row r="5" spans="1:3">
      <c r="A5" s="1"/>
      <c r="B5" s="4" t="s">
        <v>57</v>
      </c>
      <c r="C5" s="5" t="s">
        <v>215</v>
      </c>
    </row>
    <row r="6" spans="1:3">
      <c r="A6" s="1"/>
      <c r="B6" s="6" t="s">
        <v>16</v>
      </c>
      <c r="C6" s="7" t="s">
        <v>17</v>
      </c>
    </row>
    <row r="7" spans="1:3">
      <c r="A7" s="1"/>
      <c r="B7" s="8"/>
      <c r="C7" s="8"/>
    </row>
    <row r="8" spans="1:3">
      <c r="A8" s="1"/>
      <c r="B8" s="8"/>
      <c r="C8" s="8"/>
    </row>
    <row r="9" spans="1:3">
      <c r="A9" s="1"/>
      <c r="B9" s="58" t="s">
        <v>58</v>
      </c>
      <c r="C9" s="59"/>
    </row>
    <row r="10" spans="1:3">
      <c r="A10" s="1"/>
      <c r="B10" s="60"/>
      <c r="C10" s="61"/>
    </row>
    <row r="11" spans="1:3">
      <c r="A11" s="1"/>
      <c r="B11" s="60" t="s">
        <v>59</v>
      </c>
      <c r="C11" s="62" t="s">
        <v>60</v>
      </c>
    </row>
    <row r="12" spans="1:3" ht="17" thickBot="1">
      <c r="A12" s="1"/>
      <c r="B12" s="60"/>
      <c r="C12" s="12" t="s">
        <v>61</v>
      </c>
    </row>
    <row r="13" spans="1:3" ht="17" thickBot="1">
      <c r="A13" s="1"/>
      <c r="B13" s="60"/>
      <c r="C13" s="63" t="s">
        <v>62</v>
      </c>
    </row>
    <row r="14" spans="1:3">
      <c r="A14" s="1"/>
      <c r="B14" s="60"/>
      <c r="C14" s="61" t="s">
        <v>63</v>
      </c>
    </row>
    <row r="15" spans="1:3">
      <c r="A15" s="1"/>
      <c r="B15" s="60"/>
      <c r="C15" s="61"/>
    </row>
    <row r="16" spans="1:3">
      <c r="A16" s="1"/>
      <c r="B16" s="60" t="s">
        <v>64</v>
      </c>
      <c r="C16" s="64" t="s">
        <v>65</v>
      </c>
    </row>
    <row r="17" spans="1:3">
      <c r="A17" s="1"/>
      <c r="B17" s="60"/>
      <c r="C17" s="65" t="s">
        <v>66</v>
      </c>
    </row>
    <row r="18" spans="1:3">
      <c r="A18" s="1"/>
      <c r="B18" s="60"/>
      <c r="C18" s="66" t="s">
        <v>67</v>
      </c>
    </row>
    <row r="19" spans="1:3">
      <c r="A19" s="1"/>
      <c r="B19" s="60"/>
      <c r="C19" s="67" t="s">
        <v>68</v>
      </c>
    </row>
    <row r="20" spans="1:3">
      <c r="A20" s="1"/>
      <c r="B20" s="68"/>
      <c r="C20" s="69" t="s">
        <v>69</v>
      </c>
    </row>
    <row r="21" spans="1:3">
      <c r="A21" s="1"/>
      <c r="B21" s="68"/>
      <c r="C21" s="70" t="s">
        <v>70</v>
      </c>
    </row>
    <row r="22" spans="1:3">
      <c r="A22" s="1"/>
      <c r="B22" s="68"/>
      <c r="C22" s="71" t="s">
        <v>71</v>
      </c>
    </row>
    <row r="23" spans="1:3">
      <c r="B23" s="68"/>
      <c r="C23" s="72" t="s">
        <v>72</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A2:K49"/>
  <sheetViews>
    <sheetView tabSelected="1" topLeftCell="A4" zoomScaleNormal="100" workbookViewId="0">
      <selection activeCell="E23" sqref="E23"/>
    </sheetView>
  </sheetViews>
  <sheetFormatPr baseColWidth="10" defaultColWidth="10.6640625" defaultRowHeight="16"/>
  <cols>
    <col min="1" max="1" width="3.33203125" style="26" customWidth="1"/>
    <col min="2" max="2" width="4.33203125" style="26" customWidth="1"/>
    <col min="3" max="3" width="46" style="26" customWidth="1"/>
    <col min="4" max="4" width="10.83203125" style="26" bestFit="1" customWidth="1"/>
    <col min="5" max="5" width="17.5" style="26" customWidth="1"/>
    <col min="6" max="6" width="4.5" style="26" customWidth="1"/>
    <col min="7" max="7" width="45" style="26" customWidth="1"/>
    <col min="8" max="8" width="5.1640625" style="26" customWidth="1"/>
    <col min="9" max="9" width="44.6640625" style="26" customWidth="1"/>
    <col min="10" max="10" width="3" style="26" customWidth="1"/>
    <col min="11" max="16384" width="10.6640625" style="26"/>
  </cols>
  <sheetData>
    <row r="2" spans="1:11">
      <c r="B2" s="255" t="s">
        <v>213</v>
      </c>
      <c r="C2" s="256"/>
      <c r="D2" s="256"/>
      <c r="E2" s="257"/>
    </row>
    <row r="3" spans="1:11">
      <c r="B3" s="258"/>
      <c r="C3" s="259"/>
      <c r="D3" s="259"/>
      <c r="E3" s="260"/>
    </row>
    <row r="4" spans="1:11" ht="39" customHeight="1">
      <c r="B4" s="261"/>
      <c r="C4" s="262"/>
      <c r="D4" s="262"/>
      <c r="E4" s="263"/>
    </row>
    <row r="5" spans="1:11" ht="17" thickBot="1"/>
    <row r="6" spans="1:11">
      <c r="B6" s="28"/>
      <c r="C6" s="14"/>
      <c r="D6" s="14"/>
      <c r="E6" s="14"/>
      <c r="F6" s="14"/>
      <c r="G6" s="14"/>
      <c r="H6" s="14"/>
      <c r="I6" s="14"/>
      <c r="J6" s="29"/>
    </row>
    <row r="7" spans="1:11" s="34" customFormat="1" ht="19">
      <c r="B7" s="73"/>
      <c r="C7" s="13" t="s">
        <v>25</v>
      </c>
      <c r="D7" s="74" t="s">
        <v>11</v>
      </c>
      <c r="E7" s="13" t="s">
        <v>4</v>
      </c>
      <c r="F7" s="13"/>
      <c r="G7" s="13" t="s">
        <v>10</v>
      </c>
      <c r="H7" s="13"/>
      <c r="I7" s="13" t="s">
        <v>0</v>
      </c>
      <c r="J7" s="78"/>
    </row>
    <row r="8" spans="1:11" s="34" customFormat="1" ht="19">
      <c r="B8" s="17"/>
      <c r="C8" s="12"/>
      <c r="D8" s="24"/>
      <c r="E8" s="12"/>
      <c r="F8" s="12"/>
      <c r="G8" s="12"/>
      <c r="H8" s="12"/>
      <c r="I8" s="12"/>
      <c r="J8" s="35"/>
    </row>
    <row r="9" spans="1:11" s="34" customFormat="1" ht="20" thickBot="1">
      <c r="B9" s="17"/>
      <c r="C9" s="12" t="s">
        <v>79</v>
      </c>
      <c r="D9" s="8"/>
      <c r="E9" s="12"/>
      <c r="F9" s="12"/>
      <c r="G9" s="12"/>
      <c r="H9" s="12"/>
      <c r="I9" s="12"/>
      <c r="J9" s="35"/>
    </row>
    <row r="10" spans="1:11" s="34" customFormat="1" ht="20" thickBot="1">
      <c r="B10" s="124"/>
      <c r="C10" s="91" t="s">
        <v>82</v>
      </c>
      <c r="D10" s="16" t="s">
        <v>3</v>
      </c>
      <c r="E10" s="103">
        <f>'Research data'!E6</f>
        <v>0.63239875389408096</v>
      </c>
      <c r="F10" s="91"/>
      <c r="G10" s="91"/>
      <c r="H10" s="23"/>
      <c r="I10" s="101" t="str">
        <f>LOOKUP(E10,'Research data'!G6:T6,'Research data'!G$3:T$3)</f>
        <v>Quintel assumption</v>
      </c>
      <c r="J10" s="35"/>
    </row>
    <row r="11" spans="1:11" ht="20" thickBot="1">
      <c r="A11" s="34"/>
      <c r="B11" s="124"/>
      <c r="C11" s="112" t="s">
        <v>83</v>
      </c>
      <c r="D11" s="16" t="s">
        <v>3</v>
      </c>
      <c r="E11" s="103">
        <f>'Research data'!E7</f>
        <v>0.18068535825545171</v>
      </c>
      <c r="F11" s="91"/>
      <c r="G11" s="107"/>
      <c r="H11" s="23"/>
      <c r="I11" s="101" t="str">
        <f>LOOKUP(E11,'Research data'!G7:T7,'Research data'!G$3:T$3)</f>
        <v>Quintel assumption</v>
      </c>
      <c r="J11" s="35"/>
      <c r="K11" s="34"/>
    </row>
    <row r="12" spans="1:11" ht="20" thickBot="1">
      <c r="A12" s="34"/>
      <c r="B12" s="124"/>
      <c r="C12" s="195" t="s">
        <v>216</v>
      </c>
      <c r="D12" s="16" t="s">
        <v>3</v>
      </c>
      <c r="E12" s="103">
        <f>'Research data'!E8</f>
        <v>0.18691588785046728</v>
      </c>
      <c r="F12" s="91"/>
      <c r="G12" s="91"/>
      <c r="H12" s="23"/>
      <c r="I12" s="101" t="str">
        <f>LOOKUP(E12,'Research data'!G8:T8,'Research data'!G$3:T$3)</f>
        <v>Quintel assumption</v>
      </c>
      <c r="J12" s="35"/>
      <c r="K12" s="34"/>
    </row>
    <row r="13" spans="1:11" ht="20" thickBot="1">
      <c r="A13" s="34"/>
      <c r="B13" s="124"/>
      <c r="C13" s="196" t="s">
        <v>157</v>
      </c>
      <c r="D13" s="16" t="s">
        <v>3</v>
      </c>
      <c r="E13" s="103">
        <f>'Research data'!E9</f>
        <v>0</v>
      </c>
      <c r="F13" s="91"/>
      <c r="G13" s="91"/>
      <c r="H13" s="23"/>
      <c r="I13" s="101" t="str">
        <f>LOOKUP(E13,'Research data'!G9:T9,'Research data'!G$3:T$3)</f>
        <v>Quintel assumption</v>
      </c>
      <c r="J13" s="35"/>
      <c r="K13" s="34"/>
    </row>
    <row r="14" spans="1:11" ht="20" thickBot="1">
      <c r="A14" s="34"/>
      <c r="B14" s="124"/>
      <c r="C14" s="112" t="s">
        <v>152</v>
      </c>
      <c r="D14" s="16" t="s">
        <v>3</v>
      </c>
      <c r="E14" s="103">
        <f>'Research data'!K10</f>
        <v>1</v>
      </c>
      <c r="F14" s="91"/>
      <c r="G14" s="91"/>
      <c r="H14" s="23"/>
      <c r="I14" s="101" t="str">
        <f>LOOKUP(E14,'Research data'!G10:T10,'Research data'!G$3:T$3)</f>
        <v>Techneco2</v>
      </c>
      <c r="J14" s="35"/>
      <c r="K14" s="93"/>
    </row>
    <row r="15" spans="1:11" ht="20" thickBot="1">
      <c r="A15" s="34"/>
      <c r="B15" s="124"/>
      <c r="C15" s="112" t="s">
        <v>153</v>
      </c>
      <c r="D15" s="16" t="s">
        <v>3</v>
      </c>
      <c r="E15" s="103">
        <f>'Research data'!K11</f>
        <v>1</v>
      </c>
      <c r="F15" s="91"/>
      <c r="G15" s="91"/>
      <c r="H15" s="23"/>
      <c r="I15" s="101" t="str">
        <f>LOOKUP(E15,'Research data'!G11:T11,'Research data'!G$3:T$3)</f>
        <v>Techneco2</v>
      </c>
      <c r="J15" s="35"/>
      <c r="K15" s="93"/>
    </row>
    <row r="16" spans="1:11" ht="20" thickBot="1">
      <c r="A16" s="34"/>
      <c r="B16" s="124"/>
      <c r="C16" s="195" t="s">
        <v>217</v>
      </c>
      <c r="D16" s="16" t="s">
        <v>3</v>
      </c>
      <c r="E16" s="103">
        <f>'Research data'!E12</f>
        <v>1.0869565217391304</v>
      </c>
      <c r="F16" s="91"/>
      <c r="G16" s="91"/>
      <c r="H16" s="23"/>
      <c r="I16" s="101" t="str">
        <f>LOOKUP(E16,'Research data'!G12:T12,'Research data'!G$3:T$3)</f>
        <v>TNO1</v>
      </c>
      <c r="J16" s="35"/>
      <c r="K16" s="93"/>
    </row>
    <row r="17" spans="1:11" ht="20" thickBot="1">
      <c r="A17" s="34"/>
      <c r="B17" s="124"/>
      <c r="C17" s="125" t="s">
        <v>158</v>
      </c>
      <c r="D17" s="16" t="s">
        <v>3</v>
      </c>
      <c r="E17" s="103">
        <f>'Research data'!E13</f>
        <v>2.3233333333333333</v>
      </c>
      <c r="F17" s="91"/>
      <c r="G17" s="91"/>
      <c r="H17" s="23"/>
      <c r="I17" s="101" t="str">
        <f>LOOKUP(E17,'Research data'!G13:T13,'Research data'!G$3:T$3)</f>
        <v>Ecofys</v>
      </c>
      <c r="J17" s="35"/>
      <c r="K17" s="93"/>
    </row>
    <row r="18" spans="1:11" ht="20" thickBot="1">
      <c r="A18" s="34"/>
      <c r="B18" s="124"/>
      <c r="C18" s="125" t="s">
        <v>159</v>
      </c>
      <c r="D18" s="16" t="s">
        <v>3</v>
      </c>
      <c r="E18" s="103">
        <f>'Research data'!E14</f>
        <v>1.8327326043130307E-3</v>
      </c>
      <c r="F18" s="91"/>
      <c r="G18" s="91"/>
      <c r="H18" s="23"/>
      <c r="I18" s="101" t="str">
        <f>LOOKUP(E18,'Research data'!G14:T14,'Research data'!G$3:T$3)</f>
        <v>Ecofys</v>
      </c>
      <c r="J18" s="35"/>
      <c r="K18" s="93"/>
    </row>
    <row r="19" spans="1:11" ht="20" thickBot="1">
      <c r="A19" s="34"/>
      <c r="B19" s="124"/>
      <c r="C19" s="196" t="s">
        <v>218</v>
      </c>
      <c r="D19" s="16" t="s">
        <v>3</v>
      </c>
      <c r="E19" s="117">
        <f>'Research data'!E15</f>
        <v>2.1999999999999999E-2</v>
      </c>
      <c r="F19" s="91"/>
      <c r="G19" s="91"/>
      <c r="H19" s="23"/>
      <c r="I19" s="101" t="str">
        <f>LOOKUP(E19,'Research data'!G15:T15,'Research data'!G$3:T$3)</f>
        <v>Quintel assumption</v>
      </c>
      <c r="J19" s="35"/>
      <c r="K19" s="93"/>
    </row>
    <row r="20" spans="1:11" ht="20" thickBot="1">
      <c r="A20" s="34"/>
      <c r="B20" s="124"/>
      <c r="C20" s="196" t="s">
        <v>160</v>
      </c>
      <c r="D20" s="16" t="s">
        <v>3</v>
      </c>
      <c r="E20" s="103">
        <f>'Research data'!E16</f>
        <v>2.6002380221130221</v>
      </c>
      <c r="F20" s="91"/>
      <c r="G20" s="91"/>
      <c r="H20" s="23"/>
      <c r="I20" s="101" t="str">
        <f>LOOKUP(E20,'Research data'!G16:T16,'Research data'!G$3:T$3)</f>
        <v>Quintel assumption</v>
      </c>
      <c r="J20" s="35"/>
      <c r="K20" s="93"/>
    </row>
    <row r="21" spans="1:11" ht="20" thickBot="1">
      <c r="A21" s="34"/>
      <c r="B21" s="124"/>
      <c r="C21" s="125" t="s">
        <v>161</v>
      </c>
      <c r="D21" s="16" t="s">
        <v>3</v>
      </c>
      <c r="E21" s="103">
        <f>'Research data'!E17</f>
        <v>5.7833333333333327E-2</v>
      </c>
      <c r="F21" s="91"/>
      <c r="G21" s="91"/>
      <c r="H21" s="23"/>
      <c r="I21" s="101" t="str">
        <f>LOOKUP(E21,'Research data'!G17:T17,'Research data'!G$3:T$3)</f>
        <v>Ecofys</v>
      </c>
      <c r="J21" s="35"/>
      <c r="K21" s="93"/>
    </row>
    <row r="22" spans="1:11" ht="20" thickBot="1">
      <c r="A22" s="34"/>
      <c r="B22" s="124"/>
      <c r="C22" s="125" t="s">
        <v>162</v>
      </c>
      <c r="D22" s="16" t="s">
        <v>163</v>
      </c>
      <c r="E22" s="103">
        <f>'Research data'!E18</f>
        <v>0</v>
      </c>
      <c r="F22" s="91"/>
      <c r="G22" s="91"/>
      <c r="H22" s="23"/>
      <c r="I22" s="101" t="str">
        <f>LOOKUP(E22,'Research data'!G18:T18,'Research data'!G$3:T$3)</f>
        <v>Techneco</v>
      </c>
      <c r="J22" s="35"/>
      <c r="K22" s="93"/>
    </row>
    <row r="23" spans="1:11" ht="17" thickBot="1">
      <c r="A23" s="93"/>
      <c r="B23" s="124"/>
      <c r="C23" s="112" t="s">
        <v>27</v>
      </c>
      <c r="D23" s="16" t="s">
        <v>3</v>
      </c>
      <c r="E23" s="92">
        <f>'Research data'!E19</f>
        <v>0</v>
      </c>
      <c r="F23" s="91"/>
      <c r="G23" s="91"/>
      <c r="H23" s="91"/>
      <c r="I23" s="101" t="str">
        <f>LOOKUP(E23,'Research data'!G19:T19,'Research data'!G$3:T$3)</f>
        <v>Quintel assumption</v>
      </c>
      <c r="J23" s="94"/>
      <c r="K23" s="93"/>
    </row>
    <row r="24" spans="1:11" ht="17" thickBot="1">
      <c r="A24" s="93"/>
      <c r="B24" s="124"/>
      <c r="C24" s="112" t="s">
        <v>29</v>
      </c>
      <c r="D24" s="16" t="s">
        <v>3</v>
      </c>
      <c r="E24" s="92">
        <f>'Research data'!E20</f>
        <v>0</v>
      </c>
      <c r="F24" s="91"/>
      <c r="G24" s="91"/>
      <c r="H24" s="91"/>
      <c r="I24" s="101" t="str">
        <f>LOOKUP(E24,'Research data'!G20:T20,'Research data'!G$3:T$3)</f>
        <v>Quintel assumption</v>
      </c>
      <c r="J24" s="94"/>
      <c r="K24" s="93"/>
    </row>
    <row r="25" spans="1:11" ht="17" thickBot="1">
      <c r="A25" s="93"/>
      <c r="B25" s="124"/>
      <c r="C25" s="112" t="s">
        <v>84</v>
      </c>
      <c r="D25" s="16" t="s">
        <v>165</v>
      </c>
      <c r="E25" s="92">
        <f>'Research data'!E21</f>
        <v>0</v>
      </c>
      <c r="F25" s="91"/>
      <c r="G25" s="91"/>
      <c r="H25" s="91"/>
      <c r="I25" s="101" t="str">
        <f>LOOKUP(E25,'Research data'!G21:T21,'Research data'!G$3:T$3)</f>
        <v>Quintel assumption</v>
      </c>
      <c r="J25" s="94"/>
      <c r="K25" s="93"/>
    </row>
    <row r="26" spans="1:11" ht="20" thickBot="1">
      <c r="A26" s="93"/>
      <c r="B26" s="124"/>
      <c r="C26" s="112" t="s">
        <v>7</v>
      </c>
      <c r="D26" s="16" t="s">
        <v>3</v>
      </c>
      <c r="E26" s="92">
        <f>'Research data'!E22</f>
        <v>1</v>
      </c>
      <c r="F26" s="91"/>
      <c r="G26" s="91"/>
      <c r="H26" s="91"/>
      <c r="I26" s="101" t="str">
        <f>LOOKUP(E26,'Research data'!G22:T22,'Research data'!G$3:T$3)</f>
        <v>Quintel assumption</v>
      </c>
      <c r="J26" s="94"/>
      <c r="K26" s="34"/>
    </row>
    <row r="27" spans="1:11" ht="17" thickBot="1">
      <c r="B27" s="124"/>
      <c r="C27" s="102" t="s">
        <v>124</v>
      </c>
      <c r="D27" s="16" t="s">
        <v>56</v>
      </c>
      <c r="E27" s="92">
        <f>'Research data'!E23</f>
        <v>0</v>
      </c>
      <c r="F27" s="27"/>
      <c r="G27" s="254" t="s">
        <v>267</v>
      </c>
      <c r="H27" s="27"/>
      <c r="I27" s="101" t="str">
        <f>LOOKUP(E27,'Research data'!G23:T23,'Research data'!G$3:T$3)</f>
        <v>Quintel assumption</v>
      </c>
      <c r="J27" s="79"/>
      <c r="K27" s="93"/>
    </row>
    <row r="28" spans="1:11" ht="17" thickBot="1">
      <c r="B28" s="124"/>
      <c r="C28" s="27" t="s">
        <v>34</v>
      </c>
      <c r="D28" s="16" t="s">
        <v>56</v>
      </c>
      <c r="E28" s="100">
        <f>'Research data'!E24</f>
        <v>4.9000000000000007E-3</v>
      </c>
      <c r="F28" s="27"/>
      <c r="G28" s="27" t="s">
        <v>46</v>
      </c>
      <c r="H28" s="27"/>
      <c r="I28" s="101" t="str">
        <f>LOOKUP(E28,'Research data'!G24:T24,'Research data'!G$3:T$3)</f>
        <v>Techneco2</v>
      </c>
      <c r="J28" s="79"/>
      <c r="K28" s="93"/>
    </row>
    <row r="29" spans="1:11">
      <c r="B29" s="124"/>
      <c r="C29" s="49"/>
      <c r="D29" s="75"/>
      <c r="E29" s="76"/>
      <c r="G29" s="49"/>
      <c r="J29" s="79"/>
    </row>
    <row r="30" spans="1:11" ht="17" thickBot="1">
      <c r="B30" s="124"/>
      <c r="C30" s="12" t="s">
        <v>73</v>
      </c>
      <c r="D30" s="75"/>
      <c r="E30" s="76"/>
      <c r="G30" s="49"/>
      <c r="J30" s="79"/>
    </row>
    <row r="31" spans="1:11" ht="17" thickBot="1">
      <c r="B31" s="124"/>
      <c r="C31" s="27" t="s">
        <v>35</v>
      </c>
      <c r="D31" s="16" t="s">
        <v>26</v>
      </c>
      <c r="E31" s="92">
        <f>'Research data'!E27</f>
        <v>5500</v>
      </c>
      <c r="F31" s="27"/>
      <c r="G31" s="27" t="s">
        <v>6</v>
      </c>
      <c r="H31" s="27"/>
      <c r="I31" s="101" t="str">
        <f>LOOKUP(E31,'Research data'!G27:T27,'Research data'!G$3:T$3)</f>
        <v>CE Delft (CEGOIA)</v>
      </c>
      <c r="J31" s="79"/>
    </row>
    <row r="32" spans="1:11" ht="17" thickBot="1">
      <c r="B32" s="124"/>
      <c r="C32" s="27" t="s">
        <v>36</v>
      </c>
      <c r="D32" s="16" t="s">
        <v>26</v>
      </c>
      <c r="E32" s="92">
        <f>'Research data'!E28</f>
        <v>0</v>
      </c>
      <c r="F32" s="27"/>
      <c r="G32" s="27" t="s">
        <v>47</v>
      </c>
      <c r="H32" s="27"/>
      <c r="I32" s="101" t="str">
        <f>LOOKUP(E32,'Research data'!G28:T28,'Research data'!G$3:T$3)</f>
        <v>Quintel assumption</v>
      </c>
      <c r="J32" s="79"/>
    </row>
    <row r="33" spans="2:10" ht="17" thickBot="1">
      <c r="B33" s="124"/>
      <c r="C33" s="27" t="s">
        <v>9</v>
      </c>
      <c r="D33" s="16" t="s">
        <v>26</v>
      </c>
      <c r="E33" s="123">
        <f>'Research data'!E29</f>
        <v>1000</v>
      </c>
      <c r="F33" s="27"/>
      <c r="G33" s="27" t="s">
        <v>20</v>
      </c>
      <c r="H33" s="27"/>
      <c r="I33" s="101" t="str">
        <f>LOOKUP(E33,'Research data'!G29:T29,'Research data'!G$3:T$3)</f>
        <v>DHPA</v>
      </c>
      <c r="J33" s="79"/>
    </row>
    <row r="34" spans="2:10" ht="17" thickBot="1">
      <c r="B34" s="124"/>
      <c r="C34" s="27" t="s">
        <v>37</v>
      </c>
      <c r="D34" s="16" t="s">
        <v>26</v>
      </c>
      <c r="E34" s="92">
        <f>'Research data'!E30</f>
        <v>0</v>
      </c>
      <c r="F34" s="27"/>
      <c r="G34" s="102" t="s">
        <v>136</v>
      </c>
      <c r="H34" s="27"/>
      <c r="I34" s="101" t="str">
        <f>LOOKUP(E34,'Research data'!G30:T30,'Research data'!G$3:T$3)</f>
        <v>Quintel assumption</v>
      </c>
      <c r="J34" s="79"/>
    </row>
    <row r="35" spans="2:10" ht="17" thickBot="1">
      <c r="B35" s="124"/>
      <c r="C35" s="27" t="s">
        <v>38</v>
      </c>
      <c r="D35" s="16" t="s">
        <v>45</v>
      </c>
      <c r="E35" s="123">
        <f>'Research data'!E31</f>
        <v>200</v>
      </c>
      <c r="F35" s="27"/>
      <c r="G35" s="27" t="s">
        <v>48</v>
      </c>
      <c r="H35" s="27"/>
      <c r="I35" s="101" t="str">
        <f>LOOKUP(E35,'Research data'!G31:T31,'Research data'!G$3:T$3)</f>
        <v>DHPA</v>
      </c>
      <c r="J35" s="79"/>
    </row>
    <row r="36" spans="2:10" ht="17" thickBot="1">
      <c r="B36" s="124"/>
      <c r="C36" s="27" t="s">
        <v>39</v>
      </c>
      <c r="D36" s="16" t="s">
        <v>44</v>
      </c>
      <c r="E36" s="92">
        <f>'Research data'!E32</f>
        <v>0</v>
      </c>
      <c r="F36" s="27"/>
      <c r="G36" s="27" t="s">
        <v>49</v>
      </c>
      <c r="H36" s="27"/>
      <c r="I36" s="101" t="str">
        <f>LOOKUP(E36,'Research data'!G32:T32,'Research data'!G$3:T$3)</f>
        <v>Quintel assumption</v>
      </c>
      <c r="J36" s="79"/>
    </row>
    <row r="37" spans="2:10" ht="17" thickBot="1">
      <c r="B37" s="124"/>
      <c r="C37" s="27" t="s">
        <v>40</v>
      </c>
      <c r="D37" s="16" t="s">
        <v>44</v>
      </c>
      <c r="E37" s="92">
        <f>'Research data'!E33</f>
        <v>0</v>
      </c>
      <c r="F37" s="27"/>
      <c r="G37" s="27" t="s">
        <v>50</v>
      </c>
      <c r="H37" s="27"/>
      <c r="I37" s="101" t="str">
        <f>LOOKUP(E37,'Research data'!G33:T33,'Research data'!G$3:T$3)</f>
        <v>Quintel assumption</v>
      </c>
      <c r="J37" s="79"/>
    </row>
    <row r="38" spans="2:10" ht="17" thickBot="1">
      <c r="B38" s="124"/>
      <c r="C38" s="27" t="s">
        <v>43</v>
      </c>
      <c r="D38" s="16" t="s">
        <v>2</v>
      </c>
      <c r="E38" s="92">
        <v>0.02</v>
      </c>
      <c r="F38" s="27"/>
      <c r="G38" s="27" t="s">
        <v>19</v>
      </c>
      <c r="H38" s="27"/>
      <c r="I38" s="253" t="s">
        <v>266</v>
      </c>
      <c r="J38" s="79"/>
    </row>
    <row r="39" spans="2:10" ht="17" thickBot="1">
      <c r="B39" s="124"/>
      <c r="C39" s="27" t="s">
        <v>31</v>
      </c>
      <c r="D39" s="16" t="s">
        <v>8</v>
      </c>
      <c r="E39" s="92">
        <f>'Research data'!E34</f>
        <v>0</v>
      </c>
      <c r="F39" s="27"/>
      <c r="G39" s="27"/>
      <c r="H39" s="27"/>
      <c r="I39" s="101" t="str">
        <f>LOOKUP(E39,'Research data'!G34:T34,'Research data'!G$3:T$3)</f>
        <v>Quintel assumption</v>
      </c>
      <c r="J39" s="79"/>
    </row>
    <row r="40" spans="2:10">
      <c r="B40" s="126"/>
      <c r="C40" s="113"/>
      <c r="D40" s="16"/>
      <c r="E40" s="77"/>
      <c r="F40" s="27"/>
      <c r="G40" s="27"/>
      <c r="H40" s="27"/>
      <c r="J40" s="79"/>
    </row>
    <row r="41" spans="2:10" ht="20" customHeight="1" thickBot="1">
      <c r="B41" s="30"/>
      <c r="C41" s="12" t="s">
        <v>5</v>
      </c>
      <c r="D41" s="75"/>
      <c r="E41" s="77"/>
      <c r="J41" s="79"/>
    </row>
    <row r="42" spans="2:10" ht="17" thickBot="1">
      <c r="B42" s="124"/>
      <c r="C42" s="27" t="s">
        <v>41</v>
      </c>
      <c r="D42" s="16" t="s">
        <v>1</v>
      </c>
      <c r="E42" s="92">
        <f>'Research data'!E37</f>
        <v>0</v>
      </c>
      <c r="F42" s="27"/>
      <c r="G42" s="27" t="s">
        <v>22</v>
      </c>
      <c r="H42" s="27"/>
      <c r="I42" s="101" t="str">
        <f>LOOKUP(E42,'Research data'!G37:T37,'Research data'!G$3:T$3)</f>
        <v>Quintel assumption</v>
      </c>
      <c r="J42" s="79"/>
    </row>
    <row r="43" spans="2:10" ht="17" thickBot="1">
      <c r="B43" s="124"/>
      <c r="C43" s="27" t="s">
        <v>42</v>
      </c>
      <c r="D43" s="16" t="s">
        <v>1</v>
      </c>
      <c r="E43" s="92">
        <f>'Research data'!E38</f>
        <v>15</v>
      </c>
      <c r="F43" s="27"/>
      <c r="G43" s="27" t="s">
        <v>21</v>
      </c>
      <c r="H43" s="27"/>
      <c r="I43" s="101" t="str">
        <f>LOOKUP(E43,'Research data'!G38:T38,'Research data'!G$3:T$3)</f>
        <v>DHPA</v>
      </c>
      <c r="J43" s="79"/>
    </row>
    <row r="44" spans="2:10" ht="17" thickBot="1">
      <c r="B44" s="31"/>
      <c r="C44" s="32"/>
      <c r="D44" s="32"/>
      <c r="E44" s="32"/>
      <c r="F44" s="32"/>
      <c r="G44" s="32"/>
      <c r="H44" s="32"/>
      <c r="I44" s="32"/>
      <c r="J44" s="33"/>
    </row>
    <row r="49" spans="2:2">
      <c r="B49" s="111"/>
    </row>
  </sheetData>
  <mergeCells count="1">
    <mergeCell ref="B2:E4"/>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A1:U42"/>
  <sheetViews>
    <sheetView zoomScaleNormal="100" workbookViewId="0">
      <selection activeCell="E23" sqref="E23"/>
    </sheetView>
  </sheetViews>
  <sheetFormatPr baseColWidth="10" defaultColWidth="10.6640625" defaultRowHeight="16"/>
  <cols>
    <col min="1" max="2" width="3.5" style="49" customWidth="1"/>
    <col min="3" max="3" width="53.6640625" style="49" bestFit="1" customWidth="1"/>
    <col min="4" max="4" width="9.5" style="49" bestFit="1" customWidth="1"/>
    <col min="5" max="5" width="7.6640625" style="49" bestFit="1" customWidth="1"/>
    <col min="6" max="6" width="4.6640625" style="49" customWidth="1"/>
    <col min="7" max="7" width="9.5" style="50" bestFit="1" customWidth="1"/>
    <col min="8" max="9" width="5.83203125" style="50" bestFit="1" customWidth="1"/>
    <col min="10" max="10" width="8" style="50" bestFit="1" customWidth="1"/>
    <col min="11" max="11" width="9" style="50" bestFit="1" customWidth="1"/>
    <col min="12" max="12" width="7.6640625" style="50" bestFit="1" customWidth="1"/>
    <col min="13" max="13" width="5.83203125" style="50" bestFit="1" customWidth="1"/>
    <col min="14" max="14" width="18.6640625" style="50" bestFit="1" customWidth="1"/>
    <col min="15" max="15" width="7.6640625" style="50" bestFit="1" customWidth="1"/>
    <col min="16" max="16" width="7.6640625" style="50" customWidth="1"/>
    <col min="17" max="19" width="8.6640625" style="50" bestFit="1" customWidth="1"/>
    <col min="20" max="20" width="2.5" style="50" customWidth="1"/>
    <col min="21" max="21" width="97.33203125" style="49" bestFit="1" customWidth="1"/>
    <col min="22" max="16384" width="10.6640625" style="49"/>
  </cols>
  <sheetData>
    <row r="1" spans="2:21" ht="17" thickBot="1"/>
    <row r="2" spans="2:21">
      <c r="B2" s="51"/>
      <c r="C2" s="52"/>
      <c r="D2" s="52"/>
      <c r="E2" s="52"/>
      <c r="F2" s="52"/>
      <c r="G2" s="53"/>
      <c r="H2" s="53"/>
      <c r="I2" s="53"/>
      <c r="J2" s="53"/>
      <c r="K2" s="53"/>
      <c r="L2" s="53"/>
      <c r="M2" s="53"/>
      <c r="N2" s="53"/>
      <c r="O2" s="53"/>
      <c r="P2" s="53"/>
      <c r="Q2" s="53"/>
      <c r="R2" s="53"/>
      <c r="S2" s="53"/>
      <c r="T2" s="53"/>
      <c r="U2" s="127"/>
    </row>
    <row r="3" spans="2:21" s="12" customFormat="1">
      <c r="B3" s="17"/>
      <c r="C3" s="82" t="s">
        <v>75</v>
      </c>
      <c r="D3" s="82" t="s">
        <v>11</v>
      </c>
      <c r="E3" s="82" t="s">
        <v>69</v>
      </c>
      <c r="F3" s="82"/>
      <c r="G3" s="48" t="str">
        <f>Sources!E39</f>
        <v>Quintel assumption</v>
      </c>
      <c r="H3" s="48" t="s">
        <v>257</v>
      </c>
      <c r="I3" s="48" t="s">
        <v>258</v>
      </c>
      <c r="J3" s="48" t="str">
        <f>Sources!E8</f>
        <v>Techneco</v>
      </c>
      <c r="K3" s="47" t="str">
        <f>Sources!E14</f>
        <v>Techneco2</v>
      </c>
      <c r="L3" s="47" t="str">
        <f>Sources!E12</f>
        <v>ODE &amp; VEA</v>
      </c>
      <c r="M3" s="47" t="str">
        <f>Sources!E17</f>
        <v>Ecofys</v>
      </c>
      <c r="N3" s="47" t="str">
        <f>Sources!E20</f>
        <v>ISSO 72 and Quintel calc</v>
      </c>
      <c r="O3" s="47" t="str">
        <f>Sources!E22</f>
        <v>DHPA</v>
      </c>
      <c r="P3" s="47" t="str">
        <f>Sources!E37</f>
        <v>Warmtepompforum</v>
      </c>
      <c r="Q3" s="47" t="str">
        <f>Sources!E33</f>
        <v>Installand</v>
      </c>
      <c r="R3" s="47" t="str">
        <f>Sources!E35</f>
        <v>Nefit</v>
      </c>
      <c r="S3" s="47" t="str">
        <f>Sources!E23</f>
        <v>CE Delft (CEGOIA)</v>
      </c>
      <c r="U3" s="128" t="s">
        <v>77</v>
      </c>
    </row>
    <row r="4" spans="2:21">
      <c r="B4" s="54"/>
      <c r="C4" s="55"/>
      <c r="D4" s="55"/>
      <c r="E4" s="56"/>
      <c r="F4" s="56"/>
      <c r="G4" s="80"/>
      <c r="H4" s="80"/>
      <c r="I4" s="80"/>
      <c r="J4" s="10"/>
      <c r="K4" s="81"/>
      <c r="L4" s="81"/>
      <c r="M4" s="81"/>
      <c r="N4" s="81"/>
      <c r="O4" s="81"/>
      <c r="P4" s="81"/>
      <c r="Q4" s="81"/>
      <c r="R4" s="81"/>
      <c r="S4" s="81"/>
      <c r="T4" s="81"/>
      <c r="U4" s="129"/>
    </row>
    <row r="5" spans="2:21" ht="17" thickBot="1">
      <c r="B5" s="54"/>
      <c r="C5" s="25" t="s">
        <v>74</v>
      </c>
      <c r="D5" s="91"/>
      <c r="E5" s="9"/>
      <c r="F5" s="9"/>
      <c r="G5" s="9"/>
      <c r="H5" s="9"/>
      <c r="I5" s="9"/>
      <c r="J5" s="9"/>
      <c r="K5" s="9"/>
      <c r="L5" s="9"/>
      <c r="M5" s="9"/>
      <c r="N5" s="9"/>
      <c r="O5" s="9"/>
      <c r="P5" s="9"/>
      <c r="Q5" s="9"/>
      <c r="R5" s="9"/>
      <c r="S5" s="9"/>
      <c r="T5" s="9"/>
      <c r="U5" s="129"/>
    </row>
    <row r="6" spans="2:21" ht="17" thickBot="1">
      <c r="B6" s="54"/>
      <c r="C6" s="239" t="str">
        <f>Dashboard!C10</f>
        <v>input.ambient_heat</v>
      </c>
      <c r="D6" s="239" t="str">
        <f>Dashboard!D10</f>
        <v>-</v>
      </c>
      <c r="E6" s="240">
        <f>G6</f>
        <v>0.63239875389408096</v>
      </c>
      <c r="F6" s="241"/>
      <c r="G6" s="240">
        <f>Notes!E100</f>
        <v>0.63239875389408096</v>
      </c>
      <c r="H6" s="136"/>
      <c r="I6" s="136"/>
      <c r="J6" s="137"/>
      <c r="K6" s="137"/>
      <c r="L6" s="137"/>
      <c r="M6" s="137"/>
      <c r="N6" s="137"/>
      <c r="O6" s="137"/>
      <c r="P6" s="137"/>
      <c r="Q6" s="137"/>
      <c r="R6" s="137"/>
      <c r="S6" s="137"/>
      <c r="T6" s="137"/>
      <c r="U6" s="203" t="s">
        <v>244</v>
      </c>
    </row>
    <row r="7" spans="2:21" ht="17" thickBot="1">
      <c r="B7" s="54"/>
      <c r="C7" s="239" t="str">
        <f>Dashboard!C11</f>
        <v>input.electricity</v>
      </c>
      <c r="D7" s="239" t="str">
        <f>Dashboard!D11</f>
        <v>-</v>
      </c>
      <c r="E7" s="240">
        <f t="shared" ref="E7" si="0">G7</f>
        <v>0.18068535825545171</v>
      </c>
      <c r="F7" s="138"/>
      <c r="G7" s="240">
        <f>Notes!E101</f>
        <v>0.18068535825545171</v>
      </c>
      <c r="H7" s="136"/>
      <c r="I7" s="136"/>
      <c r="J7" s="139"/>
      <c r="K7" s="137"/>
      <c r="L7" s="137"/>
      <c r="M7" s="137"/>
      <c r="N7" s="137"/>
      <c r="O7" s="137"/>
      <c r="P7" s="137"/>
      <c r="Q7" s="137"/>
      <c r="R7" s="137"/>
      <c r="S7" s="137"/>
      <c r="T7" s="139"/>
      <c r="U7" s="203" t="s">
        <v>244</v>
      </c>
    </row>
    <row r="8" spans="2:21" s="197" customFormat="1" ht="17" thickBot="1">
      <c r="B8" s="198"/>
      <c r="C8" s="239" t="str">
        <f>Dashboard!C12</f>
        <v>input.hydrogen</v>
      </c>
      <c r="D8" s="239" t="str">
        <f>Dashboard!D12</f>
        <v>-</v>
      </c>
      <c r="E8" s="240">
        <f>G8</f>
        <v>0.18691588785046728</v>
      </c>
      <c r="F8" s="138"/>
      <c r="G8" s="240">
        <f>Notes!E57</f>
        <v>0.18691588785046728</v>
      </c>
      <c r="H8" s="200"/>
      <c r="I8" s="200"/>
      <c r="J8" s="201"/>
      <c r="K8" s="202"/>
      <c r="L8" s="202"/>
      <c r="M8" s="202"/>
      <c r="N8" s="202"/>
      <c r="O8" s="202"/>
      <c r="P8" s="202"/>
      <c r="Q8" s="202"/>
      <c r="R8" s="202"/>
      <c r="S8" s="202"/>
      <c r="T8" s="201"/>
      <c r="U8" s="203" t="s">
        <v>244</v>
      </c>
    </row>
    <row r="9" spans="2:21" ht="17" thickBot="1">
      <c r="B9" s="54"/>
      <c r="C9" s="239" t="str">
        <f>Dashboard!C13</f>
        <v>output.cooling</v>
      </c>
      <c r="D9" s="239" t="str">
        <f>Dashboard!D13</f>
        <v>-</v>
      </c>
      <c r="E9" s="242">
        <f>G9</f>
        <v>0</v>
      </c>
      <c r="F9" s="138"/>
      <c r="G9" s="240">
        <v>0</v>
      </c>
      <c r="H9" s="136"/>
      <c r="I9" s="136"/>
      <c r="J9" s="139"/>
      <c r="K9" s="139"/>
      <c r="L9" s="139"/>
      <c r="M9" s="139"/>
      <c r="N9" s="139"/>
      <c r="O9" s="139"/>
      <c r="P9" s="139"/>
      <c r="Q9" s="139"/>
      <c r="R9" s="139"/>
      <c r="S9" s="139"/>
      <c r="T9" s="139"/>
      <c r="U9" s="129" t="s">
        <v>144</v>
      </c>
    </row>
    <row r="10" spans="2:21" ht="17" thickBot="1">
      <c r="B10" s="54"/>
      <c r="C10" s="239" t="str">
        <f>Dashboard!C14</f>
        <v>output.useable_heat.ambient_heat</v>
      </c>
      <c r="D10" s="239" t="str">
        <f>Dashboard!D14</f>
        <v>-</v>
      </c>
      <c r="E10" s="243">
        <f>K10</f>
        <v>1</v>
      </c>
      <c r="F10" s="138"/>
      <c r="G10" s="241"/>
      <c r="H10" s="136"/>
      <c r="I10" s="136"/>
      <c r="J10" s="139"/>
      <c r="K10" s="135">
        <f>Notes!E105</f>
        <v>1</v>
      </c>
      <c r="L10" s="139"/>
      <c r="M10" s="139"/>
      <c r="N10" s="139"/>
      <c r="O10" s="139"/>
      <c r="P10" s="139"/>
      <c r="Q10" s="139"/>
      <c r="R10" s="139"/>
      <c r="S10" s="139"/>
      <c r="T10" s="139"/>
      <c r="U10" s="129"/>
    </row>
    <row r="11" spans="2:21" ht="17" thickBot="1">
      <c r="B11" s="54"/>
      <c r="C11" s="239" t="str">
        <f>Dashboard!C15</f>
        <v>output.useable_heat.electricity</v>
      </c>
      <c r="D11" s="239" t="str">
        <f>Dashboard!D15</f>
        <v>-</v>
      </c>
      <c r="E11" s="243">
        <f>K11</f>
        <v>1</v>
      </c>
      <c r="F11" s="138"/>
      <c r="G11" s="241"/>
      <c r="H11" s="136"/>
      <c r="I11" s="136"/>
      <c r="J11" s="139"/>
      <c r="K11" s="135">
        <f>Notes!E106</f>
        <v>1</v>
      </c>
      <c r="L11" s="139"/>
      <c r="M11" s="139"/>
      <c r="N11" s="139"/>
      <c r="O11" s="139"/>
      <c r="P11" s="139"/>
      <c r="Q11" s="139"/>
      <c r="R11" s="139"/>
      <c r="S11" s="139"/>
      <c r="T11" s="139"/>
      <c r="U11" s="129"/>
    </row>
    <row r="12" spans="2:21" s="214" customFormat="1" ht="17" thickBot="1">
      <c r="B12" s="215"/>
      <c r="C12" s="239" t="str">
        <f>Dashboard!C16</f>
        <v>output.useable_heat.hydrogen</v>
      </c>
      <c r="D12" s="239" t="str">
        <f>Dashboard!D16</f>
        <v>-</v>
      </c>
      <c r="E12" s="240">
        <f>H12</f>
        <v>1.0869565217391304</v>
      </c>
      <c r="F12" s="241"/>
      <c r="G12" s="244"/>
      <c r="H12" s="217">
        <f>Notes!E18</f>
        <v>1.0869565217391304</v>
      </c>
      <c r="I12" s="217">
        <f>Notes!E69</f>
        <v>1.1314177566107477</v>
      </c>
      <c r="J12" s="216"/>
      <c r="K12" s="216"/>
      <c r="L12" s="216"/>
      <c r="M12" s="216"/>
      <c r="N12" s="216"/>
      <c r="O12" s="216"/>
      <c r="P12" s="216"/>
      <c r="Q12" s="216"/>
      <c r="R12" s="216"/>
      <c r="S12" s="216"/>
      <c r="T12" s="216"/>
      <c r="U12" s="218"/>
    </row>
    <row r="13" spans="2:21" ht="17" thickBot="1">
      <c r="B13" s="54"/>
      <c r="C13" s="239" t="str">
        <f>Dashboard!C17</f>
        <v>fever.base_cop</v>
      </c>
      <c r="D13" s="239" t="str">
        <f>Dashboard!D17</f>
        <v>-</v>
      </c>
      <c r="E13" s="240">
        <f>M13</f>
        <v>2.3233333333333333</v>
      </c>
      <c r="F13" s="241"/>
      <c r="G13" s="245"/>
      <c r="H13" s="144"/>
      <c r="I13" s="144"/>
      <c r="J13" s="142"/>
      <c r="K13" s="142"/>
      <c r="L13" s="142"/>
      <c r="M13" s="145">
        <f>Notes!E257</f>
        <v>2.3233333333333333</v>
      </c>
      <c r="N13" s="142"/>
      <c r="O13" s="142"/>
      <c r="P13" s="142"/>
      <c r="Q13" s="142"/>
      <c r="R13" s="142"/>
      <c r="S13" s="142"/>
      <c r="T13" s="142"/>
      <c r="U13" s="129"/>
    </row>
    <row r="14" spans="2:21" ht="17" thickBot="1">
      <c r="B14" s="54"/>
      <c r="C14" s="239" t="str">
        <f>Dashboard!C18</f>
        <v>fever.capacity.electricity</v>
      </c>
      <c r="D14" s="239" t="str">
        <f>Dashboard!D18</f>
        <v>-</v>
      </c>
      <c r="E14" s="240">
        <f>M14</f>
        <v>1.8327326043130307E-3</v>
      </c>
      <c r="F14" s="241"/>
      <c r="G14" s="245"/>
      <c r="H14" s="144"/>
      <c r="I14" s="144"/>
      <c r="J14" s="142"/>
      <c r="K14" s="142"/>
      <c r="L14" s="142"/>
      <c r="M14" s="146">
        <f>Notes!E274</f>
        <v>1.8327326043130307E-3</v>
      </c>
      <c r="N14" s="142"/>
      <c r="O14" s="142"/>
      <c r="P14" s="142"/>
      <c r="Q14" s="142"/>
      <c r="R14" s="142"/>
      <c r="S14" s="142"/>
      <c r="T14" s="142"/>
      <c r="U14" s="129"/>
    </row>
    <row r="15" spans="2:21" s="197" customFormat="1" ht="17" thickBot="1">
      <c r="B15" s="198"/>
      <c r="C15" s="239" t="str">
        <f>Dashboard!C19</f>
        <v>fever.capacity.hydrogen</v>
      </c>
      <c r="D15" s="239" t="str">
        <f>Dashboard!D19</f>
        <v>-</v>
      </c>
      <c r="E15" s="240">
        <f>G15</f>
        <v>2.1999999999999999E-2</v>
      </c>
      <c r="F15" s="241"/>
      <c r="G15" s="246">
        <f>Notes!F244</f>
        <v>2.1999999999999999E-2</v>
      </c>
      <c r="H15" s="205"/>
      <c r="I15" s="205"/>
      <c r="J15" s="204"/>
      <c r="K15" s="204"/>
      <c r="L15" s="204"/>
      <c r="M15" s="204"/>
      <c r="N15" s="204"/>
      <c r="O15" s="204"/>
      <c r="P15" s="204"/>
      <c r="Q15" s="204"/>
      <c r="R15" s="204"/>
      <c r="S15" s="204"/>
      <c r="T15" s="204"/>
      <c r="U15" s="203" t="s">
        <v>243</v>
      </c>
    </row>
    <row r="16" spans="2:21" ht="17" thickBot="1">
      <c r="B16" s="54"/>
      <c r="C16" s="91" t="str">
        <f>Dashboard!C20</f>
        <v>fever.cop_cutoff</v>
      </c>
      <c r="D16" s="91" t="str">
        <f>Dashboard!D20</f>
        <v>-</v>
      </c>
      <c r="E16" s="141">
        <f>G16</f>
        <v>2.6002380221130221</v>
      </c>
      <c r="F16" s="136"/>
      <c r="G16" s="143">
        <f>Notes!F222</f>
        <v>2.6002380221130221</v>
      </c>
      <c r="H16" s="147"/>
      <c r="I16" s="147"/>
      <c r="J16" s="142"/>
      <c r="K16" s="142"/>
      <c r="L16" s="142"/>
      <c r="M16" s="142"/>
      <c r="N16" s="142"/>
      <c r="O16" s="142"/>
      <c r="P16" s="142"/>
      <c r="Q16" s="142"/>
      <c r="R16" s="142"/>
      <c r="S16" s="142"/>
      <c r="T16" s="142"/>
      <c r="U16" s="129"/>
    </row>
    <row r="17" spans="1:21" s="197" customFormat="1" ht="17" thickBot="1">
      <c r="B17" s="198"/>
      <c r="C17" s="232" t="str">
        <f>Dashboard!C21</f>
        <v>fever.cop_per_degree</v>
      </c>
      <c r="D17" s="113" t="str">
        <f>Dashboard!D21</f>
        <v>-</v>
      </c>
      <c r="E17" s="228">
        <f>M17</f>
        <v>5.7833333333333327E-2</v>
      </c>
      <c r="F17" s="229"/>
      <c r="G17" s="230"/>
      <c r="H17" s="230"/>
      <c r="I17" s="230"/>
      <c r="J17" s="230"/>
      <c r="K17" s="230"/>
      <c r="L17" s="230"/>
      <c r="M17" s="231">
        <f>Notes!E258</f>
        <v>5.7833333333333327E-2</v>
      </c>
      <c r="N17" s="204"/>
      <c r="O17" s="204"/>
      <c r="P17" s="204"/>
      <c r="Q17" s="204"/>
      <c r="R17" s="204"/>
      <c r="S17" s="204"/>
      <c r="T17" s="204"/>
      <c r="U17" s="203"/>
    </row>
    <row r="18" spans="1:21" ht="17" thickBot="1">
      <c r="B18" s="54"/>
      <c r="C18" s="91" t="str">
        <f>Dashboard!C22</f>
        <v>storage.volume</v>
      </c>
      <c r="D18" s="91" t="str">
        <f>Dashboard!D22</f>
        <v>MWh</v>
      </c>
      <c r="E18" s="141">
        <f>J18</f>
        <v>0</v>
      </c>
      <c r="F18" s="136"/>
      <c r="G18" s="136"/>
      <c r="H18" s="147"/>
      <c r="I18" s="147"/>
      <c r="J18" s="140">
        <f>Notes!E194</f>
        <v>0</v>
      </c>
      <c r="K18" s="142"/>
      <c r="L18" s="142"/>
      <c r="M18" s="142"/>
      <c r="N18" s="146">
        <f>Notes!E288</f>
        <v>1.7000000000000001E-3</v>
      </c>
      <c r="O18" s="140">
        <f>Notes!E258</f>
        <v>5.7833333333333327E-2</v>
      </c>
      <c r="P18" s="146">
        <f>Notes!E296</f>
        <v>3.3E-3</v>
      </c>
      <c r="Q18" s="142"/>
      <c r="R18" s="142"/>
      <c r="S18" s="142"/>
      <c r="T18" s="142"/>
      <c r="U18" s="129"/>
    </row>
    <row r="19" spans="1:21" ht="17" thickBot="1">
      <c r="B19" s="54"/>
      <c r="C19" s="91" t="str">
        <f>Dashboard!C23</f>
        <v>availability</v>
      </c>
      <c r="D19" s="91" t="str">
        <f>Dashboard!D23</f>
        <v>-</v>
      </c>
      <c r="E19" s="140">
        <f t="shared" ref="E19:E22" si="1">G19</f>
        <v>0</v>
      </c>
      <c r="F19" s="139"/>
      <c r="G19" s="140">
        <v>0</v>
      </c>
      <c r="H19" s="142"/>
      <c r="I19" s="142"/>
      <c r="J19" s="142"/>
      <c r="K19" s="142"/>
      <c r="L19" s="142"/>
      <c r="M19" s="142"/>
      <c r="N19" s="142"/>
      <c r="O19" s="142"/>
      <c r="P19" s="142"/>
      <c r="Q19" s="142"/>
      <c r="R19" s="142"/>
      <c r="S19" s="142"/>
      <c r="T19" s="142"/>
      <c r="U19" s="129" t="s">
        <v>112</v>
      </c>
    </row>
    <row r="20" spans="1:21" ht="17" thickBot="1">
      <c r="B20" s="54"/>
      <c r="C20" s="91" t="str">
        <f>Dashboard!C24</f>
        <v>forecasting_error</v>
      </c>
      <c r="D20" s="91" t="str">
        <f>Dashboard!D24</f>
        <v>-</v>
      </c>
      <c r="E20" s="140">
        <f t="shared" si="1"/>
        <v>0</v>
      </c>
      <c r="F20" s="139"/>
      <c r="G20" s="140">
        <v>0</v>
      </c>
      <c r="H20" s="142"/>
      <c r="I20" s="142"/>
      <c r="J20" s="139"/>
      <c r="K20" s="139"/>
      <c r="L20" s="139"/>
      <c r="M20" s="139"/>
      <c r="N20" s="139"/>
      <c r="O20" s="139"/>
      <c r="P20" s="139"/>
      <c r="Q20" s="139"/>
      <c r="R20" s="139"/>
      <c r="S20" s="139"/>
      <c r="T20" s="139"/>
      <c r="U20" s="129" t="s">
        <v>112</v>
      </c>
    </row>
    <row r="21" spans="1:21" ht="17" thickBot="1">
      <c r="B21" s="54"/>
      <c r="C21" s="91" t="str">
        <f>Dashboard!C25</f>
        <v>full_load_hours</v>
      </c>
      <c r="D21" s="91" t="str">
        <f>Dashboard!D25</f>
        <v>hour/year</v>
      </c>
      <c r="E21" s="140">
        <f t="shared" si="1"/>
        <v>0</v>
      </c>
      <c r="F21" s="139"/>
      <c r="G21" s="140">
        <v>0</v>
      </c>
      <c r="H21" s="142"/>
      <c r="I21" s="142"/>
      <c r="J21" s="144"/>
      <c r="K21" s="144"/>
      <c r="L21" s="137"/>
      <c r="M21" s="137"/>
      <c r="N21" s="137"/>
      <c r="O21" s="137"/>
      <c r="P21" s="137"/>
      <c r="Q21" s="137"/>
      <c r="R21" s="137"/>
      <c r="S21" s="137"/>
      <c r="T21" s="137"/>
      <c r="U21" s="129" t="s">
        <v>115</v>
      </c>
    </row>
    <row r="22" spans="1:21" ht="17" thickBot="1">
      <c r="B22" s="54"/>
      <c r="C22" s="91" t="str">
        <f>Dashboard!C26</f>
        <v>households_supplied_per_unit</v>
      </c>
      <c r="D22" s="91" t="str">
        <f>Dashboard!D26</f>
        <v>-</v>
      </c>
      <c r="E22" s="140">
        <f t="shared" si="1"/>
        <v>1</v>
      </c>
      <c r="F22" s="139"/>
      <c r="G22" s="140">
        <v>1</v>
      </c>
      <c r="H22" s="142"/>
      <c r="I22" s="142"/>
      <c r="J22" s="137"/>
      <c r="K22" s="137"/>
      <c r="L22" s="137"/>
      <c r="M22" s="137"/>
      <c r="N22" s="137"/>
      <c r="O22" s="137"/>
      <c r="P22" s="137"/>
      <c r="Q22" s="137"/>
      <c r="R22" s="137"/>
      <c r="S22" s="137"/>
      <c r="T22" s="137"/>
      <c r="U22" s="129" t="s">
        <v>10</v>
      </c>
    </row>
    <row r="23" spans="1:21" ht="17" thickBot="1">
      <c r="B23" s="54"/>
      <c r="C23" s="91" t="str">
        <f>Dashboard!C27</f>
        <v>electricity_output_capacity</v>
      </c>
      <c r="D23" s="91" t="str">
        <f>Dashboard!D27</f>
        <v>MW</v>
      </c>
      <c r="E23" s="146">
        <v>0</v>
      </c>
      <c r="F23" s="148"/>
      <c r="G23" s="149">
        <v>0</v>
      </c>
      <c r="H23" s="144"/>
      <c r="I23" s="144"/>
      <c r="J23" s="144"/>
      <c r="K23" s="144"/>
      <c r="L23" s="144"/>
      <c r="M23" s="144"/>
      <c r="N23" s="144"/>
      <c r="O23" s="144"/>
      <c r="P23" s="144"/>
      <c r="Q23" s="144"/>
      <c r="R23" s="144"/>
      <c r="S23" s="144"/>
      <c r="T23" s="144"/>
      <c r="U23" s="129" t="s">
        <v>113</v>
      </c>
    </row>
    <row r="24" spans="1:21" ht="17" thickBot="1">
      <c r="B24" s="54"/>
      <c r="C24" s="91" t="str">
        <f>Dashboard!C28</f>
        <v>heat_output_capacity</v>
      </c>
      <c r="D24" s="91" t="str">
        <f>Dashboard!D28</f>
        <v>MW</v>
      </c>
      <c r="E24" s="146">
        <f>K24</f>
        <v>4.9000000000000007E-3</v>
      </c>
      <c r="F24" s="150"/>
      <c r="G24" s="150"/>
      <c r="H24" s="150"/>
      <c r="I24" s="150"/>
      <c r="J24" s="150"/>
      <c r="K24" s="146">
        <f>Notes!E96</f>
        <v>4.9000000000000007E-3</v>
      </c>
      <c r="L24" s="151"/>
      <c r="M24" s="151"/>
      <c r="N24" s="151"/>
      <c r="O24" s="151"/>
      <c r="P24" s="151"/>
      <c r="Q24" s="151"/>
      <c r="R24" s="151"/>
      <c r="S24" s="151"/>
      <c r="T24" s="144"/>
      <c r="U24" s="129" t="s">
        <v>125</v>
      </c>
    </row>
    <row r="25" spans="1:21">
      <c r="B25" s="54"/>
      <c r="C25" s="57"/>
      <c r="U25" s="129"/>
    </row>
    <row r="26" spans="1:21" ht="17" thickBot="1">
      <c r="B26" s="54"/>
      <c r="C26" s="25" t="s">
        <v>76</v>
      </c>
      <c r="D26" s="25"/>
      <c r="U26" s="129"/>
    </row>
    <row r="27" spans="1:21" ht="17" thickBot="1">
      <c r="A27" s="95"/>
      <c r="B27" s="96"/>
      <c r="C27" s="91" t="str">
        <f>Dashboard!C31</f>
        <v>initial_investment</v>
      </c>
      <c r="D27" s="91" t="str">
        <f>Dashboard!D31</f>
        <v>euro</v>
      </c>
      <c r="E27" s="140">
        <f>S27</f>
        <v>5500</v>
      </c>
      <c r="F27" s="148"/>
      <c r="G27" s="144"/>
      <c r="H27" s="144"/>
      <c r="I27" s="144"/>
      <c r="J27" s="208"/>
      <c r="K27" s="144"/>
      <c r="L27" s="144"/>
      <c r="M27" s="144"/>
      <c r="N27" s="144"/>
      <c r="O27" s="144"/>
      <c r="P27" s="144"/>
      <c r="Q27" s="144"/>
      <c r="R27" s="144"/>
      <c r="S27" s="152">
        <f>Notes!E335-Notes!E268</f>
        <v>5500</v>
      </c>
      <c r="T27" s="144"/>
      <c r="U27" s="129" t="s">
        <v>245</v>
      </c>
    </row>
    <row r="28" spans="1:21" ht="17" thickBot="1">
      <c r="A28" s="95"/>
      <c r="B28" s="96"/>
      <c r="C28" s="91" t="str">
        <f>Dashboard!C32</f>
        <v>ccs_investment</v>
      </c>
      <c r="D28" s="91" t="str">
        <f>Dashboard!D32</f>
        <v>euro</v>
      </c>
      <c r="E28" s="140">
        <f t="shared" ref="E28:E34" si="2">G28</f>
        <v>0</v>
      </c>
      <c r="F28" s="148"/>
      <c r="G28" s="140">
        <f>J28</f>
        <v>0</v>
      </c>
      <c r="H28" s="142"/>
      <c r="I28" s="142"/>
      <c r="J28" s="144"/>
      <c r="K28" s="144"/>
      <c r="L28" s="144"/>
      <c r="M28" s="144"/>
      <c r="N28" s="144"/>
      <c r="O28" s="144"/>
      <c r="P28" s="144"/>
      <c r="Q28" s="144"/>
      <c r="R28" s="144"/>
      <c r="S28" s="144"/>
      <c r="T28" s="144"/>
      <c r="U28" s="129" t="s">
        <v>113</v>
      </c>
    </row>
    <row r="29" spans="1:21" ht="17" thickBot="1">
      <c r="A29" s="95"/>
      <c r="B29" s="96"/>
      <c r="C29" s="91" t="str">
        <f>Dashboard!C33</f>
        <v>cost_of_installing</v>
      </c>
      <c r="D29" s="91" t="str">
        <f>Dashboard!D33</f>
        <v>euro</v>
      </c>
      <c r="E29" s="153">
        <f>O29</f>
        <v>1000</v>
      </c>
      <c r="F29" s="148"/>
      <c r="G29" s="144"/>
      <c r="H29" s="144"/>
      <c r="I29" s="144"/>
      <c r="J29" s="152">
        <f>Notes!E180</f>
        <v>600</v>
      </c>
      <c r="K29" s="144"/>
      <c r="L29" s="144"/>
      <c r="M29" s="144"/>
      <c r="N29" s="144"/>
      <c r="O29" s="154">
        <f>Notes!E268</f>
        <v>1000</v>
      </c>
      <c r="P29" s="155"/>
      <c r="Q29" s="144"/>
      <c r="R29" s="144"/>
      <c r="S29" s="152">
        <v>0</v>
      </c>
      <c r="T29" s="144"/>
      <c r="U29" s="129" t="s">
        <v>245</v>
      </c>
    </row>
    <row r="30" spans="1:21" ht="17" thickBot="1">
      <c r="A30" s="95"/>
      <c r="B30" s="96"/>
      <c r="C30" s="91" t="str">
        <f>Dashboard!C34</f>
        <v>decommissioning_costs</v>
      </c>
      <c r="D30" s="91" t="str">
        <f>Dashboard!D34</f>
        <v>euro</v>
      </c>
      <c r="E30" s="140">
        <f t="shared" si="2"/>
        <v>0</v>
      </c>
      <c r="F30" s="148"/>
      <c r="G30" s="140">
        <f>J30</f>
        <v>0</v>
      </c>
      <c r="H30" s="142"/>
      <c r="I30" s="142"/>
      <c r="J30" s="144"/>
      <c r="K30" s="144"/>
      <c r="L30" s="144"/>
      <c r="M30" s="144"/>
      <c r="N30" s="144"/>
      <c r="O30" s="155"/>
      <c r="P30" s="155"/>
      <c r="Q30" s="144"/>
      <c r="R30" s="144"/>
      <c r="S30" s="144"/>
      <c r="T30" s="144"/>
      <c r="U30" s="129" t="s">
        <v>113</v>
      </c>
    </row>
    <row r="31" spans="1:21" ht="17" thickBot="1">
      <c r="A31" s="95"/>
      <c r="B31" s="96"/>
      <c r="C31" s="91" t="str">
        <f>Dashboard!C35</f>
        <v>fixed_operation_and_maintenance_costs_per_year</v>
      </c>
      <c r="D31" s="91" t="str">
        <f>Dashboard!D35</f>
        <v>euro/year</v>
      </c>
      <c r="E31" s="153">
        <f>O31</f>
        <v>200</v>
      </c>
      <c r="F31" s="148"/>
      <c r="G31" s="144"/>
      <c r="H31" s="144"/>
      <c r="I31" s="144"/>
      <c r="J31" s="144"/>
      <c r="K31" s="144"/>
      <c r="L31" s="146">
        <f>Notes!E217</f>
        <v>252.89256198347107</v>
      </c>
      <c r="M31" s="151"/>
      <c r="N31" s="151"/>
      <c r="O31" s="153">
        <f>Notes!E269</f>
        <v>200</v>
      </c>
      <c r="P31" s="157"/>
      <c r="Q31" s="151"/>
      <c r="R31" s="151"/>
      <c r="S31" s="144"/>
      <c r="T31" s="144"/>
      <c r="U31" s="129" t="s">
        <v>245</v>
      </c>
    </row>
    <row r="32" spans="1:21" ht="17" thickBot="1">
      <c r="A32" s="95"/>
      <c r="B32" s="96"/>
      <c r="C32" s="91" t="str">
        <f>Dashboard!C36</f>
        <v>variable_operation_and_maintenance_costs_per_full_load_hour</v>
      </c>
      <c r="D32" s="91" t="str">
        <f>Dashboard!D36</f>
        <v>euro/FLH</v>
      </c>
      <c r="E32" s="143">
        <f>G32</f>
        <v>0</v>
      </c>
      <c r="F32" s="148"/>
      <c r="G32" s="140">
        <f>J32</f>
        <v>0</v>
      </c>
      <c r="H32" s="142"/>
      <c r="I32" s="142"/>
      <c r="J32" s="144"/>
      <c r="K32" s="144"/>
      <c r="L32" s="144"/>
      <c r="M32" s="144"/>
      <c r="N32" s="144"/>
      <c r="O32" s="144"/>
      <c r="P32" s="144"/>
      <c r="Q32" s="144"/>
      <c r="R32" s="144"/>
      <c r="S32" s="144"/>
      <c r="T32" s="144"/>
      <c r="U32" s="129" t="s">
        <v>115</v>
      </c>
    </row>
    <row r="33" spans="1:21" ht="17" thickBot="1">
      <c r="A33" s="95"/>
      <c r="B33" s="96"/>
      <c r="C33" s="91" t="str">
        <f>Dashboard!C37</f>
        <v>variable_operation_and_maintenance_costs_for_ccs_per_full_load_hour</v>
      </c>
      <c r="D33" s="91" t="str">
        <f>Dashboard!D37</f>
        <v>euro/FLH</v>
      </c>
      <c r="E33" s="143">
        <f>G33</f>
        <v>0</v>
      </c>
      <c r="F33" s="148"/>
      <c r="G33" s="140">
        <f>J33</f>
        <v>0</v>
      </c>
      <c r="H33" s="142"/>
      <c r="I33" s="142"/>
      <c r="J33" s="144"/>
      <c r="K33" s="144"/>
      <c r="L33" s="144"/>
      <c r="M33" s="144"/>
      <c r="N33" s="144"/>
      <c r="O33" s="144"/>
      <c r="P33" s="144"/>
      <c r="Q33" s="144"/>
      <c r="R33" s="144"/>
      <c r="S33" s="144"/>
      <c r="T33" s="144"/>
      <c r="U33" s="129" t="s">
        <v>113</v>
      </c>
    </row>
    <row r="34" spans="1:21" ht="17" thickBot="1">
      <c r="A34" s="95"/>
      <c r="B34" s="96"/>
      <c r="C34" s="91" t="str">
        <f>Dashboard!C39</f>
        <v>takes_part_in_ets</v>
      </c>
      <c r="D34" s="91" t="str">
        <f>Dashboard!D39</f>
        <v>yes=1, no=0</v>
      </c>
      <c r="E34" s="140">
        <f t="shared" si="2"/>
        <v>0</v>
      </c>
      <c r="F34" s="148"/>
      <c r="G34" s="140">
        <f>J34</f>
        <v>0</v>
      </c>
      <c r="H34" s="142"/>
      <c r="I34" s="142"/>
      <c r="J34" s="144"/>
      <c r="K34" s="144"/>
      <c r="L34" s="144"/>
      <c r="M34" s="144"/>
      <c r="N34" s="144"/>
      <c r="O34" s="144"/>
      <c r="P34" s="144"/>
      <c r="Q34" s="144"/>
      <c r="R34" s="144"/>
      <c r="S34" s="144"/>
      <c r="T34" s="144"/>
      <c r="U34" s="129" t="s">
        <v>113</v>
      </c>
    </row>
    <row r="35" spans="1:21">
      <c r="A35" s="95"/>
      <c r="B35" s="96"/>
      <c r="C35" s="25"/>
      <c r="U35" s="129"/>
    </row>
    <row r="36" spans="1:21" ht="17" thickBot="1">
      <c r="A36" s="95"/>
      <c r="B36" s="96"/>
      <c r="C36" s="11" t="s">
        <v>5</v>
      </c>
      <c r="U36" s="129"/>
    </row>
    <row r="37" spans="1:21" ht="17" thickBot="1">
      <c r="A37" s="95"/>
      <c r="B37" s="96"/>
      <c r="C37" s="91" t="str">
        <f>Dashboard!C42</f>
        <v>construction_time</v>
      </c>
      <c r="D37" s="91" t="str">
        <f>Dashboard!D42</f>
        <v>years</v>
      </c>
      <c r="E37" s="140">
        <f>G37</f>
        <v>0</v>
      </c>
      <c r="F37" s="148"/>
      <c r="G37" s="140">
        <f>J37</f>
        <v>0</v>
      </c>
      <c r="H37" s="142"/>
      <c r="I37" s="142"/>
      <c r="J37" s="144"/>
      <c r="K37" s="144"/>
      <c r="L37" s="144"/>
      <c r="M37" s="144"/>
      <c r="N37" s="144"/>
      <c r="O37" s="144"/>
      <c r="P37" s="144"/>
      <c r="Q37" s="144"/>
      <c r="R37" s="144"/>
      <c r="S37" s="144"/>
      <c r="T37" s="144"/>
      <c r="U37" s="129" t="s">
        <v>113</v>
      </c>
    </row>
    <row r="38" spans="1:21" ht="17" thickBot="1">
      <c r="A38" s="95"/>
      <c r="B38" s="96"/>
      <c r="C38" s="91" t="str">
        <f>Dashboard!C43</f>
        <v>technical_lifetime</v>
      </c>
      <c r="D38" s="91" t="str">
        <f>Dashboard!D43</f>
        <v>years</v>
      </c>
      <c r="E38" s="140">
        <f>O38</f>
        <v>15</v>
      </c>
      <c r="F38" s="148"/>
      <c r="G38" s="144"/>
      <c r="H38" s="144"/>
      <c r="I38" s="144"/>
      <c r="J38" s="144"/>
      <c r="K38" s="144"/>
      <c r="L38" s="144"/>
      <c r="M38" s="144"/>
      <c r="N38" s="144"/>
      <c r="O38" s="149">
        <f>Notes!E267</f>
        <v>15</v>
      </c>
      <c r="P38" s="144"/>
      <c r="Q38" s="144"/>
      <c r="R38" s="144"/>
      <c r="S38" s="144"/>
      <c r="T38" s="144"/>
      <c r="U38" s="156" t="s">
        <v>146</v>
      </c>
    </row>
    <row r="39" spans="1:21">
      <c r="B39" s="54"/>
      <c r="U39" s="130"/>
    </row>
    <row r="40" spans="1:21">
      <c r="B40" s="54"/>
      <c r="U40" s="130"/>
    </row>
    <row r="41" spans="1:21">
      <c r="B41" s="54"/>
      <c r="U41" s="130"/>
    </row>
    <row r="42" spans="1:21" ht="17" thickBot="1">
      <c r="B42" s="131"/>
      <c r="C42" s="132"/>
      <c r="D42" s="132"/>
      <c r="E42" s="132"/>
      <c r="F42" s="132"/>
      <c r="G42" s="133"/>
      <c r="H42" s="133"/>
      <c r="I42" s="133"/>
      <c r="J42" s="133"/>
      <c r="K42" s="133"/>
      <c r="L42" s="133"/>
      <c r="M42" s="133"/>
      <c r="N42" s="133"/>
      <c r="O42" s="133"/>
      <c r="P42" s="133"/>
      <c r="Q42" s="133"/>
      <c r="R42" s="133"/>
      <c r="S42" s="133"/>
      <c r="T42" s="133"/>
      <c r="U42" s="134"/>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A1:K73"/>
  <sheetViews>
    <sheetView topLeftCell="A3" zoomScaleNormal="100" workbookViewId="0">
      <selection activeCell="E40" sqref="E40"/>
    </sheetView>
  </sheetViews>
  <sheetFormatPr baseColWidth="10" defaultColWidth="33.1640625" defaultRowHeight="16"/>
  <cols>
    <col min="1" max="1" width="3.33203125" style="36" customWidth="1"/>
    <col min="2" max="2" width="3.5" style="36" customWidth="1"/>
    <col min="3" max="3" width="25.1640625" style="36" customWidth="1"/>
    <col min="4" max="4" width="3.1640625" style="36" customWidth="1"/>
    <col min="5" max="5" width="16.1640625" style="36" customWidth="1"/>
    <col min="6" max="6" width="10.33203125" style="36" customWidth="1"/>
    <col min="7" max="9" width="12.1640625" style="36" customWidth="1"/>
    <col min="10" max="10" width="33.6640625" style="37" customWidth="1"/>
    <col min="11" max="11" width="96" style="36" bestFit="1" customWidth="1"/>
    <col min="12" max="16384" width="33.1640625" style="36"/>
  </cols>
  <sheetData>
    <row r="1" spans="2:11" ht="17" thickBot="1"/>
    <row r="2" spans="2:11">
      <c r="B2" s="38"/>
      <c r="C2" s="39"/>
      <c r="D2" s="39"/>
      <c r="E2" s="39"/>
      <c r="F2" s="39"/>
      <c r="G2" s="39"/>
      <c r="H2" s="39"/>
      <c r="I2" s="39"/>
      <c r="J2" s="40"/>
      <c r="K2" s="163"/>
    </row>
    <row r="3" spans="2:11">
      <c r="B3" s="41"/>
      <c r="C3" s="42" t="s">
        <v>18</v>
      </c>
      <c r="D3" s="42"/>
      <c r="E3" s="42"/>
      <c r="F3" s="42"/>
      <c r="G3" s="42"/>
      <c r="H3" s="42"/>
      <c r="I3" s="42"/>
      <c r="J3" s="43"/>
      <c r="K3" s="158"/>
    </row>
    <row r="4" spans="2:11">
      <c r="B4" s="41"/>
      <c r="K4" s="158"/>
    </row>
    <row r="5" spans="2:11">
      <c r="B5" s="44"/>
      <c r="C5" s="45" t="s">
        <v>23</v>
      </c>
      <c r="D5" s="45"/>
      <c r="E5" s="45" t="s">
        <v>0</v>
      </c>
      <c r="F5" s="45" t="s">
        <v>15</v>
      </c>
      <c r="G5" s="45" t="s">
        <v>24</v>
      </c>
      <c r="H5" s="45" t="s">
        <v>80</v>
      </c>
      <c r="I5" s="45" t="s">
        <v>99</v>
      </c>
      <c r="J5" s="46" t="s">
        <v>81</v>
      </c>
      <c r="K5" s="164" t="s">
        <v>12</v>
      </c>
    </row>
    <row r="6" spans="2:11">
      <c r="B6" s="41"/>
      <c r="C6" s="42"/>
      <c r="D6" s="42"/>
      <c r="E6" s="42"/>
      <c r="F6" s="42"/>
      <c r="G6" s="42"/>
      <c r="H6" s="42"/>
      <c r="I6" s="42"/>
      <c r="J6" s="43"/>
      <c r="K6" s="165"/>
    </row>
    <row r="7" spans="2:11">
      <c r="B7" s="41"/>
      <c r="C7" s="170"/>
      <c r="D7" s="42"/>
      <c r="J7" s="43"/>
      <c r="K7" s="165"/>
    </row>
    <row r="8" spans="2:11">
      <c r="B8" s="41"/>
      <c r="C8" s="171" t="s">
        <v>100</v>
      </c>
      <c r="D8" s="172"/>
      <c r="E8" s="173" t="s">
        <v>98</v>
      </c>
      <c r="F8" s="173" t="s">
        <v>101</v>
      </c>
      <c r="G8" s="174" t="s">
        <v>102</v>
      </c>
      <c r="H8" s="174" t="s">
        <v>102</v>
      </c>
      <c r="I8" s="174" t="s">
        <v>103</v>
      </c>
      <c r="J8" s="174" t="s">
        <v>133</v>
      </c>
      <c r="K8" s="129" t="s">
        <v>104</v>
      </c>
    </row>
    <row r="9" spans="2:11">
      <c r="B9" s="41"/>
      <c r="C9" s="175" t="s">
        <v>105</v>
      </c>
      <c r="D9" s="176"/>
      <c r="E9" s="173"/>
      <c r="F9" s="173"/>
      <c r="G9" s="174"/>
      <c r="H9" s="174"/>
      <c r="I9" s="174"/>
      <c r="J9" s="174"/>
      <c r="K9" s="177"/>
    </row>
    <row r="10" spans="2:11">
      <c r="B10" s="41"/>
      <c r="C10" s="175"/>
      <c r="D10" s="176"/>
      <c r="E10" s="173"/>
      <c r="F10" s="173"/>
      <c r="G10" s="174"/>
      <c r="H10" s="174"/>
      <c r="I10" s="174"/>
      <c r="J10" s="174"/>
      <c r="K10" s="177"/>
    </row>
    <row r="11" spans="2:11">
      <c r="B11" s="41"/>
      <c r="C11" s="175"/>
      <c r="D11" s="176"/>
      <c r="E11" s="172"/>
      <c r="F11" s="178"/>
      <c r="G11" s="174"/>
      <c r="H11" s="174"/>
      <c r="I11" s="174"/>
      <c r="J11" s="174"/>
      <c r="K11" s="177"/>
    </row>
    <row r="12" spans="2:11" ht="13" customHeight="1">
      <c r="B12" s="41"/>
      <c r="C12" s="171" t="s">
        <v>126</v>
      </c>
      <c r="D12" s="179"/>
      <c r="E12" s="172" t="s">
        <v>127</v>
      </c>
      <c r="F12" s="178" t="s">
        <v>128</v>
      </c>
      <c r="G12" s="180" t="s">
        <v>129</v>
      </c>
      <c r="H12" s="180" t="s">
        <v>129</v>
      </c>
      <c r="I12" s="180" t="s">
        <v>130</v>
      </c>
      <c r="J12" s="180" t="s">
        <v>132</v>
      </c>
      <c r="K12" s="177" t="s">
        <v>131</v>
      </c>
    </row>
    <row r="13" spans="2:11">
      <c r="B13" s="41"/>
      <c r="C13" s="181"/>
      <c r="D13" s="179"/>
      <c r="E13" s="172"/>
      <c r="F13" s="178"/>
      <c r="G13" s="180"/>
      <c r="H13" s="180"/>
      <c r="I13" s="180"/>
      <c r="J13" s="180"/>
      <c r="K13" s="177"/>
    </row>
    <row r="14" spans="2:11" ht="34">
      <c r="B14" s="41"/>
      <c r="C14" s="175" t="s">
        <v>34</v>
      </c>
      <c r="D14" s="179"/>
      <c r="E14" s="172" t="s">
        <v>137</v>
      </c>
      <c r="F14" s="178" t="s">
        <v>101</v>
      </c>
      <c r="G14" s="180" t="s">
        <v>138</v>
      </c>
      <c r="H14" s="180" t="s">
        <v>138</v>
      </c>
      <c r="I14" s="180" t="s">
        <v>130</v>
      </c>
      <c r="J14" s="180" t="s">
        <v>139</v>
      </c>
      <c r="K14" s="177" t="s">
        <v>90</v>
      </c>
    </row>
    <row r="15" spans="2:11">
      <c r="B15" s="41"/>
      <c r="C15" s="171"/>
      <c r="D15" s="179"/>
      <c r="E15" s="172"/>
      <c r="F15" s="178"/>
      <c r="G15" s="180"/>
      <c r="H15" s="180"/>
      <c r="I15" s="180"/>
      <c r="J15" s="180"/>
      <c r="K15" s="177"/>
    </row>
    <row r="16" spans="2:11" ht="34">
      <c r="B16" s="41"/>
      <c r="C16" s="199" t="s">
        <v>216</v>
      </c>
      <c r="D16" s="179"/>
      <c r="E16" s="172" t="s">
        <v>140</v>
      </c>
      <c r="F16" s="178" t="s">
        <v>101</v>
      </c>
      <c r="G16" s="180" t="s">
        <v>138</v>
      </c>
      <c r="H16" s="180" t="s">
        <v>138</v>
      </c>
      <c r="I16" s="180" t="s">
        <v>130</v>
      </c>
      <c r="J16" s="180" t="s">
        <v>141</v>
      </c>
      <c r="K16" s="177" t="s">
        <v>89</v>
      </c>
    </row>
    <row r="17" spans="1:11" s="159" customFormat="1">
      <c r="B17" s="160"/>
      <c r="C17" s="182" t="s">
        <v>158</v>
      </c>
      <c r="D17" s="181"/>
      <c r="E17" s="181" t="s">
        <v>166</v>
      </c>
      <c r="F17" s="181" t="s">
        <v>101</v>
      </c>
      <c r="G17" s="181">
        <v>2015</v>
      </c>
      <c r="H17" s="181">
        <v>2015</v>
      </c>
      <c r="I17" s="183">
        <v>42948</v>
      </c>
      <c r="J17" s="182" t="s">
        <v>189</v>
      </c>
      <c r="K17" s="184"/>
    </row>
    <row r="18" spans="1:11" s="159" customFormat="1">
      <c r="B18" s="160"/>
      <c r="C18" s="182" t="s">
        <v>161</v>
      </c>
      <c r="D18" s="181"/>
      <c r="E18" s="181"/>
      <c r="F18" s="181"/>
      <c r="G18" s="181"/>
      <c r="H18" s="181"/>
      <c r="I18" s="181"/>
      <c r="J18" s="182"/>
      <c r="K18" s="184"/>
    </row>
    <row r="19" spans="1:11" s="159" customFormat="1">
      <c r="B19" s="160"/>
      <c r="C19" s="181"/>
      <c r="D19" s="181"/>
      <c r="E19" s="181"/>
      <c r="F19" s="181"/>
      <c r="G19" s="181"/>
      <c r="H19" s="181"/>
      <c r="I19" s="181"/>
      <c r="J19" s="182"/>
      <c r="K19" s="184"/>
    </row>
    <row r="20" spans="1:11" s="159" customFormat="1">
      <c r="B20" s="160"/>
      <c r="C20" s="182" t="s">
        <v>162</v>
      </c>
      <c r="D20" s="181"/>
      <c r="E20" s="181" t="s">
        <v>167</v>
      </c>
      <c r="F20" s="181" t="s">
        <v>101</v>
      </c>
      <c r="G20" s="181">
        <v>2010</v>
      </c>
      <c r="H20" s="181" t="s">
        <v>190</v>
      </c>
      <c r="I20" s="183">
        <v>42948</v>
      </c>
      <c r="J20" s="185" t="s">
        <v>191</v>
      </c>
      <c r="K20" s="184"/>
    </row>
    <row r="21" spans="1:11" s="159" customFormat="1">
      <c r="B21" s="160"/>
      <c r="C21" s="181"/>
      <c r="D21" s="181"/>
      <c r="E21" s="181"/>
      <c r="F21" s="181"/>
      <c r="G21" s="181"/>
      <c r="H21" s="181"/>
      <c r="I21" s="181"/>
      <c r="J21" s="185"/>
      <c r="K21" s="184"/>
    </row>
    <row r="22" spans="1:11" s="159" customFormat="1">
      <c r="B22" s="160"/>
      <c r="C22" s="181" t="s">
        <v>35</v>
      </c>
      <c r="D22" s="181"/>
      <c r="E22" s="181" t="s">
        <v>168</v>
      </c>
      <c r="F22" s="181" t="s">
        <v>101</v>
      </c>
      <c r="G22" s="181"/>
      <c r="H22" s="181"/>
      <c r="I22" s="183">
        <v>42948</v>
      </c>
      <c r="J22" s="182" t="s">
        <v>192</v>
      </c>
      <c r="K22" s="184" t="s">
        <v>175</v>
      </c>
    </row>
    <row r="23" spans="1:11" s="159" customFormat="1">
      <c r="B23" s="160"/>
      <c r="C23" s="181"/>
      <c r="D23" s="181"/>
      <c r="E23" s="206" t="s">
        <v>220</v>
      </c>
      <c r="F23" s="206" t="s">
        <v>101</v>
      </c>
      <c r="G23" s="181"/>
      <c r="H23" s="181"/>
      <c r="I23" s="183"/>
      <c r="J23" s="182"/>
      <c r="K23" s="207" t="s">
        <v>221</v>
      </c>
    </row>
    <row r="24" spans="1:11" s="159" customFormat="1">
      <c r="B24" s="160"/>
      <c r="C24" s="181"/>
      <c r="D24" s="181"/>
      <c r="E24" s="181"/>
      <c r="F24" s="181"/>
      <c r="G24" s="181"/>
      <c r="H24" s="181"/>
      <c r="I24" s="183"/>
      <c r="J24" s="182"/>
      <c r="K24" s="184"/>
    </row>
    <row r="25" spans="1:11" s="159" customFormat="1">
      <c r="B25" s="160"/>
      <c r="C25" s="182" t="s">
        <v>159</v>
      </c>
      <c r="D25" s="181"/>
      <c r="E25" s="181"/>
      <c r="F25" s="181"/>
      <c r="G25" s="181"/>
      <c r="H25" s="181"/>
      <c r="I25" s="181"/>
      <c r="J25" s="182"/>
      <c r="K25" s="184"/>
    </row>
    <row r="26" spans="1:11" s="159" customFormat="1">
      <c r="B26" s="160"/>
      <c r="C26" s="181" t="s">
        <v>9</v>
      </c>
      <c r="D26" s="181"/>
      <c r="E26" s="181"/>
      <c r="F26" s="181"/>
      <c r="G26" s="181"/>
      <c r="H26" s="181"/>
      <c r="I26" s="181"/>
      <c r="J26" s="182"/>
      <c r="K26" s="184"/>
    </row>
    <row r="27" spans="1:11" s="159" customFormat="1">
      <c r="B27" s="160"/>
      <c r="C27" s="181" t="s">
        <v>34</v>
      </c>
      <c r="D27" s="181"/>
      <c r="E27" s="181"/>
      <c r="F27" s="181"/>
      <c r="G27" s="181"/>
      <c r="H27" s="181"/>
      <c r="I27" s="181"/>
      <c r="J27" s="182"/>
      <c r="K27" s="184"/>
    </row>
    <row r="28" spans="1:11" s="159" customFormat="1">
      <c r="B28" s="160"/>
      <c r="C28" s="181" t="s">
        <v>38</v>
      </c>
      <c r="D28" s="181"/>
      <c r="E28" s="181"/>
      <c r="F28" s="181"/>
      <c r="G28" s="181"/>
      <c r="H28" s="181"/>
      <c r="I28" s="181"/>
      <c r="J28" s="182"/>
      <c r="K28" s="184"/>
    </row>
    <row r="29" spans="1:11" s="159" customFormat="1">
      <c r="B29" s="160"/>
      <c r="C29" s="186" t="s">
        <v>42</v>
      </c>
      <c r="D29" s="181"/>
      <c r="E29" s="181"/>
      <c r="F29" s="181"/>
      <c r="G29" s="181"/>
      <c r="H29" s="181"/>
      <c r="I29" s="181"/>
      <c r="J29" s="182"/>
      <c r="K29" s="184"/>
    </row>
    <row r="30" spans="1:11" s="159" customFormat="1">
      <c r="B30" s="160"/>
      <c r="C30" s="186" t="s">
        <v>162</v>
      </c>
      <c r="D30" s="181"/>
      <c r="E30" s="181"/>
      <c r="F30" s="181"/>
      <c r="G30" s="181"/>
      <c r="H30" s="181"/>
      <c r="I30" s="181"/>
      <c r="J30" s="182"/>
      <c r="K30" s="184"/>
    </row>
    <row r="31" spans="1:11" s="159" customFormat="1">
      <c r="A31" s="181"/>
      <c r="B31" s="160"/>
      <c r="C31" s="182"/>
      <c r="D31" s="181"/>
      <c r="E31" s="181"/>
      <c r="F31" s="181"/>
      <c r="G31" s="181"/>
      <c r="H31" s="181"/>
      <c r="I31" s="181"/>
      <c r="J31" s="182"/>
      <c r="K31" s="184"/>
    </row>
    <row r="32" spans="1:11" s="159" customFormat="1">
      <c r="A32" s="181"/>
      <c r="B32" s="160"/>
      <c r="C32" s="182"/>
      <c r="D32" s="181"/>
      <c r="E32" s="181"/>
      <c r="F32" s="181"/>
      <c r="G32" s="181"/>
      <c r="H32" s="181"/>
      <c r="I32" s="181"/>
      <c r="J32" s="182"/>
      <c r="K32" s="184"/>
    </row>
    <row r="33" spans="1:11" s="159" customFormat="1">
      <c r="A33" s="181"/>
      <c r="B33" s="160"/>
      <c r="C33" s="182" t="s">
        <v>156</v>
      </c>
      <c r="D33" s="181"/>
      <c r="E33" s="181" t="s">
        <v>200</v>
      </c>
      <c r="F33" s="181" t="s">
        <v>101</v>
      </c>
      <c r="G33" s="181" t="s">
        <v>190</v>
      </c>
      <c r="H33" s="181" t="s">
        <v>190</v>
      </c>
      <c r="I33" s="181">
        <v>42979</v>
      </c>
      <c r="J33" s="182" t="s">
        <v>211</v>
      </c>
      <c r="K33" s="184"/>
    </row>
    <row r="34" spans="1:11" s="159" customFormat="1">
      <c r="A34" s="181"/>
      <c r="B34" s="160"/>
      <c r="C34" s="182"/>
      <c r="D34" s="181"/>
      <c r="E34" s="181"/>
      <c r="F34" s="181"/>
      <c r="G34" s="181"/>
      <c r="H34" s="181"/>
      <c r="I34" s="181"/>
      <c r="J34" s="182"/>
      <c r="K34" s="184"/>
    </row>
    <row r="35" spans="1:11" s="159" customFormat="1">
      <c r="A35" s="181"/>
      <c r="B35" s="160"/>
      <c r="C35" s="182" t="s">
        <v>156</v>
      </c>
      <c r="D35" s="181"/>
      <c r="E35" s="181" t="s">
        <v>210</v>
      </c>
      <c r="F35" s="181" t="s">
        <v>101</v>
      </c>
      <c r="G35" s="181" t="s">
        <v>190</v>
      </c>
      <c r="H35" s="181" t="s">
        <v>190</v>
      </c>
      <c r="I35" s="181">
        <v>42979</v>
      </c>
      <c r="J35" s="182" t="s">
        <v>212</v>
      </c>
      <c r="K35" s="184"/>
    </row>
    <row r="36" spans="1:11" s="159" customFormat="1">
      <c r="A36" s="181"/>
      <c r="B36" s="160"/>
      <c r="C36" s="182"/>
      <c r="D36" s="181"/>
      <c r="E36" s="181"/>
      <c r="F36" s="181"/>
      <c r="G36" s="181"/>
      <c r="H36" s="181"/>
      <c r="I36" s="181"/>
      <c r="J36" s="182"/>
      <c r="K36" s="184"/>
    </row>
    <row r="37" spans="1:11" s="159" customFormat="1">
      <c r="B37" s="160"/>
      <c r="C37" s="182" t="s">
        <v>162</v>
      </c>
      <c r="D37" s="181"/>
      <c r="E37" s="181" t="s">
        <v>188</v>
      </c>
      <c r="F37" s="181" t="s">
        <v>101</v>
      </c>
      <c r="G37" s="181" t="s">
        <v>190</v>
      </c>
      <c r="H37" s="181" t="s">
        <v>190</v>
      </c>
      <c r="I37" s="183">
        <v>42948</v>
      </c>
      <c r="J37" s="185" t="s">
        <v>193</v>
      </c>
      <c r="K37" s="184"/>
    </row>
    <row r="38" spans="1:11" s="159" customFormat="1">
      <c r="B38" s="160"/>
      <c r="D38" s="181"/>
      <c r="E38" s="181"/>
      <c r="F38" s="181"/>
      <c r="G38" s="181"/>
      <c r="H38" s="181"/>
      <c r="I38" s="181"/>
      <c r="J38" s="182"/>
      <c r="K38" s="184"/>
    </row>
    <row r="39" spans="1:11" s="159" customFormat="1">
      <c r="B39" s="160"/>
      <c r="C39" s="181" t="s">
        <v>82</v>
      </c>
      <c r="D39" s="181"/>
      <c r="E39" s="181" t="s">
        <v>265</v>
      </c>
      <c r="F39" s="181"/>
      <c r="G39" s="181"/>
      <c r="H39" s="181"/>
      <c r="I39" s="181"/>
      <c r="J39" s="187" t="s">
        <v>197</v>
      </c>
      <c r="K39" s="184"/>
    </row>
    <row r="40" spans="1:11" s="159" customFormat="1">
      <c r="B40" s="160"/>
      <c r="C40" s="181" t="s">
        <v>83</v>
      </c>
      <c r="D40" s="181"/>
      <c r="E40" s="181"/>
      <c r="F40" s="181"/>
      <c r="G40" s="181"/>
      <c r="H40" s="181"/>
      <c r="I40" s="181"/>
      <c r="J40" s="182"/>
      <c r="K40" s="184"/>
    </row>
    <row r="41" spans="1:11" s="159" customFormat="1">
      <c r="B41" s="160"/>
      <c r="C41" s="181" t="s">
        <v>157</v>
      </c>
      <c r="D41" s="181"/>
      <c r="E41" s="181"/>
      <c r="F41" s="181"/>
      <c r="G41" s="181"/>
      <c r="H41" s="181"/>
      <c r="I41" s="181"/>
      <c r="J41" s="182"/>
      <c r="K41" s="184"/>
    </row>
    <row r="42" spans="1:11" s="159" customFormat="1">
      <c r="B42" s="160"/>
      <c r="C42" s="181" t="s">
        <v>194</v>
      </c>
      <c r="D42" s="181"/>
      <c r="E42" s="181"/>
      <c r="F42" s="181"/>
      <c r="G42" s="181"/>
      <c r="H42" s="181"/>
      <c r="I42" s="181"/>
      <c r="J42" s="182"/>
      <c r="K42" s="184"/>
    </row>
    <row r="43" spans="1:11" s="159" customFormat="1">
      <c r="B43" s="160"/>
      <c r="C43" s="182" t="s">
        <v>219</v>
      </c>
      <c r="D43" s="181"/>
      <c r="E43" s="181" t="s">
        <v>140</v>
      </c>
      <c r="F43" s="181" t="s">
        <v>101</v>
      </c>
      <c r="G43" s="181">
        <v>2021</v>
      </c>
      <c r="H43" s="181">
        <v>2021</v>
      </c>
      <c r="I43" s="247">
        <v>44741</v>
      </c>
      <c r="J43" s="182"/>
      <c r="K43" s="248" t="s">
        <v>252</v>
      </c>
    </row>
    <row r="44" spans="1:11" s="159" customFormat="1">
      <c r="B44" s="160"/>
      <c r="C44" s="181" t="s">
        <v>29</v>
      </c>
      <c r="D44" s="181"/>
      <c r="E44" s="181"/>
      <c r="F44" s="181"/>
      <c r="G44" s="181"/>
      <c r="H44" s="181"/>
      <c r="I44" s="181"/>
      <c r="J44" s="182"/>
      <c r="K44" s="184"/>
    </row>
    <row r="45" spans="1:11" s="159" customFormat="1">
      <c r="B45" s="160"/>
      <c r="C45" s="181" t="s">
        <v>84</v>
      </c>
      <c r="D45" s="181"/>
      <c r="E45" s="181"/>
      <c r="F45" s="181"/>
      <c r="G45" s="181"/>
      <c r="H45" s="181"/>
      <c r="I45" s="181"/>
      <c r="J45" s="182"/>
      <c r="K45" s="184"/>
    </row>
    <row r="46" spans="1:11" s="159" customFormat="1">
      <c r="B46" s="160"/>
      <c r="C46" s="181" t="s">
        <v>7</v>
      </c>
      <c r="D46" s="181"/>
      <c r="E46" s="181"/>
      <c r="F46" s="181"/>
      <c r="G46" s="181"/>
      <c r="H46" s="181"/>
      <c r="I46" s="181"/>
      <c r="J46" s="182"/>
      <c r="K46" s="184"/>
    </row>
    <row r="47" spans="1:11" s="159" customFormat="1">
      <c r="B47" s="160"/>
      <c r="C47" s="181" t="s">
        <v>32</v>
      </c>
      <c r="D47" s="181"/>
      <c r="E47" s="181"/>
      <c r="F47" s="181"/>
      <c r="G47" s="181"/>
      <c r="H47" s="181"/>
      <c r="I47" s="181"/>
      <c r="J47" s="182"/>
      <c r="K47" s="184"/>
    </row>
    <row r="48" spans="1:11" s="159" customFormat="1">
      <c r="B48" s="160"/>
      <c r="C48" s="181" t="s">
        <v>33</v>
      </c>
      <c r="D48" s="181"/>
      <c r="E48" s="181"/>
      <c r="F48" s="181"/>
      <c r="G48" s="181"/>
      <c r="H48" s="181"/>
      <c r="I48" s="181"/>
      <c r="J48" s="182"/>
      <c r="K48" s="184"/>
    </row>
    <row r="49" spans="2:11" s="159" customFormat="1">
      <c r="B49" s="160"/>
      <c r="C49" s="181" t="s">
        <v>195</v>
      </c>
      <c r="D49" s="181"/>
      <c r="E49" s="181"/>
      <c r="F49" s="181"/>
      <c r="G49" s="181"/>
      <c r="H49" s="181"/>
      <c r="I49" s="181"/>
      <c r="J49" s="182"/>
      <c r="K49" s="184"/>
    </row>
    <row r="50" spans="2:11" s="159" customFormat="1">
      <c r="B50" s="160"/>
      <c r="C50" s="181" t="s">
        <v>85</v>
      </c>
      <c r="D50" s="181"/>
      <c r="E50" s="181"/>
      <c r="F50" s="181"/>
      <c r="G50" s="181"/>
      <c r="H50" s="181"/>
      <c r="I50" s="181"/>
      <c r="J50" s="182"/>
      <c r="K50" s="184"/>
    </row>
    <row r="51" spans="2:11" s="159" customFormat="1">
      <c r="B51" s="160"/>
      <c r="C51" s="181" t="s">
        <v>86</v>
      </c>
      <c r="D51" s="181"/>
      <c r="E51" s="181"/>
      <c r="F51" s="181"/>
      <c r="G51" s="181"/>
      <c r="H51" s="181"/>
      <c r="I51" s="181"/>
      <c r="J51" s="182"/>
      <c r="K51" s="184"/>
    </row>
    <row r="52" spans="2:11" s="159" customFormat="1">
      <c r="B52" s="160"/>
      <c r="C52" s="181" t="s">
        <v>87</v>
      </c>
      <c r="D52" s="181"/>
      <c r="E52" s="181"/>
      <c r="F52" s="181"/>
      <c r="G52" s="181"/>
      <c r="H52" s="181"/>
      <c r="I52" s="181"/>
      <c r="J52" s="182"/>
      <c r="K52" s="184"/>
    </row>
    <row r="53" spans="2:11" s="159" customFormat="1">
      <c r="B53" s="160"/>
      <c r="C53" s="181" t="s">
        <v>88</v>
      </c>
      <c r="D53" s="181"/>
      <c r="E53" s="181"/>
      <c r="F53" s="181"/>
      <c r="G53" s="181"/>
      <c r="H53" s="181"/>
      <c r="I53" s="181"/>
      <c r="J53" s="182"/>
      <c r="K53" s="184"/>
    </row>
    <row r="54" spans="2:11" s="159" customFormat="1">
      <c r="B54" s="160"/>
      <c r="C54" s="181" t="s">
        <v>196</v>
      </c>
      <c r="D54" s="181"/>
      <c r="E54" s="181"/>
      <c r="F54" s="181"/>
      <c r="G54" s="181"/>
      <c r="H54" s="181"/>
      <c r="I54" s="181"/>
      <c r="J54" s="182"/>
      <c r="K54" s="184"/>
    </row>
    <row r="55" spans="2:11" s="159" customFormat="1">
      <c r="B55" s="160"/>
      <c r="C55" s="181" t="s">
        <v>36</v>
      </c>
      <c r="D55" s="181"/>
      <c r="E55" s="181"/>
      <c r="F55" s="181"/>
      <c r="G55" s="181"/>
      <c r="H55" s="181"/>
      <c r="I55" s="181"/>
      <c r="J55" s="182"/>
      <c r="K55" s="184"/>
    </row>
    <row r="56" spans="2:11" s="159" customFormat="1">
      <c r="B56" s="160"/>
      <c r="C56" s="181" t="s">
        <v>37</v>
      </c>
      <c r="D56" s="181"/>
      <c r="E56" s="181"/>
      <c r="F56" s="181"/>
      <c r="G56" s="181"/>
      <c r="H56" s="181"/>
      <c r="I56" s="181"/>
      <c r="J56" s="182"/>
      <c r="K56" s="184"/>
    </row>
    <row r="57" spans="2:11" s="159" customFormat="1">
      <c r="B57" s="160"/>
      <c r="C57" s="181" t="s">
        <v>39</v>
      </c>
      <c r="D57" s="181"/>
      <c r="E57" s="181"/>
      <c r="F57" s="181"/>
      <c r="G57" s="181"/>
      <c r="H57" s="181"/>
      <c r="I57" s="181"/>
      <c r="J57" s="182"/>
      <c r="K57" s="184"/>
    </row>
    <row r="58" spans="2:11" s="159" customFormat="1">
      <c r="B58" s="160"/>
      <c r="C58" s="181" t="s">
        <v>40</v>
      </c>
      <c r="D58" s="181"/>
      <c r="E58" s="181"/>
      <c r="F58" s="181"/>
      <c r="G58" s="181"/>
      <c r="H58" s="181"/>
      <c r="I58" s="181"/>
      <c r="J58" s="182"/>
      <c r="K58" s="184"/>
    </row>
    <row r="59" spans="2:11" s="159" customFormat="1">
      <c r="B59" s="160"/>
      <c r="C59" s="181" t="s">
        <v>43</v>
      </c>
      <c r="D59" s="181"/>
      <c r="E59" s="181"/>
      <c r="F59" s="181"/>
      <c r="G59" s="181"/>
      <c r="H59" s="181"/>
      <c r="I59" s="181"/>
      <c r="J59" s="182"/>
      <c r="K59" s="184"/>
    </row>
    <row r="60" spans="2:11" s="159" customFormat="1">
      <c r="B60" s="160"/>
      <c r="C60" s="181" t="s">
        <v>31</v>
      </c>
      <c r="D60" s="181"/>
      <c r="E60" s="181"/>
      <c r="F60" s="181"/>
      <c r="G60" s="181"/>
      <c r="H60" s="181"/>
      <c r="I60" s="181"/>
      <c r="J60" s="182"/>
      <c r="K60" s="184"/>
    </row>
    <row r="61" spans="2:11" s="159" customFormat="1">
      <c r="B61" s="160"/>
      <c r="C61" s="181" t="s">
        <v>30</v>
      </c>
      <c r="D61" s="181"/>
      <c r="E61" s="181"/>
      <c r="F61" s="181"/>
      <c r="G61" s="181"/>
      <c r="H61" s="181"/>
      <c r="I61" s="181"/>
      <c r="J61" s="182"/>
      <c r="K61" s="184"/>
    </row>
    <row r="62" spans="2:11" s="159" customFormat="1">
      <c r="B62" s="160"/>
      <c r="C62" s="181" t="s">
        <v>41</v>
      </c>
      <c r="D62" s="181"/>
      <c r="E62" s="181"/>
      <c r="F62" s="181"/>
      <c r="G62" s="181"/>
      <c r="H62" s="181"/>
      <c r="I62" s="181"/>
      <c r="J62" s="182"/>
      <c r="K62" s="184"/>
    </row>
    <row r="63" spans="2:11" s="159" customFormat="1">
      <c r="B63" s="160"/>
      <c r="C63" s="181" t="s">
        <v>28</v>
      </c>
      <c r="D63" s="181"/>
      <c r="E63" s="181"/>
      <c r="F63" s="181"/>
      <c r="G63" s="181"/>
      <c r="H63" s="181"/>
      <c r="I63" s="181"/>
      <c r="J63" s="182"/>
      <c r="K63" s="184"/>
    </row>
    <row r="64" spans="2:11" s="159" customFormat="1">
      <c r="B64" s="160"/>
      <c r="C64" s="181" t="s">
        <v>51</v>
      </c>
      <c r="D64" s="181"/>
      <c r="E64" s="181"/>
      <c r="F64" s="181"/>
      <c r="G64" s="181"/>
      <c r="H64" s="181"/>
      <c r="I64" s="181"/>
      <c r="J64" s="182"/>
      <c r="K64" s="184"/>
    </row>
    <row r="65" spans="1:11" s="159" customFormat="1">
      <c r="B65" s="160"/>
      <c r="C65" s="181" t="s">
        <v>52</v>
      </c>
      <c r="D65" s="181"/>
      <c r="E65" s="181"/>
      <c r="F65" s="181"/>
      <c r="G65" s="181"/>
      <c r="H65" s="181"/>
      <c r="I65" s="181"/>
      <c r="J65" s="182"/>
      <c r="K65" s="184"/>
    </row>
    <row r="66" spans="1:11" s="159" customFormat="1">
      <c r="B66" s="160"/>
      <c r="C66" s="181" t="s">
        <v>54</v>
      </c>
      <c r="D66" s="181"/>
      <c r="E66" s="181"/>
      <c r="F66" s="181"/>
      <c r="G66" s="181"/>
      <c r="H66" s="181"/>
      <c r="I66" s="181"/>
      <c r="J66" s="182"/>
      <c r="K66" s="184"/>
    </row>
    <row r="67" spans="1:11" s="159" customFormat="1">
      <c r="B67" s="160"/>
      <c r="C67" s="181" t="s">
        <v>55</v>
      </c>
      <c r="D67" s="181"/>
      <c r="E67" s="181"/>
      <c r="F67" s="181"/>
      <c r="G67" s="181"/>
      <c r="H67" s="181"/>
      <c r="I67" s="181"/>
      <c r="J67" s="182"/>
      <c r="K67" s="184"/>
    </row>
    <row r="68" spans="1:11" s="159" customFormat="1">
      <c r="B68" s="160"/>
      <c r="C68" s="181" t="s">
        <v>53</v>
      </c>
      <c r="D68" s="181"/>
      <c r="E68" s="181"/>
      <c r="F68" s="181"/>
      <c r="G68" s="181"/>
      <c r="H68" s="181"/>
      <c r="I68" s="181"/>
      <c r="J68" s="182"/>
      <c r="K68" s="184"/>
    </row>
    <row r="69" spans="1:11" s="159" customFormat="1">
      <c r="B69" s="160"/>
      <c r="J69" s="161"/>
      <c r="K69" s="162"/>
    </row>
    <row r="70" spans="1:11" s="159" customFormat="1">
      <c r="B70" s="160"/>
      <c r="J70" s="161"/>
      <c r="K70" s="162"/>
    </row>
    <row r="71" spans="1:11" s="159" customFormat="1">
      <c r="B71" s="160"/>
      <c r="J71" s="161"/>
      <c r="K71" s="162"/>
    </row>
    <row r="72" spans="1:11" s="159" customFormat="1" ht="17" thickBot="1">
      <c r="B72" s="166"/>
      <c r="C72" s="167"/>
      <c r="D72" s="167"/>
      <c r="E72" s="167"/>
      <c r="F72" s="167"/>
      <c r="G72" s="167"/>
      <c r="H72" s="167"/>
      <c r="I72" s="167"/>
      <c r="J72" s="168"/>
      <c r="K72" s="169"/>
    </row>
    <row r="73" spans="1:11">
      <c r="A73" s="159"/>
    </row>
  </sheetData>
  <hyperlinks>
    <hyperlink ref="J33" r:id="rId1" xr:uid="{00000000-0004-0000-0300-000000000000}"/>
    <hyperlink ref="K43" r:id="rId2" xr:uid="{4FFEB715-F442-B340-BA6C-C485CFE6D428}"/>
  </hyperlinks>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0" tint="-0.14999847407452621"/>
  </sheetPr>
  <dimension ref="A2:J345"/>
  <sheetViews>
    <sheetView topLeftCell="D9" zoomScaleNormal="100" workbookViewId="0">
      <selection activeCell="G63" sqref="G63"/>
    </sheetView>
  </sheetViews>
  <sheetFormatPr baseColWidth="10" defaultColWidth="10.6640625" defaultRowHeight="16"/>
  <cols>
    <col min="1" max="1" width="3.5" style="83" customWidth="1"/>
    <col min="2" max="2" width="4.1640625" style="83" customWidth="1"/>
    <col min="3" max="3" width="14.5" style="83" customWidth="1"/>
    <col min="4" max="4" width="37" style="83" customWidth="1"/>
    <col min="5" max="5" width="38.33203125" style="83" bestFit="1" customWidth="1"/>
    <col min="6" max="6" width="5.5" style="83" customWidth="1"/>
    <col min="7" max="7" width="58.83203125" style="83" customWidth="1"/>
    <col min="8" max="9" width="10.6640625" style="83"/>
    <col min="10" max="10" width="53" style="83" customWidth="1"/>
    <col min="11" max="16384" width="10.6640625" style="83"/>
  </cols>
  <sheetData>
    <row r="2" spans="2:10" ht="17" thickBot="1"/>
    <row r="3" spans="2:10">
      <c r="B3" s="84"/>
      <c r="C3" s="14"/>
      <c r="D3" s="14"/>
      <c r="E3" s="14"/>
      <c r="F3" s="14"/>
      <c r="G3" s="14"/>
      <c r="H3" s="14"/>
      <c r="I3" s="14"/>
      <c r="J3" s="85"/>
    </row>
    <row r="4" spans="2:10">
      <c r="B4" s="73"/>
      <c r="C4" s="13" t="s">
        <v>0</v>
      </c>
      <c r="D4" s="13" t="s">
        <v>78</v>
      </c>
      <c r="E4" s="13"/>
      <c r="F4" s="13"/>
      <c r="G4" s="13"/>
      <c r="H4" s="13"/>
      <c r="I4" s="13"/>
      <c r="J4" s="86"/>
    </row>
    <row r="5" spans="2:10">
      <c r="B5" s="87"/>
      <c r="J5" s="88"/>
    </row>
    <row r="6" spans="2:10">
      <c r="B6" s="87"/>
      <c r="J6" s="88"/>
    </row>
    <row r="7" spans="2:10">
      <c r="B7" s="87"/>
      <c r="D7" s="98"/>
      <c r="J7" s="88"/>
    </row>
    <row r="8" spans="2:10">
      <c r="B8" s="87"/>
      <c r="C8" s="89"/>
      <c r="J8" s="88"/>
    </row>
    <row r="9" spans="2:10">
      <c r="B9" s="87"/>
      <c r="J9" s="88"/>
    </row>
    <row r="10" spans="2:10">
      <c r="B10" s="87"/>
      <c r="J10" s="88"/>
    </row>
    <row r="11" spans="2:10">
      <c r="B11" s="87"/>
      <c r="J11" s="88"/>
    </row>
    <row r="12" spans="2:10">
      <c r="B12" s="87"/>
      <c r="J12" s="88"/>
    </row>
    <row r="13" spans="2:10">
      <c r="B13" s="87"/>
      <c r="J13" s="88"/>
    </row>
    <row r="14" spans="2:10">
      <c r="B14" s="87"/>
      <c r="J14" s="88"/>
    </row>
    <row r="15" spans="2:10">
      <c r="B15" s="87"/>
      <c r="C15" s="249" t="s">
        <v>140</v>
      </c>
      <c r="D15" s="249" t="s">
        <v>253</v>
      </c>
      <c r="E15" s="249"/>
      <c r="F15" s="249"/>
      <c r="G15" s="249"/>
      <c r="J15" s="88"/>
    </row>
    <row r="16" spans="2:10">
      <c r="B16" s="87"/>
      <c r="C16" s="249"/>
      <c r="D16" s="249"/>
      <c r="E16" s="249">
        <v>0.92</v>
      </c>
      <c r="F16" s="249" t="s">
        <v>254</v>
      </c>
      <c r="G16" s="249" t="s">
        <v>255</v>
      </c>
      <c r="J16" s="88"/>
    </row>
    <row r="17" spans="2:10">
      <c r="B17" s="87"/>
      <c r="C17" s="249"/>
      <c r="D17" s="249"/>
      <c r="E17" s="249">
        <v>1</v>
      </c>
      <c r="F17" s="249" t="s">
        <v>254</v>
      </c>
      <c r="G17" s="249" t="s">
        <v>256</v>
      </c>
      <c r="J17" s="88"/>
    </row>
    <row r="18" spans="2:10">
      <c r="B18" s="87"/>
      <c r="C18" s="249"/>
      <c r="D18" s="249"/>
      <c r="E18" s="249">
        <f>E17/E16</f>
        <v>1.0869565217391304</v>
      </c>
      <c r="F18" s="249" t="s">
        <v>2</v>
      </c>
      <c r="G18" s="249" t="s">
        <v>217</v>
      </c>
      <c r="J18" s="88"/>
    </row>
    <row r="19" spans="2:10">
      <c r="B19" s="87"/>
      <c r="J19" s="88"/>
    </row>
    <row r="20" spans="2:10">
      <c r="B20" s="87"/>
      <c r="J20" s="88"/>
    </row>
    <row r="21" spans="2:10">
      <c r="B21" s="87"/>
      <c r="J21" s="88"/>
    </row>
    <row r="22" spans="2:10">
      <c r="B22" s="87"/>
      <c r="J22" s="88"/>
    </row>
    <row r="23" spans="2:10">
      <c r="B23" s="87"/>
      <c r="J23" s="88"/>
    </row>
    <row r="24" spans="2:10">
      <c r="B24" s="87"/>
      <c r="J24" s="88"/>
    </row>
    <row r="25" spans="2:10">
      <c r="B25" s="87"/>
      <c r="J25" s="88"/>
    </row>
    <row r="26" spans="2:10">
      <c r="B26" s="87"/>
      <c r="J26" s="88"/>
    </row>
    <row r="27" spans="2:10">
      <c r="B27" s="87"/>
      <c r="J27" s="88"/>
    </row>
    <row r="28" spans="2:10">
      <c r="B28" s="87"/>
      <c r="J28" s="88"/>
    </row>
    <row r="29" spans="2:10">
      <c r="B29" s="87"/>
      <c r="J29" s="88"/>
    </row>
    <row r="30" spans="2:10">
      <c r="B30" s="87"/>
      <c r="J30" s="88"/>
    </row>
    <row r="31" spans="2:10">
      <c r="B31" s="87"/>
      <c r="J31" s="88"/>
    </row>
    <row r="32" spans="2:10">
      <c r="B32" s="87"/>
      <c r="C32" s="105" t="s">
        <v>140</v>
      </c>
      <c r="G32" s="98" t="s">
        <v>108</v>
      </c>
      <c r="J32" s="88"/>
    </row>
    <row r="33" spans="2:10">
      <c r="B33" s="87"/>
      <c r="G33" s="98" t="s">
        <v>134</v>
      </c>
      <c r="J33" s="88"/>
    </row>
    <row r="34" spans="2:10">
      <c r="B34" s="87"/>
      <c r="G34" s="98" t="s">
        <v>110</v>
      </c>
      <c r="J34" s="88"/>
    </row>
    <row r="35" spans="2:10">
      <c r="B35" s="87"/>
      <c r="G35" s="98" t="s">
        <v>109</v>
      </c>
      <c r="J35" s="88"/>
    </row>
    <row r="36" spans="2:10">
      <c r="B36" s="87"/>
      <c r="J36" s="88"/>
    </row>
    <row r="37" spans="2:10">
      <c r="B37" s="87"/>
      <c r="G37" s="98" t="s">
        <v>111</v>
      </c>
      <c r="J37" s="88"/>
    </row>
    <row r="38" spans="2:10">
      <c r="B38" s="87"/>
      <c r="H38" s="90"/>
      <c r="J38" s="88"/>
    </row>
    <row r="39" spans="2:10">
      <c r="B39" s="87"/>
      <c r="G39" s="106" t="s">
        <v>147</v>
      </c>
      <c r="J39" s="88"/>
    </row>
    <row r="40" spans="2:10">
      <c r="B40" s="87"/>
      <c r="J40" s="88"/>
    </row>
    <row r="41" spans="2:10">
      <c r="B41" s="87"/>
      <c r="J41" s="88"/>
    </row>
    <row r="42" spans="2:10">
      <c r="B42" s="87"/>
      <c r="G42" s="90"/>
      <c r="J42" s="88"/>
    </row>
    <row r="43" spans="2:10">
      <c r="B43" s="87"/>
      <c r="J43" s="88"/>
    </row>
    <row r="44" spans="2:10">
      <c r="B44" s="87"/>
      <c r="J44" s="88"/>
    </row>
    <row r="45" spans="2:10">
      <c r="B45" s="87"/>
      <c r="D45"/>
      <c r="E45" s="83">
        <v>0.2</v>
      </c>
      <c r="G45" s="106" t="s">
        <v>148</v>
      </c>
      <c r="J45" s="88"/>
    </row>
    <row r="46" spans="2:10">
      <c r="B46" s="87"/>
      <c r="J46" s="88"/>
    </row>
    <row r="47" spans="2:10">
      <c r="B47" s="87"/>
      <c r="E47" s="83">
        <v>1.07</v>
      </c>
      <c r="G47" s="110" t="s">
        <v>151</v>
      </c>
      <c r="J47" s="88"/>
    </row>
    <row r="48" spans="2:10">
      <c r="B48" s="87"/>
      <c r="G48" s="110" t="s">
        <v>154</v>
      </c>
      <c r="J48" s="88"/>
    </row>
    <row r="49" spans="2:10">
      <c r="B49" s="87"/>
      <c r="J49" s="88"/>
    </row>
    <row r="50" spans="2:10">
      <c r="B50" s="87"/>
      <c r="G50" s="98" t="s">
        <v>142</v>
      </c>
      <c r="J50" s="88"/>
    </row>
    <row r="51" spans="2:10">
      <c r="B51" s="87"/>
      <c r="G51" s="98" t="s">
        <v>143</v>
      </c>
      <c r="J51" s="88"/>
    </row>
    <row r="52" spans="2:10">
      <c r="B52" s="87"/>
      <c r="J52" s="88"/>
    </row>
    <row r="53" spans="2:10">
      <c r="B53" s="87"/>
      <c r="G53" s="106" t="s">
        <v>149</v>
      </c>
      <c r="J53" s="88"/>
    </row>
    <row r="54" spans="2:10">
      <c r="B54" s="87"/>
      <c r="F54" s="97"/>
      <c r="G54" s="106" t="s">
        <v>150</v>
      </c>
      <c r="J54" s="88"/>
    </row>
    <row r="55" spans="2:10">
      <c r="B55" s="87"/>
      <c r="J55" s="88"/>
    </row>
    <row r="56" spans="2:10">
      <c r="B56" s="87"/>
      <c r="J56" s="88"/>
    </row>
    <row r="57" spans="2:10">
      <c r="B57" s="87"/>
      <c r="E57" s="214">
        <f>E45/E47</f>
        <v>0.18691588785046728</v>
      </c>
      <c r="F57" s="197"/>
      <c r="G57" s="214" t="s">
        <v>92</v>
      </c>
      <c r="J57" s="88"/>
    </row>
    <row r="58" spans="2:10">
      <c r="B58" s="87"/>
      <c r="G58" s="250" t="s">
        <v>259</v>
      </c>
      <c r="J58" s="88"/>
    </row>
    <row r="59" spans="2:10" ht="85">
      <c r="B59" s="87"/>
      <c r="G59" s="251" t="s">
        <v>260</v>
      </c>
      <c r="J59" s="88"/>
    </row>
    <row r="60" spans="2:10">
      <c r="B60" s="87"/>
      <c r="G60" s="90"/>
      <c r="J60" s="88"/>
    </row>
    <row r="61" spans="2:10">
      <c r="B61" s="87"/>
      <c r="E61" s="83">
        <v>35.17</v>
      </c>
      <c r="F61" s="214" t="s">
        <v>224</v>
      </c>
      <c r="G61" s="252" t="s">
        <v>262</v>
      </c>
      <c r="J61" s="88"/>
    </row>
    <row r="62" spans="2:10">
      <c r="B62" s="87"/>
      <c r="E62" s="83">
        <v>31.65</v>
      </c>
      <c r="F62" s="214" t="s">
        <v>224</v>
      </c>
      <c r="G62" s="252" t="s">
        <v>261</v>
      </c>
      <c r="J62" s="88"/>
    </row>
    <row r="63" spans="2:10">
      <c r="B63" s="87"/>
      <c r="E63" s="83">
        <f>E62*E47</f>
        <v>33.865499999999997</v>
      </c>
      <c r="J63" s="88"/>
    </row>
    <row r="64" spans="2:10">
      <c r="B64" s="87"/>
      <c r="E64" s="83">
        <f>E63/E61</f>
        <v>0.96290872903042357</v>
      </c>
      <c r="J64" s="88"/>
    </row>
    <row r="65" spans="2:10">
      <c r="B65" s="87"/>
      <c r="J65" s="88"/>
    </row>
    <row r="66" spans="2:10">
      <c r="B66" s="87"/>
      <c r="E66" s="83">
        <v>141</v>
      </c>
      <c r="F66" s="214" t="s">
        <v>225</v>
      </c>
      <c r="G66" s="252" t="s">
        <v>263</v>
      </c>
      <c r="J66" s="88"/>
    </row>
    <row r="67" spans="2:10">
      <c r="B67" s="87"/>
      <c r="E67" s="83">
        <v>120</v>
      </c>
      <c r="F67" s="214" t="s">
        <v>225</v>
      </c>
      <c r="G67" s="252" t="s">
        <v>264</v>
      </c>
      <c r="J67" s="88"/>
    </row>
    <row r="68" spans="2:10">
      <c r="B68" s="87"/>
      <c r="E68" s="83">
        <f>E66*E64</f>
        <v>135.77013079328972</v>
      </c>
      <c r="G68" s="104"/>
      <c r="J68" s="88"/>
    </row>
    <row r="69" spans="2:10">
      <c r="B69" s="87"/>
      <c r="E69" s="83">
        <f>E68/E67</f>
        <v>1.1314177566107477</v>
      </c>
      <c r="G69" s="214" t="s">
        <v>217</v>
      </c>
      <c r="J69" s="88"/>
    </row>
    <row r="70" spans="2:10">
      <c r="B70" s="87"/>
      <c r="J70" s="88"/>
    </row>
    <row r="71" spans="2:10">
      <c r="B71" s="87"/>
      <c r="J71" s="88"/>
    </row>
    <row r="72" spans="2:10">
      <c r="B72" s="87"/>
      <c r="E72" s="83">
        <f>E57</f>
        <v>0.18691588785046728</v>
      </c>
      <c r="G72" s="214" t="s">
        <v>216</v>
      </c>
      <c r="J72" s="88"/>
    </row>
    <row r="73" spans="2:10">
      <c r="B73" s="87"/>
      <c r="J73" s="88"/>
    </row>
    <row r="74" spans="2:10">
      <c r="B74" s="87"/>
      <c r="J74" s="88"/>
    </row>
    <row r="75" spans="2:10">
      <c r="B75" s="87"/>
      <c r="C75" s="89"/>
      <c r="J75" s="88"/>
    </row>
    <row r="76" spans="2:10">
      <c r="B76" s="87"/>
      <c r="J76" s="88"/>
    </row>
    <row r="77" spans="2:10">
      <c r="B77" s="87"/>
      <c r="J77" s="88"/>
    </row>
    <row r="78" spans="2:10">
      <c r="B78" s="87"/>
      <c r="J78" s="88"/>
    </row>
    <row r="79" spans="2:10">
      <c r="B79" s="87"/>
      <c r="J79" s="88"/>
    </row>
    <row r="80" spans="2:10">
      <c r="B80" s="87"/>
      <c r="J80" s="88"/>
    </row>
    <row r="81" spans="2:10">
      <c r="B81" s="87"/>
      <c r="J81" s="88"/>
    </row>
    <row r="82" spans="2:10">
      <c r="B82" s="87"/>
      <c r="J82" s="88"/>
    </row>
    <row r="83" spans="2:10">
      <c r="B83" s="87"/>
      <c r="J83" s="88"/>
    </row>
    <row r="84" spans="2:10">
      <c r="B84" s="87"/>
      <c r="J84" s="88"/>
    </row>
    <row r="85" spans="2:10">
      <c r="B85" s="87"/>
      <c r="J85" s="88"/>
    </row>
    <row r="86" spans="2:10">
      <c r="B86" s="87"/>
      <c r="J86" s="88"/>
    </row>
    <row r="87" spans="2:10">
      <c r="B87" s="87"/>
      <c r="J87" s="88"/>
    </row>
    <row r="88" spans="2:10">
      <c r="B88" s="87"/>
      <c r="J88" s="88"/>
    </row>
    <row r="89" spans="2:10">
      <c r="B89" s="87"/>
      <c r="J89" s="88"/>
    </row>
    <row r="90" spans="2:10">
      <c r="B90" s="87"/>
      <c r="J90" s="88"/>
    </row>
    <row r="91" spans="2:10">
      <c r="B91" s="87"/>
      <c r="C91" s="12" t="s">
        <v>137</v>
      </c>
      <c r="H91" s="90"/>
      <c r="J91" s="88"/>
    </row>
    <row r="92" spans="2:10">
      <c r="B92" s="87"/>
      <c r="J92" s="88"/>
    </row>
    <row r="93" spans="2:10">
      <c r="B93" s="87"/>
      <c r="J93" s="88"/>
    </row>
    <row r="94" spans="2:10">
      <c r="B94" s="87"/>
      <c r="J94" s="88"/>
    </row>
    <row r="95" spans="2:10">
      <c r="B95" s="87"/>
      <c r="E95" s="98">
        <v>4.9000000000000004</v>
      </c>
      <c r="F95" s="98" t="s">
        <v>106</v>
      </c>
      <c r="G95" s="98" t="s">
        <v>34</v>
      </c>
      <c r="J95" s="88"/>
    </row>
    <row r="96" spans="2:10">
      <c r="B96" s="87"/>
      <c r="E96" s="98">
        <f>E95/1000</f>
        <v>4.9000000000000007E-3</v>
      </c>
      <c r="F96" s="98" t="s">
        <v>56</v>
      </c>
      <c r="G96" s="98" t="s">
        <v>107</v>
      </c>
      <c r="J96" s="88"/>
    </row>
    <row r="97" spans="2:10">
      <c r="B97" s="87"/>
      <c r="J97" s="88"/>
    </row>
    <row r="98" spans="2:10">
      <c r="B98" s="87"/>
      <c r="H98" s="90"/>
      <c r="J98" s="88"/>
    </row>
    <row r="99" spans="2:10">
      <c r="B99" s="87"/>
      <c r="E99" s="83">
        <v>4.5</v>
      </c>
      <c r="G99" s="97" t="s">
        <v>91</v>
      </c>
      <c r="J99" s="88"/>
    </row>
    <row r="100" spans="2:10">
      <c r="B100" s="87"/>
      <c r="E100" s="83">
        <f>(1-E57)*(1-1/E99)</f>
        <v>0.63239875389408096</v>
      </c>
      <c r="G100" s="97" t="s">
        <v>82</v>
      </c>
      <c r="J100" s="88"/>
    </row>
    <row r="101" spans="2:10">
      <c r="B101" s="87"/>
      <c r="E101" s="83">
        <f>(1-E57)/E99</f>
        <v>0.18068535825545171</v>
      </c>
      <c r="G101" s="97" t="s">
        <v>83</v>
      </c>
      <c r="J101" s="88"/>
    </row>
    <row r="102" spans="2:10">
      <c r="B102" s="87"/>
      <c r="D102"/>
      <c r="J102" s="88"/>
    </row>
    <row r="103" spans="2:10">
      <c r="B103" s="87"/>
      <c r="J103" s="88"/>
    </row>
    <row r="104" spans="2:10">
      <c r="B104" s="87"/>
      <c r="J104" s="88"/>
    </row>
    <row r="105" spans="2:10">
      <c r="B105" s="87"/>
      <c r="E105" s="109">
        <v>1</v>
      </c>
      <c r="G105" s="108" t="s">
        <v>152</v>
      </c>
      <c r="J105" s="88"/>
    </row>
    <row r="106" spans="2:10">
      <c r="B106" s="87"/>
      <c r="E106" s="109">
        <v>1</v>
      </c>
      <c r="F106"/>
      <c r="G106" s="108" t="s">
        <v>153</v>
      </c>
      <c r="J106" s="88"/>
    </row>
    <row r="107" spans="2:10">
      <c r="B107" s="87"/>
      <c r="J107" s="88"/>
    </row>
    <row r="108" spans="2:10">
      <c r="B108" s="87"/>
      <c r="G108" s="110" t="s">
        <v>155</v>
      </c>
      <c r="J108" s="88"/>
    </row>
    <row r="109" spans="2:10">
      <c r="B109" s="87"/>
      <c r="J109" s="88"/>
    </row>
    <row r="110" spans="2:10">
      <c r="B110" s="87"/>
      <c r="J110" s="88"/>
    </row>
    <row r="111" spans="2:10">
      <c r="B111" s="87"/>
      <c r="J111" s="88"/>
    </row>
    <row r="112" spans="2:10">
      <c r="B112" s="87"/>
      <c r="J112" s="88"/>
    </row>
    <row r="113" spans="2:10">
      <c r="B113" s="87"/>
      <c r="J113" s="88"/>
    </row>
    <row r="114" spans="2:10">
      <c r="B114" s="87"/>
      <c r="J114" s="88"/>
    </row>
    <row r="115" spans="2:10">
      <c r="B115" s="87"/>
      <c r="H115" s="90"/>
      <c r="J115" s="88"/>
    </row>
    <row r="116" spans="2:10">
      <c r="B116" s="87"/>
      <c r="J116" s="88"/>
    </row>
    <row r="117" spans="2:10">
      <c r="B117" s="87"/>
      <c r="J117" s="88"/>
    </row>
    <row r="118" spans="2:10">
      <c r="B118" s="87"/>
      <c r="J118" s="88"/>
    </row>
    <row r="119" spans="2:10">
      <c r="B119" s="87"/>
      <c r="J119" s="88"/>
    </row>
    <row r="120" spans="2:10">
      <c r="B120" s="87"/>
      <c r="J120" s="88"/>
    </row>
    <row r="121" spans="2:10">
      <c r="B121" s="87"/>
      <c r="J121" s="88"/>
    </row>
    <row r="122" spans="2:10">
      <c r="B122" s="87"/>
      <c r="J122" s="88"/>
    </row>
    <row r="123" spans="2:10">
      <c r="B123" s="87"/>
      <c r="J123" s="88"/>
    </row>
    <row r="124" spans="2:10">
      <c r="B124" s="87"/>
      <c r="H124" s="90"/>
      <c r="J124" s="88"/>
    </row>
    <row r="125" spans="2:10">
      <c r="B125" s="87"/>
      <c r="J125" s="88"/>
    </row>
    <row r="126" spans="2:10">
      <c r="B126" s="87"/>
      <c r="J126" s="88"/>
    </row>
    <row r="127" spans="2:10">
      <c r="B127" s="87"/>
      <c r="J127" s="88"/>
    </row>
    <row r="128" spans="2:10">
      <c r="B128" s="87"/>
      <c r="J128" s="88"/>
    </row>
    <row r="129" spans="1:10">
      <c r="B129" s="87"/>
      <c r="J129" s="88"/>
    </row>
    <row r="130" spans="1:10">
      <c r="B130" s="87"/>
      <c r="J130" s="88"/>
    </row>
    <row r="131" spans="1:10">
      <c r="B131" s="87"/>
      <c r="J131" s="88"/>
    </row>
    <row r="132" spans="1:10">
      <c r="B132" s="87"/>
      <c r="J132" s="88"/>
    </row>
    <row r="133" spans="1:10">
      <c r="B133" s="87"/>
      <c r="J133" s="88"/>
    </row>
    <row r="134" spans="1:10">
      <c r="B134" s="87"/>
      <c r="J134" s="88"/>
    </row>
    <row r="135" spans="1:10">
      <c r="B135" s="87"/>
      <c r="J135" s="88"/>
    </row>
    <row r="136" spans="1:10">
      <c r="B136" s="87"/>
      <c r="J136" s="88"/>
    </row>
    <row r="137" spans="1:10">
      <c r="B137" s="87"/>
      <c r="J137" s="88"/>
    </row>
    <row r="138" spans="1:10">
      <c r="B138" s="87"/>
      <c r="J138" s="88"/>
    </row>
    <row r="139" spans="1:10">
      <c r="B139" s="87"/>
      <c r="J139" s="88"/>
    </row>
    <row r="140" spans="1:10">
      <c r="B140" s="87"/>
      <c r="J140" s="88"/>
    </row>
    <row r="141" spans="1:10">
      <c r="A141" s="98"/>
      <c r="B141" s="99"/>
      <c r="H141" s="90"/>
      <c r="J141" s="88"/>
    </row>
    <row r="142" spans="1:10">
      <c r="A142" s="98"/>
      <c r="B142" s="99"/>
      <c r="J142" s="88"/>
    </row>
    <row r="143" spans="1:10">
      <c r="A143" s="98"/>
      <c r="B143" s="99"/>
      <c r="J143" s="88"/>
    </row>
    <row r="144" spans="1:10">
      <c r="A144" s="98"/>
      <c r="B144" s="99"/>
      <c r="J144" s="88"/>
    </row>
    <row r="145" spans="1:2">
      <c r="A145" s="98"/>
      <c r="B145" s="99"/>
    </row>
    <row r="146" spans="1:2">
      <c r="A146" s="98"/>
      <c r="B146" s="99"/>
    </row>
    <row r="147" spans="1:2">
      <c r="A147" s="98"/>
      <c r="B147" s="99"/>
    </row>
    <row r="148" spans="1:2">
      <c r="A148" s="98"/>
      <c r="B148" s="99"/>
    </row>
    <row r="149" spans="1:2">
      <c r="A149" s="98"/>
      <c r="B149" s="99"/>
    </row>
    <row r="150" spans="1:2">
      <c r="A150" s="98"/>
      <c r="B150" s="99"/>
    </row>
    <row r="151" spans="1:2">
      <c r="A151" s="98"/>
      <c r="B151" s="99"/>
    </row>
    <row r="152" spans="1:2">
      <c r="A152" s="98"/>
      <c r="B152" s="99"/>
    </row>
    <row r="153" spans="1:2">
      <c r="A153" s="98"/>
      <c r="B153" s="99"/>
    </row>
    <row r="154" spans="1:2">
      <c r="A154" s="98"/>
      <c r="B154" s="99"/>
    </row>
    <row r="155" spans="1:2">
      <c r="A155" s="98"/>
      <c r="B155" s="99"/>
    </row>
    <row r="156" spans="1:2">
      <c r="A156" s="98"/>
      <c r="B156" s="99"/>
    </row>
    <row r="157" spans="1:2">
      <c r="A157" s="98"/>
      <c r="B157" s="99"/>
    </row>
    <row r="158" spans="1:2">
      <c r="A158" s="98"/>
      <c r="B158" s="99"/>
    </row>
    <row r="159" spans="1:2">
      <c r="A159" s="98"/>
      <c r="B159" s="99"/>
    </row>
    <row r="160" spans="1:2">
      <c r="A160" s="95"/>
      <c r="B160" s="96"/>
    </row>
    <row r="161" spans="1:3">
      <c r="A161" s="95"/>
      <c r="B161" s="96"/>
    </row>
    <row r="162" spans="1:3">
      <c r="A162" s="95"/>
      <c r="B162" s="96"/>
    </row>
    <row r="163" spans="1:3">
      <c r="A163" s="95"/>
      <c r="B163" s="96"/>
    </row>
    <row r="164" spans="1:3">
      <c r="A164" s="95"/>
      <c r="B164" s="96"/>
    </row>
    <row r="165" spans="1:3">
      <c r="A165" s="95"/>
      <c r="B165" s="96"/>
    </row>
    <row r="166" spans="1:3">
      <c r="A166" s="95"/>
      <c r="B166" s="96"/>
    </row>
    <row r="167" spans="1:3">
      <c r="A167" s="95"/>
      <c r="B167" s="96"/>
    </row>
    <row r="168" spans="1:3">
      <c r="A168" s="95"/>
      <c r="B168" s="96"/>
    </row>
    <row r="169" spans="1:3">
      <c r="A169" s="95"/>
      <c r="B169" s="96"/>
      <c r="C169" s="12" t="s">
        <v>98</v>
      </c>
    </row>
    <row r="170" spans="1:3">
      <c r="A170" s="95"/>
      <c r="B170" s="96"/>
    </row>
    <row r="171" spans="1:3">
      <c r="A171" s="95"/>
      <c r="B171" s="96"/>
    </row>
    <row r="172" spans="1:3">
      <c r="A172" s="95"/>
      <c r="B172" s="96"/>
    </row>
    <row r="173" spans="1:3">
      <c r="A173" s="95"/>
      <c r="B173" s="96"/>
    </row>
    <row r="174" spans="1:3">
      <c r="A174" s="95"/>
      <c r="B174" s="96"/>
    </row>
    <row r="175" spans="1:3">
      <c r="A175" s="95"/>
      <c r="B175" s="96"/>
    </row>
    <row r="176" spans="1:3">
      <c r="A176" s="95"/>
      <c r="B176" s="96"/>
    </row>
    <row r="177" spans="1:9">
      <c r="A177" s="95"/>
      <c r="B177" s="96"/>
      <c r="E177" s="83">
        <v>2635</v>
      </c>
      <c r="F177" s="97" t="s">
        <v>26</v>
      </c>
      <c r="G177" s="97" t="s">
        <v>93</v>
      </c>
    </row>
    <row r="178" spans="1:9">
      <c r="A178" s="95"/>
      <c r="B178" s="96"/>
      <c r="G178" s="97" t="s">
        <v>95</v>
      </c>
    </row>
    <row r="179" spans="1:9">
      <c r="A179" s="95"/>
      <c r="B179" s="96"/>
    </row>
    <row r="180" spans="1:9">
      <c r="A180" s="95"/>
      <c r="B180" s="96"/>
      <c r="E180" s="83">
        <v>600</v>
      </c>
      <c r="F180" s="97" t="s">
        <v>26</v>
      </c>
      <c r="G180" s="97" t="s">
        <v>94</v>
      </c>
    </row>
    <row r="181" spans="1:9">
      <c r="A181" s="95"/>
      <c r="B181" s="96"/>
    </row>
    <row r="182" spans="1:9">
      <c r="A182" s="95"/>
      <c r="B182" s="96"/>
    </row>
    <row r="183" spans="1:9">
      <c r="A183" s="95"/>
      <c r="B183" s="96"/>
    </row>
    <row r="184" spans="1:9">
      <c r="A184" s="95"/>
      <c r="B184" s="96"/>
    </row>
    <row r="185" spans="1:9">
      <c r="A185" s="95"/>
      <c r="B185" s="96"/>
    </row>
    <row r="186" spans="1:9">
      <c r="A186" s="95"/>
      <c r="B186" s="96"/>
      <c r="E186" s="83">
        <v>1500</v>
      </c>
      <c r="F186" s="97" t="s">
        <v>26</v>
      </c>
      <c r="G186" s="97" t="s">
        <v>93</v>
      </c>
      <c r="I186" s="98" t="s">
        <v>114</v>
      </c>
    </row>
    <row r="187" spans="1:9">
      <c r="A187" s="95"/>
      <c r="B187" s="96"/>
      <c r="G187" s="97" t="s">
        <v>97</v>
      </c>
    </row>
    <row r="188" spans="1:9">
      <c r="A188" s="95"/>
      <c r="B188" s="96"/>
    </row>
    <row r="189" spans="1:9">
      <c r="A189" s="95"/>
      <c r="B189" s="96"/>
    </row>
    <row r="190" spans="1:9">
      <c r="A190" s="95"/>
      <c r="B190" s="96"/>
    </row>
    <row r="191" spans="1:9">
      <c r="A191" s="95"/>
      <c r="B191" s="96"/>
      <c r="E191" s="83">
        <f>E186+E177</f>
        <v>4135</v>
      </c>
      <c r="F191" s="97" t="s">
        <v>26</v>
      </c>
      <c r="G191" s="97" t="s">
        <v>96</v>
      </c>
    </row>
    <row r="192" spans="1:9">
      <c r="A192" s="95"/>
      <c r="B192" s="96"/>
    </row>
    <row r="193" spans="1:7">
      <c r="A193" s="95"/>
      <c r="B193" s="96"/>
    </row>
    <row r="194" spans="1:7">
      <c r="A194" s="95"/>
      <c r="B194" s="96"/>
      <c r="D194" s="120" t="str">
        <f>Dashboard!C$22</f>
        <v>storage.volume</v>
      </c>
      <c r="E194" s="114">
        <v>0</v>
      </c>
      <c r="F194" s="114" t="s">
        <v>163</v>
      </c>
      <c r="G194" s="114" t="s">
        <v>199</v>
      </c>
    </row>
    <row r="195" spans="1:7">
      <c r="A195" s="95"/>
      <c r="B195" s="96"/>
    </row>
    <row r="196" spans="1:7">
      <c r="A196" s="95"/>
      <c r="B196" s="96"/>
      <c r="C196" s="12" t="s">
        <v>135</v>
      </c>
    </row>
    <row r="197" spans="1:7">
      <c r="A197" s="95"/>
      <c r="B197" s="96"/>
    </row>
    <row r="198" spans="1:7">
      <c r="A198" s="95"/>
      <c r="B198" s="96"/>
    </row>
    <row r="199" spans="1:7">
      <c r="A199" s="95"/>
      <c r="B199" s="96"/>
    </row>
    <row r="200" spans="1:7">
      <c r="A200" s="95"/>
      <c r="B200" s="96"/>
    </row>
    <row r="201" spans="1:7">
      <c r="A201" s="95"/>
      <c r="B201" s="96"/>
    </row>
    <row r="202" spans="1:7">
      <c r="A202" s="95"/>
      <c r="B202" s="96"/>
    </row>
    <row r="203" spans="1:7">
      <c r="A203" s="95"/>
      <c r="B203" s="96"/>
    </row>
    <row r="204" spans="1:7">
      <c r="A204" s="95"/>
      <c r="B204" s="96"/>
      <c r="E204" s="83">
        <v>117</v>
      </c>
      <c r="F204" s="98" t="s">
        <v>116</v>
      </c>
      <c r="G204" s="98" t="s">
        <v>121</v>
      </c>
    </row>
    <row r="205" spans="1:7">
      <c r="A205" s="95"/>
      <c r="B205" s="96"/>
      <c r="G205" s="98" t="s">
        <v>117</v>
      </c>
    </row>
    <row r="206" spans="1:7">
      <c r="A206" s="95"/>
      <c r="B206" s="96"/>
      <c r="E206" s="83">
        <f>E204/1.21</f>
        <v>96.694214876033058</v>
      </c>
      <c r="F206" s="98" t="s">
        <v>116</v>
      </c>
      <c r="G206" s="98" t="s">
        <v>122</v>
      </c>
    </row>
    <row r="207" spans="1:7">
      <c r="A207" s="95"/>
      <c r="B207" s="96"/>
      <c r="G207" s="98" t="s">
        <v>117</v>
      </c>
    </row>
    <row r="208" spans="1:7">
      <c r="A208" s="95"/>
      <c r="B208" s="96"/>
    </row>
    <row r="209" spans="1:10">
      <c r="A209" s="95"/>
      <c r="B209" s="96"/>
      <c r="E209" s="83">
        <v>189</v>
      </c>
      <c r="F209" s="98" t="s">
        <v>116</v>
      </c>
      <c r="G209" s="98" t="s">
        <v>121</v>
      </c>
    </row>
    <row r="210" spans="1:10">
      <c r="A210" s="95"/>
      <c r="B210" s="96"/>
      <c r="G210" s="98" t="s">
        <v>118</v>
      </c>
    </row>
    <row r="211" spans="1:10">
      <c r="A211" s="95"/>
      <c r="B211" s="96"/>
    </row>
    <row r="212" spans="1:10">
      <c r="A212" s="95"/>
      <c r="B212" s="96"/>
      <c r="E212" s="83">
        <f>E209/1.21</f>
        <v>156.19834710743802</v>
      </c>
      <c r="F212" s="98" t="s">
        <v>116</v>
      </c>
      <c r="G212" s="98" t="s">
        <v>123</v>
      </c>
    </row>
    <row r="213" spans="1:10">
      <c r="A213" s="95"/>
      <c r="B213" s="96"/>
      <c r="G213" s="98" t="s">
        <v>118</v>
      </c>
    </row>
    <row r="214" spans="1:10">
      <c r="A214" s="95"/>
      <c r="B214" s="96"/>
    </row>
    <row r="215" spans="1:10">
      <c r="A215" s="95"/>
      <c r="B215" s="96"/>
      <c r="C215" s="98"/>
    </row>
    <row r="216" spans="1:10">
      <c r="A216" s="95"/>
      <c r="B216" s="96"/>
    </row>
    <row r="217" spans="1:10">
      <c r="A217" s="95"/>
      <c r="B217" s="96"/>
      <c r="E217" s="83">
        <f>E212+E206</f>
        <v>252.89256198347107</v>
      </c>
      <c r="F217" s="98" t="s">
        <v>116</v>
      </c>
      <c r="G217" s="98" t="s">
        <v>119</v>
      </c>
    </row>
    <row r="218" spans="1:10">
      <c r="A218" s="95"/>
      <c r="B218" s="96"/>
      <c r="G218" s="98" t="s">
        <v>120</v>
      </c>
    </row>
    <row r="219" spans="1:10">
      <c r="A219" s="95"/>
      <c r="B219" s="96"/>
    </row>
    <row r="220" spans="1:10">
      <c r="A220" s="95"/>
      <c r="B220" s="96"/>
    </row>
    <row r="221" spans="1:10" s="114" customFormat="1">
      <c r="B221" s="115"/>
      <c r="J221" s="116"/>
    </row>
    <row r="222" spans="1:10" s="219" customFormat="1">
      <c r="B222" s="220"/>
      <c r="C222" s="12" t="s">
        <v>145</v>
      </c>
      <c r="E222" s="12" t="s">
        <v>160</v>
      </c>
      <c r="F222" s="219">
        <f>F231</f>
        <v>2.6002380221130221</v>
      </c>
      <c r="J222" s="221"/>
    </row>
    <row r="223" spans="1:10" s="219" customFormat="1">
      <c r="B223" s="220"/>
      <c r="C223" s="12"/>
      <c r="E223" s="12"/>
      <c r="J223" s="221"/>
    </row>
    <row r="224" spans="1:10" s="219" customFormat="1">
      <c r="B224" s="220"/>
      <c r="C224" s="12"/>
      <c r="E224" s="219" t="s">
        <v>226</v>
      </c>
      <c r="J224" s="221"/>
    </row>
    <row r="225" spans="2:10" s="219" customFormat="1">
      <c r="B225" s="220"/>
      <c r="C225" s="12"/>
      <c r="E225" s="12"/>
      <c r="J225" s="221"/>
    </row>
    <row r="226" spans="2:10" s="219" customFormat="1">
      <c r="B226" s="220"/>
      <c r="C226" s="12"/>
      <c r="E226" s="219" t="s">
        <v>227</v>
      </c>
      <c r="F226" s="219">
        <v>81.400000000000006</v>
      </c>
      <c r="G226" s="219" t="s">
        <v>228</v>
      </c>
      <c r="J226" s="221"/>
    </row>
    <row r="227" spans="2:10" s="219" customFormat="1">
      <c r="B227" s="220"/>
      <c r="C227" s="12"/>
      <c r="F227" s="219">
        <f>(F226/31.65)/1.07</f>
        <v>2.4036261091671465</v>
      </c>
      <c r="G227" s="219" t="s">
        <v>229</v>
      </c>
      <c r="J227" s="221"/>
    </row>
    <row r="228" spans="2:10" s="219" customFormat="1">
      <c r="B228" s="220"/>
      <c r="C228" s="12"/>
      <c r="E228" s="219" t="s">
        <v>230</v>
      </c>
      <c r="F228" s="219">
        <v>22.5</v>
      </c>
      <c r="G228" s="219" t="s">
        <v>231</v>
      </c>
      <c r="J228" s="221"/>
    </row>
    <row r="229" spans="2:10" s="219" customFormat="1">
      <c r="B229" s="220"/>
      <c r="C229" s="12"/>
      <c r="E229" s="12"/>
      <c r="F229" s="219">
        <f>F228/3.6</f>
        <v>6.25</v>
      </c>
      <c r="G229" s="219" t="s">
        <v>229</v>
      </c>
      <c r="H229" s="219" t="s">
        <v>232</v>
      </c>
      <c r="J229" s="221"/>
    </row>
    <row r="230" spans="2:10" s="219" customFormat="1">
      <c r="B230" s="220"/>
      <c r="C230" s="12"/>
      <c r="E230" s="12"/>
      <c r="J230" s="221"/>
    </row>
    <row r="231" spans="2:10" s="219" customFormat="1">
      <c r="B231" s="220"/>
      <c r="C231" s="12"/>
      <c r="E231" s="12" t="s">
        <v>233</v>
      </c>
      <c r="F231" s="12">
        <f>F229/F227</f>
        <v>2.6002380221130221</v>
      </c>
      <c r="J231" s="221"/>
    </row>
    <row r="232" spans="2:10" s="219" customFormat="1">
      <c r="B232" s="220"/>
      <c r="C232" s="12"/>
      <c r="E232" s="12"/>
      <c r="J232" s="221"/>
    </row>
    <row r="233" spans="2:10" s="219" customFormat="1">
      <c r="B233" s="220"/>
      <c r="C233" s="12"/>
      <c r="E233" s="12"/>
      <c r="J233" s="221"/>
    </row>
    <row r="234" spans="2:10" s="219" customFormat="1">
      <c r="B234" s="220"/>
      <c r="C234" s="12"/>
      <c r="E234" s="12"/>
      <c r="J234" s="221"/>
    </row>
    <row r="235" spans="2:10" s="219" customFormat="1">
      <c r="B235" s="220"/>
      <c r="C235" s="12"/>
      <c r="E235" s="12"/>
      <c r="J235" s="221"/>
    </row>
    <row r="236" spans="2:10" s="219" customFormat="1">
      <c r="B236" s="220"/>
      <c r="C236" s="12"/>
      <c r="E236" s="12"/>
      <c r="J236" s="221"/>
    </row>
    <row r="237" spans="2:10" s="219" customFormat="1">
      <c r="B237" s="220"/>
      <c r="C237" s="12"/>
      <c r="E237" s="12"/>
      <c r="J237" s="221"/>
    </row>
    <row r="238" spans="2:10" s="219" customFormat="1">
      <c r="B238" s="220"/>
      <c r="C238" s="12"/>
      <c r="E238" s="12"/>
      <c r="J238" s="221"/>
    </row>
    <row r="239" spans="2:10" s="219" customFormat="1">
      <c r="B239" s="220"/>
      <c r="C239" s="12"/>
      <c r="E239" s="12"/>
      <c r="J239" s="221"/>
    </row>
    <row r="240" spans="2:10" s="219" customFormat="1">
      <c r="B240" s="220"/>
      <c r="C240" s="12"/>
      <c r="E240" s="12"/>
      <c r="J240" s="221"/>
    </row>
    <row r="241" spans="1:10" s="219" customFormat="1">
      <c r="B241" s="220"/>
      <c r="C241" s="12"/>
      <c r="E241" s="12"/>
      <c r="J241" s="221"/>
    </row>
    <row r="242" spans="1:10" s="219" customFormat="1">
      <c r="B242" s="220"/>
      <c r="C242" s="12"/>
      <c r="E242" s="12"/>
      <c r="J242" s="221"/>
    </row>
    <row r="243" spans="1:10" s="219" customFormat="1">
      <c r="B243" s="220"/>
      <c r="J243" s="221"/>
    </row>
    <row r="244" spans="1:10" s="219" customFormat="1">
      <c r="B244" s="220"/>
      <c r="E244" s="12" t="s">
        <v>246</v>
      </c>
      <c r="F244" s="222">
        <v>2.1999999999999999E-2</v>
      </c>
      <c r="H244" s="219" t="s">
        <v>169</v>
      </c>
      <c r="J244" s="221"/>
    </row>
    <row r="245" spans="1:10" s="219" customFormat="1">
      <c r="A245" s="95"/>
      <c r="B245" s="96"/>
    </row>
    <row r="246" spans="1:10" s="219" customFormat="1">
      <c r="B246" s="220"/>
      <c r="J246" s="221"/>
    </row>
    <row r="247" spans="1:10" s="219" customFormat="1">
      <c r="B247" s="220"/>
      <c r="C247" s="119" t="s">
        <v>166</v>
      </c>
      <c r="D247" s="219" t="s">
        <v>170</v>
      </c>
      <c r="E247" s="219">
        <v>65</v>
      </c>
      <c r="J247" s="221"/>
    </row>
    <row r="248" spans="1:10" s="219" customFormat="1">
      <c r="B248" s="220"/>
      <c r="D248" s="219" t="s">
        <v>234</v>
      </c>
      <c r="J248" s="221"/>
    </row>
    <row r="249" spans="1:10" s="219" customFormat="1">
      <c r="B249" s="220"/>
      <c r="D249" s="219" t="s">
        <v>235</v>
      </c>
      <c r="J249" s="221"/>
    </row>
    <row r="250" spans="1:10" s="219" customFormat="1">
      <c r="B250" s="220"/>
      <c r="J250" s="221"/>
    </row>
    <row r="251" spans="1:10" s="219" customFormat="1">
      <c r="B251" s="220"/>
      <c r="D251" s="223" t="s">
        <v>236</v>
      </c>
      <c r="E251" s="224">
        <v>35</v>
      </c>
      <c r="F251" s="224">
        <v>45</v>
      </c>
      <c r="G251" s="224">
        <v>50</v>
      </c>
      <c r="J251" s="221"/>
    </row>
    <row r="252" spans="1:10" s="219" customFormat="1">
      <c r="B252" s="220"/>
      <c r="D252" s="223" t="s">
        <v>237</v>
      </c>
      <c r="E252" s="223">
        <v>3.25</v>
      </c>
      <c r="F252" s="223">
        <f>G252-((G$251-F$251)/(G$251-E$251))*(G252-E252)</f>
        <v>2.3233333333333333</v>
      </c>
      <c r="G252" s="223">
        <v>1.86</v>
      </c>
      <c r="J252" s="221"/>
    </row>
    <row r="253" spans="1:10" s="219" customFormat="1">
      <c r="B253" s="220"/>
      <c r="D253" s="223" t="s">
        <v>238</v>
      </c>
      <c r="E253" s="223">
        <v>8.7499999999999994E-2</v>
      </c>
      <c r="F253" s="223">
        <f>G253-((G$251-F$251)/(G$251-E$251))*(G253-E253)</f>
        <v>5.7833333333333327E-2</v>
      </c>
      <c r="G253" s="223">
        <v>4.2999999999999997E-2</v>
      </c>
      <c r="J253" s="221"/>
    </row>
    <row r="254" spans="1:10" s="219" customFormat="1">
      <c r="B254" s="220"/>
      <c r="D254" s="219" t="s">
        <v>239</v>
      </c>
      <c r="E254" s="219" t="s">
        <v>240</v>
      </c>
      <c r="G254" s="219" t="s">
        <v>240</v>
      </c>
      <c r="J254" s="221"/>
    </row>
    <row r="255" spans="1:10" s="219" customFormat="1">
      <c r="B255" s="220"/>
      <c r="J255" s="221"/>
    </row>
    <row r="256" spans="1:10" s="219" customFormat="1">
      <c r="B256" s="220"/>
      <c r="J256" s="221"/>
    </row>
    <row r="257" spans="2:10" s="219" customFormat="1">
      <c r="B257" s="220"/>
      <c r="D257" s="225" t="s">
        <v>158</v>
      </c>
      <c r="E257" s="227">
        <f>F252</f>
        <v>2.3233333333333333</v>
      </c>
      <c r="F257" s="219" t="s">
        <v>91</v>
      </c>
      <c r="J257" s="221"/>
    </row>
    <row r="258" spans="2:10" s="219" customFormat="1">
      <c r="B258" s="220"/>
      <c r="D258" s="225" t="s">
        <v>161</v>
      </c>
      <c r="E258" s="227">
        <f>F253</f>
        <v>5.7833333333333327E-2</v>
      </c>
      <c r="F258" s="219" t="s">
        <v>171</v>
      </c>
      <c r="J258" s="221"/>
    </row>
    <row r="259" spans="2:10" s="219" customFormat="1">
      <c r="B259" s="220"/>
      <c r="J259" s="221"/>
    </row>
    <row r="260" spans="2:10" s="219" customFormat="1">
      <c r="B260" s="220"/>
      <c r="C260" s="226"/>
      <c r="D260" s="219" t="s">
        <v>242</v>
      </c>
      <c r="J260" s="221"/>
    </row>
    <row r="261" spans="2:10" s="219" customFormat="1">
      <c r="B261" s="220"/>
      <c r="D261" s="219" t="s">
        <v>241</v>
      </c>
      <c r="J261" s="221"/>
    </row>
    <row r="262" spans="2:10" s="219" customFormat="1">
      <c r="B262" s="220"/>
      <c r="J262" s="221"/>
    </row>
    <row r="263" spans="2:10" s="219" customFormat="1">
      <c r="B263" s="220"/>
    </row>
    <row r="264" spans="2:10" s="233" customFormat="1">
      <c r="B264" s="234"/>
      <c r="C264" s="12" t="s">
        <v>168</v>
      </c>
      <c r="D264" s="233" t="s">
        <v>247</v>
      </c>
      <c r="J264" s="235"/>
    </row>
    <row r="265" spans="2:10" s="233" customFormat="1">
      <c r="B265" s="234"/>
      <c r="C265" s="12"/>
      <c r="D265" s="233" t="s">
        <v>248</v>
      </c>
      <c r="E265" s="233" t="s">
        <v>175</v>
      </c>
      <c r="J265" s="235"/>
    </row>
    <row r="266" spans="2:10" s="233" customFormat="1">
      <c r="B266" s="234"/>
      <c r="J266" s="235"/>
    </row>
    <row r="267" spans="2:10" s="233" customFormat="1">
      <c r="B267" s="234"/>
      <c r="D267" s="42" t="s">
        <v>42</v>
      </c>
      <c r="E267" s="236">
        <v>15</v>
      </c>
      <c r="F267" s="237" t="s">
        <v>1</v>
      </c>
      <c r="G267" s="237"/>
      <c r="J267" s="235"/>
    </row>
    <row r="268" spans="2:10" s="233" customFormat="1">
      <c r="B268" s="234"/>
      <c r="D268" s="42" t="s">
        <v>9</v>
      </c>
      <c r="E268" s="233">
        <v>1000</v>
      </c>
      <c r="F268" s="233" t="s">
        <v>26</v>
      </c>
      <c r="J268" s="235"/>
    </row>
    <row r="269" spans="2:10" s="233" customFormat="1">
      <c r="B269" s="234"/>
      <c r="D269" s="42" t="s">
        <v>38</v>
      </c>
      <c r="E269" s="233">
        <v>200</v>
      </c>
      <c r="F269" s="233" t="s">
        <v>45</v>
      </c>
      <c r="J269" s="235"/>
    </row>
    <row r="270" spans="2:10" s="233" customFormat="1">
      <c r="B270" s="234"/>
      <c r="D270" s="42" t="s">
        <v>34</v>
      </c>
      <c r="E270" s="238">
        <f>H271/1000</f>
        <v>5.0000000000000001E-3</v>
      </c>
      <c r="F270" s="233" t="s">
        <v>56</v>
      </c>
      <c r="J270" s="235"/>
    </row>
    <row r="271" spans="2:10" s="233" customFormat="1">
      <c r="B271" s="234"/>
      <c r="H271" s="233">
        <v>5</v>
      </c>
      <c r="I271" s="233" t="s">
        <v>106</v>
      </c>
      <c r="J271" s="235"/>
    </row>
    <row r="272" spans="2:10" s="233" customFormat="1">
      <c r="B272" s="234"/>
      <c r="C272" s="12"/>
      <c r="D272" s="120"/>
      <c r="J272" s="235"/>
    </row>
    <row r="273" spans="1:10" s="233" customFormat="1">
      <c r="B273" s="234"/>
      <c r="D273" s="233" t="s">
        <v>249</v>
      </c>
      <c r="E273" s="233">
        <v>7</v>
      </c>
      <c r="F273" s="233" t="s">
        <v>176</v>
      </c>
      <c r="J273" s="235"/>
    </row>
    <row r="274" spans="1:10" s="233" customFormat="1">
      <c r="A274" s="95"/>
      <c r="B274" s="96"/>
      <c r="D274" s="12" t="s">
        <v>251</v>
      </c>
      <c r="E274" s="233">
        <f>H271/(E273*E258+E257)/1000</f>
        <v>1.8327326043130307E-3</v>
      </c>
      <c r="F274" s="233" t="s">
        <v>56</v>
      </c>
    </row>
    <row r="275" spans="1:10" s="233" customFormat="1">
      <c r="A275" s="95"/>
      <c r="B275" s="96"/>
    </row>
    <row r="276" spans="1:10" s="233" customFormat="1">
      <c r="A276" s="95"/>
      <c r="B276" s="96"/>
      <c r="D276" s="120" t="str">
        <f>[2]Dashboard!C$22</f>
        <v>storage.volume</v>
      </c>
      <c r="E276" s="233">
        <v>0</v>
      </c>
      <c r="F276" s="233" t="s">
        <v>163</v>
      </c>
      <c r="G276" s="233" t="s">
        <v>250</v>
      </c>
    </row>
    <row r="277" spans="1:10" s="233" customFormat="1">
      <c r="A277" s="95"/>
      <c r="B277" s="96"/>
    </row>
    <row r="278" spans="1:10" s="233" customFormat="1">
      <c r="A278" s="95"/>
      <c r="B278" s="96"/>
    </row>
    <row r="279" spans="1:10" s="233" customFormat="1">
      <c r="A279" s="95"/>
      <c r="B279" s="96"/>
    </row>
    <row r="280" spans="1:10" s="233" customFormat="1">
      <c r="A280" s="95"/>
      <c r="B280" s="96"/>
    </row>
    <row r="281" spans="1:10" s="114" customFormat="1">
      <c r="B281" s="115"/>
      <c r="C281" s="119" t="str">
        <f>'Research data'!N3</f>
        <v>ISSO 72 and Quintel calc</v>
      </c>
      <c r="D281" s="43"/>
      <c r="G281" s="114" t="s">
        <v>172</v>
      </c>
      <c r="J281" s="116"/>
    </row>
    <row r="282" spans="1:10" s="114" customFormat="1">
      <c r="B282" s="115"/>
      <c r="C282" s="12"/>
      <c r="D282" s="114" t="s">
        <v>173</v>
      </c>
      <c r="E282" s="118">
        <v>10</v>
      </c>
      <c r="F282" s="118" t="s">
        <v>174</v>
      </c>
      <c r="J282" s="116"/>
    </row>
    <row r="283" spans="1:10" s="114" customFormat="1">
      <c r="B283" s="115"/>
      <c r="C283" s="12"/>
      <c r="D283" s="114" t="s">
        <v>177</v>
      </c>
      <c r="E283" s="118">
        <v>10</v>
      </c>
      <c r="F283" s="118" t="s">
        <v>178</v>
      </c>
      <c r="J283" s="116"/>
    </row>
    <row r="284" spans="1:10" s="114" customFormat="1">
      <c r="B284" s="115"/>
      <c r="C284" s="12"/>
      <c r="D284" s="114" t="s">
        <v>179</v>
      </c>
      <c r="E284" s="118">
        <v>4.18</v>
      </c>
      <c r="F284" s="118" t="s">
        <v>180</v>
      </c>
      <c r="J284" s="116"/>
    </row>
    <row r="285" spans="1:10" s="114" customFormat="1">
      <c r="B285" s="115"/>
      <c r="C285" s="12"/>
      <c r="D285" s="114" t="s">
        <v>181</v>
      </c>
      <c r="E285" s="118">
        <v>10</v>
      </c>
      <c r="F285" s="118" t="s">
        <v>176</v>
      </c>
      <c r="G285" s="114" t="s">
        <v>182</v>
      </c>
      <c r="J285" s="116"/>
    </row>
    <row r="286" spans="1:10" s="114" customFormat="1">
      <c r="B286" s="115"/>
      <c r="C286" s="12"/>
      <c r="D286" s="114" t="s">
        <v>183</v>
      </c>
      <c r="E286" s="122">
        <f>E282*60*E283/E284/E285</f>
        <v>143.54066985645935</v>
      </c>
      <c r="F286" s="118" t="s">
        <v>184</v>
      </c>
      <c r="J286" s="116"/>
    </row>
    <row r="287" spans="1:10" s="114" customFormat="1">
      <c r="B287" s="115"/>
      <c r="C287" s="12"/>
      <c r="D287" s="114" t="s">
        <v>185</v>
      </c>
      <c r="E287" s="189">
        <v>3600000</v>
      </c>
      <c r="F287" s="118" t="s">
        <v>198</v>
      </c>
      <c r="J287" s="116"/>
    </row>
    <row r="288" spans="1:10" s="114" customFormat="1">
      <c r="B288" s="115"/>
      <c r="C288" s="12"/>
      <c r="D288" s="120" t="str">
        <f>Dashboard!C$22</f>
        <v>storage.volume</v>
      </c>
      <c r="E288" s="188">
        <f>MROUND(E286*E285*E284/E287,0.0001)</f>
        <v>1.7000000000000001E-3</v>
      </c>
      <c r="F288" s="118" t="s">
        <v>163</v>
      </c>
      <c r="H288"/>
      <c r="J288" s="116"/>
    </row>
    <row r="289" spans="2:10" s="114" customFormat="1">
      <c r="B289" s="115"/>
      <c r="C289" s="12"/>
      <c r="J289" s="116"/>
    </row>
    <row r="290" spans="2:10" s="114" customFormat="1">
      <c r="B290" s="115"/>
      <c r="C290" s="12" t="s">
        <v>188</v>
      </c>
      <c r="D290" s="114" t="s">
        <v>173</v>
      </c>
      <c r="E290" s="118">
        <v>20</v>
      </c>
      <c r="F290" s="118" t="s">
        <v>174</v>
      </c>
      <c r="J290" s="116"/>
    </row>
    <row r="291" spans="2:10" s="114" customFormat="1">
      <c r="B291" s="115"/>
      <c r="C291" s="12"/>
      <c r="D291" s="114" t="s">
        <v>177</v>
      </c>
      <c r="E291" s="118">
        <v>10</v>
      </c>
      <c r="F291" s="118" t="s">
        <v>178</v>
      </c>
      <c r="J291" s="116"/>
    </row>
    <row r="292" spans="2:10" s="114" customFormat="1">
      <c r="B292" s="115"/>
      <c r="C292" s="12"/>
      <c r="D292" s="114" t="s">
        <v>179</v>
      </c>
      <c r="E292" s="118">
        <v>4.18</v>
      </c>
      <c r="F292" s="118" t="s">
        <v>180</v>
      </c>
      <c r="J292" s="116"/>
    </row>
    <row r="293" spans="2:10" s="114" customFormat="1">
      <c r="B293" s="115"/>
      <c r="C293" s="12"/>
      <c r="D293" s="114" t="s">
        <v>181</v>
      </c>
      <c r="E293" s="118">
        <v>10</v>
      </c>
      <c r="F293" s="118" t="s">
        <v>176</v>
      </c>
      <c r="G293" s="114" t="s">
        <v>182</v>
      </c>
      <c r="J293" s="116"/>
    </row>
    <row r="294" spans="2:10" s="114" customFormat="1">
      <c r="B294" s="115"/>
      <c r="C294" s="12"/>
      <c r="D294" s="114" t="s">
        <v>183</v>
      </c>
      <c r="E294" s="122">
        <f>E290*60*E291/E292/E293</f>
        <v>287.08133971291869</v>
      </c>
      <c r="F294" s="118" t="s">
        <v>184</v>
      </c>
      <c r="J294" s="116"/>
    </row>
    <row r="295" spans="2:10" s="114" customFormat="1">
      <c r="B295" s="115"/>
      <c r="C295" s="12"/>
      <c r="D295" s="114" t="s">
        <v>185</v>
      </c>
      <c r="E295" s="189">
        <v>3600000</v>
      </c>
      <c r="F295" s="118" t="s">
        <v>186</v>
      </c>
      <c r="J295" s="116"/>
    </row>
    <row r="296" spans="2:10" s="114" customFormat="1">
      <c r="B296" s="115"/>
      <c r="C296" s="12"/>
      <c r="D296" s="120" t="str">
        <f>Dashboard!C22</f>
        <v>storage.volume</v>
      </c>
      <c r="E296" s="188">
        <f>MROUND(E294*E293*E292/E295,0.0001)</f>
        <v>3.3E-3</v>
      </c>
      <c r="F296" s="118" t="s">
        <v>187</v>
      </c>
      <c r="J296" s="116"/>
    </row>
    <row r="297" spans="2:10" s="114" customFormat="1">
      <c r="B297" s="115"/>
      <c r="J297" s="116"/>
    </row>
    <row r="298" spans="2:10" s="114" customFormat="1">
      <c r="B298" s="115"/>
      <c r="J298" s="116"/>
    </row>
    <row r="299" spans="2:10" s="114" customFormat="1">
      <c r="B299" s="115"/>
      <c r="J299" s="116"/>
    </row>
    <row r="300" spans="2:10" s="114" customFormat="1">
      <c r="B300" s="115"/>
      <c r="J300" s="116"/>
    </row>
    <row r="301" spans="2:10" s="114" customFormat="1">
      <c r="B301" s="115"/>
      <c r="J301" s="116"/>
    </row>
    <row r="302" spans="2:10" s="114" customFormat="1">
      <c r="B302" s="115"/>
      <c r="J302" s="116"/>
    </row>
    <row r="303" spans="2:10" s="114" customFormat="1">
      <c r="B303" s="115"/>
      <c r="J303" s="116"/>
    </row>
    <row r="304" spans="2:10" s="114" customFormat="1">
      <c r="B304" s="115"/>
      <c r="J304" s="116"/>
    </row>
    <row r="305" spans="1:10" s="114" customFormat="1">
      <c r="B305" s="115"/>
      <c r="J305" s="116"/>
    </row>
    <row r="306" spans="1:10">
      <c r="A306" s="95"/>
      <c r="B306" s="96"/>
    </row>
    <row r="307" spans="1:10" s="114" customFormat="1">
      <c r="B307" s="115"/>
      <c r="J307" s="116"/>
    </row>
    <row r="308" spans="1:10" s="114" customFormat="1">
      <c r="B308" s="115"/>
      <c r="C308" s="209" t="s">
        <v>200</v>
      </c>
      <c r="D308" s="209"/>
      <c r="J308" s="116"/>
    </row>
    <row r="309" spans="1:10" s="114" customFormat="1">
      <c r="B309" s="115"/>
      <c r="D309" s="114" t="s">
        <v>201</v>
      </c>
      <c r="E309" s="118">
        <v>4.18</v>
      </c>
      <c r="F309" s="118" t="s">
        <v>180</v>
      </c>
      <c r="J309" s="116"/>
    </row>
    <row r="310" spans="1:10" s="114" customFormat="1">
      <c r="B310" s="115"/>
      <c r="D310" s="114" t="s">
        <v>202</v>
      </c>
      <c r="E310" s="118">
        <v>10</v>
      </c>
      <c r="F310" s="118" t="s">
        <v>176</v>
      </c>
      <c r="J310" s="116"/>
    </row>
    <row r="311" spans="1:10" s="114" customFormat="1">
      <c r="B311" s="115"/>
      <c r="E311" s="114">
        <f>E309*E310</f>
        <v>41.8</v>
      </c>
      <c r="F311" s="114" t="s">
        <v>203</v>
      </c>
      <c r="J311" s="116"/>
    </row>
    <row r="312" spans="1:10" s="114" customFormat="1">
      <c r="B312" s="115"/>
      <c r="E312" s="114">
        <v>3600000</v>
      </c>
      <c r="F312" s="114" t="s">
        <v>204</v>
      </c>
      <c r="J312" s="116"/>
    </row>
    <row r="313" spans="1:10" s="114" customFormat="1">
      <c r="B313" s="115"/>
      <c r="E313" s="190">
        <f>E311/E312</f>
        <v>1.161111111111111E-5</v>
      </c>
      <c r="F313" s="114" t="s">
        <v>205</v>
      </c>
      <c r="J313" s="116"/>
    </row>
    <row r="314" spans="1:10" s="114" customFormat="1">
      <c r="B314" s="115"/>
      <c r="E314" s="114">
        <v>500</v>
      </c>
      <c r="F314" s="114" t="s">
        <v>184</v>
      </c>
      <c r="J314" s="116"/>
    </row>
    <row r="315" spans="1:10" s="114" customFormat="1">
      <c r="B315" s="115"/>
      <c r="D315" s="114" t="s">
        <v>206</v>
      </c>
      <c r="E315" s="114">
        <v>1159</v>
      </c>
      <c r="F315" s="114" t="s">
        <v>26</v>
      </c>
      <c r="J315" s="116"/>
    </row>
    <row r="316" spans="1:10" s="114" customFormat="1">
      <c r="B316" s="115"/>
      <c r="D316" s="114" t="s">
        <v>207</v>
      </c>
      <c r="E316" s="121">
        <f>E315/1.21</f>
        <v>957.85123966942149</v>
      </c>
      <c r="F316" s="114" t="s">
        <v>26</v>
      </c>
      <c r="J316" s="116"/>
    </row>
    <row r="317" spans="1:10" s="114" customFormat="1">
      <c r="B317" s="115"/>
      <c r="D317" s="114" t="s">
        <v>208</v>
      </c>
      <c r="E317" s="191">
        <f>E316/E314</f>
        <v>1.9157024793388431</v>
      </c>
      <c r="F317" s="114" t="s">
        <v>209</v>
      </c>
      <c r="J317" s="116"/>
    </row>
    <row r="318" spans="1:10" s="114" customFormat="1">
      <c r="B318" s="115"/>
      <c r="J318" s="116"/>
    </row>
    <row r="319" spans="1:10" s="114" customFormat="1">
      <c r="B319" s="115"/>
      <c r="D319" s="210" t="e">
        <f>Dashboard!#REF!</f>
        <v>#REF!</v>
      </c>
      <c r="E319" s="189">
        <f>E317/E313</f>
        <v>164988.7302779865</v>
      </c>
      <c r="F319" s="114" t="s">
        <v>164</v>
      </c>
      <c r="J319" s="116"/>
    </row>
    <row r="320" spans="1:10" s="114" customFormat="1">
      <c r="B320" s="115"/>
      <c r="D320" s="210"/>
      <c r="E320" s="118"/>
      <c r="J320" s="116"/>
    </row>
    <row r="321" spans="2:10" s="114" customFormat="1">
      <c r="B321" s="115"/>
      <c r="D321" s="210"/>
      <c r="E321" s="118"/>
      <c r="J321" s="116"/>
    </row>
    <row r="322" spans="2:10" s="114" customFormat="1">
      <c r="B322" s="115"/>
      <c r="D322" s="210"/>
      <c r="E322" s="118"/>
      <c r="J322" s="116"/>
    </row>
    <row r="323" spans="2:10" s="114" customFormat="1">
      <c r="B323" s="115"/>
      <c r="C323" s="12" t="s">
        <v>210</v>
      </c>
      <c r="E323" s="114">
        <v>300</v>
      </c>
      <c r="F323" s="114" t="s">
        <v>184</v>
      </c>
      <c r="J323" s="116"/>
    </row>
    <row r="324" spans="2:10" s="114" customFormat="1">
      <c r="B324" s="115"/>
      <c r="D324" s="114" t="s">
        <v>207</v>
      </c>
      <c r="E324" s="121">
        <v>539</v>
      </c>
      <c r="F324" s="114" t="s">
        <v>26</v>
      </c>
      <c r="J324" s="116"/>
    </row>
    <row r="325" spans="2:10" s="114" customFormat="1">
      <c r="B325" s="115"/>
      <c r="D325" s="114" t="s">
        <v>208</v>
      </c>
      <c r="E325" s="191">
        <f>E324/E323</f>
        <v>1.7966666666666666</v>
      </c>
      <c r="F325" s="114" t="s">
        <v>209</v>
      </c>
      <c r="J325" s="116"/>
    </row>
    <row r="326" spans="2:10" s="114" customFormat="1">
      <c r="B326" s="115"/>
      <c r="J326" s="116"/>
    </row>
    <row r="327" spans="2:10" s="114" customFormat="1">
      <c r="B327" s="115"/>
      <c r="D327" s="210" t="e">
        <f>Dashboard!#REF!</f>
        <v>#REF!</v>
      </c>
      <c r="E327" s="189">
        <f>E325/E313</f>
        <v>154736.84210526317</v>
      </c>
      <c r="F327" s="114" t="s">
        <v>164</v>
      </c>
      <c r="J327" s="116"/>
    </row>
    <row r="328" spans="2:10" s="114" customFormat="1">
      <c r="B328" s="115"/>
      <c r="J328" s="116"/>
    </row>
    <row r="329" spans="2:10" s="114" customFormat="1">
      <c r="B329" s="115"/>
      <c r="D329" s="210"/>
      <c r="E329" s="118"/>
      <c r="J329" s="116"/>
    </row>
    <row r="330" spans="2:10" s="114" customFormat="1">
      <c r="B330" s="115"/>
      <c r="D330" s="210"/>
      <c r="E330" s="118"/>
      <c r="J330" s="116"/>
    </row>
    <row r="331" spans="2:10" s="114" customFormat="1">
      <c r="B331" s="115"/>
      <c r="D331" s="210"/>
      <c r="E331" s="118"/>
      <c r="J331" s="116"/>
    </row>
    <row r="332" spans="2:10" s="114" customFormat="1">
      <c r="B332" s="115"/>
      <c r="D332" s="210"/>
      <c r="E332" s="118"/>
      <c r="J332" s="116"/>
    </row>
    <row r="333" spans="2:10" s="114" customFormat="1">
      <c r="B333" s="115"/>
      <c r="D333" s="210"/>
      <c r="E333" s="118"/>
      <c r="J333" s="116"/>
    </row>
    <row r="334" spans="2:10" s="114" customFormat="1">
      <c r="B334" s="115"/>
      <c r="D334" s="210"/>
      <c r="E334" s="118"/>
      <c r="J334" s="116"/>
    </row>
    <row r="335" spans="2:10" s="114" customFormat="1">
      <c r="B335" s="115"/>
      <c r="C335" s="12" t="s">
        <v>220</v>
      </c>
      <c r="D335" s="212" t="str">
        <f>Dashboard!C31</f>
        <v>initial_investment</v>
      </c>
      <c r="E335" s="114">
        <v>6500</v>
      </c>
      <c r="F335" s="114" t="s">
        <v>26</v>
      </c>
      <c r="G335" s="213" t="s">
        <v>223</v>
      </c>
      <c r="J335" s="116"/>
    </row>
    <row r="336" spans="2:10" s="114" customFormat="1">
      <c r="B336" s="115"/>
      <c r="D336" s="212" t="str">
        <f>Dashboard!C35</f>
        <v>fixed_operation_and_maintenance_costs_per_year</v>
      </c>
      <c r="E336" s="114">
        <f>E335*0.02</f>
        <v>130</v>
      </c>
      <c r="F336" s="114" t="s">
        <v>26</v>
      </c>
      <c r="G336" s="211" t="s">
        <v>222</v>
      </c>
      <c r="J336" s="116"/>
    </row>
    <row r="337" spans="2:10" s="114" customFormat="1">
      <c r="B337" s="115"/>
      <c r="D337" s="210"/>
      <c r="E337" s="118"/>
      <c r="J337" s="116"/>
    </row>
    <row r="338" spans="2:10" s="114" customFormat="1">
      <c r="B338" s="115"/>
      <c r="D338" s="210"/>
      <c r="E338" s="118"/>
      <c r="J338" s="116"/>
    </row>
    <row r="339" spans="2:10" s="114" customFormat="1">
      <c r="B339" s="115"/>
      <c r="D339" s="210"/>
      <c r="E339" s="118"/>
      <c r="J339" s="116"/>
    </row>
    <row r="340" spans="2:10" s="114" customFormat="1">
      <c r="B340" s="115"/>
      <c r="D340" s="210"/>
      <c r="E340" s="118"/>
      <c r="J340" s="116"/>
    </row>
    <row r="341" spans="2:10" s="114" customFormat="1">
      <c r="B341" s="115"/>
      <c r="D341" s="210"/>
      <c r="E341" s="118"/>
      <c r="J341" s="116"/>
    </row>
    <row r="342" spans="2:10" s="114" customFormat="1">
      <c r="B342" s="115"/>
      <c r="D342" s="210"/>
      <c r="E342" s="118"/>
      <c r="J342" s="116"/>
    </row>
    <row r="343" spans="2:10" s="114" customFormat="1">
      <c r="B343" s="115"/>
      <c r="D343" s="210"/>
      <c r="E343" s="118"/>
      <c r="J343" s="116"/>
    </row>
    <row r="344" spans="2:10" s="114" customFormat="1">
      <c r="B344" s="115"/>
      <c r="C344" s="12"/>
      <c r="F344"/>
      <c r="J344" s="116"/>
    </row>
    <row r="345" spans="2:10" s="114" customFormat="1" ht="17" thickBot="1">
      <c r="B345" s="192"/>
      <c r="C345" s="193"/>
      <c r="D345" s="193"/>
      <c r="E345" s="193"/>
      <c r="F345" s="193"/>
      <c r="G345" s="193"/>
      <c r="H345" s="193"/>
      <c r="I345" s="193"/>
      <c r="J345" s="194"/>
    </row>
  </sheetData>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Kas Kranenburg</cp:lastModifiedBy>
  <dcterms:created xsi:type="dcterms:W3CDTF">2011-10-26T09:05:09Z</dcterms:created>
  <dcterms:modified xsi:type="dcterms:W3CDTF">2024-04-09T15:11:33Z</dcterms:modified>
</cp:coreProperties>
</file>