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4.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8.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4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Denne_projektmappe"/>
  <mc:AlternateContent xmlns:mc="http://schemas.openxmlformats.org/markup-compatibility/2006">
    <mc:Choice Requires="x15">
      <x15ac:absPath xmlns:x15ac="http://schemas.microsoft.com/office/spreadsheetml/2010/11/ac" url="/Users/marliekeverweij/Dropbox (Quintel)/Quintel/Projects/201807_Dataset_Denemarken/"/>
    </mc:Choice>
  </mc:AlternateContent>
  <xr:revisionPtr revIDLastSave="0" documentId="13_ncr:1_{C22C0877-114C-984E-891A-A9E866846FC9}" xr6:coauthVersionLast="34" xr6:coauthVersionMax="34" xr10:uidLastSave="{00000000-0000-0000-0000-000000000000}"/>
  <bookViews>
    <workbookView xWindow="0" yWindow="460" windowWidth="51200" windowHeight="26800" tabRatio="834" activeTab="13" xr2:uid="{00000000-000D-0000-FFFF-FFFF00000000}"/>
  </bookViews>
  <sheets>
    <sheet name="Contents" sheetId="20" r:id="rId1"/>
    <sheet name="Key economic figures" sheetId="3" r:id="rId2"/>
    <sheet name="Fuel and CO2 emission prices" sheetId="4" r:id="rId3"/>
    <sheet name="Electricity prices" sheetId="5" r:id="rId4"/>
    <sheet name="Electricity consumption" sheetId="6" r:id="rId5"/>
    <sheet name="Power consumption" sheetId="18" r:id="rId6"/>
    <sheet name="Power plants - overview" sheetId="7" r:id="rId7"/>
    <sheet name="Power plants - capacity" sheetId="9" r:id="rId8"/>
    <sheet name="Solar cells" sheetId="12" r:id="rId9"/>
    <sheet name="Wind turbines" sheetId="11" r:id="rId10"/>
    <sheet name="International connections" sheetId="13" r:id="rId11"/>
    <sheet name="Gas data" sheetId="14" r:id="rId12"/>
    <sheet name="Gas connections" sheetId="17" r:id="rId13"/>
    <sheet name="District heating" sheetId="19" r:id="rId1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Elforbrug_Fordeling">'Electricity consumption'!$D$6:$AA$8</definedName>
    <definedName name="Elforbrug_Nettab">'Electricity consumption'!$D$12:$AA$14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9017"/>
</workbook>
</file>

<file path=xl/calcChain.xml><?xml version="1.0" encoding="utf-8"?>
<calcChain xmlns="http://schemas.openxmlformats.org/spreadsheetml/2006/main">
  <c r="B26" i="14" l="1"/>
  <c r="B16" i="14"/>
  <c r="J16" i="5" l="1"/>
  <c r="K16" i="5"/>
  <c r="L16" i="5"/>
  <c r="M16" i="5"/>
  <c r="F16" i="5"/>
  <c r="G16" i="5"/>
  <c r="H16" i="5"/>
  <c r="I16" i="5"/>
  <c r="E16" i="5"/>
  <c r="D294" i="6" l="1"/>
  <c r="B71" i="12" l="1"/>
  <c r="B63" i="12"/>
  <c r="B55" i="12"/>
  <c r="B26" i="12"/>
  <c r="B18" i="12"/>
  <c r="B64" i="11" l="1"/>
  <c r="B53" i="11"/>
  <c r="B32" i="11"/>
  <c r="B20" i="11"/>
  <c r="B170" i="11"/>
  <c r="B159" i="11"/>
  <c r="B122" i="11"/>
  <c r="B115" i="11"/>
  <c r="B73" i="18" l="1"/>
  <c r="B55" i="14"/>
  <c r="B62" i="14" s="1"/>
  <c r="B54" i="14"/>
  <c r="B61" i="14" s="1"/>
  <c r="B53" i="14"/>
  <c r="B60" i="14" s="1"/>
  <c r="B238" i="6" l="1"/>
  <c r="B225" i="6"/>
  <c r="B237" i="6" s="1"/>
  <c r="B226" i="6"/>
  <c r="B248" i="6" s="1"/>
  <c r="B258" i="6" s="1"/>
  <c r="B228" i="6"/>
  <c r="B240" i="6" s="1"/>
  <c r="B229" i="6"/>
  <c r="B251" i="6" s="1"/>
  <c r="B261" i="6" s="1"/>
  <c r="B230" i="6"/>
  <c r="B252" i="6" s="1"/>
  <c r="B262" i="6" s="1"/>
  <c r="B224" i="6"/>
  <c r="B236" i="6" s="1"/>
  <c r="B215" i="6"/>
  <c r="B216" i="6"/>
  <c r="B218" i="6"/>
  <c r="B219" i="6"/>
  <c r="B220" i="6"/>
  <c r="B214" i="6"/>
  <c r="B20" i="19"/>
  <c r="B19" i="19"/>
  <c r="B18" i="19"/>
  <c r="B17" i="19"/>
  <c r="B250" i="6" l="1"/>
  <c r="B260" i="6" s="1"/>
  <c r="B242" i="6"/>
  <c r="B241" i="6"/>
  <c r="B247" i="6"/>
  <c r="B257" i="6" s="1"/>
  <c r="B246" i="6"/>
  <c r="B256" i="6" s="1"/>
  <c r="B36" i="14"/>
  <c r="B9" i="9"/>
  <c r="B82" i="18"/>
  <c r="B60" i="18"/>
  <c r="B51" i="18"/>
  <c r="B263" i="6"/>
  <c r="B253" i="6"/>
  <c r="B243" i="6"/>
  <c r="B231" i="6"/>
  <c r="B221" i="6"/>
  <c r="B211" i="6"/>
  <c r="B180" i="6"/>
  <c r="B175" i="6"/>
  <c r="B165" i="6"/>
  <c r="B160" i="6"/>
  <c r="B149" i="6"/>
  <c r="B143" i="6"/>
  <c r="B128" i="6"/>
  <c r="B122" i="6"/>
  <c r="B59" i="6"/>
  <c r="B54" i="6"/>
  <c r="E39" i="7" l="1"/>
  <c r="E59" i="7"/>
  <c r="E48" i="7"/>
  <c r="E37" i="7"/>
  <c r="E18" i="7"/>
  <c r="I59" i="7"/>
  <c r="H59" i="7"/>
  <c r="I48" i="7"/>
  <c r="H48" i="7"/>
  <c r="I37" i="7"/>
  <c r="H37" i="7"/>
  <c r="I18" i="7"/>
  <c r="H18" i="7"/>
  <c r="AA9" i="9" l="1"/>
  <c r="Z9" i="9"/>
  <c r="Y9" i="9"/>
  <c r="X9" i="9"/>
  <c r="W9" i="9"/>
  <c r="V9" i="9"/>
  <c r="U9" i="9"/>
  <c r="T9" i="9"/>
  <c r="S9" i="9"/>
  <c r="R9" i="9"/>
  <c r="Q9" i="9"/>
  <c r="P9" i="9"/>
  <c r="O9" i="9"/>
  <c r="N9" i="9"/>
  <c r="M9" i="9"/>
  <c r="L9" i="9"/>
  <c r="K9" i="9"/>
  <c r="J9" i="9"/>
  <c r="I9" i="9"/>
  <c r="H9" i="9"/>
  <c r="G9" i="9"/>
  <c r="F9" i="9"/>
  <c r="E9" i="9"/>
  <c r="D9" i="9"/>
  <c r="F419" i="11" l="1"/>
  <c r="G419" i="11"/>
  <c r="H419" i="11"/>
  <c r="I419" i="11"/>
  <c r="J419" i="11"/>
  <c r="K419" i="11"/>
  <c r="L419" i="11"/>
  <c r="M419" i="11"/>
  <c r="N419" i="11"/>
  <c r="O419" i="11"/>
  <c r="P419" i="11"/>
  <c r="Q419" i="11"/>
  <c r="R419" i="11"/>
  <c r="S419" i="11"/>
  <c r="T419" i="11"/>
  <c r="U419" i="11"/>
  <c r="V419" i="11"/>
  <c r="W419" i="11"/>
  <c r="X419" i="11"/>
  <c r="Y419" i="11"/>
  <c r="Z419" i="11"/>
  <c r="AA419" i="11"/>
  <c r="E419" i="11"/>
  <c r="E413" i="11"/>
  <c r="E410" i="11"/>
  <c r="F415" i="11"/>
  <c r="G415" i="11"/>
  <c r="H415" i="11"/>
  <c r="I415" i="11"/>
  <c r="J415" i="11"/>
  <c r="K415" i="11"/>
  <c r="L415" i="11"/>
  <c r="M415" i="11"/>
  <c r="N415" i="11"/>
  <c r="O415" i="11"/>
  <c r="P415" i="11"/>
  <c r="Q415" i="11"/>
  <c r="R415" i="11"/>
  <c r="S415" i="11"/>
  <c r="T415" i="11"/>
  <c r="U415" i="11"/>
  <c r="V415" i="11"/>
  <c r="W415" i="11"/>
  <c r="X415" i="11"/>
  <c r="Y415" i="11"/>
  <c r="Z415" i="11"/>
  <c r="AA415" i="11"/>
  <c r="E415" i="11"/>
  <c r="M26" i="19"/>
  <c r="N26" i="19" s="1"/>
  <c r="O26" i="19" s="1"/>
  <c r="P26" i="19" s="1"/>
  <c r="Q26" i="19" s="1"/>
  <c r="R26" i="19" s="1"/>
  <c r="S26" i="19" s="1"/>
  <c r="T26" i="19" s="1"/>
  <c r="U26" i="19" s="1"/>
  <c r="V26" i="19" s="1"/>
  <c r="W26" i="19" s="1"/>
  <c r="X26" i="19" s="1"/>
  <c r="Y26" i="19" s="1"/>
  <c r="Z26" i="19" s="1"/>
  <c r="AA26" i="19" s="1"/>
  <c r="D18" i="19"/>
  <c r="E18" i="19"/>
  <c r="F18" i="19"/>
  <c r="G18" i="19"/>
  <c r="H18" i="19"/>
  <c r="I18" i="19"/>
  <c r="J18" i="19"/>
  <c r="K18" i="19"/>
  <c r="L18" i="19"/>
  <c r="M18" i="19"/>
  <c r="N18" i="19"/>
  <c r="O18" i="19"/>
  <c r="P18" i="19"/>
  <c r="Q18" i="19"/>
  <c r="D19" i="19"/>
  <c r="E19" i="19"/>
  <c r="F19" i="19"/>
  <c r="G19" i="19"/>
  <c r="H19" i="19"/>
  <c r="I19" i="19"/>
  <c r="J19" i="19"/>
  <c r="K19" i="19"/>
  <c r="L19" i="19"/>
  <c r="M19" i="19"/>
  <c r="N19" i="19"/>
  <c r="O19" i="19"/>
  <c r="P19" i="19"/>
  <c r="Q19" i="19"/>
  <c r="E17" i="19"/>
  <c r="F17" i="19"/>
  <c r="G17" i="19"/>
  <c r="H17" i="19"/>
  <c r="I17" i="19"/>
  <c r="J17" i="19"/>
  <c r="J20" i="19" s="1"/>
  <c r="K17" i="19"/>
  <c r="L17" i="19"/>
  <c r="M17" i="19"/>
  <c r="N17" i="19"/>
  <c r="O17" i="19"/>
  <c r="P17" i="19"/>
  <c r="Q17" i="19"/>
  <c r="D17" i="19"/>
  <c r="D20" i="19" s="1"/>
  <c r="R9" i="19"/>
  <c r="S9" i="19" s="1"/>
  <c r="T9" i="19" s="1"/>
  <c r="U9" i="19" s="1"/>
  <c r="V9" i="19" s="1"/>
  <c r="W9" i="19" s="1"/>
  <c r="X9" i="19" s="1"/>
  <c r="Y9" i="19" s="1"/>
  <c r="Z9" i="19" s="1"/>
  <c r="AA9" i="19" s="1"/>
  <c r="AA18" i="19" s="1"/>
  <c r="R10" i="19"/>
  <c r="S10" i="19" s="1"/>
  <c r="T10" i="19" s="1"/>
  <c r="U10" i="19" s="1"/>
  <c r="V10" i="19" s="1"/>
  <c r="W10" i="19" s="1"/>
  <c r="X10" i="19" s="1"/>
  <c r="Y10" i="19" s="1"/>
  <c r="Z10" i="19" s="1"/>
  <c r="AA10" i="19" s="1"/>
  <c r="AA19" i="19" s="1"/>
  <c r="R8" i="19"/>
  <c r="E11" i="19"/>
  <c r="F11" i="19"/>
  <c r="G11" i="19"/>
  <c r="H11" i="19"/>
  <c r="I11" i="19"/>
  <c r="J11" i="19"/>
  <c r="K11" i="19"/>
  <c r="L11" i="19"/>
  <c r="M11" i="19"/>
  <c r="N11" i="19"/>
  <c r="O11" i="19"/>
  <c r="P11" i="19"/>
  <c r="Q11" i="19"/>
  <c r="D11" i="19"/>
  <c r="AA421" i="11" l="1"/>
  <c r="W421" i="11"/>
  <c r="S421" i="11"/>
  <c r="O421" i="11"/>
  <c r="K421" i="11"/>
  <c r="G421" i="11"/>
  <c r="Y421" i="11"/>
  <c r="U421" i="11"/>
  <c r="Q421" i="11"/>
  <c r="M421" i="11"/>
  <c r="I421" i="11"/>
  <c r="E421" i="11"/>
  <c r="X421" i="11"/>
  <c r="T421" i="11"/>
  <c r="P421" i="11"/>
  <c r="L421" i="11"/>
  <c r="H421" i="11"/>
  <c r="Z421" i="11"/>
  <c r="V421" i="11"/>
  <c r="R421" i="11"/>
  <c r="N421" i="11"/>
  <c r="J421" i="11"/>
  <c r="F421" i="11"/>
  <c r="S19" i="19"/>
  <c r="K20" i="19"/>
  <c r="T18" i="19"/>
  <c r="X18" i="19"/>
  <c r="O20" i="19"/>
  <c r="T19" i="19"/>
  <c r="S18" i="19"/>
  <c r="R11" i="19"/>
  <c r="X19" i="19"/>
  <c r="W18" i="19"/>
  <c r="N20" i="19"/>
  <c r="F20" i="19"/>
  <c r="W19" i="19"/>
  <c r="G20" i="19"/>
  <c r="P20" i="19"/>
  <c r="H20" i="19"/>
  <c r="Z19" i="19"/>
  <c r="V19" i="19"/>
  <c r="R19" i="19"/>
  <c r="Z18" i="19"/>
  <c r="V18" i="19"/>
  <c r="R18" i="19"/>
  <c r="L20" i="19"/>
  <c r="R17" i="19"/>
  <c r="Y19" i="19"/>
  <c r="U19" i="19"/>
  <c r="Y18" i="19"/>
  <c r="U18" i="19"/>
  <c r="Q20" i="19"/>
  <c r="M20" i="19"/>
  <c r="I20" i="19"/>
  <c r="E20" i="19"/>
  <c r="S8" i="19"/>
  <c r="S17" i="19" s="1"/>
  <c r="S20" i="19" l="1"/>
  <c r="R20" i="19"/>
  <c r="S11" i="19"/>
  <c r="T8" i="19"/>
  <c r="T17" i="19" s="1"/>
  <c r="T20" i="19" s="1"/>
  <c r="U8" i="19" l="1"/>
  <c r="U17" i="19" s="1"/>
  <c r="U20" i="19" s="1"/>
  <c r="T11" i="19"/>
  <c r="V8" i="19" l="1"/>
  <c r="V17" i="19" s="1"/>
  <c r="V20" i="19" s="1"/>
  <c r="U11" i="19"/>
  <c r="W8" i="19" l="1"/>
  <c r="W17" i="19" s="1"/>
  <c r="W20" i="19" s="1"/>
  <c r="V11" i="19"/>
  <c r="X8" i="19" l="1"/>
  <c r="X17" i="19" s="1"/>
  <c r="X20" i="19" s="1"/>
  <c r="W11" i="19"/>
  <c r="Y8" i="19" l="1"/>
  <c r="Y17" i="19" s="1"/>
  <c r="Y20" i="19" s="1"/>
  <c r="X11" i="19"/>
  <c r="Z8" i="19" l="1"/>
  <c r="Z17" i="19" s="1"/>
  <c r="Z20" i="19" s="1"/>
  <c r="Y11" i="19"/>
  <c r="AA8" i="19" l="1"/>
  <c r="Z11" i="19"/>
  <c r="AA11" i="19" l="1"/>
  <c r="AA17" i="19"/>
  <c r="AA20" i="19" s="1"/>
  <c r="AA68" i="6" l="1"/>
  <c r="Z68" i="6"/>
  <c r="Y68" i="6"/>
  <c r="X68" i="6"/>
  <c r="W68" i="6"/>
  <c r="V68" i="6"/>
  <c r="U68" i="6"/>
  <c r="T68" i="6"/>
  <c r="S68" i="6"/>
  <c r="R68" i="6"/>
  <c r="Q68" i="6"/>
  <c r="P68" i="6"/>
  <c r="O68" i="6"/>
  <c r="N68" i="6"/>
  <c r="M68" i="6"/>
  <c r="L68" i="6"/>
  <c r="K68" i="6"/>
  <c r="J68" i="6"/>
  <c r="I68" i="6"/>
  <c r="H68" i="6"/>
  <c r="G68" i="6"/>
  <c r="F68" i="6"/>
  <c r="E68" i="6"/>
  <c r="D68" i="6"/>
  <c r="AA96" i="6"/>
  <c r="Z96" i="6"/>
  <c r="Y96" i="6"/>
  <c r="X96" i="6"/>
  <c r="W96" i="6"/>
  <c r="V96" i="6"/>
  <c r="U96" i="6"/>
  <c r="T96" i="6"/>
  <c r="S96" i="6"/>
  <c r="R96" i="6"/>
  <c r="Q96" i="6"/>
  <c r="P96" i="6"/>
  <c r="O96" i="6"/>
  <c r="N96" i="6"/>
  <c r="M96" i="6"/>
  <c r="L96" i="6"/>
  <c r="K96" i="6"/>
  <c r="J96" i="6"/>
  <c r="I96" i="6"/>
  <c r="H96" i="6"/>
  <c r="G96" i="6"/>
  <c r="F96" i="6"/>
  <c r="E96" i="6"/>
  <c r="D96" i="6"/>
  <c r="E79" i="14" l="1"/>
  <c r="F79" i="14" l="1"/>
  <c r="G79" i="14"/>
  <c r="H79" i="14"/>
  <c r="I79" i="14"/>
  <c r="J79" i="14"/>
  <c r="K79" i="14"/>
  <c r="L79" i="14"/>
  <c r="M79" i="14"/>
  <c r="N79" i="14"/>
  <c r="O79" i="14"/>
  <c r="P79" i="14"/>
  <c r="Q79" i="14"/>
  <c r="R79" i="14"/>
  <c r="S79" i="14"/>
  <c r="T79" i="14"/>
  <c r="U79" i="14"/>
  <c r="V79" i="14"/>
  <c r="W79" i="14"/>
  <c r="X79" i="14"/>
  <c r="Y79" i="14"/>
  <c r="Z79" i="14"/>
  <c r="AA79" i="14"/>
  <c r="AB79" i="14"/>
  <c r="E69" i="14"/>
  <c r="F69" i="14"/>
  <c r="G69" i="14"/>
  <c r="H69" i="14"/>
  <c r="I69" i="14"/>
  <c r="J69" i="14"/>
  <c r="K69" i="14"/>
  <c r="L69" i="14"/>
  <c r="M69" i="14"/>
  <c r="N69" i="14"/>
  <c r="O69" i="14"/>
  <c r="P69" i="14"/>
  <c r="Q69" i="14"/>
  <c r="R69" i="14"/>
  <c r="S69" i="14"/>
  <c r="T69" i="14"/>
  <c r="U69" i="14"/>
  <c r="V69" i="14"/>
  <c r="W69" i="14"/>
  <c r="X69" i="14"/>
  <c r="Y69" i="14"/>
  <c r="Z69" i="14"/>
  <c r="AA69" i="14"/>
  <c r="AB69" i="14"/>
  <c r="AA77" i="6" l="1"/>
  <c r="D295" i="6" l="1"/>
  <c r="E295" i="6"/>
  <c r="G295" i="6"/>
  <c r="I295" i="6"/>
  <c r="D217" i="6"/>
  <c r="D207" i="6"/>
  <c r="AA81" i="12"/>
  <c r="Z81" i="12"/>
  <c r="Y81" i="12"/>
  <c r="X81" i="12"/>
  <c r="W81" i="12"/>
  <c r="V81" i="12"/>
  <c r="U81" i="12"/>
  <c r="T81" i="12"/>
  <c r="S81" i="12"/>
  <c r="R81" i="12"/>
  <c r="Q81" i="12"/>
  <c r="P81" i="12"/>
  <c r="O81" i="12"/>
  <c r="N81" i="12"/>
  <c r="M81" i="12"/>
  <c r="L81" i="12"/>
  <c r="K81" i="12"/>
  <c r="J81" i="12"/>
  <c r="I81" i="12"/>
  <c r="H81" i="12"/>
  <c r="G81" i="12"/>
  <c r="F81" i="12"/>
  <c r="E81" i="12"/>
  <c r="D81" i="12"/>
  <c r="D227" i="6" l="1"/>
  <c r="AB62" i="14"/>
  <c r="AA62" i="14"/>
  <c r="Z62" i="14"/>
  <c r="Y62" i="14"/>
  <c r="X62" i="14"/>
  <c r="W62" i="14"/>
  <c r="V62" i="14"/>
  <c r="U62" i="14"/>
  <c r="T62" i="14"/>
  <c r="S62" i="14"/>
  <c r="R62" i="14"/>
  <c r="Q62" i="14"/>
  <c r="P62" i="14"/>
  <c r="O62" i="14"/>
  <c r="N62" i="14"/>
  <c r="M62" i="14"/>
  <c r="L62" i="14"/>
  <c r="K62" i="14"/>
  <c r="J62" i="14"/>
  <c r="I62" i="14"/>
  <c r="H62" i="14"/>
  <c r="G62" i="14"/>
  <c r="F62" i="14"/>
  <c r="E62" i="14"/>
  <c r="AB61" i="14"/>
  <c r="AA61" i="14"/>
  <c r="Z61" i="14"/>
  <c r="Y61" i="14"/>
  <c r="X61" i="14"/>
  <c r="W61" i="14"/>
  <c r="V61" i="14"/>
  <c r="U61" i="14"/>
  <c r="T61" i="14"/>
  <c r="S61" i="14"/>
  <c r="R61" i="14"/>
  <c r="Q61" i="14"/>
  <c r="P61" i="14"/>
  <c r="O61" i="14"/>
  <c r="N61" i="14"/>
  <c r="M61" i="14"/>
  <c r="L61" i="14"/>
  <c r="K61" i="14"/>
  <c r="J61" i="14"/>
  <c r="I61" i="14"/>
  <c r="H61" i="14"/>
  <c r="G61" i="14"/>
  <c r="F61" i="14"/>
  <c r="E61" i="14"/>
  <c r="AB60" i="14"/>
  <c r="AB63" i="14" s="1"/>
  <c r="AA60" i="14"/>
  <c r="AA63" i="14" s="1"/>
  <c r="Z60" i="14"/>
  <c r="Z63" i="14" s="1"/>
  <c r="Y60" i="14"/>
  <c r="Y63" i="14" s="1"/>
  <c r="X60" i="14"/>
  <c r="X63" i="14" s="1"/>
  <c r="W60" i="14"/>
  <c r="W63" i="14" s="1"/>
  <c r="V60" i="14"/>
  <c r="V63" i="14" s="1"/>
  <c r="U60" i="14"/>
  <c r="U63" i="14" s="1"/>
  <c r="T60" i="14"/>
  <c r="T63" i="14" s="1"/>
  <c r="S60" i="14"/>
  <c r="R60" i="14"/>
  <c r="R63" i="14" s="1"/>
  <c r="Q60" i="14"/>
  <c r="Q63" i="14" s="1"/>
  <c r="P60" i="14"/>
  <c r="P63" i="14" s="1"/>
  <c r="O60" i="14"/>
  <c r="O63" i="14" s="1"/>
  <c r="N60" i="14"/>
  <c r="N63" i="14" s="1"/>
  <c r="M60" i="14"/>
  <c r="M63" i="14" s="1"/>
  <c r="L60" i="14"/>
  <c r="L63" i="14" s="1"/>
  <c r="K60" i="14"/>
  <c r="K63" i="14" s="1"/>
  <c r="J60" i="14"/>
  <c r="J63" i="14" s="1"/>
  <c r="I60" i="14"/>
  <c r="I63" i="14" s="1"/>
  <c r="H60" i="14"/>
  <c r="H63" i="14" s="1"/>
  <c r="G60" i="14"/>
  <c r="G63" i="14" s="1"/>
  <c r="F60" i="14"/>
  <c r="F63" i="14" s="1"/>
  <c r="E60" i="14"/>
  <c r="E63" i="14" s="1"/>
  <c r="AB49" i="14"/>
  <c r="AA49" i="14"/>
  <c r="Z49" i="14"/>
  <c r="Y49" i="14"/>
  <c r="X49" i="14"/>
  <c r="W49" i="14"/>
  <c r="V49" i="14"/>
  <c r="U49" i="14"/>
  <c r="T49" i="14"/>
  <c r="S49" i="14"/>
  <c r="R49" i="14"/>
  <c r="Q49" i="14"/>
  <c r="P49" i="14"/>
  <c r="O49" i="14"/>
  <c r="N49" i="14"/>
  <c r="M49" i="14"/>
  <c r="L49" i="14"/>
  <c r="K49" i="14"/>
  <c r="J49" i="14"/>
  <c r="I49" i="14"/>
  <c r="H49" i="14"/>
  <c r="G49" i="14"/>
  <c r="F49" i="14"/>
  <c r="E49" i="14"/>
  <c r="AB38" i="14"/>
  <c r="AA38" i="14"/>
  <c r="Z38" i="14"/>
  <c r="Y38" i="14"/>
  <c r="X38" i="14"/>
  <c r="W38" i="14"/>
  <c r="V38" i="14"/>
  <c r="U38" i="14"/>
  <c r="T38" i="14"/>
  <c r="S38" i="14"/>
  <c r="R38" i="14"/>
  <c r="Q38" i="14"/>
  <c r="P38" i="14"/>
  <c r="O38" i="14"/>
  <c r="N38" i="14"/>
  <c r="M38" i="14"/>
  <c r="L38" i="14"/>
  <c r="K38" i="14"/>
  <c r="J38" i="14"/>
  <c r="I38" i="14"/>
  <c r="H38" i="14"/>
  <c r="G38" i="14"/>
  <c r="F38" i="14"/>
  <c r="E38" i="14"/>
  <c r="AB35" i="14"/>
  <c r="AA35" i="14"/>
  <c r="Z35" i="14"/>
  <c r="Y35" i="14"/>
  <c r="X35" i="14"/>
  <c r="W35" i="14"/>
  <c r="V35" i="14"/>
  <c r="U35" i="14"/>
  <c r="T35" i="14"/>
  <c r="S35" i="14"/>
  <c r="R35" i="14"/>
  <c r="Q35" i="14"/>
  <c r="P35" i="14"/>
  <c r="O35" i="14"/>
  <c r="N35" i="14"/>
  <c r="M35" i="14"/>
  <c r="L35" i="14"/>
  <c r="K35" i="14"/>
  <c r="J35" i="14"/>
  <c r="I35" i="14"/>
  <c r="H35" i="14"/>
  <c r="G35" i="14"/>
  <c r="F35" i="14"/>
  <c r="E35" i="14"/>
  <c r="AB34" i="14"/>
  <c r="AB36" i="14" s="1"/>
  <c r="AB40" i="14" s="1"/>
  <c r="AA34" i="14"/>
  <c r="Z34" i="14"/>
  <c r="Z36" i="14" s="1"/>
  <c r="Y34" i="14"/>
  <c r="Y36" i="14" s="1"/>
  <c r="X34" i="14"/>
  <c r="X36" i="14" s="1"/>
  <c r="X40" i="14" s="1"/>
  <c r="W34" i="14"/>
  <c r="V34" i="14"/>
  <c r="V36" i="14" s="1"/>
  <c r="U34" i="14"/>
  <c r="U36" i="14" s="1"/>
  <c r="T34" i="14"/>
  <c r="T36" i="14" s="1"/>
  <c r="T40" i="14" s="1"/>
  <c r="S34" i="14"/>
  <c r="R34" i="14"/>
  <c r="R36" i="14" s="1"/>
  <c r="Q34" i="14"/>
  <c r="Q36" i="14" s="1"/>
  <c r="P34" i="14"/>
  <c r="P36" i="14" s="1"/>
  <c r="P40" i="14" s="1"/>
  <c r="O34" i="14"/>
  <c r="N34" i="14"/>
  <c r="N36" i="14" s="1"/>
  <c r="M34" i="14"/>
  <c r="M36" i="14" s="1"/>
  <c r="L34" i="14"/>
  <c r="L36" i="14" s="1"/>
  <c r="L40" i="14" s="1"/>
  <c r="K34" i="14"/>
  <c r="J34" i="14"/>
  <c r="J36" i="14" s="1"/>
  <c r="I34" i="14"/>
  <c r="I36" i="14" s="1"/>
  <c r="H34" i="14"/>
  <c r="H36" i="14" s="1"/>
  <c r="H40" i="14" s="1"/>
  <c r="G34" i="14"/>
  <c r="F34" i="14"/>
  <c r="F36" i="14" s="1"/>
  <c r="E34" i="14"/>
  <c r="E36" i="14" s="1"/>
  <c r="AB33" i="14"/>
  <c r="AA33" i="14"/>
  <c r="Z33" i="14"/>
  <c r="Y33" i="14"/>
  <c r="X33" i="14"/>
  <c r="W33" i="14"/>
  <c r="V33" i="14"/>
  <c r="U33" i="14"/>
  <c r="T33" i="14"/>
  <c r="S33" i="14"/>
  <c r="R33" i="14"/>
  <c r="Q33" i="14"/>
  <c r="P33" i="14"/>
  <c r="O33" i="14"/>
  <c r="N33" i="14"/>
  <c r="M33" i="14"/>
  <c r="L33" i="14"/>
  <c r="K33" i="14"/>
  <c r="J33" i="14"/>
  <c r="I33" i="14"/>
  <c r="H33" i="14"/>
  <c r="G33" i="14"/>
  <c r="F33" i="14"/>
  <c r="E33" i="14"/>
  <c r="AB23" i="14"/>
  <c r="AA23" i="14"/>
  <c r="Z23" i="14"/>
  <c r="Y23" i="14"/>
  <c r="X23" i="14"/>
  <c r="W23" i="14"/>
  <c r="V23" i="14"/>
  <c r="U23" i="14"/>
  <c r="T23" i="14"/>
  <c r="S23" i="14"/>
  <c r="R23" i="14"/>
  <c r="Q23" i="14"/>
  <c r="P23" i="14"/>
  <c r="O23" i="14"/>
  <c r="N23" i="14"/>
  <c r="M23" i="14"/>
  <c r="L23" i="14"/>
  <c r="K23" i="14"/>
  <c r="J23" i="14"/>
  <c r="I23" i="14"/>
  <c r="H23" i="14"/>
  <c r="G23" i="14"/>
  <c r="F23" i="14"/>
  <c r="E23" i="14"/>
  <c r="AB16" i="14"/>
  <c r="AB20" i="14" s="1"/>
  <c r="AA16" i="14"/>
  <c r="AA20" i="14" s="1"/>
  <c r="Z16" i="14"/>
  <c r="Z20" i="14" s="1"/>
  <c r="Y16" i="14"/>
  <c r="Y20" i="14" s="1"/>
  <c r="X16" i="14"/>
  <c r="X20" i="14" s="1"/>
  <c r="W16" i="14"/>
  <c r="W20" i="14" s="1"/>
  <c r="V16" i="14"/>
  <c r="V20" i="14" s="1"/>
  <c r="U16" i="14"/>
  <c r="U20" i="14" s="1"/>
  <c r="T16" i="14"/>
  <c r="T20" i="14" s="1"/>
  <c r="S16" i="14"/>
  <c r="S20" i="14" s="1"/>
  <c r="R16" i="14"/>
  <c r="R20" i="14" s="1"/>
  <c r="Q16" i="14"/>
  <c r="Q20" i="14" s="1"/>
  <c r="P16" i="14"/>
  <c r="P20" i="14" s="1"/>
  <c r="O16" i="14"/>
  <c r="O20" i="14" s="1"/>
  <c r="N16" i="14"/>
  <c r="N20" i="14" s="1"/>
  <c r="M16" i="14"/>
  <c r="M20" i="14" s="1"/>
  <c r="L16" i="14"/>
  <c r="L20" i="14" s="1"/>
  <c r="K16" i="14"/>
  <c r="K20" i="14" s="1"/>
  <c r="J16" i="14"/>
  <c r="J20" i="14" s="1"/>
  <c r="I16" i="14"/>
  <c r="I20" i="14" s="1"/>
  <c r="H16" i="14"/>
  <c r="H20" i="14" s="1"/>
  <c r="G16" i="14"/>
  <c r="G20" i="14" s="1"/>
  <c r="F16" i="14"/>
  <c r="F20" i="14" s="1"/>
  <c r="E16" i="14"/>
  <c r="E20" i="14" s="1"/>
  <c r="E7" i="14"/>
  <c r="M25" i="14" s="1"/>
  <c r="H25" i="13"/>
  <c r="I25" i="13" s="1"/>
  <c r="J25" i="13" s="1"/>
  <c r="K25" i="13" s="1"/>
  <c r="L25" i="13" s="1"/>
  <c r="M25" i="13" s="1"/>
  <c r="N25" i="13" s="1"/>
  <c r="O25" i="13" s="1"/>
  <c r="P25" i="13" s="1"/>
  <c r="Q25" i="13" s="1"/>
  <c r="R25" i="13" s="1"/>
  <c r="S25" i="13" s="1"/>
  <c r="T25" i="13" s="1"/>
  <c r="U25" i="13" s="1"/>
  <c r="V25" i="13" s="1"/>
  <c r="W25" i="13" s="1"/>
  <c r="X25" i="13" s="1"/>
  <c r="Y25" i="13" s="1"/>
  <c r="Z25" i="13" s="1"/>
  <c r="AA25" i="13" s="1"/>
  <c r="AB25" i="13" s="1"/>
  <c r="F25" i="13"/>
  <c r="H24" i="13"/>
  <c r="I24" i="13" s="1"/>
  <c r="J24" i="13" s="1"/>
  <c r="K24" i="13" s="1"/>
  <c r="L24" i="13" s="1"/>
  <c r="M24" i="13" s="1"/>
  <c r="N24" i="13" s="1"/>
  <c r="O24" i="13" s="1"/>
  <c r="P24" i="13" s="1"/>
  <c r="Q24" i="13" s="1"/>
  <c r="R24" i="13" s="1"/>
  <c r="S24" i="13" s="1"/>
  <c r="T24" i="13" s="1"/>
  <c r="U24" i="13" s="1"/>
  <c r="V24" i="13" s="1"/>
  <c r="W24" i="13" s="1"/>
  <c r="X24" i="13" s="1"/>
  <c r="Y24" i="13" s="1"/>
  <c r="Z24" i="13" s="1"/>
  <c r="AA24" i="13" s="1"/>
  <c r="AB24" i="13" s="1"/>
  <c r="F24" i="13"/>
  <c r="F23" i="13"/>
  <c r="G23" i="13" s="1"/>
  <c r="H23" i="13" s="1"/>
  <c r="I23" i="13" s="1"/>
  <c r="J23" i="13" s="1"/>
  <c r="K23" i="13" s="1"/>
  <c r="L23" i="13" s="1"/>
  <c r="M23" i="13" s="1"/>
  <c r="N23" i="13" s="1"/>
  <c r="O23" i="13" s="1"/>
  <c r="P23" i="13" s="1"/>
  <c r="Q23" i="13" s="1"/>
  <c r="R23" i="13" s="1"/>
  <c r="S23" i="13" s="1"/>
  <c r="T23" i="13" s="1"/>
  <c r="U23" i="13" s="1"/>
  <c r="V23" i="13" s="1"/>
  <c r="W23" i="13" s="1"/>
  <c r="X23" i="13" s="1"/>
  <c r="Y23" i="13" s="1"/>
  <c r="Z23" i="13" s="1"/>
  <c r="AA23" i="13" s="1"/>
  <c r="AB23" i="13" s="1"/>
  <c r="F22" i="13"/>
  <c r="G22" i="13" s="1"/>
  <c r="H22" i="13" s="1"/>
  <c r="I22" i="13" s="1"/>
  <c r="J22" i="13" s="1"/>
  <c r="K22" i="13" s="1"/>
  <c r="L22" i="13" s="1"/>
  <c r="M22" i="13" s="1"/>
  <c r="N22" i="13" s="1"/>
  <c r="O22" i="13" s="1"/>
  <c r="P22" i="13" s="1"/>
  <c r="Q22" i="13" s="1"/>
  <c r="R22" i="13" s="1"/>
  <c r="S22" i="13" s="1"/>
  <c r="T22" i="13" s="1"/>
  <c r="U22" i="13" s="1"/>
  <c r="V22" i="13" s="1"/>
  <c r="W22" i="13" s="1"/>
  <c r="X22" i="13" s="1"/>
  <c r="Y22" i="13" s="1"/>
  <c r="Z22" i="13" s="1"/>
  <c r="AA22" i="13" s="1"/>
  <c r="AB22" i="13" s="1"/>
  <c r="F21" i="13"/>
  <c r="G21" i="13" s="1"/>
  <c r="H21" i="13" s="1"/>
  <c r="I21" i="13" s="1"/>
  <c r="J21" i="13" s="1"/>
  <c r="K21" i="13" s="1"/>
  <c r="L21" i="13" s="1"/>
  <c r="M21" i="13" s="1"/>
  <c r="N21" i="13" s="1"/>
  <c r="O21" i="13" s="1"/>
  <c r="P21" i="13" s="1"/>
  <c r="Q21" i="13" s="1"/>
  <c r="R21" i="13" s="1"/>
  <c r="S21" i="13" s="1"/>
  <c r="T21" i="13" s="1"/>
  <c r="U21" i="13" s="1"/>
  <c r="V21" i="13" s="1"/>
  <c r="W21" i="13" s="1"/>
  <c r="X21" i="13" s="1"/>
  <c r="Y21" i="13" s="1"/>
  <c r="Z21" i="13" s="1"/>
  <c r="AA21" i="13" s="1"/>
  <c r="AB21" i="13" s="1"/>
  <c r="F20" i="13"/>
  <c r="G20" i="13" s="1"/>
  <c r="H20" i="13" s="1"/>
  <c r="I20" i="13" s="1"/>
  <c r="J20" i="13" s="1"/>
  <c r="K20" i="13" s="1"/>
  <c r="L20" i="13" s="1"/>
  <c r="M20" i="13" s="1"/>
  <c r="N20" i="13" s="1"/>
  <c r="O20" i="13" s="1"/>
  <c r="P20" i="13" s="1"/>
  <c r="Q20" i="13" s="1"/>
  <c r="R20" i="13" s="1"/>
  <c r="S20" i="13" s="1"/>
  <c r="T20" i="13" s="1"/>
  <c r="U20" i="13" s="1"/>
  <c r="V20" i="13" s="1"/>
  <c r="W20" i="13" s="1"/>
  <c r="X20" i="13" s="1"/>
  <c r="Y20" i="13" s="1"/>
  <c r="Z20" i="13" s="1"/>
  <c r="AA20" i="13" s="1"/>
  <c r="AB20" i="13" s="1"/>
  <c r="L17" i="13"/>
  <c r="M17" i="13" s="1"/>
  <c r="N17" i="13" s="1"/>
  <c r="O17" i="13" s="1"/>
  <c r="P17" i="13" s="1"/>
  <c r="Q17" i="13" s="1"/>
  <c r="R17" i="13" s="1"/>
  <c r="S17" i="13" s="1"/>
  <c r="T17" i="13" s="1"/>
  <c r="U17" i="13" s="1"/>
  <c r="V17" i="13" s="1"/>
  <c r="W17" i="13" s="1"/>
  <c r="X17" i="13" s="1"/>
  <c r="Y17" i="13" s="1"/>
  <c r="Z17" i="13" s="1"/>
  <c r="AA17" i="13" s="1"/>
  <c r="AB17" i="13" s="1"/>
  <c r="F17" i="13"/>
  <c r="G17" i="13" s="1"/>
  <c r="H17" i="13" s="1"/>
  <c r="I17" i="13" s="1"/>
  <c r="J17" i="13" s="1"/>
  <c r="M16" i="13"/>
  <c r="N16" i="13" s="1"/>
  <c r="O16" i="13" s="1"/>
  <c r="P16" i="13" s="1"/>
  <c r="Q16" i="13" s="1"/>
  <c r="R16" i="13" s="1"/>
  <c r="S16" i="13" s="1"/>
  <c r="T16" i="13" s="1"/>
  <c r="U16" i="13" s="1"/>
  <c r="V16" i="13" s="1"/>
  <c r="W16" i="13" s="1"/>
  <c r="X16" i="13" s="1"/>
  <c r="Y16" i="13" s="1"/>
  <c r="Z16" i="13" s="1"/>
  <c r="AA16" i="13" s="1"/>
  <c r="AB16" i="13" s="1"/>
  <c r="L16" i="13"/>
  <c r="F16" i="13"/>
  <c r="G16" i="13" s="1"/>
  <c r="H16" i="13" s="1"/>
  <c r="I16" i="13" s="1"/>
  <c r="J16" i="13" s="1"/>
  <c r="F29" i="13"/>
  <c r="G29" i="13" s="1"/>
  <c r="H29" i="13" s="1"/>
  <c r="I29" i="13" s="1"/>
  <c r="J29" i="13" s="1"/>
  <c r="K29" i="13" s="1"/>
  <c r="L29" i="13" s="1"/>
  <c r="M29" i="13" s="1"/>
  <c r="N29" i="13" s="1"/>
  <c r="O29" i="13" s="1"/>
  <c r="P29" i="13" s="1"/>
  <c r="Q29" i="13" s="1"/>
  <c r="R29" i="13" s="1"/>
  <c r="S29" i="13" s="1"/>
  <c r="T29" i="13" s="1"/>
  <c r="U29" i="13" s="1"/>
  <c r="V29" i="13" s="1"/>
  <c r="W29" i="13" s="1"/>
  <c r="X29" i="13" s="1"/>
  <c r="Y29" i="13" s="1"/>
  <c r="Z29" i="13" s="1"/>
  <c r="AA29" i="13" s="1"/>
  <c r="AB29" i="13" s="1"/>
  <c r="F28" i="13"/>
  <c r="G28" i="13" s="1"/>
  <c r="H28" i="13" s="1"/>
  <c r="I28" i="13" s="1"/>
  <c r="J28" i="13" s="1"/>
  <c r="K28" i="13" s="1"/>
  <c r="L28" i="13" s="1"/>
  <c r="M28" i="13" s="1"/>
  <c r="N28" i="13" s="1"/>
  <c r="O28" i="13" s="1"/>
  <c r="P28" i="13" s="1"/>
  <c r="Q28" i="13" s="1"/>
  <c r="R28" i="13" s="1"/>
  <c r="S28" i="13" s="1"/>
  <c r="T28" i="13" s="1"/>
  <c r="U28" i="13" s="1"/>
  <c r="V28" i="13" s="1"/>
  <c r="W28" i="13" s="1"/>
  <c r="X28" i="13" s="1"/>
  <c r="Y28" i="13" s="1"/>
  <c r="Z28" i="13" s="1"/>
  <c r="AA28" i="13" s="1"/>
  <c r="AB28" i="13" s="1"/>
  <c r="I15" i="13"/>
  <c r="J15" i="13" s="1"/>
  <c r="K15" i="13" s="1"/>
  <c r="L15" i="13" s="1"/>
  <c r="M15" i="13" s="1"/>
  <c r="N15" i="13" s="1"/>
  <c r="O15" i="13" s="1"/>
  <c r="P15" i="13" s="1"/>
  <c r="Q15" i="13" s="1"/>
  <c r="R15" i="13" s="1"/>
  <c r="S15" i="13" s="1"/>
  <c r="T15" i="13" s="1"/>
  <c r="U15" i="13" s="1"/>
  <c r="V15" i="13" s="1"/>
  <c r="W15" i="13" s="1"/>
  <c r="X15" i="13" s="1"/>
  <c r="Y15" i="13" s="1"/>
  <c r="Z15" i="13" s="1"/>
  <c r="AA15" i="13" s="1"/>
  <c r="AB15" i="13" s="1"/>
  <c r="F15" i="13"/>
  <c r="G15" i="13" s="1"/>
  <c r="I14" i="13"/>
  <c r="J14" i="13" s="1"/>
  <c r="K14" i="13" s="1"/>
  <c r="L14" i="13" s="1"/>
  <c r="M14" i="13" s="1"/>
  <c r="N14" i="13" s="1"/>
  <c r="O14" i="13" s="1"/>
  <c r="P14" i="13" s="1"/>
  <c r="Q14" i="13" s="1"/>
  <c r="R14" i="13" s="1"/>
  <c r="S14" i="13" s="1"/>
  <c r="T14" i="13" s="1"/>
  <c r="U14" i="13" s="1"/>
  <c r="V14" i="13" s="1"/>
  <c r="W14" i="13" s="1"/>
  <c r="X14" i="13" s="1"/>
  <c r="Y14" i="13" s="1"/>
  <c r="Z14" i="13" s="1"/>
  <c r="AA14" i="13" s="1"/>
  <c r="AB14" i="13" s="1"/>
  <c r="F14" i="13"/>
  <c r="G14" i="13" s="1"/>
  <c r="M13" i="13"/>
  <c r="N13" i="13" s="1"/>
  <c r="O13" i="13" s="1"/>
  <c r="P13" i="13" s="1"/>
  <c r="Q13" i="13" s="1"/>
  <c r="R13" i="13" s="1"/>
  <c r="S13" i="13" s="1"/>
  <c r="T13" i="13" s="1"/>
  <c r="U13" i="13" s="1"/>
  <c r="V13" i="13" s="1"/>
  <c r="W13" i="13" s="1"/>
  <c r="X13" i="13" s="1"/>
  <c r="Y13" i="13" s="1"/>
  <c r="Z13" i="13" s="1"/>
  <c r="AA13" i="13" s="1"/>
  <c r="AB13" i="13" s="1"/>
  <c r="L13" i="13"/>
  <c r="J13" i="13"/>
  <c r="F13" i="13"/>
  <c r="G13" i="13" s="1"/>
  <c r="H13" i="13" s="1"/>
  <c r="L12" i="13"/>
  <c r="M12" i="13" s="1"/>
  <c r="N12" i="13" s="1"/>
  <c r="O12" i="13" s="1"/>
  <c r="P12" i="13" s="1"/>
  <c r="Q12" i="13" s="1"/>
  <c r="R12" i="13" s="1"/>
  <c r="S12" i="13" s="1"/>
  <c r="T12" i="13" s="1"/>
  <c r="U12" i="13" s="1"/>
  <c r="V12" i="13" s="1"/>
  <c r="W12" i="13" s="1"/>
  <c r="X12" i="13" s="1"/>
  <c r="Y12" i="13" s="1"/>
  <c r="Z12" i="13" s="1"/>
  <c r="AA12" i="13" s="1"/>
  <c r="AB12" i="13" s="1"/>
  <c r="J12" i="13"/>
  <c r="F12" i="13"/>
  <c r="G12" i="13" s="1"/>
  <c r="H12" i="13" s="1"/>
  <c r="F11" i="13"/>
  <c r="G11" i="13" s="1"/>
  <c r="H11" i="13" s="1"/>
  <c r="I11" i="13" s="1"/>
  <c r="J11" i="13" s="1"/>
  <c r="K11" i="13" s="1"/>
  <c r="L11" i="13" s="1"/>
  <c r="M11" i="13" s="1"/>
  <c r="N11" i="13" s="1"/>
  <c r="O11" i="13" s="1"/>
  <c r="P11" i="13" s="1"/>
  <c r="Q11" i="13" s="1"/>
  <c r="R11" i="13" s="1"/>
  <c r="S11" i="13" s="1"/>
  <c r="T11" i="13" s="1"/>
  <c r="U11" i="13" s="1"/>
  <c r="V11" i="13" s="1"/>
  <c r="W11" i="13" s="1"/>
  <c r="X11" i="13" s="1"/>
  <c r="Y11" i="13" s="1"/>
  <c r="Z11" i="13" s="1"/>
  <c r="AA11" i="13" s="1"/>
  <c r="AB11" i="13" s="1"/>
  <c r="F10" i="13"/>
  <c r="G10" i="13" s="1"/>
  <c r="H10" i="13" s="1"/>
  <c r="I10" i="13" s="1"/>
  <c r="J10" i="13" s="1"/>
  <c r="K10" i="13" s="1"/>
  <c r="L10" i="13" s="1"/>
  <c r="M10" i="13" s="1"/>
  <c r="N10" i="13" s="1"/>
  <c r="O10" i="13" s="1"/>
  <c r="P10" i="13" s="1"/>
  <c r="Q10" i="13" s="1"/>
  <c r="R10" i="13" s="1"/>
  <c r="S10" i="13" s="1"/>
  <c r="T10" i="13" s="1"/>
  <c r="U10" i="13" s="1"/>
  <c r="V10" i="13" s="1"/>
  <c r="W10" i="13" s="1"/>
  <c r="X10" i="13" s="1"/>
  <c r="Y10" i="13" s="1"/>
  <c r="Z10" i="13" s="1"/>
  <c r="AA10" i="13" s="1"/>
  <c r="AB10" i="13" s="1"/>
  <c r="F9" i="13"/>
  <c r="G9" i="13" s="1"/>
  <c r="H9" i="13" s="1"/>
  <c r="I9" i="13" s="1"/>
  <c r="J9" i="13" s="1"/>
  <c r="K9" i="13" s="1"/>
  <c r="L9" i="13" s="1"/>
  <c r="M9" i="13" s="1"/>
  <c r="N9" i="13" s="1"/>
  <c r="O9" i="13" s="1"/>
  <c r="P9" i="13" s="1"/>
  <c r="Q9" i="13" s="1"/>
  <c r="R9" i="13" s="1"/>
  <c r="S9" i="13" s="1"/>
  <c r="T9" i="13" s="1"/>
  <c r="U9" i="13" s="1"/>
  <c r="V9" i="13" s="1"/>
  <c r="W9" i="13" s="1"/>
  <c r="X9" i="13" s="1"/>
  <c r="Y9" i="13" s="1"/>
  <c r="Z9" i="13" s="1"/>
  <c r="AA9" i="13" s="1"/>
  <c r="AB9" i="13" s="1"/>
  <c r="F8" i="13"/>
  <c r="G8" i="13" s="1"/>
  <c r="H8" i="13" s="1"/>
  <c r="I8" i="13" s="1"/>
  <c r="J8" i="13" s="1"/>
  <c r="K8" i="13" s="1"/>
  <c r="L8" i="13" s="1"/>
  <c r="M8" i="13" s="1"/>
  <c r="N8" i="13" s="1"/>
  <c r="O8" i="13" s="1"/>
  <c r="P8" i="13" s="1"/>
  <c r="Q8" i="13" s="1"/>
  <c r="R8" i="13" s="1"/>
  <c r="S8" i="13" s="1"/>
  <c r="T8" i="13" s="1"/>
  <c r="U8" i="13" s="1"/>
  <c r="V8" i="13" s="1"/>
  <c r="W8" i="13" s="1"/>
  <c r="X8" i="13" s="1"/>
  <c r="Y8" i="13" s="1"/>
  <c r="Z8" i="13" s="1"/>
  <c r="AA8" i="13" s="1"/>
  <c r="AB8" i="13" s="1"/>
  <c r="D419" i="11"/>
  <c r="D415" i="11"/>
  <c r="G413" i="11"/>
  <c r="F413" i="11"/>
  <c r="D413" i="11"/>
  <c r="D412" i="11"/>
  <c r="AA411" i="11"/>
  <c r="D411" i="11"/>
  <c r="AA410" i="11"/>
  <c r="Z410" i="11"/>
  <c r="Y410" i="11"/>
  <c r="X410" i="11"/>
  <c r="W410" i="11"/>
  <c r="V410" i="11"/>
  <c r="U410" i="11"/>
  <c r="M410" i="11"/>
  <c r="L410" i="11"/>
  <c r="K410" i="11"/>
  <c r="J410" i="11"/>
  <c r="I410" i="11"/>
  <c r="H410" i="11"/>
  <c r="G410" i="11"/>
  <c r="F410" i="11"/>
  <c r="D410" i="11"/>
  <c r="AA214" i="11"/>
  <c r="Z214" i="11"/>
  <c r="Y214" i="11"/>
  <c r="X214" i="11"/>
  <c r="W214" i="11"/>
  <c r="V214" i="11"/>
  <c r="U214" i="11"/>
  <c r="T214" i="11"/>
  <c r="S214" i="11"/>
  <c r="R214" i="11"/>
  <c r="Q214" i="11"/>
  <c r="P214" i="11"/>
  <c r="O214" i="11"/>
  <c r="N214" i="11"/>
  <c r="M214" i="11"/>
  <c r="L214" i="11"/>
  <c r="K214" i="11"/>
  <c r="J214" i="11"/>
  <c r="I214" i="11"/>
  <c r="H214" i="11"/>
  <c r="G214" i="11"/>
  <c r="F214" i="11"/>
  <c r="E214" i="11"/>
  <c r="D214" i="11"/>
  <c r="Z204" i="11"/>
  <c r="Y204" i="11"/>
  <c r="X204" i="11"/>
  <c r="W204" i="11"/>
  <c r="V204" i="11"/>
  <c r="U204" i="11"/>
  <c r="T204" i="11"/>
  <c r="S204" i="11"/>
  <c r="R204" i="11"/>
  <c r="Q204" i="11"/>
  <c r="P204" i="11"/>
  <c r="O204" i="11"/>
  <c r="N204" i="11"/>
  <c r="M204" i="11"/>
  <c r="L204" i="11"/>
  <c r="K204" i="11"/>
  <c r="J204" i="11"/>
  <c r="I204" i="11"/>
  <c r="H204" i="11"/>
  <c r="G204" i="11"/>
  <c r="F204" i="11"/>
  <c r="E204" i="11"/>
  <c r="D204" i="11"/>
  <c r="W203" i="11"/>
  <c r="V203" i="11"/>
  <c r="U203" i="11"/>
  <c r="T203" i="11"/>
  <c r="S203" i="11"/>
  <c r="R203" i="11"/>
  <c r="Q203" i="11"/>
  <c r="P203" i="11"/>
  <c r="O203" i="11"/>
  <c r="N203" i="11"/>
  <c r="M203" i="11"/>
  <c r="L203" i="11"/>
  <c r="K203" i="11"/>
  <c r="J203" i="11"/>
  <c r="I203" i="11"/>
  <c r="H203" i="11"/>
  <c r="G203" i="11"/>
  <c r="F203" i="11"/>
  <c r="E203" i="11"/>
  <c r="D203" i="11"/>
  <c r="T202" i="11"/>
  <c r="S202" i="11"/>
  <c r="R202" i="11"/>
  <c r="Q202" i="11"/>
  <c r="P202" i="11"/>
  <c r="O202" i="11"/>
  <c r="N202" i="11"/>
  <c r="M202" i="11"/>
  <c r="L202" i="11"/>
  <c r="K202" i="11"/>
  <c r="J202" i="11"/>
  <c r="I202" i="11"/>
  <c r="H202" i="11"/>
  <c r="G202" i="11"/>
  <c r="F202" i="11"/>
  <c r="E202" i="11"/>
  <c r="D202" i="11"/>
  <c r="Q201" i="11"/>
  <c r="P201" i="11"/>
  <c r="O201" i="11"/>
  <c r="N201" i="11"/>
  <c r="M201" i="11"/>
  <c r="L201" i="11"/>
  <c r="K201" i="11"/>
  <c r="J201" i="11"/>
  <c r="I201" i="11"/>
  <c r="H201" i="11"/>
  <c r="G201" i="11"/>
  <c r="F201" i="11"/>
  <c r="E201" i="11"/>
  <c r="D201" i="11"/>
  <c r="N200" i="11"/>
  <c r="M200" i="11"/>
  <c r="L200" i="11"/>
  <c r="K200" i="11"/>
  <c r="J200" i="11"/>
  <c r="I200" i="11"/>
  <c r="H200" i="11"/>
  <c r="G200" i="11"/>
  <c r="F200" i="11"/>
  <c r="E200" i="11"/>
  <c r="D200" i="11"/>
  <c r="I199" i="11"/>
  <c r="H199" i="11"/>
  <c r="G199" i="11"/>
  <c r="F199" i="11"/>
  <c r="E199" i="11"/>
  <c r="D199" i="11"/>
  <c r="F198" i="11"/>
  <c r="E198" i="11"/>
  <c r="D198" i="11"/>
  <c r="AA192" i="11"/>
  <c r="Z192" i="11"/>
  <c r="Y192" i="11"/>
  <c r="X192" i="11"/>
  <c r="W192" i="11"/>
  <c r="V192" i="11"/>
  <c r="U192" i="11"/>
  <c r="T192" i="11"/>
  <c r="S192" i="11"/>
  <c r="R192" i="11"/>
  <c r="Q192" i="11"/>
  <c r="P192" i="11"/>
  <c r="O192" i="11"/>
  <c r="N192" i="11"/>
  <c r="M192" i="11"/>
  <c r="L192" i="11"/>
  <c r="K192" i="11"/>
  <c r="J192" i="11"/>
  <c r="I192" i="11"/>
  <c r="H192" i="11"/>
  <c r="G192" i="11"/>
  <c r="F192" i="11"/>
  <c r="E192" i="11"/>
  <c r="D192" i="11"/>
  <c r="AA189" i="11"/>
  <c r="X188" i="11"/>
  <c r="Y188" i="11" s="1"/>
  <c r="Z188" i="11" s="1"/>
  <c r="AA188" i="11" s="1"/>
  <c r="U187" i="11"/>
  <c r="V187" i="11" s="1"/>
  <c r="W187" i="11" s="1"/>
  <c r="X187" i="11" s="1"/>
  <c r="Y187" i="11" s="1"/>
  <c r="Z187" i="11" s="1"/>
  <c r="AA187" i="11" s="1"/>
  <c r="R186" i="11"/>
  <c r="S186" i="11" s="1"/>
  <c r="T186" i="11" s="1"/>
  <c r="U186" i="11" s="1"/>
  <c r="V186" i="11" s="1"/>
  <c r="O185" i="11"/>
  <c r="P185" i="11" s="1"/>
  <c r="Q185" i="11" s="1"/>
  <c r="J184" i="11"/>
  <c r="K184" i="11" s="1"/>
  <c r="L184" i="11" s="1"/>
  <c r="M184" i="11" s="1"/>
  <c r="N184" i="11" s="1"/>
  <c r="O184" i="11" s="1"/>
  <c r="P184" i="11" s="1"/>
  <c r="Q184" i="11" s="1"/>
  <c r="R184" i="11" s="1"/>
  <c r="S184" i="11" s="1"/>
  <c r="T184" i="11" s="1"/>
  <c r="U184" i="11" s="1"/>
  <c r="V184" i="11" s="1"/>
  <c r="W184" i="11" s="1"/>
  <c r="X184" i="11" s="1"/>
  <c r="Y184" i="11" s="1"/>
  <c r="Z184" i="11" s="1"/>
  <c r="AA184" i="11" s="1"/>
  <c r="G183" i="11"/>
  <c r="E181" i="11"/>
  <c r="F181" i="11" s="1"/>
  <c r="G181" i="11" s="1"/>
  <c r="H181" i="11" s="1"/>
  <c r="I181" i="11" s="1"/>
  <c r="J181" i="11" s="1"/>
  <c r="K181" i="11" s="1"/>
  <c r="L181" i="11" s="1"/>
  <c r="M181" i="11" s="1"/>
  <c r="N181" i="11" s="1"/>
  <c r="O181" i="11" s="1"/>
  <c r="P181" i="11" s="1"/>
  <c r="Q181" i="11" s="1"/>
  <c r="R181" i="11" s="1"/>
  <c r="S181" i="11" s="1"/>
  <c r="T181" i="11" s="1"/>
  <c r="U181" i="11" s="1"/>
  <c r="V181" i="11" s="1"/>
  <c r="W181" i="11" s="1"/>
  <c r="E180" i="11"/>
  <c r="F180" i="11" s="1"/>
  <c r="G180" i="11" s="1"/>
  <c r="H180" i="11" s="1"/>
  <c r="I180" i="11" s="1"/>
  <c r="J180" i="11" s="1"/>
  <c r="K180" i="11" s="1"/>
  <c r="L180" i="11" s="1"/>
  <c r="M180" i="11" s="1"/>
  <c r="N180" i="11" s="1"/>
  <c r="O180" i="11" s="1"/>
  <c r="P180" i="11" s="1"/>
  <c r="Q180" i="11" s="1"/>
  <c r="R180" i="11" s="1"/>
  <c r="S180" i="11" s="1"/>
  <c r="T180" i="11" s="1"/>
  <c r="U180" i="11" s="1"/>
  <c r="V180" i="11" s="1"/>
  <c r="E179" i="11"/>
  <c r="F179" i="11" s="1"/>
  <c r="G179" i="11" s="1"/>
  <c r="H179" i="11" s="1"/>
  <c r="I179" i="11" s="1"/>
  <c r="J179" i="11" s="1"/>
  <c r="K179" i="11" s="1"/>
  <c r="L179" i="11" s="1"/>
  <c r="M179" i="11" s="1"/>
  <c r="N179" i="11" s="1"/>
  <c r="O179" i="11" s="1"/>
  <c r="P179" i="11" s="1"/>
  <c r="E178" i="11"/>
  <c r="F178" i="11" s="1"/>
  <c r="G178" i="11" s="1"/>
  <c r="H178" i="11" s="1"/>
  <c r="I178" i="11" s="1"/>
  <c r="J178" i="11" s="1"/>
  <c r="K178" i="11" s="1"/>
  <c r="L178" i="11" s="1"/>
  <c r="M178" i="11" s="1"/>
  <c r="N178" i="11" s="1"/>
  <c r="O178" i="11" s="1"/>
  <c r="P178" i="11" s="1"/>
  <c r="AA177" i="11"/>
  <c r="Z177" i="11"/>
  <c r="Y177" i="11"/>
  <c r="X177" i="11"/>
  <c r="W177" i="11"/>
  <c r="V177" i="11"/>
  <c r="U177" i="11"/>
  <c r="T177" i="11"/>
  <c r="S177" i="11"/>
  <c r="R177" i="11"/>
  <c r="Q177" i="11"/>
  <c r="P177" i="11"/>
  <c r="O177" i="11"/>
  <c r="N177" i="11"/>
  <c r="M177" i="11"/>
  <c r="L177" i="11"/>
  <c r="K177" i="11"/>
  <c r="J177" i="11"/>
  <c r="I177" i="11"/>
  <c r="H177" i="11"/>
  <c r="G177" i="11"/>
  <c r="F177" i="11"/>
  <c r="E177" i="11"/>
  <c r="D177" i="11"/>
  <c r="L169" i="11"/>
  <c r="K169" i="11"/>
  <c r="J169" i="11"/>
  <c r="I169" i="11"/>
  <c r="H169" i="11"/>
  <c r="G169" i="11"/>
  <c r="F169" i="11"/>
  <c r="E169" i="11"/>
  <c r="D169" i="11"/>
  <c r="G168" i="11"/>
  <c r="F168" i="11"/>
  <c r="E168" i="11"/>
  <c r="D168" i="11"/>
  <c r="G167" i="11"/>
  <c r="F167" i="11"/>
  <c r="E167" i="11"/>
  <c r="D167" i="11"/>
  <c r="L158" i="11"/>
  <c r="K158" i="11"/>
  <c r="J158" i="11"/>
  <c r="I158" i="11"/>
  <c r="H158" i="11"/>
  <c r="G158" i="11"/>
  <c r="F158" i="11"/>
  <c r="E158" i="11"/>
  <c r="D158" i="11"/>
  <c r="G157" i="11"/>
  <c r="F157" i="11"/>
  <c r="E157" i="11"/>
  <c r="D157" i="11"/>
  <c r="G156" i="11"/>
  <c r="F156" i="11"/>
  <c r="E156" i="11"/>
  <c r="D156" i="11"/>
  <c r="AA150" i="11"/>
  <c r="Z150" i="11"/>
  <c r="Y150" i="11"/>
  <c r="X150" i="11"/>
  <c r="W150" i="11"/>
  <c r="V150" i="11"/>
  <c r="U150" i="11"/>
  <c r="T150" i="11"/>
  <c r="S150" i="11"/>
  <c r="R150" i="11"/>
  <c r="Q150" i="11"/>
  <c r="P150" i="11"/>
  <c r="O150" i="11"/>
  <c r="N150" i="11"/>
  <c r="M150" i="11"/>
  <c r="L150" i="11"/>
  <c r="K150" i="11"/>
  <c r="J150" i="11"/>
  <c r="I150" i="11"/>
  <c r="H150" i="11"/>
  <c r="G150" i="11"/>
  <c r="F150" i="11"/>
  <c r="E150" i="11"/>
  <c r="D150" i="11"/>
  <c r="M147" i="11"/>
  <c r="N147" i="11" s="1"/>
  <c r="O147" i="11" s="1"/>
  <c r="P147" i="11" s="1"/>
  <c r="Q147" i="11" s="1"/>
  <c r="H146" i="11"/>
  <c r="H145" i="11"/>
  <c r="I145" i="11" s="1"/>
  <c r="J145" i="11" s="1"/>
  <c r="K145" i="11" s="1"/>
  <c r="L145" i="11" s="1"/>
  <c r="M145" i="11" s="1"/>
  <c r="N145" i="11" s="1"/>
  <c r="O145" i="11" s="1"/>
  <c r="P145" i="11" s="1"/>
  <c r="Q145" i="11" s="1"/>
  <c r="R145" i="11" s="1"/>
  <c r="S145" i="11" s="1"/>
  <c r="T145" i="11" s="1"/>
  <c r="U145" i="11" s="1"/>
  <c r="V145" i="11" s="1"/>
  <c r="W145" i="11" s="1"/>
  <c r="X145" i="11" s="1"/>
  <c r="Y145" i="11" s="1"/>
  <c r="Z145" i="11" s="1"/>
  <c r="AA145" i="11" s="1"/>
  <c r="E144" i="11"/>
  <c r="F144" i="11" s="1"/>
  <c r="G144" i="11" s="1"/>
  <c r="H144" i="11" s="1"/>
  <c r="I144" i="11" s="1"/>
  <c r="J144" i="11" s="1"/>
  <c r="K144" i="11" s="1"/>
  <c r="L144" i="11" s="1"/>
  <c r="M144" i="11" s="1"/>
  <c r="N144" i="11" s="1"/>
  <c r="O144" i="11" s="1"/>
  <c r="P144" i="11" s="1"/>
  <c r="Q144" i="11" s="1"/>
  <c r="R144" i="11" s="1"/>
  <c r="S144" i="11" s="1"/>
  <c r="T144" i="11" s="1"/>
  <c r="U144" i="11" s="1"/>
  <c r="V144" i="11" s="1"/>
  <c r="E143" i="11"/>
  <c r="F143" i="11" s="1"/>
  <c r="G143" i="11" s="1"/>
  <c r="H143" i="11" s="1"/>
  <c r="I143" i="11" s="1"/>
  <c r="J143" i="11" s="1"/>
  <c r="K143" i="11" s="1"/>
  <c r="L143" i="11" s="1"/>
  <c r="M143" i="11" s="1"/>
  <c r="N143" i="11" s="1"/>
  <c r="O143" i="11" s="1"/>
  <c r="P143" i="11" s="1"/>
  <c r="E142" i="11"/>
  <c r="F142" i="11" s="1"/>
  <c r="G142" i="11" s="1"/>
  <c r="H142" i="11" s="1"/>
  <c r="I142" i="11" s="1"/>
  <c r="J142" i="11" s="1"/>
  <c r="K142" i="11" s="1"/>
  <c r="L142" i="11" s="1"/>
  <c r="M142" i="11" s="1"/>
  <c r="N142" i="11" s="1"/>
  <c r="O142" i="11" s="1"/>
  <c r="P142" i="11" s="1"/>
  <c r="E141" i="11"/>
  <c r="F141" i="11" s="1"/>
  <c r="G141" i="11" s="1"/>
  <c r="H141" i="11" s="1"/>
  <c r="I141" i="11" s="1"/>
  <c r="J141" i="11" s="1"/>
  <c r="K141" i="11" s="1"/>
  <c r="L141" i="11" s="1"/>
  <c r="M141" i="11" s="1"/>
  <c r="N141" i="11" s="1"/>
  <c r="O141" i="11" s="1"/>
  <c r="P141" i="11" s="1"/>
  <c r="E140" i="11"/>
  <c r="F140" i="11" s="1"/>
  <c r="G140" i="11" s="1"/>
  <c r="H140" i="11" s="1"/>
  <c r="M137" i="11"/>
  <c r="N137" i="11" s="1"/>
  <c r="O137" i="11" s="1"/>
  <c r="P137" i="11" s="1"/>
  <c r="Q137" i="11" s="1"/>
  <c r="Q158" i="11" s="1"/>
  <c r="H136" i="11"/>
  <c r="H135" i="11"/>
  <c r="E134" i="11"/>
  <c r="F134" i="11" s="1"/>
  <c r="G134" i="11" s="1"/>
  <c r="H134" i="11" s="1"/>
  <c r="I134" i="11" s="1"/>
  <c r="J134" i="11" s="1"/>
  <c r="K134" i="11" s="1"/>
  <c r="L134" i="11" s="1"/>
  <c r="M134" i="11" s="1"/>
  <c r="N134" i="11" s="1"/>
  <c r="O134" i="11" s="1"/>
  <c r="P134" i="11" s="1"/>
  <c r="Q134" i="11" s="1"/>
  <c r="R134" i="11" s="1"/>
  <c r="S134" i="11" s="1"/>
  <c r="T134" i="11" s="1"/>
  <c r="U134" i="11" s="1"/>
  <c r="V134" i="11" s="1"/>
  <c r="W134" i="11" s="1"/>
  <c r="X134" i="11" s="1"/>
  <c r="E132" i="11"/>
  <c r="F132" i="11" s="1"/>
  <c r="G132" i="11" s="1"/>
  <c r="H132" i="11" s="1"/>
  <c r="I132" i="11" s="1"/>
  <c r="J132" i="11" s="1"/>
  <c r="K132" i="11" s="1"/>
  <c r="L132" i="11" s="1"/>
  <c r="M132" i="11" s="1"/>
  <c r="AA129" i="11"/>
  <c r="Z129" i="11"/>
  <c r="Y129" i="11"/>
  <c r="X129" i="11"/>
  <c r="W129" i="11"/>
  <c r="V129" i="11"/>
  <c r="U129" i="11"/>
  <c r="T129" i="11"/>
  <c r="S129" i="11"/>
  <c r="R129" i="11"/>
  <c r="Q129" i="11"/>
  <c r="P129" i="11"/>
  <c r="O129" i="11"/>
  <c r="N129" i="11"/>
  <c r="M129" i="11"/>
  <c r="L129" i="11"/>
  <c r="K129" i="11"/>
  <c r="J129" i="11"/>
  <c r="I129" i="11"/>
  <c r="H129" i="11"/>
  <c r="G129" i="11"/>
  <c r="F129" i="11"/>
  <c r="E129" i="11"/>
  <c r="D129" i="11"/>
  <c r="G121" i="11"/>
  <c r="F121" i="11"/>
  <c r="E121" i="11"/>
  <c r="D121" i="11"/>
  <c r="G114" i="11"/>
  <c r="F114" i="11"/>
  <c r="E114" i="11"/>
  <c r="D114" i="11"/>
  <c r="AA109" i="11"/>
  <c r="Z109" i="11"/>
  <c r="Y109" i="11"/>
  <c r="X109" i="11"/>
  <c r="W109" i="11"/>
  <c r="V109" i="11"/>
  <c r="U109" i="11"/>
  <c r="T109" i="11"/>
  <c r="S109" i="11"/>
  <c r="R109" i="11"/>
  <c r="Q109" i="11"/>
  <c r="P109" i="11"/>
  <c r="O109" i="11"/>
  <c r="N109" i="11"/>
  <c r="M109" i="11"/>
  <c r="L109" i="11"/>
  <c r="K109" i="11"/>
  <c r="J109" i="11"/>
  <c r="I109" i="11"/>
  <c r="H109" i="11"/>
  <c r="G109" i="11"/>
  <c r="F109" i="11"/>
  <c r="E109" i="11"/>
  <c r="D109" i="11"/>
  <c r="H106" i="11"/>
  <c r="I106" i="11" s="1"/>
  <c r="J106" i="11" s="1"/>
  <c r="K106" i="11" s="1"/>
  <c r="L106" i="11" s="1"/>
  <c r="M106" i="11" s="1"/>
  <c r="N106" i="11" s="1"/>
  <c r="O106" i="11" s="1"/>
  <c r="P106" i="11" s="1"/>
  <c r="Q106" i="11" s="1"/>
  <c r="R106" i="11" s="1"/>
  <c r="S106" i="11" s="1"/>
  <c r="T106" i="11" s="1"/>
  <c r="U106" i="11" s="1"/>
  <c r="V106" i="11" s="1"/>
  <c r="W106" i="11" s="1"/>
  <c r="X106" i="11" s="1"/>
  <c r="Y106" i="11" s="1"/>
  <c r="Z106" i="11" s="1"/>
  <c r="AA106" i="11" s="1"/>
  <c r="H100" i="11"/>
  <c r="I100" i="11" s="1"/>
  <c r="J100" i="11" s="1"/>
  <c r="K100" i="11" s="1"/>
  <c r="L100" i="11" s="1"/>
  <c r="M100" i="11" s="1"/>
  <c r="N100" i="11" s="1"/>
  <c r="O100" i="11" s="1"/>
  <c r="P100" i="11" s="1"/>
  <c r="Q100" i="11" s="1"/>
  <c r="R100" i="11" s="1"/>
  <c r="S100" i="11" s="1"/>
  <c r="T100" i="11" s="1"/>
  <c r="U100" i="11" s="1"/>
  <c r="V100" i="11" s="1"/>
  <c r="W100" i="11" s="1"/>
  <c r="X100" i="11" s="1"/>
  <c r="Y100" i="11" s="1"/>
  <c r="Z100" i="11" s="1"/>
  <c r="AA100" i="11" s="1"/>
  <c r="AA95" i="11"/>
  <c r="Z95" i="11"/>
  <c r="Y95" i="11"/>
  <c r="X95" i="11"/>
  <c r="W95" i="11"/>
  <c r="V95" i="11"/>
  <c r="U95" i="11"/>
  <c r="T95" i="11"/>
  <c r="S95" i="11"/>
  <c r="R95" i="11"/>
  <c r="Q95" i="11"/>
  <c r="P95" i="11"/>
  <c r="O95" i="11"/>
  <c r="N95" i="11"/>
  <c r="M95" i="11"/>
  <c r="L95" i="11"/>
  <c r="K95" i="11"/>
  <c r="J95" i="11"/>
  <c r="I95" i="11"/>
  <c r="H95" i="11"/>
  <c r="G95" i="11"/>
  <c r="F95" i="11"/>
  <c r="E95" i="11"/>
  <c r="D95" i="11"/>
  <c r="AA84" i="11"/>
  <c r="X83" i="11"/>
  <c r="U82" i="11"/>
  <c r="R81" i="11"/>
  <c r="O80" i="11"/>
  <c r="O200" i="11" s="1"/>
  <c r="J79" i="11"/>
  <c r="G78" i="11"/>
  <c r="H78" i="11" s="1"/>
  <c r="AA72" i="11"/>
  <c r="Z72" i="11"/>
  <c r="Y72" i="11"/>
  <c r="X72" i="11"/>
  <c r="W72" i="11"/>
  <c r="V72" i="11"/>
  <c r="U72" i="11"/>
  <c r="T72" i="11"/>
  <c r="S72" i="11"/>
  <c r="R72" i="11"/>
  <c r="Q72" i="11"/>
  <c r="P72" i="11"/>
  <c r="O72" i="11"/>
  <c r="N72" i="11"/>
  <c r="M72" i="11"/>
  <c r="L72" i="11"/>
  <c r="K72" i="11"/>
  <c r="J72" i="11"/>
  <c r="I72" i="11"/>
  <c r="H72" i="11"/>
  <c r="G72" i="11"/>
  <c r="F72" i="11"/>
  <c r="E72" i="11"/>
  <c r="D72" i="11"/>
  <c r="W63" i="11"/>
  <c r="X63" i="11" s="1"/>
  <c r="R63" i="11"/>
  <c r="S63" i="11" s="1"/>
  <c r="M63" i="11"/>
  <c r="H62" i="11"/>
  <c r="I62" i="11" s="1"/>
  <c r="J62" i="11" s="1"/>
  <c r="H61" i="11"/>
  <c r="I61" i="11" s="1"/>
  <c r="W52" i="11"/>
  <c r="R52" i="11"/>
  <c r="M52" i="11"/>
  <c r="H51" i="11"/>
  <c r="I51" i="11" s="1"/>
  <c r="J51" i="11" s="1"/>
  <c r="H50" i="11"/>
  <c r="I50" i="11" s="1"/>
  <c r="J50" i="11" s="1"/>
  <c r="AA44" i="11"/>
  <c r="Z44" i="11"/>
  <c r="Y44" i="11"/>
  <c r="X44" i="11"/>
  <c r="W44" i="11"/>
  <c r="V44" i="11"/>
  <c r="U44" i="11"/>
  <c r="T44" i="11"/>
  <c r="S44" i="11"/>
  <c r="R44" i="11"/>
  <c r="Q44" i="11"/>
  <c r="P44" i="11"/>
  <c r="O44" i="11"/>
  <c r="N44" i="11"/>
  <c r="M44" i="11"/>
  <c r="L44" i="11"/>
  <c r="K44" i="11"/>
  <c r="J44" i="11"/>
  <c r="I44" i="11"/>
  <c r="H44" i="11"/>
  <c r="G44" i="11"/>
  <c r="F44" i="11"/>
  <c r="E44" i="11"/>
  <c r="D44" i="11"/>
  <c r="D38" i="11"/>
  <c r="D216" i="11" s="1"/>
  <c r="E35" i="11"/>
  <c r="D35" i="11"/>
  <c r="D32" i="11"/>
  <c r="AE28" i="11"/>
  <c r="AD28" i="11"/>
  <c r="AC28" i="11"/>
  <c r="AB28" i="11"/>
  <c r="AA28" i="11"/>
  <c r="AE27" i="11"/>
  <c r="AD27" i="11"/>
  <c r="AC27" i="11"/>
  <c r="AB27" i="11"/>
  <c r="AA27" i="11"/>
  <c r="Z27" i="11"/>
  <c r="Y27" i="11"/>
  <c r="X27" i="11"/>
  <c r="W27" i="11"/>
  <c r="V27" i="11"/>
  <c r="U27" i="11"/>
  <c r="L27" i="11"/>
  <c r="K27" i="11"/>
  <c r="J27" i="11"/>
  <c r="I27" i="11"/>
  <c r="H27" i="11"/>
  <c r="G27" i="11"/>
  <c r="F27" i="11"/>
  <c r="E27" i="11"/>
  <c r="D27" i="11"/>
  <c r="E25" i="11"/>
  <c r="E24" i="11"/>
  <c r="D28" i="11" s="1"/>
  <c r="N23" i="11"/>
  <c r="D20" i="11"/>
  <c r="AE16" i="11"/>
  <c r="AD16" i="11"/>
  <c r="AC16" i="11"/>
  <c r="AB16" i="11"/>
  <c r="AA16" i="11"/>
  <c r="AE15" i="11"/>
  <c r="AD15" i="11"/>
  <c r="AC15" i="11"/>
  <c r="AB15" i="11"/>
  <c r="AA15" i="11"/>
  <c r="Z15" i="11"/>
  <c r="Y15" i="11"/>
  <c r="X15" i="11"/>
  <c r="W15" i="11"/>
  <c r="V15" i="11"/>
  <c r="U15" i="11"/>
  <c r="L15" i="11"/>
  <c r="K15" i="11"/>
  <c r="J15" i="11"/>
  <c r="I15" i="11"/>
  <c r="H15" i="11"/>
  <c r="G15" i="11"/>
  <c r="F15" i="11"/>
  <c r="E15" i="11"/>
  <c r="D15" i="11"/>
  <c r="E13" i="11"/>
  <c r="E12" i="11"/>
  <c r="F12" i="11" s="1"/>
  <c r="N11" i="11"/>
  <c r="G8" i="11"/>
  <c r="H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N7" i="11"/>
  <c r="O7" i="11" s="1"/>
  <c r="K7" i="11"/>
  <c r="L7" i="11" s="1"/>
  <c r="AA86" i="12"/>
  <c r="Z86" i="12"/>
  <c r="Y86" i="12"/>
  <c r="X86" i="12"/>
  <c r="W86" i="12"/>
  <c r="V86" i="12"/>
  <c r="U86" i="12"/>
  <c r="T86" i="12"/>
  <c r="S86" i="12"/>
  <c r="R86" i="12"/>
  <c r="Q86" i="12"/>
  <c r="P86" i="12"/>
  <c r="O86" i="12"/>
  <c r="N86" i="12"/>
  <c r="M86" i="12"/>
  <c r="L86" i="12"/>
  <c r="K86" i="12"/>
  <c r="J86" i="12"/>
  <c r="I86" i="12"/>
  <c r="H86" i="12"/>
  <c r="G86" i="12"/>
  <c r="F86" i="12"/>
  <c r="E86" i="12"/>
  <c r="D86" i="12"/>
  <c r="AA78" i="12"/>
  <c r="Z78" i="12"/>
  <c r="Y78" i="12"/>
  <c r="X78" i="12"/>
  <c r="W78" i="12"/>
  <c r="V78" i="12"/>
  <c r="U78" i="12"/>
  <c r="T78" i="12"/>
  <c r="S78" i="12"/>
  <c r="R78" i="12"/>
  <c r="Q78" i="12"/>
  <c r="P78" i="12"/>
  <c r="O78" i="12"/>
  <c r="N78" i="12"/>
  <c r="M78" i="12"/>
  <c r="L78" i="12"/>
  <c r="K78" i="12"/>
  <c r="J78" i="12"/>
  <c r="I78" i="12"/>
  <c r="H78" i="12"/>
  <c r="G78" i="12"/>
  <c r="F78" i="12"/>
  <c r="E78" i="12"/>
  <c r="D78" i="12"/>
  <c r="AA48" i="12"/>
  <c r="Z48" i="12"/>
  <c r="Y48" i="12"/>
  <c r="X48" i="12"/>
  <c r="W48" i="12"/>
  <c r="V48" i="12"/>
  <c r="U48" i="12"/>
  <c r="T48" i="12"/>
  <c r="S48" i="12"/>
  <c r="R48" i="12"/>
  <c r="Q48" i="12"/>
  <c r="P48" i="12"/>
  <c r="O48" i="12"/>
  <c r="N48" i="12"/>
  <c r="M48" i="12"/>
  <c r="L48" i="12"/>
  <c r="K48" i="12"/>
  <c r="J48" i="12"/>
  <c r="I48" i="12"/>
  <c r="H48" i="12"/>
  <c r="G48" i="12"/>
  <c r="F48" i="12"/>
  <c r="E48" i="12"/>
  <c r="D48" i="12"/>
  <c r="AA40" i="12"/>
  <c r="Z40" i="12"/>
  <c r="Y40" i="12"/>
  <c r="X40" i="12"/>
  <c r="W40" i="12"/>
  <c r="V40" i="12"/>
  <c r="U40" i="12"/>
  <c r="T40" i="12"/>
  <c r="S40" i="12"/>
  <c r="R40" i="12"/>
  <c r="Q40" i="12"/>
  <c r="P40" i="12"/>
  <c r="O40" i="12"/>
  <c r="N40" i="12"/>
  <c r="M40" i="12"/>
  <c r="L40" i="12"/>
  <c r="K40" i="12"/>
  <c r="J40" i="12"/>
  <c r="I40" i="12"/>
  <c r="H40" i="12"/>
  <c r="G40" i="12"/>
  <c r="F40" i="12"/>
  <c r="E40" i="12"/>
  <c r="D40" i="12"/>
  <c r="AA34" i="12"/>
  <c r="Z34" i="12"/>
  <c r="Y34" i="12"/>
  <c r="X34" i="12"/>
  <c r="W34" i="12"/>
  <c r="V34" i="12"/>
  <c r="U34" i="12"/>
  <c r="T34" i="12"/>
  <c r="S34" i="12"/>
  <c r="R34" i="12"/>
  <c r="Q34" i="12"/>
  <c r="P34" i="12"/>
  <c r="O34" i="12"/>
  <c r="N34" i="12"/>
  <c r="M34" i="12"/>
  <c r="L34" i="12"/>
  <c r="K34" i="12"/>
  <c r="J34" i="12"/>
  <c r="I34" i="12"/>
  <c r="H34" i="12"/>
  <c r="G34" i="12"/>
  <c r="F34" i="12"/>
  <c r="E34" i="12"/>
  <c r="D34" i="12"/>
  <c r="AA25" i="12"/>
  <c r="AA62" i="12" s="1"/>
  <c r="Z25" i="12"/>
  <c r="Z62" i="12" s="1"/>
  <c r="Y25" i="12"/>
  <c r="Y62" i="12" s="1"/>
  <c r="X25" i="12"/>
  <c r="X62" i="12" s="1"/>
  <c r="W25" i="12"/>
  <c r="W62" i="12" s="1"/>
  <c r="V25" i="12"/>
  <c r="V62" i="12" s="1"/>
  <c r="U25" i="12"/>
  <c r="U62" i="12" s="1"/>
  <c r="T25" i="12"/>
  <c r="T62" i="12" s="1"/>
  <c r="S25" i="12"/>
  <c r="S62" i="12" s="1"/>
  <c r="R25" i="12"/>
  <c r="R62" i="12" s="1"/>
  <c r="Q25" i="12"/>
  <c r="Q62" i="12" s="1"/>
  <c r="P25" i="12"/>
  <c r="P62" i="12" s="1"/>
  <c r="O25" i="12"/>
  <c r="O62" i="12" s="1"/>
  <c r="N25" i="12"/>
  <c r="N62" i="12" s="1"/>
  <c r="M25" i="12"/>
  <c r="M62" i="12" s="1"/>
  <c r="L25" i="12"/>
  <c r="L62" i="12" s="1"/>
  <c r="K25" i="12"/>
  <c r="K62" i="12" s="1"/>
  <c r="J25" i="12"/>
  <c r="J62" i="12" s="1"/>
  <c r="I25" i="12"/>
  <c r="I62" i="12" s="1"/>
  <c r="H25" i="12"/>
  <c r="H62" i="12" s="1"/>
  <c r="G25" i="12"/>
  <c r="G62" i="12" s="1"/>
  <c r="F25" i="12"/>
  <c r="F62" i="12" s="1"/>
  <c r="E25" i="12"/>
  <c r="E62" i="12" s="1"/>
  <c r="D25" i="12"/>
  <c r="D62" i="12" s="1"/>
  <c r="AA24" i="12"/>
  <c r="AA61" i="12" s="1"/>
  <c r="Z24" i="12"/>
  <c r="Z61" i="12" s="1"/>
  <c r="Y24" i="12"/>
  <c r="Y61" i="12" s="1"/>
  <c r="X24" i="12"/>
  <c r="X61" i="12" s="1"/>
  <c r="W24" i="12"/>
  <c r="W61" i="12" s="1"/>
  <c r="V24" i="12"/>
  <c r="V61" i="12" s="1"/>
  <c r="U24" i="12"/>
  <c r="U61" i="12" s="1"/>
  <c r="T24" i="12"/>
  <c r="T61" i="12" s="1"/>
  <c r="S24" i="12"/>
  <c r="S61" i="12" s="1"/>
  <c r="R24" i="12"/>
  <c r="R61" i="12" s="1"/>
  <c r="Q24" i="12"/>
  <c r="Q61" i="12" s="1"/>
  <c r="P24" i="12"/>
  <c r="P61" i="12" s="1"/>
  <c r="O24" i="12"/>
  <c r="O61" i="12" s="1"/>
  <c r="N24" i="12"/>
  <c r="N61" i="12" s="1"/>
  <c r="M24" i="12"/>
  <c r="M61" i="12" s="1"/>
  <c r="L24" i="12"/>
  <c r="L61" i="12" s="1"/>
  <c r="K24" i="12"/>
  <c r="K61" i="12" s="1"/>
  <c r="J24" i="12"/>
  <c r="J61" i="12" s="1"/>
  <c r="I24" i="12"/>
  <c r="I61" i="12" s="1"/>
  <c r="H24" i="12"/>
  <c r="H61" i="12" s="1"/>
  <c r="G24" i="12"/>
  <c r="G61" i="12" s="1"/>
  <c r="F24" i="12"/>
  <c r="F61" i="12" s="1"/>
  <c r="E24" i="12"/>
  <c r="E61" i="12" s="1"/>
  <c r="D24" i="12"/>
  <c r="D61" i="12" s="1"/>
  <c r="AA23" i="12"/>
  <c r="AA60" i="12" s="1"/>
  <c r="Z23" i="12"/>
  <c r="Z60" i="12" s="1"/>
  <c r="Y23" i="12"/>
  <c r="Y60" i="12" s="1"/>
  <c r="X23" i="12"/>
  <c r="X60" i="12" s="1"/>
  <c r="W23" i="12"/>
  <c r="W60" i="12" s="1"/>
  <c r="V23" i="12"/>
  <c r="V60" i="12" s="1"/>
  <c r="U23" i="12"/>
  <c r="U60" i="12" s="1"/>
  <c r="T23" i="12"/>
  <c r="T60" i="12" s="1"/>
  <c r="S23" i="12"/>
  <c r="S60" i="12" s="1"/>
  <c r="R23" i="12"/>
  <c r="R60" i="12" s="1"/>
  <c r="Q23" i="12"/>
  <c r="Q60" i="12" s="1"/>
  <c r="P23" i="12"/>
  <c r="P60" i="12" s="1"/>
  <c r="O23" i="12"/>
  <c r="O60" i="12" s="1"/>
  <c r="N23" i="12"/>
  <c r="N60" i="12" s="1"/>
  <c r="M23" i="12"/>
  <c r="M60" i="12" s="1"/>
  <c r="L23" i="12"/>
  <c r="L60" i="12" s="1"/>
  <c r="K23" i="12"/>
  <c r="K60" i="12" s="1"/>
  <c r="J23" i="12"/>
  <c r="J60" i="12" s="1"/>
  <c r="I23" i="12"/>
  <c r="I60" i="12" s="1"/>
  <c r="H23" i="12"/>
  <c r="H60" i="12" s="1"/>
  <c r="G23" i="12"/>
  <c r="G60" i="12" s="1"/>
  <c r="F23" i="12"/>
  <c r="F60" i="12" s="1"/>
  <c r="E23" i="12"/>
  <c r="E60" i="12" s="1"/>
  <c r="D23" i="12"/>
  <c r="D60" i="12" s="1"/>
  <c r="AA22" i="12"/>
  <c r="AA59" i="12" s="1"/>
  <c r="Z22" i="12"/>
  <c r="Z59" i="12" s="1"/>
  <c r="Y22" i="12"/>
  <c r="Y59" i="12" s="1"/>
  <c r="X22" i="12"/>
  <c r="X59" i="12" s="1"/>
  <c r="W22" i="12"/>
  <c r="W59" i="12" s="1"/>
  <c r="V22" i="12"/>
  <c r="V59" i="12" s="1"/>
  <c r="U22" i="12"/>
  <c r="U59" i="12" s="1"/>
  <c r="T22" i="12"/>
  <c r="T59" i="12" s="1"/>
  <c r="S22" i="12"/>
  <c r="S59" i="12" s="1"/>
  <c r="R22" i="12"/>
  <c r="R59" i="12" s="1"/>
  <c r="Q22" i="12"/>
  <c r="Q59" i="12" s="1"/>
  <c r="P22" i="12"/>
  <c r="P59" i="12" s="1"/>
  <c r="O22" i="12"/>
  <c r="O59" i="12" s="1"/>
  <c r="N22" i="12"/>
  <c r="N59" i="12" s="1"/>
  <c r="M22" i="12"/>
  <c r="M59" i="12" s="1"/>
  <c r="L22" i="12"/>
  <c r="L59" i="12" s="1"/>
  <c r="K22" i="12"/>
  <c r="K59" i="12" s="1"/>
  <c r="J22" i="12"/>
  <c r="J59" i="12" s="1"/>
  <c r="I22" i="12"/>
  <c r="I59" i="12" s="1"/>
  <c r="H22" i="12"/>
  <c r="H59" i="12" s="1"/>
  <c r="G22" i="12"/>
  <c r="G59" i="12" s="1"/>
  <c r="F22" i="12"/>
  <c r="F59" i="12" s="1"/>
  <c r="E22" i="12"/>
  <c r="E59" i="12" s="1"/>
  <c r="D22" i="12"/>
  <c r="D59" i="12" s="1"/>
  <c r="AA21" i="12"/>
  <c r="AA58" i="12" s="1"/>
  <c r="AA63" i="12" s="1"/>
  <c r="Z21" i="12"/>
  <c r="Z58" i="12" s="1"/>
  <c r="Z63" i="12" s="1"/>
  <c r="Y21" i="12"/>
  <c r="Y58" i="12" s="1"/>
  <c r="Y63" i="12" s="1"/>
  <c r="X21" i="12"/>
  <c r="X58" i="12" s="1"/>
  <c r="X63" i="12" s="1"/>
  <c r="W21" i="12"/>
  <c r="W58" i="12" s="1"/>
  <c r="W63" i="12" s="1"/>
  <c r="V21" i="12"/>
  <c r="V58" i="12" s="1"/>
  <c r="V63" i="12" s="1"/>
  <c r="U21" i="12"/>
  <c r="U58" i="12" s="1"/>
  <c r="U63" i="12" s="1"/>
  <c r="T21" i="12"/>
  <c r="T58" i="12" s="1"/>
  <c r="T63" i="12" s="1"/>
  <c r="S21" i="12"/>
  <c r="S58" i="12" s="1"/>
  <c r="S63" i="12" s="1"/>
  <c r="R21" i="12"/>
  <c r="R58" i="12" s="1"/>
  <c r="R63" i="12" s="1"/>
  <c r="Q21" i="12"/>
  <c r="Q58" i="12" s="1"/>
  <c r="Q63" i="12" s="1"/>
  <c r="P21" i="12"/>
  <c r="P58" i="12" s="1"/>
  <c r="P63" i="12" s="1"/>
  <c r="O21" i="12"/>
  <c r="O58" i="12" s="1"/>
  <c r="O63" i="12" s="1"/>
  <c r="N21" i="12"/>
  <c r="N26" i="12" s="1"/>
  <c r="M21" i="12"/>
  <c r="M58" i="12" s="1"/>
  <c r="M63" i="12" s="1"/>
  <c r="L21" i="12"/>
  <c r="L58" i="12" s="1"/>
  <c r="L63" i="12" s="1"/>
  <c r="K21" i="12"/>
  <c r="K58" i="12" s="1"/>
  <c r="K63" i="12" s="1"/>
  <c r="J21" i="12"/>
  <c r="J58" i="12" s="1"/>
  <c r="J63" i="12" s="1"/>
  <c r="I21" i="12"/>
  <c r="I58" i="12" s="1"/>
  <c r="I63" i="12" s="1"/>
  <c r="H21" i="12"/>
  <c r="H58" i="12" s="1"/>
  <c r="H63" i="12" s="1"/>
  <c r="G21" i="12"/>
  <c r="G58" i="12" s="1"/>
  <c r="G63" i="12" s="1"/>
  <c r="F21" i="12"/>
  <c r="F58" i="12" s="1"/>
  <c r="F63" i="12" s="1"/>
  <c r="E21" i="12"/>
  <c r="E58" i="12" s="1"/>
  <c r="E63" i="12" s="1"/>
  <c r="D21" i="12"/>
  <c r="D58" i="12" s="1"/>
  <c r="D63" i="12" s="1"/>
  <c r="AA17" i="12"/>
  <c r="AA54" i="12" s="1"/>
  <c r="AA70" i="12" s="1"/>
  <c r="Z17" i="12"/>
  <c r="Z54" i="12" s="1"/>
  <c r="Y17" i="12"/>
  <c r="Y54" i="12" s="1"/>
  <c r="Y70" i="12" s="1"/>
  <c r="X17" i="12"/>
  <c r="X54" i="12" s="1"/>
  <c r="W17" i="12"/>
  <c r="W54" i="12" s="1"/>
  <c r="W70" i="12" s="1"/>
  <c r="V17" i="12"/>
  <c r="V54" i="12" s="1"/>
  <c r="U17" i="12"/>
  <c r="U54" i="12" s="1"/>
  <c r="U70" i="12" s="1"/>
  <c r="T17" i="12"/>
  <c r="T54" i="12" s="1"/>
  <c r="S17" i="12"/>
  <c r="S54" i="12" s="1"/>
  <c r="S70" i="12" s="1"/>
  <c r="R17" i="12"/>
  <c r="R54" i="12" s="1"/>
  <c r="Q17" i="12"/>
  <c r="Q54" i="12" s="1"/>
  <c r="Q70" i="12" s="1"/>
  <c r="P17" i="12"/>
  <c r="P54" i="12" s="1"/>
  <c r="O17" i="12"/>
  <c r="O54" i="12" s="1"/>
  <c r="O70" i="12" s="1"/>
  <c r="N17" i="12"/>
  <c r="N54" i="12" s="1"/>
  <c r="M17" i="12"/>
  <c r="M54" i="12" s="1"/>
  <c r="M70" i="12" s="1"/>
  <c r="L17" i="12"/>
  <c r="L54" i="12" s="1"/>
  <c r="K17" i="12"/>
  <c r="K54" i="12" s="1"/>
  <c r="K70" i="12" s="1"/>
  <c r="J17" i="12"/>
  <c r="J54" i="12" s="1"/>
  <c r="I17" i="12"/>
  <c r="I54" i="12" s="1"/>
  <c r="I70" i="12" s="1"/>
  <c r="H17" i="12"/>
  <c r="H54" i="12" s="1"/>
  <c r="G17" i="12"/>
  <c r="G54" i="12" s="1"/>
  <c r="G70" i="12" s="1"/>
  <c r="F17" i="12"/>
  <c r="F54" i="12" s="1"/>
  <c r="E17" i="12"/>
  <c r="E54" i="12" s="1"/>
  <c r="E70" i="12" s="1"/>
  <c r="D17" i="12"/>
  <c r="D54" i="12" s="1"/>
  <c r="D70" i="12" s="1"/>
  <c r="AA16" i="12"/>
  <c r="AA53" i="12" s="1"/>
  <c r="AA69" i="12" s="1"/>
  <c r="Z16" i="12"/>
  <c r="Z53" i="12" s="1"/>
  <c r="Y16" i="12"/>
  <c r="Y53" i="12" s="1"/>
  <c r="Y69" i="12" s="1"/>
  <c r="X16" i="12"/>
  <c r="X53" i="12" s="1"/>
  <c r="W16" i="12"/>
  <c r="W53" i="12" s="1"/>
  <c r="W69" i="12" s="1"/>
  <c r="V16" i="12"/>
  <c r="V53" i="12" s="1"/>
  <c r="U16" i="12"/>
  <c r="U53" i="12" s="1"/>
  <c r="U69" i="12" s="1"/>
  <c r="T16" i="12"/>
  <c r="T53" i="12" s="1"/>
  <c r="S16" i="12"/>
  <c r="S53" i="12" s="1"/>
  <c r="S69" i="12" s="1"/>
  <c r="R16" i="12"/>
  <c r="R53" i="12" s="1"/>
  <c r="Q16" i="12"/>
  <c r="Q53" i="12" s="1"/>
  <c r="Q69" i="12" s="1"/>
  <c r="P16" i="12"/>
  <c r="P53" i="12" s="1"/>
  <c r="O16" i="12"/>
  <c r="O53" i="12" s="1"/>
  <c r="O69" i="12" s="1"/>
  <c r="N16" i="12"/>
  <c r="N53" i="12" s="1"/>
  <c r="M16" i="12"/>
  <c r="M53" i="12" s="1"/>
  <c r="M69" i="12" s="1"/>
  <c r="L16" i="12"/>
  <c r="L53" i="12" s="1"/>
  <c r="K16" i="12"/>
  <c r="K53" i="12" s="1"/>
  <c r="K69" i="12" s="1"/>
  <c r="J16" i="12"/>
  <c r="J53" i="12" s="1"/>
  <c r="I16" i="12"/>
  <c r="I53" i="12" s="1"/>
  <c r="I69" i="12" s="1"/>
  <c r="H16" i="12"/>
  <c r="H53" i="12" s="1"/>
  <c r="G16" i="12"/>
  <c r="G53" i="12" s="1"/>
  <c r="G69" i="12" s="1"/>
  <c r="F16" i="12"/>
  <c r="F53" i="12" s="1"/>
  <c r="E16" i="12"/>
  <c r="E53" i="12" s="1"/>
  <c r="E69" i="12" s="1"/>
  <c r="D16" i="12"/>
  <c r="D53" i="12" s="1"/>
  <c r="D69" i="12" s="1"/>
  <c r="AA15" i="12"/>
  <c r="AA52" i="12" s="1"/>
  <c r="AA68" i="12" s="1"/>
  <c r="Z15" i="12"/>
  <c r="Z52" i="12" s="1"/>
  <c r="Y15" i="12"/>
  <c r="Y52" i="12" s="1"/>
  <c r="Y68" i="12" s="1"/>
  <c r="X15" i="12"/>
  <c r="X52" i="12" s="1"/>
  <c r="W15" i="12"/>
  <c r="W52" i="12" s="1"/>
  <c r="W68" i="12" s="1"/>
  <c r="V15" i="12"/>
  <c r="V52" i="12" s="1"/>
  <c r="U15" i="12"/>
  <c r="U52" i="12" s="1"/>
  <c r="U68" i="12" s="1"/>
  <c r="T15" i="12"/>
  <c r="T52" i="12" s="1"/>
  <c r="S15" i="12"/>
  <c r="S52" i="12" s="1"/>
  <c r="S68" i="12" s="1"/>
  <c r="R15" i="12"/>
  <c r="R52" i="12" s="1"/>
  <c r="Q15" i="12"/>
  <c r="Q52" i="12" s="1"/>
  <c r="Q68" i="12" s="1"/>
  <c r="P15" i="12"/>
  <c r="P52" i="12" s="1"/>
  <c r="O15" i="12"/>
  <c r="O52" i="12" s="1"/>
  <c r="O68" i="12" s="1"/>
  <c r="N15" i="12"/>
  <c r="N52" i="12" s="1"/>
  <c r="M15" i="12"/>
  <c r="M52" i="12" s="1"/>
  <c r="M68" i="12" s="1"/>
  <c r="L15" i="12"/>
  <c r="L52" i="12" s="1"/>
  <c r="K15" i="12"/>
  <c r="K52" i="12" s="1"/>
  <c r="K68" i="12" s="1"/>
  <c r="J15" i="12"/>
  <c r="J52" i="12" s="1"/>
  <c r="I15" i="12"/>
  <c r="I52" i="12" s="1"/>
  <c r="I68" i="12" s="1"/>
  <c r="H15" i="12"/>
  <c r="H52" i="12" s="1"/>
  <c r="G15" i="12"/>
  <c r="G52" i="12" s="1"/>
  <c r="G68" i="12" s="1"/>
  <c r="F15" i="12"/>
  <c r="F52" i="12" s="1"/>
  <c r="E15" i="12"/>
  <c r="E52" i="12" s="1"/>
  <c r="E68" i="12" s="1"/>
  <c r="D15" i="12"/>
  <c r="D52" i="12" s="1"/>
  <c r="D68" i="12" s="1"/>
  <c r="AA14" i="12"/>
  <c r="AA51" i="12" s="1"/>
  <c r="AA67" i="12" s="1"/>
  <c r="Z14" i="12"/>
  <c r="Z51" i="12" s="1"/>
  <c r="Y14" i="12"/>
  <c r="Y51" i="12" s="1"/>
  <c r="Y67" i="12" s="1"/>
  <c r="X14" i="12"/>
  <c r="X51" i="12" s="1"/>
  <c r="W14" i="12"/>
  <c r="W51" i="12" s="1"/>
  <c r="W67" i="12" s="1"/>
  <c r="V14" i="12"/>
  <c r="V51" i="12" s="1"/>
  <c r="U14" i="12"/>
  <c r="U51" i="12" s="1"/>
  <c r="U67" i="12" s="1"/>
  <c r="T14" i="12"/>
  <c r="T51" i="12" s="1"/>
  <c r="S14" i="12"/>
  <c r="S51" i="12" s="1"/>
  <c r="S67" i="12" s="1"/>
  <c r="R14" i="12"/>
  <c r="R51" i="12" s="1"/>
  <c r="Q14" i="12"/>
  <c r="Q51" i="12" s="1"/>
  <c r="Q67" i="12" s="1"/>
  <c r="P14" i="12"/>
  <c r="P51" i="12" s="1"/>
  <c r="P67" i="12" s="1"/>
  <c r="O14" i="12"/>
  <c r="O51" i="12" s="1"/>
  <c r="O67" i="12" s="1"/>
  <c r="N14" i="12"/>
  <c r="N51" i="12" s="1"/>
  <c r="M14" i="12"/>
  <c r="M51" i="12" s="1"/>
  <c r="M67" i="12" s="1"/>
  <c r="L14" i="12"/>
  <c r="L51" i="12" s="1"/>
  <c r="L67" i="12" s="1"/>
  <c r="K14" i="12"/>
  <c r="K51" i="12" s="1"/>
  <c r="K67" i="12" s="1"/>
  <c r="J14" i="12"/>
  <c r="J51" i="12" s="1"/>
  <c r="I14" i="12"/>
  <c r="I51" i="12" s="1"/>
  <c r="I67" i="12" s="1"/>
  <c r="H14" i="12"/>
  <c r="H51" i="12" s="1"/>
  <c r="H67" i="12" s="1"/>
  <c r="G14" i="12"/>
  <c r="G51" i="12" s="1"/>
  <c r="G67" i="12" s="1"/>
  <c r="F14" i="12"/>
  <c r="F51" i="12" s="1"/>
  <c r="E14" i="12"/>
  <c r="E51" i="12" s="1"/>
  <c r="E67" i="12" s="1"/>
  <c r="D14" i="12"/>
  <c r="D51" i="12" s="1"/>
  <c r="D67" i="12" s="1"/>
  <c r="AA13" i="12"/>
  <c r="AA50" i="12" s="1"/>
  <c r="Z13" i="12"/>
  <c r="Z50" i="12" s="1"/>
  <c r="Y13" i="12"/>
  <c r="Y18" i="12" s="1"/>
  <c r="X13" i="12"/>
  <c r="X50" i="12" s="1"/>
  <c r="W13" i="12"/>
  <c r="W50" i="12" s="1"/>
  <c r="V13" i="12"/>
  <c r="V50" i="12" s="1"/>
  <c r="U13" i="12"/>
  <c r="U18" i="12" s="1"/>
  <c r="T13" i="12"/>
  <c r="T50" i="12" s="1"/>
  <c r="S13" i="12"/>
  <c r="S50" i="12" s="1"/>
  <c r="R13" i="12"/>
  <c r="R50" i="12" s="1"/>
  <c r="Q13" i="12"/>
  <c r="Q18" i="12" s="1"/>
  <c r="P13" i="12"/>
  <c r="P50" i="12" s="1"/>
  <c r="O13" i="12"/>
  <c r="O50" i="12" s="1"/>
  <c r="N13" i="12"/>
  <c r="N50" i="12" s="1"/>
  <c r="M13" i="12"/>
  <c r="M18" i="12" s="1"/>
  <c r="L13" i="12"/>
  <c r="L50" i="12" s="1"/>
  <c r="K13" i="12"/>
  <c r="K50" i="12" s="1"/>
  <c r="J13" i="12"/>
  <c r="J50" i="12" s="1"/>
  <c r="I13" i="12"/>
  <c r="I18" i="12" s="1"/>
  <c r="H13" i="12"/>
  <c r="H50" i="12" s="1"/>
  <c r="G13" i="12"/>
  <c r="G50" i="12" s="1"/>
  <c r="F13" i="12"/>
  <c r="F50" i="12" s="1"/>
  <c r="E13" i="12"/>
  <c r="E18" i="12" s="1"/>
  <c r="D13" i="12"/>
  <c r="D50" i="12" s="1"/>
  <c r="AA11" i="12"/>
  <c r="Z11" i="12"/>
  <c r="Y11" i="12"/>
  <c r="X11" i="12"/>
  <c r="W11" i="12"/>
  <c r="V11" i="12"/>
  <c r="U11" i="12"/>
  <c r="T11" i="12"/>
  <c r="S11" i="12"/>
  <c r="R11" i="12"/>
  <c r="Q11" i="12"/>
  <c r="P11" i="12"/>
  <c r="O11" i="12"/>
  <c r="N11" i="12"/>
  <c r="M11" i="12"/>
  <c r="L11" i="12"/>
  <c r="K11" i="12"/>
  <c r="J11" i="12"/>
  <c r="I11" i="12"/>
  <c r="H11" i="12"/>
  <c r="G11" i="12"/>
  <c r="F11" i="12"/>
  <c r="E11" i="12"/>
  <c r="D11" i="12"/>
  <c r="P67" i="7"/>
  <c r="O67" i="7"/>
  <c r="N67" i="7"/>
  <c r="M67" i="7"/>
  <c r="L67" i="7"/>
  <c r="K67" i="7"/>
  <c r="J67" i="7"/>
  <c r="I67" i="7"/>
  <c r="H67" i="7"/>
  <c r="G67" i="7"/>
  <c r="F67" i="7"/>
  <c r="E67" i="7"/>
  <c r="D67" i="7"/>
  <c r="C67" i="7"/>
  <c r="B67" i="7"/>
  <c r="P45" i="7"/>
  <c r="O45" i="7"/>
  <c r="N45" i="7"/>
  <c r="M45" i="7"/>
  <c r="L45" i="7"/>
  <c r="K45" i="7"/>
  <c r="J45" i="7"/>
  <c r="I45" i="7"/>
  <c r="H45" i="7"/>
  <c r="G45" i="7"/>
  <c r="F45" i="7"/>
  <c r="E45" i="7"/>
  <c r="D45" i="7"/>
  <c r="C45" i="7"/>
  <c r="B45" i="7"/>
  <c r="AA65" i="18"/>
  <c r="Z65" i="18"/>
  <c r="Y65" i="18"/>
  <c r="X65" i="18"/>
  <c r="W65" i="18"/>
  <c r="V65" i="18"/>
  <c r="U65" i="18"/>
  <c r="T65" i="18"/>
  <c r="S65" i="18"/>
  <c r="R65" i="18"/>
  <c r="Q65" i="18"/>
  <c r="P65" i="18"/>
  <c r="O65" i="18"/>
  <c r="N65" i="18"/>
  <c r="M65" i="18"/>
  <c r="L65" i="18"/>
  <c r="K65" i="18"/>
  <c r="J65" i="18"/>
  <c r="I65" i="18"/>
  <c r="H65" i="18"/>
  <c r="G65" i="18"/>
  <c r="F65" i="18"/>
  <c r="E65" i="18"/>
  <c r="D65" i="18"/>
  <c r="AA43" i="18"/>
  <c r="Z43" i="18"/>
  <c r="Y43" i="18"/>
  <c r="X43" i="18"/>
  <c r="W43" i="18"/>
  <c r="V43" i="18"/>
  <c r="U43" i="18"/>
  <c r="T43" i="18"/>
  <c r="S43" i="18"/>
  <c r="R43" i="18"/>
  <c r="Q43" i="18"/>
  <c r="P43" i="18"/>
  <c r="O43" i="18"/>
  <c r="N43" i="18"/>
  <c r="M43" i="18"/>
  <c r="L43" i="18"/>
  <c r="K43" i="18"/>
  <c r="J43" i="18"/>
  <c r="I43" i="18"/>
  <c r="H43" i="18"/>
  <c r="G43" i="18"/>
  <c r="F43" i="18"/>
  <c r="E43" i="18"/>
  <c r="D43" i="18"/>
  <c r="AA312" i="6"/>
  <c r="Z312" i="6"/>
  <c r="Y312" i="6"/>
  <c r="X312" i="6"/>
  <c r="W312" i="6"/>
  <c r="V312" i="6"/>
  <c r="U312" i="6"/>
  <c r="T312" i="6"/>
  <c r="S312" i="6"/>
  <c r="R312" i="6"/>
  <c r="Q312" i="6"/>
  <c r="P312" i="6"/>
  <c r="O312" i="6"/>
  <c r="N312" i="6"/>
  <c r="M312" i="6"/>
  <c r="L312" i="6"/>
  <c r="K312" i="6"/>
  <c r="J312" i="6"/>
  <c r="I312" i="6"/>
  <c r="H312" i="6"/>
  <c r="G312" i="6"/>
  <c r="F312" i="6"/>
  <c r="E312" i="6"/>
  <c r="D312" i="6"/>
  <c r="AA305" i="6"/>
  <c r="Z305" i="6"/>
  <c r="Y305" i="6"/>
  <c r="X305" i="6"/>
  <c r="W305" i="6"/>
  <c r="V305" i="6"/>
  <c r="U305" i="6"/>
  <c r="T305" i="6"/>
  <c r="S305" i="6"/>
  <c r="R305" i="6"/>
  <c r="Q305" i="6"/>
  <c r="P305" i="6"/>
  <c r="O305" i="6"/>
  <c r="N305" i="6"/>
  <c r="M305" i="6"/>
  <c r="L305" i="6"/>
  <c r="K305" i="6"/>
  <c r="J305" i="6"/>
  <c r="I305" i="6"/>
  <c r="H305" i="6"/>
  <c r="G305" i="6"/>
  <c r="F305" i="6"/>
  <c r="E305" i="6"/>
  <c r="D305" i="6"/>
  <c r="AA298" i="6"/>
  <c r="Z298" i="6"/>
  <c r="Y298" i="6"/>
  <c r="X298" i="6"/>
  <c r="W298" i="6"/>
  <c r="V298" i="6"/>
  <c r="U298" i="6"/>
  <c r="T298" i="6"/>
  <c r="S298" i="6"/>
  <c r="R298" i="6"/>
  <c r="Q298" i="6"/>
  <c r="P298" i="6"/>
  <c r="O298" i="6"/>
  <c r="N298" i="6"/>
  <c r="M298" i="6"/>
  <c r="L298" i="6"/>
  <c r="K298" i="6"/>
  <c r="J298" i="6"/>
  <c r="I298" i="6"/>
  <c r="H298" i="6"/>
  <c r="G298" i="6"/>
  <c r="F298" i="6"/>
  <c r="E298" i="6"/>
  <c r="D298" i="6"/>
  <c r="AA297" i="6"/>
  <c r="Z297" i="6"/>
  <c r="Y297" i="6"/>
  <c r="X297" i="6"/>
  <c r="W297" i="6"/>
  <c r="V297" i="6"/>
  <c r="U297" i="6"/>
  <c r="T297" i="6"/>
  <c r="S297" i="6"/>
  <c r="R297" i="6"/>
  <c r="Q297" i="6"/>
  <c r="P297" i="6"/>
  <c r="O297" i="6"/>
  <c r="N297" i="6"/>
  <c r="M297" i="6"/>
  <c r="L297" i="6"/>
  <c r="K297" i="6"/>
  <c r="J297" i="6"/>
  <c r="I297" i="6"/>
  <c r="H297" i="6"/>
  <c r="G297" i="6"/>
  <c r="F297" i="6"/>
  <c r="E297" i="6"/>
  <c r="D297" i="6"/>
  <c r="AA296" i="6"/>
  <c r="Z296" i="6"/>
  <c r="Y296" i="6"/>
  <c r="X296" i="6"/>
  <c r="W296" i="6"/>
  <c r="V296" i="6"/>
  <c r="U296" i="6"/>
  <c r="T296" i="6"/>
  <c r="S296" i="6"/>
  <c r="R296" i="6"/>
  <c r="Q296" i="6"/>
  <c r="P296" i="6"/>
  <c r="O296" i="6"/>
  <c r="N296" i="6"/>
  <c r="M296" i="6"/>
  <c r="L296" i="6"/>
  <c r="K296" i="6"/>
  <c r="J296" i="6"/>
  <c r="I296" i="6"/>
  <c r="H296" i="6"/>
  <c r="G296" i="6"/>
  <c r="F296" i="6"/>
  <c r="E296" i="6"/>
  <c r="D296" i="6"/>
  <c r="AA295" i="6"/>
  <c r="Z295" i="6"/>
  <c r="Y295" i="6"/>
  <c r="X295" i="6"/>
  <c r="W295" i="6"/>
  <c r="V295" i="6"/>
  <c r="U295" i="6"/>
  <c r="T295" i="6"/>
  <c r="S295" i="6"/>
  <c r="R295" i="6"/>
  <c r="Q295" i="6"/>
  <c r="P295" i="6"/>
  <c r="O295" i="6"/>
  <c r="N295" i="6"/>
  <c r="M295" i="6"/>
  <c r="L295" i="6"/>
  <c r="K295" i="6"/>
  <c r="J295" i="6"/>
  <c r="H295" i="6"/>
  <c r="F295" i="6"/>
  <c r="AA294" i="6"/>
  <c r="Z294" i="6"/>
  <c r="Y294" i="6"/>
  <c r="X294" i="6"/>
  <c r="W294" i="6"/>
  <c r="V294" i="6"/>
  <c r="U294" i="6"/>
  <c r="T294" i="6"/>
  <c r="S294" i="6"/>
  <c r="R294" i="6"/>
  <c r="Q294" i="6"/>
  <c r="P294" i="6"/>
  <c r="O294" i="6"/>
  <c r="N294" i="6"/>
  <c r="M294" i="6"/>
  <c r="L294" i="6"/>
  <c r="K294" i="6"/>
  <c r="J294" i="6"/>
  <c r="I294" i="6"/>
  <c r="H294" i="6"/>
  <c r="G294" i="6"/>
  <c r="F294" i="6"/>
  <c r="E294" i="6"/>
  <c r="AA293" i="6"/>
  <c r="Z293" i="6"/>
  <c r="Y293" i="6"/>
  <c r="X293" i="6"/>
  <c r="W293" i="6"/>
  <c r="V293" i="6"/>
  <c r="U293" i="6"/>
  <c r="T293" i="6"/>
  <c r="S293" i="6"/>
  <c r="R293" i="6"/>
  <c r="Q293" i="6"/>
  <c r="P293" i="6"/>
  <c r="O293" i="6"/>
  <c r="N293" i="6"/>
  <c r="M293" i="6"/>
  <c r="L293" i="6"/>
  <c r="K293" i="6"/>
  <c r="J293" i="6"/>
  <c r="I293" i="6"/>
  <c r="H293" i="6"/>
  <c r="G293" i="6"/>
  <c r="F293" i="6"/>
  <c r="E293" i="6"/>
  <c r="D293" i="6"/>
  <c r="AA292" i="6"/>
  <c r="AA299" i="6" s="1"/>
  <c r="Z292" i="6"/>
  <c r="Z299" i="6" s="1"/>
  <c r="Y292" i="6"/>
  <c r="X292" i="6"/>
  <c r="X299" i="6" s="1"/>
  <c r="W292" i="6"/>
  <c r="W299" i="6" s="1"/>
  <c r="V292" i="6"/>
  <c r="V299" i="6" s="1"/>
  <c r="U292" i="6"/>
  <c r="T292" i="6"/>
  <c r="T299" i="6" s="1"/>
  <c r="S292" i="6"/>
  <c r="S299" i="6" s="1"/>
  <c r="R292" i="6"/>
  <c r="R299" i="6" s="1"/>
  <c r="Q292" i="6"/>
  <c r="P292" i="6"/>
  <c r="P299" i="6" s="1"/>
  <c r="O292" i="6"/>
  <c r="O299" i="6" s="1"/>
  <c r="N292" i="6"/>
  <c r="N299" i="6" s="1"/>
  <c r="M292" i="6"/>
  <c r="L292" i="6"/>
  <c r="K292" i="6"/>
  <c r="K299" i="6" s="1"/>
  <c r="J292" i="6"/>
  <c r="J299" i="6" s="1"/>
  <c r="I292" i="6"/>
  <c r="H292" i="6"/>
  <c r="G292" i="6"/>
  <c r="G299" i="6" s="1"/>
  <c r="F292" i="6"/>
  <c r="E292" i="6"/>
  <c r="D292" i="6"/>
  <c r="D299" i="6" s="1"/>
  <c r="AA289" i="6"/>
  <c r="Z289" i="6"/>
  <c r="Y289" i="6"/>
  <c r="X289" i="6"/>
  <c r="W289" i="6"/>
  <c r="V289" i="6"/>
  <c r="U289" i="6"/>
  <c r="T289" i="6"/>
  <c r="S289" i="6"/>
  <c r="R289" i="6"/>
  <c r="Q289" i="6"/>
  <c r="P289" i="6"/>
  <c r="O289" i="6"/>
  <c r="N289" i="6"/>
  <c r="M289" i="6"/>
  <c r="L289" i="6"/>
  <c r="K289" i="6"/>
  <c r="J289" i="6"/>
  <c r="I289" i="6"/>
  <c r="H289" i="6"/>
  <c r="G289" i="6"/>
  <c r="F289" i="6"/>
  <c r="E289" i="6"/>
  <c r="D289" i="6"/>
  <c r="AA279" i="6"/>
  <c r="Z279" i="6"/>
  <c r="Y279" i="6"/>
  <c r="X279" i="6"/>
  <c r="W279" i="6"/>
  <c r="V279" i="6"/>
  <c r="U279" i="6"/>
  <c r="T279" i="6"/>
  <c r="S279" i="6"/>
  <c r="R279" i="6"/>
  <c r="Q279" i="6"/>
  <c r="P279" i="6"/>
  <c r="O279" i="6"/>
  <c r="N279" i="6"/>
  <c r="M279" i="6"/>
  <c r="L279" i="6"/>
  <c r="K279" i="6"/>
  <c r="J279" i="6"/>
  <c r="I279" i="6"/>
  <c r="H279" i="6"/>
  <c r="G279" i="6"/>
  <c r="F279" i="6"/>
  <c r="E279" i="6"/>
  <c r="D279" i="6"/>
  <c r="AA234" i="6"/>
  <c r="Z234" i="6"/>
  <c r="Y234" i="6"/>
  <c r="X234" i="6"/>
  <c r="W234" i="6"/>
  <c r="V234" i="6"/>
  <c r="U234" i="6"/>
  <c r="T234" i="6"/>
  <c r="S234" i="6"/>
  <c r="R234" i="6"/>
  <c r="Q234" i="6"/>
  <c r="P234" i="6"/>
  <c r="O234" i="6"/>
  <c r="N234" i="6"/>
  <c r="M234" i="6"/>
  <c r="L234" i="6"/>
  <c r="K234" i="6"/>
  <c r="J234" i="6"/>
  <c r="I234" i="6"/>
  <c r="H234" i="6"/>
  <c r="G234" i="6"/>
  <c r="F234" i="6"/>
  <c r="E234" i="6"/>
  <c r="D234" i="6"/>
  <c r="AA217" i="6"/>
  <c r="Z217" i="6"/>
  <c r="Y217" i="6"/>
  <c r="X217" i="6"/>
  <c r="W217" i="6"/>
  <c r="V217" i="6"/>
  <c r="U217" i="6"/>
  <c r="T217" i="6"/>
  <c r="S217" i="6"/>
  <c r="R217" i="6"/>
  <c r="Q217" i="6"/>
  <c r="P217" i="6"/>
  <c r="O217" i="6"/>
  <c r="N217" i="6"/>
  <c r="M217" i="6"/>
  <c r="L217" i="6"/>
  <c r="K217" i="6"/>
  <c r="J217" i="6"/>
  <c r="I217" i="6"/>
  <c r="H217" i="6"/>
  <c r="G217" i="6"/>
  <c r="F217" i="6"/>
  <c r="E217" i="6"/>
  <c r="AA207" i="6"/>
  <c r="Z207" i="6"/>
  <c r="Y207" i="6"/>
  <c r="X207" i="6"/>
  <c r="W207" i="6"/>
  <c r="V207" i="6"/>
  <c r="U207" i="6"/>
  <c r="T207" i="6"/>
  <c r="S207" i="6"/>
  <c r="R207" i="6"/>
  <c r="Q207" i="6"/>
  <c r="P207" i="6"/>
  <c r="O207" i="6"/>
  <c r="N207" i="6"/>
  <c r="M207" i="6"/>
  <c r="L207" i="6"/>
  <c r="K207" i="6"/>
  <c r="J207" i="6"/>
  <c r="I207" i="6"/>
  <c r="H207" i="6"/>
  <c r="G207" i="6"/>
  <c r="F207" i="6"/>
  <c r="E207" i="6"/>
  <c r="AA202" i="6"/>
  <c r="Z202" i="6"/>
  <c r="Y202" i="6"/>
  <c r="X202" i="6"/>
  <c r="W202" i="6"/>
  <c r="V202" i="6"/>
  <c r="U202" i="6"/>
  <c r="T202" i="6"/>
  <c r="S202" i="6"/>
  <c r="R202" i="6"/>
  <c r="Q202" i="6"/>
  <c r="P202" i="6"/>
  <c r="O202" i="6"/>
  <c r="N202" i="6"/>
  <c r="M202" i="6"/>
  <c r="L202" i="6"/>
  <c r="K202" i="6"/>
  <c r="J202" i="6"/>
  <c r="I202" i="6"/>
  <c r="H202" i="6"/>
  <c r="G202" i="6"/>
  <c r="F202" i="6"/>
  <c r="E202" i="6"/>
  <c r="D202" i="6"/>
  <c r="AA194" i="6"/>
  <c r="Z194" i="6"/>
  <c r="Y194" i="6"/>
  <c r="X194" i="6"/>
  <c r="W194" i="6"/>
  <c r="V194" i="6"/>
  <c r="U194" i="6"/>
  <c r="T194" i="6"/>
  <c r="S194" i="6"/>
  <c r="R194" i="6"/>
  <c r="Q194" i="6"/>
  <c r="P194" i="6"/>
  <c r="O194" i="6"/>
  <c r="N194" i="6"/>
  <c r="M194" i="6"/>
  <c r="L194" i="6"/>
  <c r="K194" i="6"/>
  <c r="J194" i="6"/>
  <c r="I194" i="6"/>
  <c r="H194" i="6"/>
  <c r="G194" i="6"/>
  <c r="F194" i="6"/>
  <c r="E194" i="6"/>
  <c r="D194" i="6"/>
  <c r="AA220" i="6"/>
  <c r="Z220" i="6"/>
  <c r="X220" i="6"/>
  <c r="W220" i="6"/>
  <c r="V220" i="6"/>
  <c r="S220" i="6"/>
  <c r="R220" i="6"/>
  <c r="O220" i="6"/>
  <c r="N220" i="6"/>
  <c r="K220" i="6"/>
  <c r="J220" i="6"/>
  <c r="G220" i="6"/>
  <c r="F220" i="6"/>
  <c r="D220" i="6"/>
  <c r="X210" i="6"/>
  <c r="T210" i="6"/>
  <c r="L210" i="6"/>
  <c r="AA187" i="6"/>
  <c r="Z187" i="6"/>
  <c r="Y187" i="6"/>
  <c r="X187" i="6"/>
  <c r="W187" i="6"/>
  <c r="V187" i="6"/>
  <c r="U187" i="6"/>
  <c r="T187" i="6"/>
  <c r="S187" i="6"/>
  <c r="R187" i="6"/>
  <c r="Q187" i="6"/>
  <c r="P187" i="6"/>
  <c r="O187" i="6"/>
  <c r="N187" i="6"/>
  <c r="M187" i="6"/>
  <c r="L187" i="6"/>
  <c r="K187" i="6"/>
  <c r="J187" i="6"/>
  <c r="I187" i="6"/>
  <c r="H187" i="6"/>
  <c r="G187" i="6"/>
  <c r="F187" i="6"/>
  <c r="E187" i="6"/>
  <c r="D187" i="6"/>
  <c r="AA171" i="6"/>
  <c r="Z171" i="6"/>
  <c r="Y171" i="6"/>
  <c r="X171" i="6"/>
  <c r="W171" i="6"/>
  <c r="V171" i="6"/>
  <c r="U171" i="6"/>
  <c r="T171" i="6"/>
  <c r="S171" i="6"/>
  <c r="R171" i="6"/>
  <c r="Q171" i="6"/>
  <c r="P171" i="6"/>
  <c r="O171" i="6"/>
  <c r="N171" i="6"/>
  <c r="M171" i="6"/>
  <c r="L171" i="6"/>
  <c r="K171" i="6"/>
  <c r="J171" i="6"/>
  <c r="I171" i="6"/>
  <c r="H171" i="6"/>
  <c r="G171" i="6"/>
  <c r="F171" i="6"/>
  <c r="E171" i="6"/>
  <c r="D171" i="6"/>
  <c r="Z165" i="6"/>
  <c r="Z219" i="6" s="1"/>
  <c r="Y165" i="6"/>
  <c r="Y219" i="6" s="1"/>
  <c r="W165" i="6"/>
  <c r="W219" i="6" s="1"/>
  <c r="V165" i="6"/>
  <c r="V219" i="6" s="1"/>
  <c r="U165" i="6"/>
  <c r="U219" i="6" s="1"/>
  <c r="S165" i="6"/>
  <c r="R165" i="6"/>
  <c r="R219" i="6" s="1"/>
  <c r="Q165" i="6"/>
  <c r="Q219" i="6" s="1"/>
  <c r="O165" i="6"/>
  <c r="O219" i="6" s="1"/>
  <c r="N165" i="6"/>
  <c r="N219" i="6" s="1"/>
  <c r="M165" i="6"/>
  <c r="M219" i="6" s="1"/>
  <c r="I165" i="6"/>
  <c r="I219" i="6" s="1"/>
  <c r="G165" i="6"/>
  <c r="G219" i="6" s="1"/>
  <c r="F165" i="6"/>
  <c r="F219" i="6" s="1"/>
  <c r="E165" i="6"/>
  <c r="E219" i="6" s="1"/>
  <c r="AA160" i="6"/>
  <c r="AA209" i="6" s="1"/>
  <c r="W160" i="6"/>
  <c r="U160" i="6"/>
  <c r="T160" i="6"/>
  <c r="T209" i="6" s="1"/>
  <c r="S160" i="6"/>
  <c r="S209" i="6" s="1"/>
  <c r="Q160" i="6"/>
  <c r="P160" i="6"/>
  <c r="P209" i="6" s="1"/>
  <c r="O160" i="6"/>
  <c r="O209" i="6" s="1"/>
  <c r="N160" i="6"/>
  <c r="M160" i="6"/>
  <c r="L160" i="6"/>
  <c r="L209" i="6" s="1"/>
  <c r="K160" i="6"/>
  <c r="K209" i="6" s="1"/>
  <c r="H160" i="6"/>
  <c r="G160" i="6"/>
  <c r="E160" i="6"/>
  <c r="D160" i="6"/>
  <c r="D209" i="6" s="1"/>
  <c r="AA156" i="6"/>
  <c r="Z156" i="6"/>
  <c r="Y156" i="6"/>
  <c r="X156" i="6"/>
  <c r="W156" i="6"/>
  <c r="V156" i="6"/>
  <c r="U156" i="6"/>
  <c r="T156" i="6"/>
  <c r="S156" i="6"/>
  <c r="R156" i="6"/>
  <c r="Q156" i="6"/>
  <c r="P156" i="6"/>
  <c r="O156" i="6"/>
  <c r="N156" i="6"/>
  <c r="M156" i="6"/>
  <c r="L156" i="6"/>
  <c r="K156" i="6"/>
  <c r="J156" i="6"/>
  <c r="I156" i="6"/>
  <c r="H156" i="6"/>
  <c r="G156" i="6"/>
  <c r="F156" i="6"/>
  <c r="E156" i="6"/>
  <c r="D156" i="6"/>
  <c r="AA138" i="6"/>
  <c r="Z138" i="6"/>
  <c r="Y138" i="6"/>
  <c r="X138" i="6"/>
  <c r="W138" i="6"/>
  <c r="V138" i="6"/>
  <c r="U138" i="6"/>
  <c r="T138" i="6"/>
  <c r="S138" i="6"/>
  <c r="R138" i="6"/>
  <c r="Q138" i="6"/>
  <c r="P138" i="6"/>
  <c r="O138" i="6"/>
  <c r="N138" i="6"/>
  <c r="M138" i="6"/>
  <c r="L138" i="6"/>
  <c r="K138" i="6"/>
  <c r="J138" i="6"/>
  <c r="I138" i="6"/>
  <c r="H138" i="6"/>
  <c r="G138" i="6"/>
  <c r="F138" i="6"/>
  <c r="E138" i="6"/>
  <c r="D138" i="6"/>
  <c r="AA133" i="6"/>
  <c r="Z133" i="6"/>
  <c r="Y133" i="6"/>
  <c r="X133" i="6"/>
  <c r="W133" i="6"/>
  <c r="V133" i="6"/>
  <c r="U133" i="6"/>
  <c r="T133" i="6"/>
  <c r="S133" i="6"/>
  <c r="R133" i="6"/>
  <c r="Q133" i="6"/>
  <c r="P133" i="6"/>
  <c r="O133" i="6"/>
  <c r="N133" i="6"/>
  <c r="M133" i="6"/>
  <c r="L133" i="6"/>
  <c r="K133" i="6"/>
  <c r="J133" i="6"/>
  <c r="I133" i="6"/>
  <c r="H133" i="6"/>
  <c r="G133" i="6"/>
  <c r="F133" i="6"/>
  <c r="E133" i="6"/>
  <c r="D133" i="6"/>
  <c r="AA132" i="6"/>
  <c r="Z132" i="6"/>
  <c r="Y132" i="6"/>
  <c r="X132" i="6"/>
  <c r="W132" i="6"/>
  <c r="V132" i="6"/>
  <c r="U132" i="6"/>
  <c r="T132" i="6"/>
  <c r="S132" i="6"/>
  <c r="R132" i="6"/>
  <c r="Q132" i="6"/>
  <c r="P132" i="6"/>
  <c r="O132" i="6"/>
  <c r="N132" i="6"/>
  <c r="M132" i="6"/>
  <c r="L132" i="6"/>
  <c r="K132" i="6"/>
  <c r="J132" i="6"/>
  <c r="I132" i="6"/>
  <c r="H132" i="6"/>
  <c r="G132" i="6"/>
  <c r="F132" i="6"/>
  <c r="E132" i="6"/>
  <c r="D132" i="6"/>
  <c r="AA131" i="6"/>
  <c r="AA134" i="6" s="1"/>
  <c r="Z131" i="6"/>
  <c r="Z134" i="6" s="1"/>
  <c r="Y131" i="6"/>
  <c r="Y134" i="6" s="1"/>
  <c r="X131" i="6"/>
  <c r="X134" i="6" s="1"/>
  <c r="W131" i="6"/>
  <c r="W134" i="6" s="1"/>
  <c r="V131" i="6"/>
  <c r="V134" i="6" s="1"/>
  <c r="U131" i="6"/>
  <c r="U134" i="6" s="1"/>
  <c r="T131" i="6"/>
  <c r="T134" i="6" s="1"/>
  <c r="S131" i="6"/>
  <c r="S134" i="6" s="1"/>
  <c r="R131" i="6"/>
  <c r="R134" i="6" s="1"/>
  <c r="Q131" i="6"/>
  <c r="Q134" i="6" s="1"/>
  <c r="P131" i="6"/>
  <c r="P134" i="6" s="1"/>
  <c r="O131" i="6"/>
  <c r="O134" i="6" s="1"/>
  <c r="N131" i="6"/>
  <c r="N134" i="6" s="1"/>
  <c r="M131" i="6"/>
  <c r="M134" i="6" s="1"/>
  <c r="L131" i="6"/>
  <c r="L134" i="6" s="1"/>
  <c r="K131" i="6"/>
  <c r="K134" i="6" s="1"/>
  <c r="J131" i="6"/>
  <c r="J134" i="6" s="1"/>
  <c r="I131" i="6"/>
  <c r="I134" i="6" s="1"/>
  <c r="H131" i="6"/>
  <c r="H134" i="6" s="1"/>
  <c r="G131" i="6"/>
  <c r="G134" i="6" s="1"/>
  <c r="F131" i="6"/>
  <c r="E131" i="6"/>
  <c r="E134" i="6" s="1"/>
  <c r="D131" i="6"/>
  <c r="D134" i="6" s="1"/>
  <c r="AA128" i="6"/>
  <c r="AA218" i="6" s="1"/>
  <c r="Z128" i="6"/>
  <c r="Z218" i="6" s="1"/>
  <c r="Y128" i="6"/>
  <c r="Y218" i="6" s="1"/>
  <c r="X128" i="6"/>
  <c r="X218" i="6" s="1"/>
  <c r="W128" i="6"/>
  <c r="W218" i="6" s="1"/>
  <c r="V128" i="6"/>
  <c r="V218" i="6" s="1"/>
  <c r="U128" i="6"/>
  <c r="U218" i="6" s="1"/>
  <c r="T128" i="6"/>
  <c r="T218" i="6" s="1"/>
  <c r="S128" i="6"/>
  <c r="S218" i="6" s="1"/>
  <c r="R128" i="6"/>
  <c r="R218" i="6" s="1"/>
  <c r="Q128" i="6"/>
  <c r="Q218" i="6" s="1"/>
  <c r="P128" i="6"/>
  <c r="P218" i="6" s="1"/>
  <c r="O128" i="6"/>
  <c r="O218" i="6" s="1"/>
  <c r="N128" i="6"/>
  <c r="N218" i="6" s="1"/>
  <c r="M128" i="6"/>
  <c r="M218" i="6" s="1"/>
  <c r="L128" i="6"/>
  <c r="L218" i="6" s="1"/>
  <c r="K128" i="6"/>
  <c r="K218" i="6" s="1"/>
  <c r="J128" i="6"/>
  <c r="J218" i="6" s="1"/>
  <c r="I128" i="6"/>
  <c r="I218" i="6" s="1"/>
  <c r="H128" i="6"/>
  <c r="H218" i="6" s="1"/>
  <c r="G128" i="6"/>
  <c r="G218" i="6" s="1"/>
  <c r="F128" i="6"/>
  <c r="F218" i="6" s="1"/>
  <c r="E128" i="6"/>
  <c r="E218" i="6" s="1"/>
  <c r="D128" i="6"/>
  <c r="D218" i="6" s="1"/>
  <c r="AA122" i="6"/>
  <c r="AA208" i="6" s="1"/>
  <c r="Z122" i="6"/>
  <c r="Z208" i="6" s="1"/>
  <c r="Y122" i="6"/>
  <c r="Y208" i="6" s="1"/>
  <c r="X122" i="6"/>
  <c r="X208" i="6" s="1"/>
  <c r="W122" i="6"/>
  <c r="W208" i="6" s="1"/>
  <c r="V122" i="6"/>
  <c r="V208" i="6" s="1"/>
  <c r="U122" i="6"/>
  <c r="U208" i="6" s="1"/>
  <c r="T122" i="6"/>
  <c r="T208" i="6" s="1"/>
  <c r="S122" i="6"/>
  <c r="S208" i="6" s="1"/>
  <c r="R122" i="6"/>
  <c r="R208" i="6" s="1"/>
  <c r="Q122" i="6"/>
  <c r="Q208" i="6" s="1"/>
  <c r="P122" i="6"/>
  <c r="P208" i="6" s="1"/>
  <c r="O122" i="6"/>
  <c r="O208" i="6" s="1"/>
  <c r="N122" i="6"/>
  <c r="N208" i="6" s="1"/>
  <c r="M122" i="6"/>
  <c r="M208" i="6" s="1"/>
  <c r="L122" i="6"/>
  <c r="L208" i="6" s="1"/>
  <c r="K122" i="6"/>
  <c r="K208" i="6" s="1"/>
  <c r="J122" i="6"/>
  <c r="J208" i="6" s="1"/>
  <c r="I122" i="6"/>
  <c r="I208" i="6" s="1"/>
  <c r="H122" i="6"/>
  <c r="H208" i="6" s="1"/>
  <c r="G122" i="6"/>
  <c r="G208" i="6" s="1"/>
  <c r="F122" i="6"/>
  <c r="F208" i="6" s="1"/>
  <c r="E122" i="6"/>
  <c r="E208" i="6" s="1"/>
  <c r="D122" i="6"/>
  <c r="D208" i="6" s="1"/>
  <c r="AA117" i="6"/>
  <c r="Z117" i="6"/>
  <c r="Y117" i="6"/>
  <c r="X117" i="6"/>
  <c r="W117" i="6"/>
  <c r="V117" i="6"/>
  <c r="U117" i="6"/>
  <c r="T117" i="6"/>
  <c r="S117" i="6"/>
  <c r="R117" i="6"/>
  <c r="Q117" i="6"/>
  <c r="P117" i="6"/>
  <c r="O117" i="6"/>
  <c r="N117" i="6"/>
  <c r="M117" i="6"/>
  <c r="L117" i="6"/>
  <c r="K117" i="6"/>
  <c r="J117" i="6"/>
  <c r="I117" i="6"/>
  <c r="H117" i="6"/>
  <c r="G117" i="6"/>
  <c r="F117" i="6"/>
  <c r="E117" i="6"/>
  <c r="D117" i="6"/>
  <c r="AA109" i="6"/>
  <c r="Z109" i="6"/>
  <c r="Y109" i="6"/>
  <c r="X109" i="6"/>
  <c r="W109" i="6"/>
  <c r="V109" i="6"/>
  <c r="U109" i="6"/>
  <c r="T109" i="6"/>
  <c r="S109" i="6"/>
  <c r="R109" i="6"/>
  <c r="Q109" i="6"/>
  <c r="P109" i="6"/>
  <c r="O109" i="6"/>
  <c r="N109" i="6"/>
  <c r="M109" i="6"/>
  <c r="L109" i="6"/>
  <c r="K109" i="6"/>
  <c r="J109" i="6"/>
  <c r="I109" i="6"/>
  <c r="H109" i="6"/>
  <c r="G109" i="6"/>
  <c r="F109" i="6"/>
  <c r="E109" i="6"/>
  <c r="D109" i="6"/>
  <c r="AA105" i="6"/>
  <c r="Z105" i="6"/>
  <c r="Y105" i="6"/>
  <c r="X105" i="6"/>
  <c r="W105" i="6"/>
  <c r="V105" i="6"/>
  <c r="U105" i="6"/>
  <c r="T105" i="6"/>
  <c r="S105" i="6"/>
  <c r="R105" i="6"/>
  <c r="Q105" i="6"/>
  <c r="P105" i="6"/>
  <c r="O105" i="6"/>
  <c r="N105" i="6"/>
  <c r="M105" i="6"/>
  <c r="L105" i="6"/>
  <c r="K105" i="6"/>
  <c r="J105" i="6"/>
  <c r="I105" i="6"/>
  <c r="H105" i="6"/>
  <c r="G105" i="6"/>
  <c r="F105" i="6"/>
  <c r="E105" i="6"/>
  <c r="D105" i="6"/>
  <c r="AA102" i="6"/>
  <c r="Z102" i="6"/>
  <c r="Y102" i="6"/>
  <c r="X102" i="6"/>
  <c r="W102" i="6"/>
  <c r="V102" i="6"/>
  <c r="U102" i="6"/>
  <c r="T102" i="6"/>
  <c r="S102" i="6"/>
  <c r="R102" i="6"/>
  <c r="Q102" i="6"/>
  <c r="P102" i="6"/>
  <c r="O102" i="6"/>
  <c r="N102" i="6"/>
  <c r="M102" i="6"/>
  <c r="L102" i="6"/>
  <c r="K102" i="6"/>
  <c r="J102" i="6"/>
  <c r="I102" i="6"/>
  <c r="H102" i="6"/>
  <c r="G102" i="6"/>
  <c r="F102" i="6"/>
  <c r="E102" i="6"/>
  <c r="D102" i="6"/>
  <c r="D98" i="6"/>
  <c r="F98" i="6"/>
  <c r="E97" i="6"/>
  <c r="AA89" i="6"/>
  <c r="Z89" i="6"/>
  <c r="Y89" i="6"/>
  <c r="X89" i="6"/>
  <c r="W89" i="6"/>
  <c r="V89" i="6"/>
  <c r="U89" i="6"/>
  <c r="T89" i="6"/>
  <c r="S89" i="6"/>
  <c r="R89" i="6"/>
  <c r="Q89" i="6"/>
  <c r="P89" i="6"/>
  <c r="O89" i="6"/>
  <c r="N89" i="6"/>
  <c r="M89" i="6"/>
  <c r="L89" i="6"/>
  <c r="K89" i="6"/>
  <c r="J89" i="6"/>
  <c r="I89" i="6"/>
  <c r="H89" i="6"/>
  <c r="G89" i="6"/>
  <c r="F89" i="6"/>
  <c r="E89" i="6"/>
  <c r="D89" i="6"/>
  <c r="AA81" i="6"/>
  <c r="Z81" i="6"/>
  <c r="Y81" i="6"/>
  <c r="X81" i="6"/>
  <c r="W81" i="6"/>
  <c r="V81" i="6"/>
  <c r="U81" i="6"/>
  <c r="T81" i="6"/>
  <c r="S81" i="6"/>
  <c r="R81" i="6"/>
  <c r="Q81" i="6"/>
  <c r="P81" i="6"/>
  <c r="O81" i="6"/>
  <c r="N81" i="6"/>
  <c r="M81" i="6"/>
  <c r="L81" i="6"/>
  <c r="K81" i="6"/>
  <c r="J81" i="6"/>
  <c r="I81" i="6"/>
  <c r="H81" i="6"/>
  <c r="G81" i="6"/>
  <c r="F81" i="6"/>
  <c r="E81" i="6"/>
  <c r="D81" i="6"/>
  <c r="AA216" i="6"/>
  <c r="Z216" i="6"/>
  <c r="Y216" i="6"/>
  <c r="W216" i="6"/>
  <c r="V216" i="6"/>
  <c r="U216" i="6"/>
  <c r="T216" i="6"/>
  <c r="S216" i="6"/>
  <c r="R216" i="6"/>
  <c r="Q216" i="6"/>
  <c r="P216" i="6"/>
  <c r="O216" i="6"/>
  <c r="N216" i="6"/>
  <c r="M216" i="6"/>
  <c r="L216" i="6"/>
  <c r="K216" i="6"/>
  <c r="J216" i="6"/>
  <c r="I216" i="6"/>
  <c r="G216" i="6"/>
  <c r="F216" i="6"/>
  <c r="E216" i="6"/>
  <c r="D216" i="6"/>
  <c r="Z206" i="6"/>
  <c r="Y206" i="6"/>
  <c r="X206" i="6"/>
  <c r="V206" i="6"/>
  <c r="U206" i="6"/>
  <c r="T206" i="6"/>
  <c r="S77" i="6"/>
  <c r="R206" i="6"/>
  <c r="Q206" i="6"/>
  <c r="P206" i="6"/>
  <c r="N206" i="6"/>
  <c r="L206" i="6"/>
  <c r="J206" i="6"/>
  <c r="I206" i="6"/>
  <c r="H206" i="6"/>
  <c r="F206" i="6"/>
  <c r="E206" i="6"/>
  <c r="D206" i="6"/>
  <c r="AA74" i="6"/>
  <c r="Z74" i="6"/>
  <c r="Y74" i="6"/>
  <c r="X74" i="6"/>
  <c r="W74" i="6"/>
  <c r="V74" i="6"/>
  <c r="U74" i="6"/>
  <c r="T74" i="6"/>
  <c r="S74" i="6"/>
  <c r="R74" i="6"/>
  <c r="Q74" i="6"/>
  <c r="P74" i="6"/>
  <c r="O74" i="6"/>
  <c r="N74" i="6"/>
  <c r="M74" i="6"/>
  <c r="L74" i="6"/>
  <c r="K74" i="6"/>
  <c r="J74" i="6"/>
  <c r="I74" i="6"/>
  <c r="H74" i="6"/>
  <c r="G74" i="6"/>
  <c r="F74" i="6"/>
  <c r="E74" i="6"/>
  <c r="D74" i="6"/>
  <c r="AA63" i="6"/>
  <c r="Z63" i="6"/>
  <c r="Y63" i="6"/>
  <c r="X63" i="6"/>
  <c r="W63" i="6"/>
  <c r="V63" i="6"/>
  <c r="U63" i="6"/>
  <c r="T63" i="6"/>
  <c r="S63" i="6"/>
  <c r="R63" i="6"/>
  <c r="Q63" i="6"/>
  <c r="P63" i="6"/>
  <c r="O63" i="6"/>
  <c r="N63" i="6"/>
  <c r="M63" i="6"/>
  <c r="L63" i="6"/>
  <c r="K63" i="6"/>
  <c r="J63" i="6"/>
  <c r="I63" i="6"/>
  <c r="H63" i="6"/>
  <c r="G63" i="6"/>
  <c r="F63" i="6"/>
  <c r="E63" i="6"/>
  <c r="D63" i="6"/>
  <c r="E59" i="6"/>
  <c r="E70" i="6" s="1"/>
  <c r="D59" i="6"/>
  <c r="D70" i="6" s="1"/>
  <c r="J54" i="6"/>
  <c r="J69" i="6" s="1"/>
  <c r="I54" i="6"/>
  <c r="I69" i="6" s="1"/>
  <c r="H54" i="6"/>
  <c r="H69" i="6" s="1"/>
  <c r="F54" i="6"/>
  <c r="F69" i="6" s="1"/>
  <c r="E54" i="6"/>
  <c r="E69" i="6" s="1"/>
  <c r="D54" i="6"/>
  <c r="D69" i="6" s="1"/>
  <c r="AA50" i="6"/>
  <c r="Z50" i="6"/>
  <c r="Y50" i="6"/>
  <c r="X50" i="6"/>
  <c r="W50" i="6"/>
  <c r="V50" i="6"/>
  <c r="U50" i="6"/>
  <c r="T50" i="6"/>
  <c r="S50" i="6"/>
  <c r="R50" i="6"/>
  <c r="Q50" i="6"/>
  <c r="P50" i="6"/>
  <c r="O50" i="6"/>
  <c r="N50" i="6"/>
  <c r="M50" i="6"/>
  <c r="L50" i="6"/>
  <c r="K50" i="6"/>
  <c r="J50" i="6"/>
  <c r="I50" i="6"/>
  <c r="H50" i="6"/>
  <c r="G50" i="6"/>
  <c r="F50" i="6"/>
  <c r="E50" i="6"/>
  <c r="D50" i="6"/>
  <c r="AA42" i="6"/>
  <c r="Z42" i="6"/>
  <c r="Y42" i="6"/>
  <c r="X42" i="6"/>
  <c r="W42" i="6"/>
  <c r="V42" i="6"/>
  <c r="U42" i="6"/>
  <c r="T42" i="6"/>
  <c r="S42" i="6"/>
  <c r="R42" i="6"/>
  <c r="Q42" i="6"/>
  <c r="P42" i="6"/>
  <c r="O42" i="6"/>
  <c r="N42" i="6"/>
  <c r="M42" i="6"/>
  <c r="L42" i="6"/>
  <c r="K42" i="6"/>
  <c r="J42" i="6"/>
  <c r="I42" i="6"/>
  <c r="H42" i="6"/>
  <c r="G42" i="6"/>
  <c r="F42" i="6"/>
  <c r="E42" i="6"/>
  <c r="D42" i="6"/>
  <c r="AA35" i="6"/>
  <c r="Z35" i="6"/>
  <c r="Y35" i="6"/>
  <c r="X35" i="6"/>
  <c r="W35" i="6"/>
  <c r="V35" i="6"/>
  <c r="U35" i="6"/>
  <c r="T35" i="6"/>
  <c r="S35" i="6"/>
  <c r="R35" i="6"/>
  <c r="Q35" i="6"/>
  <c r="P35" i="6"/>
  <c r="O35" i="6"/>
  <c r="N35" i="6"/>
  <c r="M35" i="6"/>
  <c r="L35" i="6"/>
  <c r="K35" i="6"/>
  <c r="J35" i="6"/>
  <c r="I35" i="6"/>
  <c r="H35" i="6"/>
  <c r="G35" i="6"/>
  <c r="F35" i="6"/>
  <c r="E35" i="6"/>
  <c r="D35" i="6"/>
  <c r="AA27" i="6"/>
  <c r="Z27" i="6"/>
  <c r="Y27" i="6"/>
  <c r="X27" i="6"/>
  <c r="W27" i="6"/>
  <c r="V27" i="6"/>
  <c r="U27" i="6"/>
  <c r="T27" i="6"/>
  <c r="S27" i="6"/>
  <c r="R27" i="6"/>
  <c r="Q27" i="6"/>
  <c r="P27" i="6"/>
  <c r="O27" i="6"/>
  <c r="N27" i="6"/>
  <c r="M27" i="6"/>
  <c r="L27" i="6"/>
  <c r="K27" i="6"/>
  <c r="J27" i="6"/>
  <c r="I27" i="6"/>
  <c r="H27" i="6"/>
  <c r="G27" i="6"/>
  <c r="F27" i="6"/>
  <c r="E27" i="6"/>
  <c r="D27" i="6"/>
  <c r="AA20" i="6"/>
  <c r="Z20" i="6"/>
  <c r="Y20" i="6"/>
  <c r="X20" i="6"/>
  <c r="W20" i="6"/>
  <c r="V20" i="6"/>
  <c r="U20" i="6"/>
  <c r="T20" i="6"/>
  <c r="S20" i="6"/>
  <c r="R20" i="6"/>
  <c r="Q20" i="6"/>
  <c r="P20" i="6"/>
  <c r="O20" i="6"/>
  <c r="N20" i="6"/>
  <c r="M20" i="6"/>
  <c r="L20" i="6"/>
  <c r="K20" i="6"/>
  <c r="J20" i="6"/>
  <c r="I20" i="6"/>
  <c r="H20" i="6"/>
  <c r="G20" i="6"/>
  <c r="F20" i="6"/>
  <c r="E20" i="6"/>
  <c r="D20" i="6"/>
  <c r="AA12" i="6"/>
  <c r="Z12" i="6"/>
  <c r="Y12" i="6"/>
  <c r="X12" i="6"/>
  <c r="W12" i="6"/>
  <c r="V12" i="6"/>
  <c r="U12" i="6"/>
  <c r="T12" i="6"/>
  <c r="S12" i="6"/>
  <c r="R12" i="6"/>
  <c r="Q12" i="6"/>
  <c r="P12" i="6"/>
  <c r="O12" i="6"/>
  <c r="N12" i="6"/>
  <c r="M12" i="6"/>
  <c r="L12" i="6"/>
  <c r="K12" i="6"/>
  <c r="J12" i="6"/>
  <c r="I12" i="6"/>
  <c r="H12" i="6"/>
  <c r="G12" i="6"/>
  <c r="F12" i="6"/>
  <c r="E12" i="6"/>
  <c r="D12" i="6"/>
  <c r="M8" i="6"/>
  <c r="N8" i="6" s="1"/>
  <c r="O8" i="6" s="1"/>
  <c r="M7" i="6"/>
  <c r="N16" i="5" s="1"/>
  <c r="D87" i="4"/>
  <c r="D85" i="4"/>
  <c r="D84" i="4"/>
  <c r="D83" i="4"/>
  <c r="D82" i="4"/>
  <c r="D81" i="4"/>
  <c r="D80" i="4"/>
  <c r="D77" i="4"/>
  <c r="D76" i="4"/>
  <c r="D75" i="4"/>
  <c r="D74" i="4"/>
  <c r="D73" i="4"/>
  <c r="D72" i="4"/>
  <c r="D71" i="4"/>
  <c r="D70" i="4"/>
  <c r="AB68" i="4"/>
  <c r="AA68" i="4"/>
  <c r="Z68" i="4"/>
  <c r="Y68" i="4"/>
  <c r="X68" i="4"/>
  <c r="W68" i="4"/>
  <c r="V68" i="4"/>
  <c r="U68" i="4"/>
  <c r="T68" i="4"/>
  <c r="S68" i="4"/>
  <c r="R68" i="4"/>
  <c r="Q68" i="4"/>
  <c r="P68" i="4"/>
  <c r="O68" i="4"/>
  <c r="N68" i="4"/>
  <c r="M68" i="4"/>
  <c r="L68" i="4"/>
  <c r="K68" i="4"/>
  <c r="J68" i="4"/>
  <c r="I68" i="4"/>
  <c r="H68" i="4"/>
  <c r="G68" i="4"/>
  <c r="F68" i="4"/>
  <c r="E68" i="4"/>
  <c r="G60" i="4"/>
  <c r="H60" i="4" s="1"/>
  <c r="I60" i="4" s="1"/>
  <c r="J60" i="4" s="1"/>
  <c r="K60" i="4" s="1"/>
  <c r="L60" i="4" s="1"/>
  <c r="M60" i="4" s="1"/>
  <c r="N60" i="4" s="1"/>
  <c r="O60" i="4" s="1"/>
  <c r="P60" i="4" s="1"/>
  <c r="Q60" i="4" s="1"/>
  <c r="R60" i="4" s="1"/>
  <c r="S60" i="4" s="1"/>
  <c r="T60" i="4" s="1"/>
  <c r="U60" i="4" s="1"/>
  <c r="V60" i="4" s="1"/>
  <c r="W60" i="4" s="1"/>
  <c r="X60" i="4" s="1"/>
  <c r="Y60" i="4" s="1"/>
  <c r="Z60" i="4" s="1"/>
  <c r="AA60" i="4" s="1"/>
  <c r="AB60" i="4" s="1"/>
  <c r="F60" i="4"/>
  <c r="F59" i="4"/>
  <c r="G59" i="4" s="1"/>
  <c r="H59" i="4" s="1"/>
  <c r="I59" i="4" s="1"/>
  <c r="J59" i="4" s="1"/>
  <c r="K59" i="4" s="1"/>
  <c r="L59" i="4" s="1"/>
  <c r="M59" i="4" s="1"/>
  <c r="N59" i="4" s="1"/>
  <c r="O59" i="4" s="1"/>
  <c r="P59" i="4" s="1"/>
  <c r="Q59" i="4" s="1"/>
  <c r="R59" i="4" s="1"/>
  <c r="S59" i="4" s="1"/>
  <c r="T59" i="4" s="1"/>
  <c r="U59" i="4" s="1"/>
  <c r="V59" i="4" s="1"/>
  <c r="W59" i="4" s="1"/>
  <c r="X59" i="4" s="1"/>
  <c r="Y59" i="4" s="1"/>
  <c r="Z59" i="4" s="1"/>
  <c r="AA59" i="4" s="1"/>
  <c r="AB59" i="4" s="1"/>
  <c r="AB58" i="4"/>
  <c r="AA58" i="4"/>
  <c r="Z58" i="4"/>
  <c r="Y58" i="4"/>
  <c r="X58" i="4"/>
  <c r="W58" i="4"/>
  <c r="V58" i="4"/>
  <c r="U58" i="4"/>
  <c r="T58" i="4"/>
  <c r="S58" i="4"/>
  <c r="R58" i="4"/>
  <c r="Q58" i="4"/>
  <c r="P58" i="4"/>
  <c r="O58" i="4"/>
  <c r="N58" i="4"/>
  <c r="M58" i="4"/>
  <c r="L58" i="4"/>
  <c r="K58" i="4"/>
  <c r="J58" i="4"/>
  <c r="I58" i="4"/>
  <c r="H58" i="4"/>
  <c r="G58" i="4"/>
  <c r="F58" i="4"/>
  <c r="E58" i="4"/>
  <c r="AB51" i="4"/>
  <c r="AA51" i="4"/>
  <c r="Z51" i="4"/>
  <c r="Y51" i="4"/>
  <c r="X51" i="4"/>
  <c r="W51" i="4"/>
  <c r="V51" i="4"/>
  <c r="U51" i="4"/>
  <c r="T51" i="4"/>
  <c r="S51" i="4"/>
  <c r="R51" i="4"/>
  <c r="Q51" i="4"/>
  <c r="P51" i="4"/>
  <c r="O51" i="4"/>
  <c r="N51" i="4"/>
  <c r="M51" i="4"/>
  <c r="L51" i="4"/>
  <c r="K51" i="4"/>
  <c r="J51" i="4"/>
  <c r="I51" i="4"/>
  <c r="H51" i="4"/>
  <c r="G51" i="4"/>
  <c r="F51" i="4"/>
  <c r="E51" i="4"/>
  <c r="AB36" i="4"/>
  <c r="AA36" i="4"/>
  <c r="Z36" i="4"/>
  <c r="Y36" i="4"/>
  <c r="X36" i="4"/>
  <c r="W36" i="4"/>
  <c r="V36" i="4"/>
  <c r="U36" i="4"/>
  <c r="T36" i="4"/>
  <c r="S36" i="4"/>
  <c r="R36" i="4"/>
  <c r="Q36" i="4"/>
  <c r="P36" i="4"/>
  <c r="O36" i="4"/>
  <c r="N36" i="4"/>
  <c r="M36" i="4"/>
  <c r="L36" i="4"/>
  <c r="K36" i="4"/>
  <c r="J36" i="4"/>
  <c r="I36" i="4"/>
  <c r="H36" i="4"/>
  <c r="G36" i="4"/>
  <c r="F36" i="4"/>
  <c r="E36" i="4"/>
  <c r="AB30" i="4"/>
  <c r="AA30" i="4"/>
  <c r="Z30" i="4"/>
  <c r="Y30" i="4"/>
  <c r="X30" i="4"/>
  <c r="W30" i="4"/>
  <c r="V30" i="4"/>
  <c r="U30" i="4"/>
  <c r="T30" i="4"/>
  <c r="S30" i="4"/>
  <c r="R30" i="4"/>
  <c r="Q30" i="4"/>
  <c r="P30" i="4"/>
  <c r="O30" i="4"/>
  <c r="N30" i="4"/>
  <c r="M30" i="4"/>
  <c r="L30" i="4"/>
  <c r="K30" i="4"/>
  <c r="J30" i="4"/>
  <c r="I30" i="4"/>
  <c r="H30" i="4"/>
  <c r="G30" i="4"/>
  <c r="F30" i="4"/>
  <c r="E30" i="4"/>
  <c r="AB13" i="4"/>
  <c r="AA13" i="4"/>
  <c r="Z13" i="4"/>
  <c r="Y13" i="4"/>
  <c r="X13" i="4"/>
  <c r="W13" i="4"/>
  <c r="V13" i="4"/>
  <c r="U13" i="4"/>
  <c r="T13" i="4"/>
  <c r="S13" i="4"/>
  <c r="R13" i="4"/>
  <c r="Q13" i="4"/>
  <c r="P13" i="4"/>
  <c r="O13" i="4"/>
  <c r="N13" i="4"/>
  <c r="M13" i="4"/>
  <c r="L13" i="4"/>
  <c r="K13" i="4"/>
  <c r="J13" i="4"/>
  <c r="I13" i="4"/>
  <c r="H13" i="4"/>
  <c r="G13" i="4"/>
  <c r="F13" i="4"/>
  <c r="E13" i="4"/>
  <c r="AB27" i="3"/>
  <c r="AA27" i="3"/>
  <c r="Z27" i="3"/>
  <c r="Y27" i="3"/>
  <c r="X27" i="3"/>
  <c r="W27" i="3"/>
  <c r="V27" i="3"/>
  <c r="U27" i="3"/>
  <c r="T27" i="3"/>
  <c r="S27" i="3"/>
  <c r="R27" i="3"/>
  <c r="Q27" i="3"/>
  <c r="P27" i="3"/>
  <c r="O27" i="3"/>
  <c r="N27" i="3"/>
  <c r="M27" i="3"/>
  <c r="L27" i="3"/>
  <c r="K27" i="3"/>
  <c r="J27" i="3"/>
  <c r="I27" i="3"/>
  <c r="H27" i="3"/>
  <c r="G27" i="3"/>
  <c r="F27" i="3"/>
  <c r="E27" i="3"/>
  <c r="E299" i="6" l="1"/>
  <c r="I299" i="6"/>
  <c r="M299" i="6"/>
  <c r="Q299" i="6"/>
  <c r="U299" i="6"/>
  <c r="F22" i="6"/>
  <c r="F29" i="6" s="1"/>
  <c r="F21" i="6"/>
  <c r="F28" i="6" s="1"/>
  <c r="J22" i="6"/>
  <c r="J29" i="6" s="1"/>
  <c r="J21" i="6"/>
  <c r="J28" i="6" s="1"/>
  <c r="N22" i="6"/>
  <c r="N29" i="6" s="1"/>
  <c r="F37" i="6"/>
  <c r="F44" i="6" s="1"/>
  <c r="F36" i="6"/>
  <c r="F43" i="6" s="1"/>
  <c r="J37" i="6"/>
  <c r="J44" i="6" s="1"/>
  <c r="J36" i="6"/>
  <c r="J43" i="6" s="1"/>
  <c r="N37" i="6"/>
  <c r="N44" i="6" s="1"/>
  <c r="G148" i="6"/>
  <c r="G147" i="6"/>
  <c r="G141" i="6"/>
  <c r="G146" i="6"/>
  <c r="G142" i="6"/>
  <c r="G110" i="6"/>
  <c r="G82" i="6"/>
  <c r="G111" i="6"/>
  <c r="G140" i="6"/>
  <c r="G83" i="6"/>
  <c r="K142" i="6"/>
  <c r="K110" i="6"/>
  <c r="K82" i="6"/>
  <c r="K111" i="6"/>
  <c r="K148" i="6"/>
  <c r="K146" i="6"/>
  <c r="K147" i="6"/>
  <c r="K140" i="6"/>
  <c r="K141" i="6"/>
  <c r="K83" i="6"/>
  <c r="O147" i="6"/>
  <c r="O111" i="6"/>
  <c r="O82" i="6"/>
  <c r="O146" i="6"/>
  <c r="O148" i="6"/>
  <c r="O140" i="6"/>
  <c r="O141" i="6"/>
  <c r="O83" i="6"/>
  <c r="O142" i="6"/>
  <c r="O110" i="6"/>
  <c r="S148" i="6"/>
  <c r="S140" i="6"/>
  <c r="S82" i="6"/>
  <c r="S141" i="6"/>
  <c r="S147" i="6"/>
  <c r="S110" i="6"/>
  <c r="S111" i="6"/>
  <c r="S142" i="6"/>
  <c r="S146" i="6"/>
  <c r="S83" i="6"/>
  <c r="W147" i="6"/>
  <c r="W141" i="6"/>
  <c r="W82" i="6"/>
  <c r="W146" i="6"/>
  <c r="W142" i="6"/>
  <c r="W110" i="6"/>
  <c r="W111" i="6"/>
  <c r="W249" i="6" s="1"/>
  <c r="W140" i="6"/>
  <c r="W148" i="6"/>
  <c r="W83" i="6"/>
  <c r="AA142" i="6"/>
  <c r="AA110" i="6"/>
  <c r="AA82" i="6"/>
  <c r="AA111" i="6"/>
  <c r="AA140" i="6"/>
  <c r="AA141" i="6"/>
  <c r="AA147" i="6"/>
  <c r="AA148" i="6"/>
  <c r="AA83" i="6"/>
  <c r="AA146" i="6"/>
  <c r="D178" i="6"/>
  <c r="D173" i="6"/>
  <c r="D179" i="6"/>
  <c r="D174" i="6"/>
  <c r="H178" i="6"/>
  <c r="H173" i="6"/>
  <c r="H179" i="6"/>
  <c r="H174" i="6"/>
  <c r="L178" i="6"/>
  <c r="L173" i="6"/>
  <c r="L179" i="6"/>
  <c r="L174" i="6"/>
  <c r="P178" i="6"/>
  <c r="P173" i="6"/>
  <c r="P179" i="6"/>
  <c r="P174" i="6"/>
  <c r="T178" i="6"/>
  <c r="T173" i="6"/>
  <c r="T179" i="6"/>
  <c r="T174" i="6"/>
  <c r="X178" i="6"/>
  <c r="X173" i="6"/>
  <c r="X179" i="6"/>
  <c r="X174" i="6"/>
  <c r="G196" i="6"/>
  <c r="G195" i="6"/>
  <c r="K195" i="6"/>
  <c r="K196" i="6"/>
  <c r="O196" i="6"/>
  <c r="O195" i="6"/>
  <c r="S196" i="6"/>
  <c r="S195" i="6"/>
  <c r="W196" i="6"/>
  <c r="W195" i="6"/>
  <c r="AA195" i="6"/>
  <c r="AA196" i="6"/>
  <c r="G22" i="6"/>
  <c r="G29" i="6" s="1"/>
  <c r="G21" i="6"/>
  <c r="G28" i="6" s="1"/>
  <c r="K22" i="6"/>
  <c r="K29" i="6" s="1"/>
  <c r="K21" i="6"/>
  <c r="K28" i="6" s="1"/>
  <c r="O22" i="6"/>
  <c r="O29" i="6" s="1"/>
  <c r="G36" i="6"/>
  <c r="G43" i="6" s="1"/>
  <c r="G37" i="6"/>
  <c r="G44" i="6" s="1"/>
  <c r="K36" i="6"/>
  <c r="K43" i="6" s="1"/>
  <c r="K37" i="6"/>
  <c r="K44" i="6" s="1"/>
  <c r="O37" i="6"/>
  <c r="O44" i="6" s="1"/>
  <c r="D146" i="6"/>
  <c r="D140" i="6"/>
  <c r="D110" i="6"/>
  <c r="D148" i="6"/>
  <c r="D83" i="6"/>
  <c r="D248" i="6" s="1"/>
  <c r="D142" i="6"/>
  <c r="D82" i="6"/>
  <c r="D111" i="6"/>
  <c r="D141" i="6"/>
  <c r="D147" i="6"/>
  <c r="H146" i="6"/>
  <c r="H140" i="6"/>
  <c r="H110" i="6"/>
  <c r="H239" i="6" s="1"/>
  <c r="H82" i="6"/>
  <c r="H148" i="6"/>
  <c r="H83" i="6"/>
  <c r="H147" i="6"/>
  <c r="H141" i="6"/>
  <c r="H142" i="6"/>
  <c r="H111" i="6"/>
  <c r="L146" i="6"/>
  <c r="L140" i="6"/>
  <c r="L110" i="6"/>
  <c r="L141" i="6"/>
  <c r="L83" i="6"/>
  <c r="L142" i="6"/>
  <c r="L82" i="6"/>
  <c r="L148" i="6"/>
  <c r="L111" i="6"/>
  <c r="L147" i="6"/>
  <c r="P146" i="6"/>
  <c r="P140" i="6"/>
  <c r="P110" i="6"/>
  <c r="P239" i="6" s="1"/>
  <c r="P142" i="6"/>
  <c r="P83" i="6"/>
  <c r="P147" i="6"/>
  <c r="P111" i="6"/>
  <c r="P249" i="6" s="1"/>
  <c r="P82" i="6"/>
  <c r="P148" i="6"/>
  <c r="P141" i="6"/>
  <c r="T146" i="6"/>
  <c r="T140" i="6"/>
  <c r="T110" i="6"/>
  <c r="T111" i="6"/>
  <c r="T83" i="6"/>
  <c r="T148" i="6"/>
  <c r="T82" i="6"/>
  <c r="T147" i="6"/>
  <c r="T141" i="6"/>
  <c r="T142" i="6"/>
  <c r="X146" i="6"/>
  <c r="X140" i="6"/>
  <c r="X110" i="6"/>
  <c r="X239" i="6" s="1"/>
  <c r="X148" i="6"/>
  <c r="X83" i="6"/>
  <c r="X147" i="6"/>
  <c r="X141" i="6"/>
  <c r="X82" i="6"/>
  <c r="X142" i="6"/>
  <c r="X111" i="6"/>
  <c r="E179" i="6"/>
  <c r="E174" i="6"/>
  <c r="E178" i="6"/>
  <c r="E173" i="6"/>
  <c r="I179" i="6"/>
  <c r="I174" i="6"/>
  <c r="I178" i="6"/>
  <c r="I173" i="6"/>
  <c r="M179" i="6"/>
  <c r="M174" i="6"/>
  <c r="M178" i="6"/>
  <c r="M173" i="6"/>
  <c r="Q179" i="6"/>
  <c r="Q174" i="6"/>
  <c r="Q178" i="6"/>
  <c r="Q173" i="6"/>
  <c r="U179" i="6"/>
  <c r="U174" i="6"/>
  <c r="U178" i="6"/>
  <c r="U173" i="6"/>
  <c r="Y179" i="6"/>
  <c r="Y174" i="6"/>
  <c r="Y178" i="6"/>
  <c r="Y173" i="6"/>
  <c r="D195" i="6"/>
  <c r="D196" i="6"/>
  <c r="H195" i="6"/>
  <c r="H196" i="6"/>
  <c r="L195" i="6"/>
  <c r="L196" i="6"/>
  <c r="P195" i="6"/>
  <c r="P196" i="6"/>
  <c r="T195" i="6"/>
  <c r="T196" i="6"/>
  <c r="X195" i="6"/>
  <c r="X196" i="6"/>
  <c r="D414" i="11"/>
  <c r="D22" i="6"/>
  <c r="D29" i="6" s="1"/>
  <c r="D21" i="6"/>
  <c r="D28" i="6" s="1"/>
  <c r="H22" i="6"/>
  <c r="H29" i="6" s="1"/>
  <c r="H21" i="6"/>
  <c r="H28" i="6" s="1"/>
  <c r="L22" i="6"/>
  <c r="L29" i="6" s="1"/>
  <c r="L21" i="6"/>
  <c r="L28" i="6" s="1"/>
  <c r="D37" i="6"/>
  <c r="D44" i="6" s="1"/>
  <c r="D36" i="6"/>
  <c r="D43" i="6" s="1"/>
  <c r="H37" i="6"/>
  <c r="H44" i="6" s="1"/>
  <c r="H36" i="6"/>
  <c r="H43" i="6" s="1"/>
  <c r="L37" i="6"/>
  <c r="L44" i="6" s="1"/>
  <c r="L36" i="6"/>
  <c r="L43" i="6" s="1"/>
  <c r="E147" i="6"/>
  <c r="E141" i="6"/>
  <c r="E111" i="6"/>
  <c r="E249" i="6" s="1"/>
  <c r="E146" i="6"/>
  <c r="E142" i="6"/>
  <c r="E140" i="6"/>
  <c r="E83" i="6"/>
  <c r="E148" i="6"/>
  <c r="E110" i="6"/>
  <c r="E82" i="6"/>
  <c r="I147" i="6"/>
  <c r="I141" i="6"/>
  <c r="I111" i="6"/>
  <c r="I146" i="6"/>
  <c r="I140" i="6"/>
  <c r="I148" i="6"/>
  <c r="I83" i="6"/>
  <c r="I110" i="6"/>
  <c r="I82" i="6"/>
  <c r="I142" i="6"/>
  <c r="M147" i="6"/>
  <c r="M141" i="6"/>
  <c r="M111" i="6"/>
  <c r="M249" i="6" s="1"/>
  <c r="M146" i="6"/>
  <c r="M148" i="6"/>
  <c r="M110" i="6"/>
  <c r="M83" i="6"/>
  <c r="M142" i="6"/>
  <c r="M82" i="6"/>
  <c r="M140" i="6"/>
  <c r="Q147" i="6"/>
  <c r="Q141" i="6"/>
  <c r="Q111" i="6"/>
  <c r="Q146" i="6"/>
  <c r="Q110" i="6"/>
  <c r="Q142" i="6"/>
  <c r="Q83" i="6"/>
  <c r="Q140" i="6"/>
  <c r="Q82" i="6"/>
  <c r="Q148" i="6"/>
  <c r="U147" i="6"/>
  <c r="U141" i="6"/>
  <c r="U111" i="6"/>
  <c r="U146" i="6"/>
  <c r="U142" i="6"/>
  <c r="U140" i="6"/>
  <c r="U83" i="6"/>
  <c r="U148" i="6"/>
  <c r="U82" i="6"/>
  <c r="U110" i="6"/>
  <c r="Y147" i="6"/>
  <c r="Y141" i="6"/>
  <c r="Y111" i="6"/>
  <c r="Y146" i="6"/>
  <c r="Y140" i="6"/>
  <c r="Y148" i="6"/>
  <c r="Y83" i="6"/>
  <c r="Y142" i="6"/>
  <c r="Y110" i="6"/>
  <c r="Y239" i="6" s="1"/>
  <c r="Y82" i="6"/>
  <c r="F179" i="6"/>
  <c r="F174" i="6"/>
  <c r="F178" i="6"/>
  <c r="F173" i="6"/>
  <c r="J179" i="6"/>
  <c r="J174" i="6"/>
  <c r="J178" i="6"/>
  <c r="J173" i="6"/>
  <c r="N179" i="6"/>
  <c r="N174" i="6"/>
  <c r="N178" i="6"/>
  <c r="N173" i="6"/>
  <c r="R179" i="6"/>
  <c r="R174" i="6"/>
  <c r="R173" i="6"/>
  <c r="R178" i="6"/>
  <c r="V179" i="6"/>
  <c r="V174" i="6"/>
  <c r="V178" i="6"/>
  <c r="V173" i="6"/>
  <c r="Z179" i="6"/>
  <c r="Z174" i="6"/>
  <c r="Z178" i="6"/>
  <c r="Z173" i="6"/>
  <c r="E196" i="6"/>
  <c r="E195" i="6"/>
  <c r="I196" i="6"/>
  <c r="I195" i="6"/>
  <c r="M196" i="6"/>
  <c r="M195" i="6"/>
  <c r="Q196" i="6"/>
  <c r="Q195" i="6"/>
  <c r="U196" i="6"/>
  <c r="U195" i="6"/>
  <c r="Y196" i="6"/>
  <c r="Y195" i="6"/>
  <c r="E21" i="6"/>
  <c r="E28" i="6" s="1"/>
  <c r="E22" i="6"/>
  <c r="E29" i="6" s="1"/>
  <c r="I22" i="6"/>
  <c r="I29" i="6" s="1"/>
  <c r="I21" i="6"/>
  <c r="I28" i="6" s="1"/>
  <c r="M21" i="6"/>
  <c r="M28" i="6" s="1"/>
  <c r="M22" i="6"/>
  <c r="M29" i="6" s="1"/>
  <c r="E37" i="6"/>
  <c r="E44" i="6" s="1"/>
  <c r="E36" i="6"/>
  <c r="E43" i="6" s="1"/>
  <c r="I37" i="6"/>
  <c r="I44" i="6" s="1"/>
  <c r="I36" i="6"/>
  <c r="I43" i="6" s="1"/>
  <c r="M37" i="6"/>
  <c r="M44" i="6" s="1"/>
  <c r="M36" i="6"/>
  <c r="M43" i="6" s="1"/>
  <c r="F148" i="6"/>
  <c r="F142" i="6"/>
  <c r="F147" i="6"/>
  <c r="F146" i="6"/>
  <c r="F110" i="6"/>
  <c r="F82" i="6"/>
  <c r="F111" i="6"/>
  <c r="F249" i="6" s="1"/>
  <c r="F140" i="6"/>
  <c r="F83" i="6"/>
  <c r="F141" i="6"/>
  <c r="J148" i="6"/>
  <c r="J142" i="6"/>
  <c r="J147" i="6"/>
  <c r="J111" i="6"/>
  <c r="J140" i="6"/>
  <c r="J146" i="6"/>
  <c r="J141" i="6"/>
  <c r="J83" i="6"/>
  <c r="J82" i="6"/>
  <c r="J110" i="6"/>
  <c r="N148" i="6"/>
  <c r="N142" i="6"/>
  <c r="N147" i="6"/>
  <c r="N146" i="6"/>
  <c r="N140" i="6"/>
  <c r="N141" i="6"/>
  <c r="N83" i="6"/>
  <c r="N82" i="6"/>
  <c r="N110" i="6"/>
  <c r="N111" i="6"/>
  <c r="R148" i="6"/>
  <c r="R142" i="6"/>
  <c r="R147" i="6"/>
  <c r="R141" i="6"/>
  <c r="R110" i="6"/>
  <c r="R239" i="6" s="1"/>
  <c r="R111" i="6"/>
  <c r="R146" i="6"/>
  <c r="R83" i="6"/>
  <c r="R140" i="6"/>
  <c r="R82" i="6"/>
  <c r="V148" i="6"/>
  <c r="V142" i="6"/>
  <c r="V147" i="6"/>
  <c r="V146" i="6"/>
  <c r="V110" i="6"/>
  <c r="V111" i="6"/>
  <c r="V83" i="6"/>
  <c r="V82" i="6"/>
  <c r="V140" i="6"/>
  <c r="V141" i="6"/>
  <c r="Z148" i="6"/>
  <c r="Z142" i="6"/>
  <c r="Z147" i="6"/>
  <c r="Z111" i="6"/>
  <c r="Z140" i="6"/>
  <c r="Z146" i="6"/>
  <c r="Z141" i="6"/>
  <c r="Z83" i="6"/>
  <c r="Z82" i="6"/>
  <c r="Z110" i="6"/>
  <c r="G179" i="6"/>
  <c r="G174" i="6"/>
  <c r="G178" i="6"/>
  <c r="G173" i="6"/>
  <c r="K178" i="6"/>
  <c r="K173" i="6"/>
  <c r="K179" i="6"/>
  <c r="K174" i="6"/>
  <c r="O179" i="6"/>
  <c r="O174" i="6"/>
  <c r="O178" i="6"/>
  <c r="O173" i="6"/>
  <c r="S179" i="6"/>
  <c r="S174" i="6"/>
  <c r="S173" i="6"/>
  <c r="S178" i="6"/>
  <c r="W179" i="6"/>
  <c r="W174" i="6"/>
  <c r="W178" i="6"/>
  <c r="W173" i="6"/>
  <c r="AA173" i="6"/>
  <c r="AA174" i="6"/>
  <c r="AA178" i="6"/>
  <c r="AA179" i="6"/>
  <c r="F196" i="6"/>
  <c r="F195" i="6"/>
  <c r="J196" i="6"/>
  <c r="J195" i="6"/>
  <c r="N196" i="6"/>
  <c r="N195" i="6"/>
  <c r="R196" i="6"/>
  <c r="R195" i="6"/>
  <c r="V196" i="6"/>
  <c r="V195" i="6"/>
  <c r="Z196" i="6"/>
  <c r="Z195" i="6"/>
  <c r="S63" i="14"/>
  <c r="E24" i="14"/>
  <c r="U24" i="14"/>
  <c r="T28" i="14"/>
  <c r="H53" i="14"/>
  <c r="X53" i="14"/>
  <c r="P54" i="14"/>
  <c r="H55" i="14"/>
  <c r="X55" i="14"/>
  <c r="J24" i="14"/>
  <c r="Z24" i="14"/>
  <c r="R25" i="14"/>
  <c r="I28" i="14"/>
  <c r="Y28" i="14"/>
  <c r="K53" i="14"/>
  <c r="AA53" i="14"/>
  <c r="S54" i="14"/>
  <c r="K55" i="14"/>
  <c r="AA55" i="14"/>
  <c r="M24" i="14"/>
  <c r="M26" i="14" s="1"/>
  <c r="E25" i="14"/>
  <c r="U25" i="14"/>
  <c r="L28" i="14"/>
  <c r="AB28" i="14"/>
  <c r="P53" i="14"/>
  <c r="H54" i="14"/>
  <c r="X54" i="14"/>
  <c r="P55" i="14"/>
  <c r="R24" i="14"/>
  <c r="J25" i="14"/>
  <c r="Z25" i="14"/>
  <c r="Q28" i="14"/>
  <c r="S53" i="14"/>
  <c r="K54" i="14"/>
  <c r="AA54" i="14"/>
  <c r="S55" i="14"/>
  <c r="H61" i="7"/>
  <c r="I61" i="7"/>
  <c r="H70" i="7"/>
  <c r="I70" i="7"/>
  <c r="F134" i="6"/>
  <c r="J165" i="6"/>
  <c r="J219" i="6" s="1"/>
  <c r="X160" i="6"/>
  <c r="X209" i="6" s="1"/>
  <c r="Y299" i="6"/>
  <c r="L70" i="12"/>
  <c r="Q26" i="12"/>
  <c r="N18" i="12"/>
  <c r="V18" i="12"/>
  <c r="Y26" i="12"/>
  <c r="F18" i="12"/>
  <c r="I26" i="12"/>
  <c r="I50" i="12"/>
  <c r="I66" i="12" s="1"/>
  <c r="Y50" i="12"/>
  <c r="Y55" i="12" s="1"/>
  <c r="T67" i="12"/>
  <c r="X67" i="12"/>
  <c r="H68" i="12"/>
  <c r="L68" i="12"/>
  <c r="P68" i="12"/>
  <c r="T68" i="12"/>
  <c r="X68" i="12"/>
  <c r="H69" i="12"/>
  <c r="L69" i="12"/>
  <c r="P69" i="12"/>
  <c r="T69" i="12"/>
  <c r="X69" i="12"/>
  <c r="H70" i="12"/>
  <c r="P70" i="12"/>
  <c r="T70" i="12"/>
  <c r="X70" i="12"/>
  <c r="R18" i="12"/>
  <c r="E26" i="12"/>
  <c r="U26" i="12"/>
  <c r="M50" i="12"/>
  <c r="M66" i="12" s="1"/>
  <c r="M71" i="12" s="1"/>
  <c r="Q50" i="12"/>
  <c r="Q55" i="12" s="1"/>
  <c r="J18" i="12"/>
  <c r="Z18" i="12"/>
  <c r="M26" i="12"/>
  <c r="E50" i="12"/>
  <c r="E55" i="12" s="1"/>
  <c r="U50" i="12"/>
  <c r="U55" i="12" s="1"/>
  <c r="H39" i="7"/>
  <c r="I39" i="7"/>
  <c r="D421" i="11"/>
  <c r="F24" i="14"/>
  <c r="N24" i="14"/>
  <c r="V24" i="14"/>
  <c r="F25" i="14"/>
  <c r="N25" i="14"/>
  <c r="V25" i="14"/>
  <c r="E28" i="14"/>
  <c r="M28" i="14"/>
  <c r="U28" i="14"/>
  <c r="E40" i="14"/>
  <c r="I40" i="14"/>
  <c r="M40" i="14"/>
  <c r="Q40" i="14"/>
  <c r="U40" i="14"/>
  <c r="Y40" i="14"/>
  <c r="L53" i="14"/>
  <c r="T53" i="14"/>
  <c r="AB53" i="14"/>
  <c r="L54" i="14"/>
  <c r="T54" i="14"/>
  <c r="AB54" i="14"/>
  <c r="L55" i="14"/>
  <c r="T55" i="14"/>
  <c r="AB55" i="14"/>
  <c r="I24" i="14"/>
  <c r="Q24" i="14"/>
  <c r="Y24" i="14"/>
  <c r="I25" i="14"/>
  <c r="Q25" i="14"/>
  <c r="Y25" i="14"/>
  <c r="H28" i="14"/>
  <c r="P28" i="14"/>
  <c r="X28" i="14"/>
  <c r="G53" i="14"/>
  <c r="O53" i="14"/>
  <c r="W53" i="14"/>
  <c r="G54" i="14"/>
  <c r="O54" i="14"/>
  <c r="W54" i="14"/>
  <c r="G55" i="14"/>
  <c r="O55" i="14"/>
  <c r="W55" i="14"/>
  <c r="H24" i="14"/>
  <c r="L24" i="14"/>
  <c r="P24" i="14"/>
  <c r="T24" i="14"/>
  <c r="X24" i="14"/>
  <c r="AB24" i="14"/>
  <c r="H25" i="14"/>
  <c r="L25" i="14"/>
  <c r="P25" i="14"/>
  <c r="T25" i="14"/>
  <c r="T26" i="14" s="1"/>
  <c r="T30" i="14" s="1"/>
  <c r="X25" i="14"/>
  <c r="AB25" i="14"/>
  <c r="G28" i="14"/>
  <c r="K28" i="14"/>
  <c r="O28" i="14"/>
  <c r="S28" i="14"/>
  <c r="W28" i="14"/>
  <c r="AA28" i="14"/>
  <c r="F53" i="14"/>
  <c r="J53" i="14"/>
  <c r="N53" i="14"/>
  <c r="R53" i="14"/>
  <c r="V53" i="14"/>
  <c r="Z53" i="14"/>
  <c r="F54" i="14"/>
  <c r="J54" i="14"/>
  <c r="N54" i="14"/>
  <c r="R54" i="14"/>
  <c r="V54" i="14"/>
  <c r="Z54" i="14"/>
  <c r="F55" i="14"/>
  <c r="J55" i="14"/>
  <c r="N55" i="14"/>
  <c r="R55" i="14"/>
  <c r="V55" i="14"/>
  <c r="Z55" i="14"/>
  <c r="G24" i="14"/>
  <c r="K24" i="14"/>
  <c r="O24" i="14"/>
  <c r="S24" i="14"/>
  <c r="W24" i="14"/>
  <c r="AA24" i="14"/>
  <c r="G25" i="14"/>
  <c r="K25" i="14"/>
  <c r="O25" i="14"/>
  <c r="S25" i="14"/>
  <c r="W25" i="14"/>
  <c r="AA25" i="14"/>
  <c r="F28" i="14"/>
  <c r="J28" i="14"/>
  <c r="N28" i="14"/>
  <c r="R28" i="14"/>
  <c r="V28" i="14"/>
  <c r="Z28" i="14"/>
  <c r="E53" i="14"/>
  <c r="I53" i="14"/>
  <c r="M53" i="14"/>
  <c r="Q53" i="14"/>
  <c r="U53" i="14"/>
  <c r="Y53" i="14"/>
  <c r="E54" i="14"/>
  <c r="I54" i="14"/>
  <c r="M54" i="14"/>
  <c r="Q54" i="14"/>
  <c r="U54" i="14"/>
  <c r="Y54" i="14"/>
  <c r="E55" i="14"/>
  <c r="I55" i="14"/>
  <c r="M55" i="14"/>
  <c r="Q55" i="14"/>
  <c r="U55" i="14"/>
  <c r="Y55" i="14"/>
  <c r="M205" i="6"/>
  <c r="D92" i="6"/>
  <c r="D99" i="6" s="1"/>
  <c r="D97" i="6"/>
  <c r="M169" i="11"/>
  <c r="E412" i="11"/>
  <c r="F24" i="11"/>
  <c r="G24" i="11" s="1"/>
  <c r="F28" i="11" s="1"/>
  <c r="N63" i="11"/>
  <c r="O63" i="11" s="1"/>
  <c r="P63" i="11" s="1"/>
  <c r="P169" i="11" s="1"/>
  <c r="G198" i="11"/>
  <c r="F13" i="11"/>
  <c r="F20" i="11" s="1"/>
  <c r="D31" i="11"/>
  <c r="E133" i="11"/>
  <c r="F133" i="11" s="1"/>
  <c r="G133" i="11" s="1"/>
  <c r="H133" i="11" s="1"/>
  <c r="I133" i="11" s="1"/>
  <c r="J133" i="11" s="1"/>
  <c r="K133" i="11" s="1"/>
  <c r="L133" i="11" s="1"/>
  <c r="M133" i="11" s="1"/>
  <c r="N133" i="11" s="1"/>
  <c r="O133" i="11" s="1"/>
  <c r="P133" i="11" s="1"/>
  <c r="Q133" i="11" s="1"/>
  <c r="R133" i="11" s="1"/>
  <c r="S133" i="11" s="1"/>
  <c r="T133" i="11" s="1"/>
  <c r="U133" i="11" s="1"/>
  <c r="V133" i="11" s="1"/>
  <c r="W133" i="11" s="1"/>
  <c r="O11" i="11"/>
  <c r="N410" i="11"/>
  <c r="H157" i="11"/>
  <c r="I136" i="11"/>
  <c r="J136" i="11" s="1"/>
  <c r="K136" i="11" s="1"/>
  <c r="L136" i="11" s="1"/>
  <c r="M136" i="11" s="1"/>
  <c r="N136" i="11" s="1"/>
  <c r="O136" i="11" s="1"/>
  <c r="P136" i="11" s="1"/>
  <c r="Q136" i="11" s="1"/>
  <c r="R136" i="11" s="1"/>
  <c r="S136" i="11" s="1"/>
  <c r="T136" i="11" s="1"/>
  <c r="U136" i="11" s="1"/>
  <c r="V136" i="11" s="1"/>
  <c r="W136" i="11" s="1"/>
  <c r="X136" i="11" s="1"/>
  <c r="Y136" i="11" s="1"/>
  <c r="Z136" i="11" s="1"/>
  <c r="AA136" i="11" s="1"/>
  <c r="E16" i="11"/>
  <c r="E19" i="11" s="1"/>
  <c r="M15" i="11"/>
  <c r="E32" i="11"/>
  <c r="F25" i="11"/>
  <c r="T63" i="11"/>
  <c r="U63" i="11" s="1"/>
  <c r="H167" i="11"/>
  <c r="V195" i="11"/>
  <c r="W180" i="11"/>
  <c r="X180" i="11" s="1"/>
  <c r="R201" i="11"/>
  <c r="S81" i="11"/>
  <c r="T81" i="11" s="1"/>
  <c r="R147" i="11"/>
  <c r="S147" i="11" s="1"/>
  <c r="T147" i="11" s="1"/>
  <c r="U147" i="11" s="1"/>
  <c r="V147" i="11" s="1"/>
  <c r="W147" i="11" s="1"/>
  <c r="Q169" i="11"/>
  <c r="M27" i="11"/>
  <c r="O23" i="11"/>
  <c r="W186" i="11"/>
  <c r="X186" i="11" s="1"/>
  <c r="Y186" i="11" s="1"/>
  <c r="Z186" i="11" s="1"/>
  <c r="AA186" i="11" s="1"/>
  <c r="H156" i="11"/>
  <c r="H183" i="11"/>
  <c r="I183" i="11" s="1"/>
  <c r="J183" i="11" s="1"/>
  <c r="K183" i="11" s="1"/>
  <c r="L183" i="11" s="1"/>
  <c r="M183" i="11" s="1"/>
  <c r="N183" i="11" s="1"/>
  <c r="O183" i="11" s="1"/>
  <c r="P183" i="11" s="1"/>
  <c r="Q183" i="11" s="1"/>
  <c r="R183" i="11" s="1"/>
  <c r="S183" i="11" s="1"/>
  <c r="T183" i="11" s="1"/>
  <c r="U183" i="11" s="1"/>
  <c r="V183" i="11" s="1"/>
  <c r="W183" i="11" s="1"/>
  <c r="X183" i="11" s="1"/>
  <c r="Y183" i="11" s="1"/>
  <c r="Z183" i="11" s="1"/>
  <c r="AA183" i="11" s="1"/>
  <c r="I135" i="11"/>
  <c r="J135" i="11" s="1"/>
  <c r="K135" i="11" s="1"/>
  <c r="L135" i="11" s="1"/>
  <c r="M135" i="11" s="1"/>
  <c r="N135" i="11" s="1"/>
  <c r="O135" i="11" s="1"/>
  <c r="P135" i="11" s="1"/>
  <c r="Q135" i="11" s="1"/>
  <c r="R135" i="11" s="1"/>
  <c r="S135" i="11" s="1"/>
  <c r="T135" i="11" s="1"/>
  <c r="U135" i="11" s="1"/>
  <c r="V135" i="11" s="1"/>
  <c r="W135" i="11" s="1"/>
  <c r="X135" i="11" s="1"/>
  <c r="Y135" i="11" s="1"/>
  <c r="Z135" i="11" s="1"/>
  <c r="AA135" i="11" s="1"/>
  <c r="U202" i="11"/>
  <c r="E48" i="11"/>
  <c r="F48" i="11" s="1"/>
  <c r="P80" i="11"/>
  <c r="Q80" i="11" s="1"/>
  <c r="V82" i="11"/>
  <c r="G36" i="14"/>
  <c r="G40" i="14" s="1"/>
  <c r="K36" i="14"/>
  <c r="K40" i="14" s="1"/>
  <c r="O36" i="14"/>
  <c r="O40" i="14" s="1"/>
  <c r="S36" i="14"/>
  <c r="S40" i="14" s="1"/>
  <c r="W36" i="14"/>
  <c r="W40" i="14" s="1"/>
  <c r="AA36" i="14"/>
  <c r="AA40" i="14" s="1"/>
  <c r="F40" i="14"/>
  <c r="J40" i="14"/>
  <c r="N40" i="14"/>
  <c r="R40" i="14"/>
  <c r="V40" i="14"/>
  <c r="Z40" i="14"/>
  <c r="H299" i="6"/>
  <c r="I215" i="6"/>
  <c r="K248" i="6"/>
  <c r="M248" i="6"/>
  <c r="Y248" i="6"/>
  <c r="G228" i="6"/>
  <c r="K228" i="6"/>
  <c r="O228" i="6"/>
  <c r="S228" i="6"/>
  <c r="W228" i="6"/>
  <c r="AA228" i="6"/>
  <c r="F59" i="6"/>
  <c r="F70" i="6" s="1"/>
  <c r="E228" i="6"/>
  <c r="M228" i="6"/>
  <c r="X230" i="6"/>
  <c r="L228" i="6"/>
  <c r="E227" i="6"/>
  <c r="I227" i="6"/>
  <c r="M227" i="6"/>
  <c r="Q227" i="6"/>
  <c r="U227" i="6"/>
  <c r="Y227" i="6"/>
  <c r="E62" i="6"/>
  <c r="E64" i="6" s="1"/>
  <c r="R226" i="6"/>
  <c r="P226" i="6"/>
  <c r="I228" i="6"/>
  <c r="U228" i="6"/>
  <c r="Y228" i="6"/>
  <c r="I204" i="6"/>
  <c r="H190" i="6"/>
  <c r="H210" i="6"/>
  <c r="G214" i="6"/>
  <c r="I77" i="6"/>
  <c r="L299" i="6"/>
  <c r="N7" i="6"/>
  <c r="G205" i="6"/>
  <c r="H97" i="6"/>
  <c r="M204" i="6"/>
  <c r="K204" i="6"/>
  <c r="E215" i="6"/>
  <c r="N215" i="6"/>
  <c r="L205" i="6"/>
  <c r="H215" i="6"/>
  <c r="K54" i="6"/>
  <c r="K69" i="6" s="1"/>
  <c r="T77" i="6"/>
  <c r="D228" i="6"/>
  <c r="P228" i="6"/>
  <c r="T228" i="6"/>
  <c r="O167" i="6"/>
  <c r="U77" i="6"/>
  <c r="D215" i="6"/>
  <c r="G59" i="6"/>
  <c r="G70" i="6" s="1"/>
  <c r="L77" i="6"/>
  <c r="L190" i="6"/>
  <c r="P77" i="6"/>
  <c r="P8" i="6"/>
  <c r="P37" i="6" s="1"/>
  <c r="P44" i="6" s="1"/>
  <c r="G204" i="6"/>
  <c r="K205" i="6"/>
  <c r="H59" i="6"/>
  <c r="H70" i="6" s="1"/>
  <c r="D214" i="6"/>
  <c r="L204" i="6"/>
  <c r="E214" i="6"/>
  <c r="I214" i="6"/>
  <c r="E205" i="6"/>
  <c r="I205" i="6"/>
  <c r="L54" i="6"/>
  <c r="L69" i="6" s="1"/>
  <c r="U249" i="6"/>
  <c r="U239" i="6"/>
  <c r="M239" i="6"/>
  <c r="E239" i="6"/>
  <c r="J215" i="6"/>
  <c r="G206" i="6"/>
  <c r="G226" i="6" s="1"/>
  <c r="G77" i="6"/>
  <c r="AA206" i="6"/>
  <c r="AA226" i="6" s="1"/>
  <c r="F77" i="6"/>
  <c r="T249" i="6"/>
  <c r="F239" i="6"/>
  <c r="N249" i="6"/>
  <c r="N239" i="6"/>
  <c r="V249" i="6"/>
  <c r="V239" i="6"/>
  <c r="S219" i="6"/>
  <c r="S229" i="6" s="1"/>
  <c r="S167" i="6"/>
  <c r="V77" i="6"/>
  <c r="D239" i="6"/>
  <c r="L249" i="6"/>
  <c r="F160" i="6"/>
  <c r="J160" i="6"/>
  <c r="R160" i="6"/>
  <c r="V160" i="6"/>
  <c r="E167" i="6"/>
  <c r="E209" i="6"/>
  <c r="E229" i="6" s="1"/>
  <c r="D165" i="6"/>
  <c r="H165" i="6"/>
  <c r="H219" i="6" s="1"/>
  <c r="T165" i="6"/>
  <c r="J214" i="6"/>
  <c r="E226" i="6"/>
  <c r="I226" i="6"/>
  <c r="M206" i="6"/>
  <c r="M226" i="6" s="1"/>
  <c r="M77" i="6"/>
  <c r="Q226" i="6"/>
  <c r="U226" i="6"/>
  <c r="Y226" i="6"/>
  <c r="H216" i="6"/>
  <c r="H226" i="6" s="1"/>
  <c r="H77" i="6"/>
  <c r="X216" i="6"/>
  <c r="X226" i="6" s="1"/>
  <c r="X77" i="6"/>
  <c r="D77" i="6"/>
  <c r="J77" i="6"/>
  <c r="Q77" i="6"/>
  <c r="Y77" i="6"/>
  <c r="Q239" i="6"/>
  <c r="D249" i="6"/>
  <c r="Y249" i="6"/>
  <c r="G209" i="6"/>
  <c r="G229" i="6" s="1"/>
  <c r="G167" i="6"/>
  <c r="U167" i="6"/>
  <c r="U209" i="6"/>
  <c r="U229" i="6" s="1"/>
  <c r="J180" i="6"/>
  <c r="F215" i="6"/>
  <c r="G54" i="6"/>
  <c r="G69" i="6" s="1"/>
  <c r="K77" i="6"/>
  <c r="K206" i="6"/>
  <c r="K226" i="6" s="1"/>
  <c r="O206" i="6"/>
  <c r="O226" i="6" s="1"/>
  <c r="O77" i="6"/>
  <c r="W206" i="6"/>
  <c r="W226" i="6" s="1"/>
  <c r="W77" i="6"/>
  <c r="N77" i="6"/>
  <c r="L239" i="6"/>
  <c r="I249" i="6"/>
  <c r="J249" i="6"/>
  <c r="R249" i="6"/>
  <c r="Z249" i="6"/>
  <c r="Z239" i="6"/>
  <c r="D210" i="6"/>
  <c r="D230" i="6" s="1"/>
  <c r="D190" i="6"/>
  <c r="X249" i="6"/>
  <c r="N209" i="6"/>
  <c r="N229" i="6" s="1"/>
  <c r="N167" i="6"/>
  <c r="Z160" i="6"/>
  <c r="P165" i="6"/>
  <c r="X165" i="6"/>
  <c r="X219" i="6" s="1"/>
  <c r="L165" i="6"/>
  <c r="L219" i="6" s="1"/>
  <c r="L229" i="6" s="1"/>
  <c r="D62" i="6"/>
  <c r="D64" i="6" s="1"/>
  <c r="F226" i="6"/>
  <c r="J226" i="6"/>
  <c r="N226" i="6"/>
  <c r="R77" i="6"/>
  <c r="V226" i="6"/>
  <c r="Z226" i="6"/>
  <c r="E77" i="6"/>
  <c r="Z77" i="6"/>
  <c r="I239" i="6"/>
  <c r="T239" i="6"/>
  <c r="H249" i="6"/>
  <c r="Q249" i="6"/>
  <c r="H209" i="6"/>
  <c r="Q167" i="6"/>
  <c r="Q209" i="6"/>
  <c r="Q229" i="6" s="1"/>
  <c r="W167" i="6"/>
  <c r="W209" i="6"/>
  <c r="W229" i="6" s="1"/>
  <c r="T190" i="6"/>
  <c r="S206" i="6"/>
  <c r="S226" i="6" s="1"/>
  <c r="X228" i="6"/>
  <c r="H228" i="6"/>
  <c r="G249" i="6"/>
  <c r="G239" i="6"/>
  <c r="K249" i="6"/>
  <c r="K239" i="6"/>
  <c r="O249" i="6"/>
  <c r="O239" i="6"/>
  <c r="S249" i="6"/>
  <c r="S239" i="6"/>
  <c r="W239" i="6"/>
  <c r="AA249" i="6"/>
  <c r="AA239" i="6"/>
  <c r="M209" i="6"/>
  <c r="M229" i="6" s="1"/>
  <c r="M167" i="6"/>
  <c r="K165" i="6"/>
  <c r="K219" i="6" s="1"/>
  <c r="K229" i="6" s="1"/>
  <c r="AA165" i="6"/>
  <c r="P210" i="6"/>
  <c r="P190" i="6"/>
  <c r="E220" i="6"/>
  <c r="I220" i="6"/>
  <c r="M220" i="6"/>
  <c r="U220" i="6"/>
  <c r="Q220" i="6"/>
  <c r="Y220" i="6"/>
  <c r="D226" i="6"/>
  <c r="L226" i="6"/>
  <c r="T226" i="6"/>
  <c r="Q228" i="6"/>
  <c r="X190" i="6"/>
  <c r="F228" i="6"/>
  <c r="J228" i="6"/>
  <c r="N228" i="6"/>
  <c r="R228" i="6"/>
  <c r="V228" i="6"/>
  <c r="Z228" i="6"/>
  <c r="I160" i="6"/>
  <c r="O229" i="6"/>
  <c r="Y160" i="6"/>
  <c r="H220" i="6"/>
  <c r="P220" i="6"/>
  <c r="T220" i="6"/>
  <c r="T230" i="6" s="1"/>
  <c r="L220" i="6"/>
  <c r="L230" i="6" s="1"/>
  <c r="F299" i="6"/>
  <c r="G227" i="6"/>
  <c r="K227" i="6"/>
  <c r="O227" i="6"/>
  <c r="W227" i="6"/>
  <c r="AA227" i="6"/>
  <c r="J227" i="6"/>
  <c r="R227" i="6"/>
  <c r="Z227" i="6"/>
  <c r="S227" i="6"/>
  <c r="F227" i="6"/>
  <c r="N227" i="6"/>
  <c r="V227" i="6"/>
  <c r="H227" i="6"/>
  <c r="L227" i="6"/>
  <c r="P227" i="6"/>
  <c r="T227" i="6"/>
  <c r="X227" i="6"/>
  <c r="D66" i="12"/>
  <c r="D71" i="12" s="1"/>
  <c r="D55" i="12"/>
  <c r="H66" i="12"/>
  <c r="H55" i="12"/>
  <c r="L66" i="12"/>
  <c r="L55" i="12"/>
  <c r="P66" i="12"/>
  <c r="P55" i="12"/>
  <c r="T66" i="12"/>
  <c r="T55" i="12"/>
  <c r="X66" i="12"/>
  <c r="X55" i="12"/>
  <c r="F66" i="12"/>
  <c r="F55" i="12"/>
  <c r="J66" i="12"/>
  <c r="J55" i="12"/>
  <c r="N55" i="12"/>
  <c r="R66" i="12"/>
  <c r="R55" i="12"/>
  <c r="V66" i="12"/>
  <c r="V55" i="12"/>
  <c r="Z66" i="12"/>
  <c r="Z55" i="12"/>
  <c r="F67" i="12"/>
  <c r="J67" i="12"/>
  <c r="N67" i="12"/>
  <c r="R67" i="12"/>
  <c r="V67" i="12"/>
  <c r="Z67" i="12"/>
  <c r="F68" i="12"/>
  <c r="J68" i="12"/>
  <c r="N68" i="12"/>
  <c r="R68" i="12"/>
  <c r="V68" i="12"/>
  <c r="Z68" i="12"/>
  <c r="F69" i="12"/>
  <c r="J69" i="12"/>
  <c r="N69" i="12"/>
  <c r="R69" i="12"/>
  <c r="V69" i="12"/>
  <c r="G66" i="12"/>
  <c r="G71" i="12" s="1"/>
  <c r="G55" i="12"/>
  <c r="K66" i="12"/>
  <c r="K71" i="12" s="1"/>
  <c r="K55" i="12"/>
  <c r="O66" i="12"/>
  <c r="O71" i="12" s="1"/>
  <c r="O55" i="12"/>
  <c r="S66" i="12"/>
  <c r="S71" i="12" s="1"/>
  <c r="S55" i="12"/>
  <c r="W66" i="12"/>
  <c r="W71" i="12" s="1"/>
  <c r="W55" i="12"/>
  <c r="AA66" i="12"/>
  <c r="AA71" i="12" s="1"/>
  <c r="AA55" i="12"/>
  <c r="I71" i="12"/>
  <c r="N58" i="12"/>
  <c r="N63" i="12" s="1"/>
  <c r="G18" i="12"/>
  <c r="K18" i="12"/>
  <c r="O18" i="12"/>
  <c r="S18" i="12"/>
  <c r="W18" i="12"/>
  <c r="AA18" i="12"/>
  <c r="F26" i="12"/>
  <c r="J26" i="12"/>
  <c r="R26" i="12"/>
  <c r="V26" i="12"/>
  <c r="Z26" i="12"/>
  <c r="Y66" i="12"/>
  <c r="Y71" i="12" s="1"/>
  <c r="D18" i="12"/>
  <c r="H18" i="12"/>
  <c r="L18" i="12"/>
  <c r="P18" i="12"/>
  <c r="T18" i="12"/>
  <c r="X18" i="12"/>
  <c r="G26" i="12"/>
  <c r="K26" i="12"/>
  <c r="O26" i="12"/>
  <c r="S26" i="12"/>
  <c r="W26" i="12"/>
  <c r="AA26" i="12"/>
  <c r="Z69" i="12"/>
  <c r="F70" i="12"/>
  <c r="J70" i="12"/>
  <c r="N70" i="12"/>
  <c r="R70" i="12"/>
  <c r="V70" i="12"/>
  <c r="Z70" i="12"/>
  <c r="D26" i="12"/>
  <c r="H26" i="12"/>
  <c r="L26" i="12"/>
  <c r="P26" i="12"/>
  <c r="T26" i="12"/>
  <c r="X26" i="12"/>
  <c r="E66" i="12"/>
  <c r="E71" i="12" s="1"/>
  <c r="X155" i="11"/>
  <c r="Y134" i="11"/>
  <c r="K62" i="11"/>
  <c r="Y63" i="11"/>
  <c r="I78" i="11"/>
  <c r="AA204" i="11"/>
  <c r="M153" i="11"/>
  <c r="N132" i="11"/>
  <c r="K50" i="11"/>
  <c r="I167" i="11"/>
  <c r="J61" i="11"/>
  <c r="Q142" i="11"/>
  <c r="P164" i="11"/>
  <c r="Q143" i="11"/>
  <c r="P165" i="11"/>
  <c r="E411" i="11"/>
  <c r="E20" i="11"/>
  <c r="D16" i="11"/>
  <c r="D19" i="11" s="1"/>
  <c r="K51" i="11"/>
  <c r="X52" i="11"/>
  <c r="D152" i="11"/>
  <c r="E131" i="11"/>
  <c r="V166" i="11"/>
  <c r="W144" i="11"/>
  <c r="P7" i="11"/>
  <c r="H162" i="11"/>
  <c r="I140" i="11"/>
  <c r="X181" i="11"/>
  <c r="W196" i="11"/>
  <c r="G12" i="11"/>
  <c r="Q141" i="11"/>
  <c r="P163" i="11"/>
  <c r="E38" i="11"/>
  <c r="E216" i="11" s="1"/>
  <c r="S52" i="11"/>
  <c r="X203" i="11"/>
  <c r="Y83" i="11"/>
  <c r="R137" i="11"/>
  <c r="S137" i="11" s="1"/>
  <c r="T137" i="11" s="1"/>
  <c r="U137" i="11" s="1"/>
  <c r="V137" i="11" s="1"/>
  <c r="O193" i="11"/>
  <c r="R185" i="11"/>
  <c r="S185" i="11" s="1"/>
  <c r="T185" i="11" s="1"/>
  <c r="U185" i="11" s="1"/>
  <c r="V185" i="11" s="1"/>
  <c r="W185" i="11" s="1"/>
  <c r="X185" i="11" s="1"/>
  <c r="Y185" i="11" s="1"/>
  <c r="Z185" i="11" s="1"/>
  <c r="AA185" i="11" s="1"/>
  <c r="M158" i="11"/>
  <c r="N52" i="11"/>
  <c r="J199" i="11"/>
  <c r="K79" i="11"/>
  <c r="H168" i="11"/>
  <c r="I146" i="11"/>
  <c r="J146" i="11" s="1"/>
  <c r="K146" i="11" s="1"/>
  <c r="L146" i="11" s="1"/>
  <c r="M146" i="11" s="1"/>
  <c r="N146" i="11" s="1"/>
  <c r="O146" i="11" s="1"/>
  <c r="P146" i="11" s="1"/>
  <c r="Q146" i="11" s="1"/>
  <c r="R146" i="11" s="1"/>
  <c r="S146" i="11" s="1"/>
  <c r="T146" i="11" s="1"/>
  <c r="U146" i="11" s="1"/>
  <c r="V146" i="11" s="1"/>
  <c r="W146" i="11" s="1"/>
  <c r="X146" i="11" s="1"/>
  <c r="Y146" i="11" s="1"/>
  <c r="Z146" i="11" s="1"/>
  <c r="AA146" i="11" s="1"/>
  <c r="P193" i="11"/>
  <c r="Q178" i="11"/>
  <c r="P194" i="11"/>
  <c r="Q179" i="11"/>
  <c r="E182" i="11"/>
  <c r="F182" i="11" s="1"/>
  <c r="G182" i="11" s="1"/>
  <c r="H182" i="11" s="1"/>
  <c r="I182" i="11" s="1"/>
  <c r="J182" i="11" s="1"/>
  <c r="K182" i="11" s="1"/>
  <c r="L182" i="11" s="1"/>
  <c r="M182" i="11" s="1"/>
  <c r="N182" i="11" s="1"/>
  <c r="O182" i="11" s="1"/>
  <c r="P182" i="11" s="1"/>
  <c r="Q182" i="11" s="1"/>
  <c r="R182" i="11" s="1"/>
  <c r="S182" i="11" s="1"/>
  <c r="T182" i="11" s="1"/>
  <c r="U182" i="11" s="1"/>
  <c r="V182" i="11" s="1"/>
  <c r="W182" i="11" s="1"/>
  <c r="X182" i="11" s="1"/>
  <c r="Y182" i="11" s="1"/>
  <c r="Z182" i="11" s="1"/>
  <c r="F214" i="6" l="1"/>
  <c r="L215" i="6"/>
  <c r="K214" i="6"/>
  <c r="S56" i="14"/>
  <c r="U66" i="12"/>
  <c r="U71" i="12" s="1"/>
  <c r="D205" i="6"/>
  <c r="H205" i="6"/>
  <c r="H204" i="6"/>
  <c r="H211" i="6" s="1"/>
  <c r="G215" i="6"/>
  <c r="H225" i="6"/>
  <c r="O7" i="6"/>
  <c r="O16" i="5"/>
  <c r="P22" i="6"/>
  <c r="P29" i="6" s="1"/>
  <c r="E26" i="14"/>
  <c r="E30" i="14" s="1"/>
  <c r="H56" i="14"/>
  <c r="K26" i="14"/>
  <c r="K30" i="14" s="1"/>
  <c r="N36" i="6"/>
  <c r="N43" i="6" s="1"/>
  <c r="N21" i="6"/>
  <c r="N28" i="6" s="1"/>
  <c r="U26" i="14"/>
  <c r="R26" i="14"/>
  <c r="R30" i="14" s="1"/>
  <c r="I26" i="14"/>
  <c r="I30" i="14" s="1"/>
  <c r="K56" i="14"/>
  <c r="M30" i="14"/>
  <c r="AA56" i="14"/>
  <c r="X26" i="14"/>
  <c r="X30" i="14" s="1"/>
  <c r="H26" i="14"/>
  <c r="H30" i="14" s="1"/>
  <c r="P26" i="14"/>
  <c r="P30" i="14" s="1"/>
  <c r="Z26" i="14"/>
  <c r="Z30" i="14" s="1"/>
  <c r="AB56" i="14"/>
  <c r="N26" i="14"/>
  <c r="N30" i="14" s="1"/>
  <c r="P56" i="14"/>
  <c r="J26" i="14"/>
  <c r="J30" i="14" s="1"/>
  <c r="G56" i="14"/>
  <c r="Q26" i="14"/>
  <c r="Q30" i="14" s="1"/>
  <c r="T56" i="14"/>
  <c r="U30" i="14"/>
  <c r="F26" i="14"/>
  <c r="F30" i="14" s="1"/>
  <c r="X56" i="14"/>
  <c r="E225" i="6"/>
  <c r="H167" i="6"/>
  <c r="M237" i="6"/>
  <c r="M9" i="18" s="1"/>
  <c r="I55" i="12"/>
  <c r="Q66" i="12"/>
  <c r="Q71" i="12" s="1"/>
  <c r="M55" i="12"/>
  <c r="J71" i="12"/>
  <c r="X71" i="12"/>
  <c r="P71" i="12"/>
  <c r="H71" i="12"/>
  <c r="T71" i="12"/>
  <c r="L71" i="12"/>
  <c r="E414" i="11"/>
  <c r="P200" i="11"/>
  <c r="O26" i="14"/>
  <c r="O30" i="14" s="1"/>
  <c r="W56" i="14"/>
  <c r="L56" i="14"/>
  <c r="AA26" i="14"/>
  <c r="AA30" i="14" s="1"/>
  <c r="L26" i="14"/>
  <c r="L30" i="14" s="1"/>
  <c r="O56" i="14"/>
  <c r="Y26" i="14"/>
  <c r="Y30" i="14" s="1"/>
  <c r="V26" i="14"/>
  <c r="V30" i="14" s="1"/>
  <c r="U56" i="14"/>
  <c r="J56" i="14"/>
  <c r="F56" i="14"/>
  <c r="Y56" i="14"/>
  <c r="I56" i="14"/>
  <c r="S26" i="14"/>
  <c r="S30" i="14" s="1"/>
  <c r="N56" i="14"/>
  <c r="E56" i="14"/>
  <c r="Z56" i="14"/>
  <c r="Q56" i="14"/>
  <c r="V56" i="14"/>
  <c r="M56" i="14"/>
  <c r="W26" i="14"/>
  <c r="W30" i="14" s="1"/>
  <c r="G26" i="14"/>
  <c r="G30" i="14" s="1"/>
  <c r="R56" i="14"/>
  <c r="AB26" i="14"/>
  <c r="AB30" i="14" s="1"/>
  <c r="E71" i="6"/>
  <c r="Y18" i="18"/>
  <c r="Y56" i="18" s="1"/>
  <c r="V180" i="6"/>
  <c r="V251" i="6" s="1"/>
  <c r="V20" i="18" s="1"/>
  <c r="K18" i="18"/>
  <c r="K78" i="18" s="1"/>
  <c r="L180" i="6"/>
  <c r="L251" i="6" s="1"/>
  <c r="L20" i="18" s="1"/>
  <c r="F62" i="6"/>
  <c r="F64" i="6" s="1"/>
  <c r="F71" i="6" s="1"/>
  <c r="D71" i="6"/>
  <c r="E92" i="6"/>
  <c r="E99" i="6" s="1"/>
  <c r="E98" i="6"/>
  <c r="Y78" i="18"/>
  <c r="M18" i="18"/>
  <c r="D18" i="18"/>
  <c r="S201" i="11"/>
  <c r="V154" i="11"/>
  <c r="F38" i="11"/>
  <c r="F216" i="11" s="1"/>
  <c r="U169" i="11"/>
  <c r="W195" i="11"/>
  <c r="D34" i="11"/>
  <c r="D36" i="11" s="1"/>
  <c r="D154" i="11"/>
  <c r="N169" i="11"/>
  <c r="S169" i="11"/>
  <c r="R169" i="11"/>
  <c r="F412" i="11"/>
  <c r="E154" i="11"/>
  <c r="F32" i="11"/>
  <c r="E28" i="11"/>
  <c r="E31" i="11" s="1"/>
  <c r="F411" i="11"/>
  <c r="F414" i="11" s="1"/>
  <c r="J157" i="11"/>
  <c r="J156" i="11"/>
  <c r="H198" i="11"/>
  <c r="I157" i="11"/>
  <c r="X147" i="11"/>
  <c r="Y147" i="11" s="1"/>
  <c r="Z147" i="11" s="1"/>
  <c r="AA147" i="11" s="1"/>
  <c r="AA169" i="11" s="1"/>
  <c r="W169" i="11"/>
  <c r="V202" i="11"/>
  <c r="W82" i="11"/>
  <c r="I156" i="11"/>
  <c r="O169" i="11"/>
  <c r="V169" i="11"/>
  <c r="H24" i="11"/>
  <c r="I24" i="11" s="1"/>
  <c r="N27" i="11"/>
  <c r="P23" i="11"/>
  <c r="O410" i="11"/>
  <c r="N15" i="11"/>
  <c r="P11" i="11"/>
  <c r="T169" i="11"/>
  <c r="E45" i="6"/>
  <c r="E149" i="6"/>
  <c r="E250" i="6" s="1"/>
  <c r="E19" i="18" s="1"/>
  <c r="I247" i="6"/>
  <c r="I17" i="18" s="1"/>
  <c r="I225" i="6"/>
  <c r="I112" i="6"/>
  <c r="G237" i="6"/>
  <c r="G9" i="18" s="1"/>
  <c r="D84" i="6"/>
  <c r="H229" i="6"/>
  <c r="K180" i="6"/>
  <c r="K251" i="6" s="1"/>
  <c r="K20" i="18" s="1"/>
  <c r="Z242" i="6"/>
  <c r="Z13" i="18" s="1"/>
  <c r="N180" i="6"/>
  <c r="U248" i="6"/>
  <c r="U18" i="18" s="1"/>
  <c r="P180" i="6"/>
  <c r="P251" i="6" s="1"/>
  <c r="P20" i="18" s="1"/>
  <c r="D45" i="6"/>
  <c r="N175" i="6"/>
  <c r="J221" i="6"/>
  <c r="T238" i="6"/>
  <c r="T10" i="18" s="1"/>
  <c r="I248" i="6"/>
  <c r="I18" i="18" s="1"/>
  <c r="N149" i="6"/>
  <c r="N250" i="6" s="1"/>
  <c r="N19" i="18" s="1"/>
  <c r="G143" i="6"/>
  <c r="G240" i="6" s="1"/>
  <c r="G11" i="18" s="1"/>
  <c r="Z259" i="6"/>
  <c r="J112" i="6"/>
  <c r="X248" i="6"/>
  <c r="X18" i="18" s="1"/>
  <c r="Q259" i="6"/>
  <c r="N143" i="6"/>
  <c r="Q112" i="6"/>
  <c r="O248" i="6"/>
  <c r="O18" i="18" s="1"/>
  <c r="Y180" i="6"/>
  <c r="Y251" i="6" s="1"/>
  <c r="Y20" i="18" s="1"/>
  <c r="I221" i="6"/>
  <c r="W259" i="6"/>
  <c r="O259" i="6"/>
  <c r="G259" i="6"/>
  <c r="H248" i="6"/>
  <c r="H18" i="18" s="1"/>
  <c r="I180" i="6"/>
  <c r="G248" i="6"/>
  <c r="G18" i="18" s="1"/>
  <c r="M215" i="6"/>
  <c r="M225" i="6" s="1"/>
  <c r="W248" i="6"/>
  <c r="W18" i="18" s="1"/>
  <c r="G221" i="6"/>
  <c r="D112" i="6"/>
  <c r="M175" i="6"/>
  <c r="M241" i="6" s="1"/>
  <c r="M12" i="18" s="1"/>
  <c r="Z248" i="6"/>
  <c r="Z18" i="18" s="1"/>
  <c r="P259" i="6"/>
  <c r="Z112" i="6"/>
  <c r="K30" i="6"/>
  <c r="G97" i="6"/>
  <c r="K167" i="6"/>
  <c r="O112" i="6"/>
  <c r="I97" i="6"/>
  <c r="Q180" i="6"/>
  <c r="T143" i="6"/>
  <c r="D143" i="6"/>
  <c r="AA259" i="6"/>
  <c r="K259" i="6"/>
  <c r="F175" i="6"/>
  <c r="F241" i="6" s="1"/>
  <c r="F12" i="18" s="1"/>
  <c r="F259" i="6"/>
  <c r="K224" i="6"/>
  <c r="L211" i="6"/>
  <c r="AA143" i="6"/>
  <c r="AA240" i="6" s="1"/>
  <c r="AA11" i="18" s="1"/>
  <c r="S149" i="6"/>
  <c r="G98" i="6"/>
  <c r="N204" i="6"/>
  <c r="S175" i="6"/>
  <c r="T259" i="6"/>
  <c r="H62" i="6"/>
  <c r="H64" i="6" s="1"/>
  <c r="H71" i="6" s="1"/>
  <c r="U259" i="6"/>
  <c r="K112" i="6"/>
  <c r="Y175" i="6"/>
  <c r="N205" i="6"/>
  <c r="N225" i="6" s="1"/>
  <c r="I259" i="6"/>
  <c r="R259" i="6"/>
  <c r="G30" i="6"/>
  <c r="D242" i="6"/>
  <c r="D13" i="18" s="1"/>
  <c r="D259" i="6"/>
  <c r="D149" i="6"/>
  <c r="T149" i="6"/>
  <c r="I224" i="6"/>
  <c r="L225" i="6"/>
  <c r="M143" i="6"/>
  <c r="M240" i="6" s="1"/>
  <c r="M11" i="18" s="1"/>
  <c r="I175" i="6"/>
  <c r="W149" i="6"/>
  <c r="W250" i="6" s="1"/>
  <c r="W19" i="18" s="1"/>
  <c r="G149" i="6"/>
  <c r="F180" i="6"/>
  <c r="F251" i="6" s="1"/>
  <c r="F20" i="18" s="1"/>
  <c r="H259" i="6"/>
  <c r="R175" i="6"/>
  <c r="R241" i="6" s="1"/>
  <c r="R12" i="18" s="1"/>
  <c r="W143" i="6"/>
  <c r="W240" i="6" s="1"/>
  <c r="W11" i="18" s="1"/>
  <c r="M259" i="6"/>
  <c r="E197" i="6"/>
  <c r="G225" i="6"/>
  <c r="O143" i="6"/>
  <c r="G62" i="6"/>
  <c r="G64" i="6" s="1"/>
  <c r="G71" i="6" s="1"/>
  <c r="N112" i="6"/>
  <c r="I143" i="6"/>
  <c r="F143" i="6"/>
  <c r="M236" i="6"/>
  <c r="M8" i="18" s="1"/>
  <c r="AA112" i="6"/>
  <c r="F112" i="6"/>
  <c r="H230" i="6"/>
  <c r="P230" i="6"/>
  <c r="AA180" i="6"/>
  <c r="K175" i="6"/>
  <c r="K241" i="6" s="1"/>
  <c r="K12" i="18" s="1"/>
  <c r="H45" i="6"/>
  <c r="M197" i="6"/>
  <c r="F221" i="6"/>
  <c r="V175" i="6"/>
  <c r="V241" i="6" s="1"/>
  <c r="V12" i="18" s="1"/>
  <c r="J175" i="6"/>
  <c r="X259" i="6"/>
  <c r="E221" i="6"/>
  <c r="D225" i="6"/>
  <c r="G224" i="6"/>
  <c r="Y143" i="6"/>
  <c r="P112" i="6"/>
  <c r="M112" i="6"/>
  <c r="X143" i="6"/>
  <c r="X240" i="6" s="1"/>
  <c r="X11" i="18" s="1"/>
  <c r="H143" i="6"/>
  <c r="H240" i="6" s="1"/>
  <c r="H11" i="18" s="1"/>
  <c r="O180" i="6"/>
  <c r="O251" i="6" s="1"/>
  <c r="O20" i="18" s="1"/>
  <c r="G180" i="6"/>
  <c r="T175" i="6"/>
  <c r="T241" i="6" s="1"/>
  <c r="T12" i="18" s="1"/>
  <c r="Z143" i="6"/>
  <c r="Z240" i="6" s="1"/>
  <c r="Z11" i="18" s="1"/>
  <c r="X175" i="6"/>
  <c r="Z175" i="6"/>
  <c r="R149" i="6"/>
  <c r="R250" i="6" s="1"/>
  <c r="R19" i="18" s="1"/>
  <c r="L259" i="6"/>
  <c r="X197" i="6"/>
  <c r="W175" i="6"/>
  <c r="V259" i="6"/>
  <c r="N259" i="6"/>
  <c r="I149" i="6"/>
  <c r="I250" i="6" s="1"/>
  <c r="I19" i="18" s="1"/>
  <c r="P149" i="6"/>
  <c r="Y252" i="6"/>
  <c r="Y21" i="18" s="1"/>
  <c r="E252" i="6"/>
  <c r="E21" i="18" s="1"/>
  <c r="K238" i="6"/>
  <c r="K84" i="6"/>
  <c r="S252" i="6"/>
  <c r="S21" i="18" s="1"/>
  <c r="J210" i="6"/>
  <c r="J230" i="6" s="1"/>
  <c r="J190" i="6"/>
  <c r="I238" i="6"/>
  <c r="I10" i="18" s="1"/>
  <c r="I84" i="6"/>
  <c r="H214" i="6"/>
  <c r="H221" i="6" s="1"/>
  <c r="H30" i="6"/>
  <c r="Z238" i="6"/>
  <c r="Z10" i="18" s="1"/>
  <c r="D238" i="6"/>
  <c r="N210" i="6"/>
  <c r="N230" i="6" s="1"/>
  <c r="N190" i="6"/>
  <c r="K215" i="6"/>
  <c r="K221" i="6" s="1"/>
  <c r="P248" i="6"/>
  <c r="P18" i="18" s="1"/>
  <c r="D204" i="6"/>
  <c r="K252" i="6"/>
  <c r="K21" i="18" s="1"/>
  <c r="G112" i="6"/>
  <c r="Y112" i="6"/>
  <c r="P252" i="6"/>
  <c r="P21" i="18" s="1"/>
  <c r="M252" i="6"/>
  <c r="M21" i="18" s="1"/>
  <c r="AA175" i="6"/>
  <c r="Z209" i="6"/>
  <c r="Z229" i="6" s="1"/>
  <c r="Z167" i="6"/>
  <c r="F238" i="6"/>
  <c r="F10" i="18" s="1"/>
  <c r="Y210" i="6"/>
  <c r="Y230" i="6" s="1"/>
  <c r="Y190" i="6"/>
  <c r="R180" i="6"/>
  <c r="N238" i="6"/>
  <c r="N10" i="18" s="1"/>
  <c r="T219" i="6"/>
  <c r="T229" i="6" s="1"/>
  <c r="T167" i="6"/>
  <c r="D219" i="6"/>
  <c r="D229" i="6" s="1"/>
  <c r="D167" i="6"/>
  <c r="R209" i="6"/>
  <c r="R229" i="6" s="1"/>
  <c r="R167" i="6"/>
  <c r="J149" i="6"/>
  <c r="L214" i="6"/>
  <c r="L221" i="6" s="1"/>
  <c r="J252" i="6"/>
  <c r="J21" i="18" s="1"/>
  <c r="Q149" i="6"/>
  <c r="AA252" i="6"/>
  <c r="AA21" i="18" s="1"/>
  <c r="G252" i="6"/>
  <c r="G21" i="18" s="1"/>
  <c r="I246" i="6"/>
  <c r="I16" i="18" s="1"/>
  <c r="D237" i="6"/>
  <c r="D9" i="18" s="1"/>
  <c r="P214" i="6"/>
  <c r="G236" i="6"/>
  <c r="G8" i="18" s="1"/>
  <c r="Q8" i="6"/>
  <c r="X112" i="6"/>
  <c r="H112" i="6"/>
  <c r="S112" i="6"/>
  <c r="J239" i="6"/>
  <c r="J259" i="6" s="1"/>
  <c r="Y259" i="6"/>
  <c r="E112" i="6"/>
  <c r="X252" i="6"/>
  <c r="X21" i="18" s="1"/>
  <c r="D252" i="6"/>
  <c r="D21" i="18" s="1"/>
  <c r="I209" i="6"/>
  <c r="I229" i="6" s="1"/>
  <c r="I167" i="6"/>
  <c r="U175" i="6"/>
  <c r="E175" i="6"/>
  <c r="U143" i="6"/>
  <c r="E143" i="6"/>
  <c r="P143" i="6"/>
  <c r="S143" i="6"/>
  <c r="AA149" i="6"/>
  <c r="S238" i="6"/>
  <c r="S10" i="18" s="1"/>
  <c r="K149" i="6"/>
  <c r="F205" i="6"/>
  <c r="F225" i="6" s="1"/>
  <c r="X167" i="6"/>
  <c r="X238" i="6"/>
  <c r="X10" i="18" s="1"/>
  <c r="X84" i="6"/>
  <c r="X180" i="6"/>
  <c r="U149" i="6"/>
  <c r="U210" i="6"/>
  <c r="U230" i="6" s="1"/>
  <c r="U190" i="6"/>
  <c r="R248" i="6"/>
  <c r="R18" i="18" s="1"/>
  <c r="J238" i="6"/>
  <c r="Z180" i="6"/>
  <c r="V149" i="6"/>
  <c r="H238" i="6"/>
  <c r="H10" i="18" s="1"/>
  <c r="H84" i="6"/>
  <c r="F246" i="6"/>
  <c r="F16" i="18" s="1"/>
  <c r="V210" i="6"/>
  <c r="V230" i="6" s="1"/>
  <c r="V190" i="6"/>
  <c r="T180" i="6"/>
  <c r="D180" i="6"/>
  <c r="E204" i="6"/>
  <c r="Q210" i="6"/>
  <c r="Q230" i="6" s="1"/>
  <c r="Q190" i="6"/>
  <c r="J143" i="6"/>
  <c r="J247" i="6"/>
  <c r="J17" i="18" s="1"/>
  <c r="Z252" i="6"/>
  <c r="Z21" i="18" s="1"/>
  <c r="L248" i="6"/>
  <c r="L18" i="18" s="1"/>
  <c r="Y149" i="6"/>
  <c r="E180" i="6"/>
  <c r="F252" i="6"/>
  <c r="F21" i="18" s="1"/>
  <c r="H149" i="6"/>
  <c r="X149" i="6"/>
  <c r="M180" i="6"/>
  <c r="O252" i="6"/>
  <c r="O21" i="18" s="1"/>
  <c r="M247" i="6"/>
  <c r="M17" i="18" s="1"/>
  <c r="E237" i="6"/>
  <c r="E9" i="18" s="1"/>
  <c r="L236" i="6"/>
  <c r="L8" i="18" s="1"/>
  <c r="D246" i="6"/>
  <c r="D16" i="18" s="1"/>
  <c r="G247" i="6"/>
  <c r="G17" i="18" s="1"/>
  <c r="O214" i="6"/>
  <c r="H252" i="6"/>
  <c r="H21" i="18" s="1"/>
  <c r="AA219" i="6"/>
  <c r="AA229" i="6" s="1"/>
  <c r="AA167" i="6"/>
  <c r="AA238" i="6"/>
  <c r="AA10" i="18" s="1"/>
  <c r="F204" i="6"/>
  <c r="M210" i="6"/>
  <c r="M230" i="6" s="1"/>
  <c r="M190" i="6"/>
  <c r="F247" i="6"/>
  <c r="F17" i="18" s="1"/>
  <c r="Z210" i="6"/>
  <c r="Z230" i="6" s="1"/>
  <c r="Z190" i="6"/>
  <c r="AA248" i="6"/>
  <c r="AA18" i="18" s="1"/>
  <c r="V238" i="6"/>
  <c r="V10" i="18" s="1"/>
  <c r="J246" i="6"/>
  <c r="J16" i="18" s="1"/>
  <c r="R210" i="6"/>
  <c r="R230" i="6" s="1"/>
  <c r="R190" i="6"/>
  <c r="F210" i="6"/>
  <c r="F230" i="6" s="1"/>
  <c r="F190" i="6"/>
  <c r="H180" i="6"/>
  <c r="M238" i="6"/>
  <c r="M84" i="6"/>
  <c r="I190" i="6"/>
  <c r="I210" i="6"/>
  <c r="I230" i="6" s="1"/>
  <c r="L238" i="6"/>
  <c r="L10" i="18" s="1"/>
  <c r="P238" i="6"/>
  <c r="P10" i="18" s="1"/>
  <c r="V252" i="6"/>
  <c r="V21" i="18" s="1"/>
  <c r="I237" i="6"/>
  <c r="I9" i="18" s="1"/>
  <c r="H236" i="6"/>
  <c r="H8" i="18" s="1"/>
  <c r="K237" i="6"/>
  <c r="K9" i="18" s="1"/>
  <c r="L112" i="6"/>
  <c r="R112" i="6"/>
  <c r="W112" i="6"/>
  <c r="AA190" i="6"/>
  <c r="AA210" i="6"/>
  <c r="AA230" i="6" s="1"/>
  <c r="S190" i="6"/>
  <c r="S210" i="6"/>
  <c r="S230" i="6" s="1"/>
  <c r="K190" i="6"/>
  <c r="K210" i="6"/>
  <c r="U252" i="6"/>
  <c r="U21" i="18" s="1"/>
  <c r="W180" i="6"/>
  <c r="O238" i="6"/>
  <c r="O10" i="18" s="1"/>
  <c r="J205" i="6"/>
  <c r="J225" i="6" s="1"/>
  <c r="O175" i="6"/>
  <c r="F149" i="6"/>
  <c r="R252" i="6"/>
  <c r="R21" i="18" s="1"/>
  <c r="T248" i="6"/>
  <c r="T18" i="18" s="1"/>
  <c r="E210" i="6"/>
  <c r="E230" i="6" s="1"/>
  <c r="E190" i="6"/>
  <c r="L175" i="6"/>
  <c r="F209" i="6"/>
  <c r="F229" i="6" s="1"/>
  <c r="F167" i="6"/>
  <c r="V143" i="6"/>
  <c r="U238" i="6"/>
  <c r="U10" i="18" s="1"/>
  <c r="U84" i="6"/>
  <c r="T112" i="6"/>
  <c r="V112" i="6"/>
  <c r="E259" i="6"/>
  <c r="S259" i="6"/>
  <c r="U112" i="6"/>
  <c r="T252" i="6"/>
  <c r="T21" i="18" s="1"/>
  <c r="L252" i="6"/>
  <c r="L21" i="18" s="1"/>
  <c r="Y209" i="6"/>
  <c r="Y229" i="6" s="1"/>
  <c r="Y167" i="6"/>
  <c r="Q175" i="6"/>
  <c r="Q143" i="6"/>
  <c r="W210" i="6"/>
  <c r="W230" i="6" s="1"/>
  <c r="W190" i="6"/>
  <c r="O190" i="6"/>
  <c r="O210" i="6"/>
  <c r="O230" i="6" s="1"/>
  <c r="G210" i="6"/>
  <c r="G190" i="6"/>
  <c r="L143" i="6"/>
  <c r="Q252" i="6"/>
  <c r="Q21" i="18" s="1"/>
  <c r="I252" i="6"/>
  <c r="I21" i="18" s="1"/>
  <c r="L167" i="6"/>
  <c r="K143" i="6"/>
  <c r="W238" i="6"/>
  <c r="W10" i="18" s="1"/>
  <c r="W84" i="6"/>
  <c r="O149" i="6"/>
  <c r="G238" i="6"/>
  <c r="G10" i="18" s="1"/>
  <c r="J204" i="6"/>
  <c r="G175" i="6"/>
  <c r="X229" i="6"/>
  <c r="D175" i="6"/>
  <c r="Z149" i="6"/>
  <c r="R143" i="6"/>
  <c r="Q238" i="6"/>
  <c r="Q10" i="18" s="1"/>
  <c r="P219" i="6"/>
  <c r="P229" i="6" s="1"/>
  <c r="P167" i="6"/>
  <c r="M214" i="6"/>
  <c r="H175" i="6"/>
  <c r="J248" i="6"/>
  <c r="J18" i="18" s="1"/>
  <c r="R238" i="6"/>
  <c r="R10" i="18" s="1"/>
  <c r="J251" i="6"/>
  <c r="J20" i="18" s="1"/>
  <c r="M149" i="6"/>
  <c r="E248" i="6"/>
  <c r="E18" i="18" s="1"/>
  <c r="N214" i="6"/>
  <c r="N221" i="6" s="1"/>
  <c r="U180" i="6"/>
  <c r="V209" i="6"/>
  <c r="V229" i="6" s="1"/>
  <c r="V167" i="6"/>
  <c r="J209" i="6"/>
  <c r="J229" i="6" s="1"/>
  <c r="J167" i="6"/>
  <c r="S248" i="6"/>
  <c r="S18" i="18" s="1"/>
  <c r="H237" i="6"/>
  <c r="H9" i="18" s="1"/>
  <c r="S180" i="6"/>
  <c r="V248" i="6"/>
  <c r="V18" i="18" s="1"/>
  <c r="N248" i="6"/>
  <c r="N18" i="18" s="1"/>
  <c r="F248" i="6"/>
  <c r="F18" i="18" s="1"/>
  <c r="Y238" i="6"/>
  <c r="Y84" i="6"/>
  <c r="E238" i="6"/>
  <c r="E10" i="18" s="1"/>
  <c r="Q248" i="6"/>
  <c r="Q18" i="18" s="1"/>
  <c r="N252" i="6"/>
  <c r="N21" i="18" s="1"/>
  <c r="L149" i="6"/>
  <c r="P175" i="6"/>
  <c r="W252" i="6"/>
  <c r="W21" i="18" s="1"/>
  <c r="E246" i="6"/>
  <c r="E16" i="18" s="1"/>
  <c r="L247" i="6"/>
  <c r="L17" i="18" s="1"/>
  <c r="K246" i="6"/>
  <c r="K16" i="18" s="1"/>
  <c r="O215" i="6"/>
  <c r="R71" i="12"/>
  <c r="Z71" i="12"/>
  <c r="V71" i="12"/>
  <c r="N66" i="12"/>
  <c r="N71" i="12" s="1"/>
  <c r="F71" i="12"/>
  <c r="F154" i="11"/>
  <c r="G48" i="11"/>
  <c r="K168" i="11"/>
  <c r="L62" i="11"/>
  <c r="Y155" i="11"/>
  <c r="Z134" i="11"/>
  <c r="Q194" i="11"/>
  <c r="R179" i="11"/>
  <c r="W137" i="11"/>
  <c r="V158" i="11"/>
  <c r="Q163" i="11"/>
  <c r="R141" i="11"/>
  <c r="Q200" i="11"/>
  <c r="R80" i="11"/>
  <c r="X195" i="11"/>
  <c r="Y180" i="11"/>
  <c r="K157" i="11"/>
  <c r="L51" i="11"/>
  <c r="J167" i="11"/>
  <c r="K61" i="11"/>
  <c r="J168" i="11"/>
  <c r="S158" i="11"/>
  <c r="T52" i="11"/>
  <c r="I168" i="11"/>
  <c r="J140" i="11"/>
  <c r="I162" i="11"/>
  <c r="E152" i="11"/>
  <c r="F131" i="11"/>
  <c r="D120" i="11"/>
  <c r="E105" i="11"/>
  <c r="K156" i="11"/>
  <c r="L50" i="11"/>
  <c r="N153" i="11"/>
  <c r="O132" i="11"/>
  <c r="I198" i="11"/>
  <c r="J78" i="11"/>
  <c r="Z63" i="11"/>
  <c r="K199" i="11"/>
  <c r="L79" i="11"/>
  <c r="Q7" i="11"/>
  <c r="W166" i="11"/>
  <c r="X144" i="11"/>
  <c r="R143" i="11"/>
  <c r="Q165" i="11"/>
  <c r="AA182" i="11"/>
  <c r="AA197" i="11" s="1"/>
  <c r="Z197" i="11"/>
  <c r="R178" i="11"/>
  <c r="Q193" i="11"/>
  <c r="N158" i="11"/>
  <c r="O52" i="11"/>
  <c r="Y203" i="11"/>
  <c r="Z83" i="11"/>
  <c r="R158" i="11"/>
  <c r="T201" i="11"/>
  <c r="U81" i="11"/>
  <c r="G411" i="11"/>
  <c r="H12" i="11"/>
  <c r="F16" i="11"/>
  <c r="X196" i="11"/>
  <c r="Y181" i="11"/>
  <c r="Y52" i="11"/>
  <c r="R142" i="11"/>
  <c r="Q164" i="11"/>
  <c r="W154" i="11"/>
  <c r="X133" i="11"/>
  <c r="Q37" i="6" l="1"/>
  <c r="Q44" i="6" s="1"/>
  <c r="Q22" i="6"/>
  <c r="Q29" i="6" s="1"/>
  <c r="P7" i="6"/>
  <c r="P16" i="5"/>
  <c r="O36" i="6"/>
  <c r="O43" i="6" s="1"/>
  <c r="O21" i="6"/>
  <c r="O28" i="6" s="1"/>
  <c r="T151" i="6"/>
  <c r="M45" i="6"/>
  <c r="E247" i="6"/>
  <c r="E17" i="18" s="1"/>
  <c r="E77" i="18" s="1"/>
  <c r="G45" i="6"/>
  <c r="K56" i="18"/>
  <c r="H92" i="6"/>
  <c r="H99" i="6" s="1"/>
  <c r="H98" i="6"/>
  <c r="F92" i="6"/>
  <c r="F99" i="6" s="1"/>
  <c r="F97" i="6"/>
  <c r="R47" i="18"/>
  <c r="R69" i="18"/>
  <c r="G47" i="18"/>
  <c r="G69" i="18"/>
  <c r="T59" i="18"/>
  <c r="T81" i="18"/>
  <c r="V58" i="18"/>
  <c r="V80" i="18"/>
  <c r="D54" i="18"/>
  <c r="D76" i="18"/>
  <c r="D59" i="18"/>
  <c r="D81" i="18"/>
  <c r="I76" i="18"/>
  <c r="I54" i="18"/>
  <c r="E59" i="18"/>
  <c r="E81" i="18"/>
  <c r="Z48" i="18"/>
  <c r="Z70" i="18"/>
  <c r="R49" i="18"/>
  <c r="R71" i="18"/>
  <c r="Z56" i="18"/>
  <c r="Z78" i="18"/>
  <c r="N57" i="18"/>
  <c r="N79" i="18"/>
  <c r="L55" i="18"/>
  <c r="L77" i="18"/>
  <c r="V56" i="18"/>
  <c r="V78" i="18"/>
  <c r="S78" i="18"/>
  <c r="S56" i="18"/>
  <c r="E56" i="18"/>
  <c r="E78" i="18"/>
  <c r="W69" i="18"/>
  <c r="W47" i="18"/>
  <c r="Q59" i="18"/>
  <c r="Q81" i="18"/>
  <c r="L59" i="18"/>
  <c r="L81" i="18"/>
  <c r="U47" i="18"/>
  <c r="U69" i="18"/>
  <c r="H67" i="18"/>
  <c r="H45" i="18"/>
  <c r="L47" i="18"/>
  <c r="L69" i="18"/>
  <c r="M258" i="6"/>
  <c r="M10" i="18"/>
  <c r="AA56" i="18"/>
  <c r="AA78" i="18"/>
  <c r="F77" i="18"/>
  <c r="F55" i="18"/>
  <c r="G55" i="18"/>
  <c r="G77" i="18"/>
  <c r="J77" i="18"/>
  <c r="J55" i="18"/>
  <c r="S69" i="18"/>
  <c r="S47" i="18"/>
  <c r="D46" i="18"/>
  <c r="D68" i="18"/>
  <c r="G59" i="18"/>
  <c r="G81" i="18"/>
  <c r="K258" i="6"/>
  <c r="K10" i="18"/>
  <c r="O58" i="18"/>
  <c r="O80" i="18"/>
  <c r="W48" i="18"/>
  <c r="W70" i="18"/>
  <c r="M48" i="18"/>
  <c r="M70" i="18"/>
  <c r="Y80" i="18"/>
  <c r="Y58" i="18"/>
  <c r="G48" i="18"/>
  <c r="G70" i="18"/>
  <c r="U56" i="18"/>
  <c r="U78" i="18"/>
  <c r="K58" i="18"/>
  <c r="K80" i="18"/>
  <c r="E54" i="18"/>
  <c r="E76" i="18"/>
  <c r="Q47" i="18"/>
  <c r="Q69" i="18"/>
  <c r="I46" i="18"/>
  <c r="I68" i="18"/>
  <c r="AA47" i="18"/>
  <c r="AA69" i="18"/>
  <c r="F76" i="18"/>
  <c r="F54" i="18"/>
  <c r="AA59" i="18"/>
  <c r="AA81" i="18"/>
  <c r="P56" i="18"/>
  <c r="P78" i="18"/>
  <c r="G78" i="18"/>
  <c r="G56" i="18"/>
  <c r="X56" i="18"/>
  <c r="X78" i="18"/>
  <c r="W59" i="18"/>
  <c r="W81" i="18"/>
  <c r="J58" i="18"/>
  <c r="J80" i="18"/>
  <c r="R81" i="18"/>
  <c r="R59" i="18"/>
  <c r="M55" i="18"/>
  <c r="M77" i="18"/>
  <c r="J10" i="18"/>
  <c r="X59" i="18"/>
  <c r="X81" i="18"/>
  <c r="Z50" i="18"/>
  <c r="Z72" i="18"/>
  <c r="L58" i="18"/>
  <c r="L80" i="18"/>
  <c r="M59" i="18"/>
  <c r="M81" i="18"/>
  <c r="K59" i="18"/>
  <c r="K81" i="18"/>
  <c r="D258" i="6"/>
  <c r="D10" i="18"/>
  <c r="S59" i="18"/>
  <c r="S81" i="18"/>
  <c r="Y59" i="18"/>
  <c r="Y81" i="18"/>
  <c r="T49" i="18"/>
  <c r="T71" i="18"/>
  <c r="X70" i="18"/>
  <c r="X48" i="18"/>
  <c r="V49" i="18"/>
  <c r="V71" i="18"/>
  <c r="W57" i="18"/>
  <c r="W79" i="18"/>
  <c r="D50" i="18"/>
  <c r="D72" i="18"/>
  <c r="AA48" i="18"/>
  <c r="AA70" i="18"/>
  <c r="F49" i="18"/>
  <c r="F71" i="18"/>
  <c r="W78" i="18"/>
  <c r="W56" i="18"/>
  <c r="I56" i="18"/>
  <c r="I78" i="18"/>
  <c r="I55" i="18"/>
  <c r="I77" i="18"/>
  <c r="D56" i="18"/>
  <c r="D78" i="18"/>
  <c r="N81" i="18"/>
  <c r="N59" i="18"/>
  <c r="Y258" i="6"/>
  <c r="Y10" i="18"/>
  <c r="T56" i="18"/>
  <c r="T78" i="18"/>
  <c r="U59" i="18"/>
  <c r="U81" i="18"/>
  <c r="H59" i="18"/>
  <c r="H81" i="18"/>
  <c r="E46" i="18"/>
  <c r="E68" i="18"/>
  <c r="R57" i="18"/>
  <c r="R79" i="18"/>
  <c r="H70" i="18"/>
  <c r="H48" i="18"/>
  <c r="M67" i="18"/>
  <c r="M45" i="18"/>
  <c r="O78" i="18"/>
  <c r="O56" i="18"/>
  <c r="Q56" i="18"/>
  <c r="Q78" i="18"/>
  <c r="F56" i="18"/>
  <c r="F78" i="18"/>
  <c r="J56" i="18"/>
  <c r="J78" i="18"/>
  <c r="V59" i="18"/>
  <c r="V81" i="18"/>
  <c r="J76" i="18"/>
  <c r="J54" i="18"/>
  <c r="L67" i="18"/>
  <c r="L45" i="18"/>
  <c r="L56" i="18"/>
  <c r="L78" i="18"/>
  <c r="K76" i="18"/>
  <c r="K54" i="18"/>
  <c r="E47" i="18"/>
  <c r="E69" i="18"/>
  <c r="N56" i="18"/>
  <c r="N78" i="18"/>
  <c r="H46" i="18"/>
  <c r="H68" i="18"/>
  <c r="I59" i="18"/>
  <c r="I81" i="18"/>
  <c r="O69" i="18"/>
  <c r="O47" i="18"/>
  <c r="K46" i="18"/>
  <c r="K68" i="18"/>
  <c r="P47" i="18"/>
  <c r="P69" i="18"/>
  <c r="V47" i="18"/>
  <c r="V69" i="18"/>
  <c r="O59" i="18"/>
  <c r="O81" i="18"/>
  <c r="F81" i="18"/>
  <c r="F59" i="18"/>
  <c r="Z59" i="18"/>
  <c r="Z81" i="18"/>
  <c r="M46" i="18"/>
  <c r="M68" i="18"/>
  <c r="H47" i="18"/>
  <c r="H69" i="18"/>
  <c r="R56" i="18"/>
  <c r="R78" i="18"/>
  <c r="E55" i="18"/>
  <c r="X47" i="18"/>
  <c r="X69" i="18"/>
  <c r="G45" i="18"/>
  <c r="G67" i="18"/>
  <c r="J59" i="18"/>
  <c r="J81" i="18"/>
  <c r="N47" i="18"/>
  <c r="N69" i="18"/>
  <c r="F47" i="18"/>
  <c r="F69" i="18"/>
  <c r="E57" i="18"/>
  <c r="E79" i="18"/>
  <c r="P59" i="18"/>
  <c r="P81" i="18"/>
  <c r="Z47" i="18"/>
  <c r="Z69" i="18"/>
  <c r="I47" i="18"/>
  <c r="I69" i="18"/>
  <c r="I57" i="18"/>
  <c r="I79" i="18"/>
  <c r="K49" i="18"/>
  <c r="K71" i="18"/>
  <c r="F58" i="18"/>
  <c r="F80" i="18"/>
  <c r="M71" i="18"/>
  <c r="M49" i="18"/>
  <c r="H56" i="18"/>
  <c r="H78" i="18"/>
  <c r="T47" i="18"/>
  <c r="T69" i="18"/>
  <c r="P58" i="18"/>
  <c r="P80" i="18"/>
  <c r="G46" i="18"/>
  <c r="G68" i="18"/>
  <c r="M56" i="18"/>
  <c r="M78" i="18"/>
  <c r="D162" i="11"/>
  <c r="D194" i="11"/>
  <c r="E59" i="11"/>
  <c r="G28" i="11"/>
  <c r="Z169" i="11"/>
  <c r="E34" i="11"/>
  <c r="E36" i="11" s="1"/>
  <c r="X169" i="11"/>
  <c r="Q11" i="11"/>
  <c r="P410" i="11"/>
  <c r="O15" i="11"/>
  <c r="D155" i="11"/>
  <c r="E49" i="11"/>
  <c r="W202" i="11"/>
  <c r="X82" i="11"/>
  <c r="Y169" i="11"/>
  <c r="O27" i="11"/>
  <c r="Q23" i="11"/>
  <c r="D112" i="11"/>
  <c r="E98" i="11"/>
  <c r="D119" i="11"/>
  <c r="E104" i="11"/>
  <c r="N241" i="6"/>
  <c r="N12" i="18" s="1"/>
  <c r="D240" i="6"/>
  <c r="D11" i="18" s="1"/>
  <c r="I45" i="6"/>
  <c r="X258" i="6"/>
  <c r="N182" i="6"/>
  <c r="Z197" i="6"/>
  <c r="K236" i="6"/>
  <c r="N251" i="6"/>
  <c r="P197" i="6"/>
  <c r="S241" i="6"/>
  <c r="S12" i="18" s="1"/>
  <c r="D247" i="6"/>
  <c r="I251" i="6"/>
  <c r="G251" i="6"/>
  <c r="G20" i="18" s="1"/>
  <c r="Y241" i="6"/>
  <c r="G246" i="6"/>
  <c r="L237" i="6"/>
  <c r="I241" i="6"/>
  <c r="N240" i="6"/>
  <c r="T240" i="6"/>
  <c r="T11" i="18" s="1"/>
  <c r="L45" i="6"/>
  <c r="N151" i="6"/>
  <c r="M182" i="6"/>
  <c r="X242" i="6"/>
  <c r="Z241" i="6"/>
  <c r="Z12" i="18" s="1"/>
  <c r="H258" i="6"/>
  <c r="I258" i="6"/>
  <c r="M221" i="6"/>
  <c r="AA251" i="6"/>
  <c r="AA20" i="18" s="1"/>
  <c r="M151" i="6"/>
  <c r="I30" i="6"/>
  <c r="U258" i="6"/>
  <c r="X241" i="6"/>
  <c r="X12" i="18" s="1"/>
  <c r="Y182" i="6"/>
  <c r="G151" i="6"/>
  <c r="N247" i="6"/>
  <c r="N17" i="18" s="1"/>
  <c r="W151" i="6"/>
  <c r="G250" i="6"/>
  <c r="T258" i="6"/>
  <c r="H247" i="6"/>
  <c r="G258" i="6"/>
  <c r="O258" i="6"/>
  <c r="U197" i="6"/>
  <c r="D151" i="6"/>
  <c r="G92" i="6"/>
  <c r="G99" i="6" s="1"/>
  <c r="J241" i="6"/>
  <c r="Z84" i="6"/>
  <c r="G84" i="6"/>
  <c r="W258" i="6"/>
  <c r="O84" i="6"/>
  <c r="E242" i="6"/>
  <c r="Z258" i="6"/>
  <c r="F182" i="6"/>
  <c r="I182" i="6"/>
  <c r="I236" i="6"/>
  <c r="D250" i="6"/>
  <c r="U242" i="6"/>
  <c r="V182" i="6"/>
  <c r="W241" i="6"/>
  <c r="W12" i="18" s="1"/>
  <c r="Q251" i="6"/>
  <c r="Q20" i="18" s="1"/>
  <c r="M211" i="6"/>
  <c r="D262" i="6"/>
  <c r="M224" i="6"/>
  <c r="M231" i="6" s="1"/>
  <c r="I231" i="6"/>
  <c r="Z182" i="6"/>
  <c r="H224" i="6"/>
  <c r="H231" i="6" s="1"/>
  <c r="I211" i="6"/>
  <c r="O204" i="6"/>
  <c r="O224" i="6" s="1"/>
  <c r="E84" i="6"/>
  <c r="O240" i="6"/>
  <c r="O11" i="18" s="1"/>
  <c r="S250" i="6"/>
  <c r="S19" i="18" s="1"/>
  <c r="V261" i="6"/>
  <c r="F240" i="6"/>
  <c r="F11" i="18" s="1"/>
  <c r="M242" i="6"/>
  <c r="G230" i="6"/>
  <c r="G231" i="6" s="1"/>
  <c r="G211" i="6"/>
  <c r="I257" i="6"/>
  <c r="L258" i="6"/>
  <c r="H151" i="6"/>
  <c r="J182" i="6"/>
  <c r="T250" i="6"/>
  <c r="T19" i="18" s="1"/>
  <c r="Z262" i="6"/>
  <c r="D197" i="6"/>
  <c r="K230" i="6"/>
  <c r="K211" i="6"/>
  <c r="P84" i="6"/>
  <c r="O151" i="6"/>
  <c r="Y240" i="6"/>
  <c r="Y11" i="18" s="1"/>
  <c r="P258" i="6"/>
  <c r="I151" i="6"/>
  <c r="L224" i="6"/>
  <c r="L231" i="6" s="1"/>
  <c r="R84" i="6"/>
  <c r="Q84" i="6"/>
  <c r="P242" i="6"/>
  <c r="T182" i="6"/>
  <c r="K182" i="6"/>
  <c r="N84" i="6"/>
  <c r="I240" i="6"/>
  <c r="P250" i="6"/>
  <c r="P19" i="18" s="1"/>
  <c r="X151" i="6"/>
  <c r="Z151" i="6"/>
  <c r="AA84" i="6"/>
  <c r="R258" i="6"/>
  <c r="Q258" i="6"/>
  <c r="L84" i="6"/>
  <c r="V258" i="6"/>
  <c r="J84" i="6"/>
  <c r="Q242" i="6"/>
  <c r="Q197" i="6"/>
  <c r="N246" i="6"/>
  <c r="N16" i="18" s="1"/>
  <c r="L197" i="6"/>
  <c r="L242" i="6"/>
  <c r="M246" i="6"/>
  <c r="H251" i="6"/>
  <c r="H20" i="18" s="1"/>
  <c r="Y250" i="6"/>
  <c r="Y19" i="18" s="1"/>
  <c r="E224" i="6"/>
  <c r="E231" i="6" s="1"/>
  <c r="E211" i="6"/>
  <c r="N242" i="6"/>
  <c r="N197" i="6"/>
  <c r="V250" i="6"/>
  <c r="V19" i="18" s="1"/>
  <c r="U241" i="6"/>
  <c r="U12" i="18" s="1"/>
  <c r="U182" i="6"/>
  <c r="Q250" i="6"/>
  <c r="Q19" i="18" s="1"/>
  <c r="R251" i="6"/>
  <c r="K247" i="6"/>
  <c r="K17" i="18" s="1"/>
  <c r="M30" i="6"/>
  <c r="G257" i="6"/>
  <c r="Q240" i="6"/>
  <c r="Q11" i="18" s="1"/>
  <c r="Q151" i="6"/>
  <c r="L241" i="6"/>
  <c r="L182" i="6"/>
  <c r="W251" i="6"/>
  <c r="W20" i="18" s="1"/>
  <c r="R182" i="6"/>
  <c r="AA258" i="6"/>
  <c r="O242" i="6"/>
  <c r="O197" i="6"/>
  <c r="K250" i="6"/>
  <c r="K19" i="18" s="1"/>
  <c r="F258" i="6"/>
  <c r="O247" i="6"/>
  <c r="O17" i="18" s="1"/>
  <c r="P241" i="6"/>
  <c r="P182" i="6"/>
  <c r="J242" i="6"/>
  <c r="J197" i="6"/>
  <c r="J224" i="6"/>
  <c r="J231" i="6" s="1"/>
  <c r="J211" i="6"/>
  <c r="K151" i="6"/>
  <c r="K240" i="6"/>
  <c r="K11" i="18" s="1"/>
  <c r="L240" i="6"/>
  <c r="L11" i="18" s="1"/>
  <c r="L151" i="6"/>
  <c r="Q241" i="6"/>
  <c r="Q12" i="18" s="1"/>
  <c r="Q182" i="6"/>
  <c r="R197" i="6"/>
  <c r="R242" i="6"/>
  <c r="J45" i="6"/>
  <c r="J237" i="6"/>
  <c r="K45" i="6"/>
  <c r="W260" i="6"/>
  <c r="F236" i="6"/>
  <c r="F8" i="18" s="1"/>
  <c r="F30" i="6"/>
  <c r="O246" i="6"/>
  <c r="O16" i="18" s="1"/>
  <c r="M251" i="6"/>
  <c r="M257" i="6"/>
  <c r="D251" i="6"/>
  <c r="D20" i="18" s="1"/>
  <c r="J258" i="6"/>
  <c r="K261" i="6"/>
  <c r="F237" i="6"/>
  <c r="F45" i="6"/>
  <c r="S84" i="6"/>
  <c r="S240" i="6"/>
  <c r="S11" i="18" s="1"/>
  <c r="S151" i="6"/>
  <c r="K242" i="6"/>
  <c r="K197" i="6"/>
  <c r="U240" i="6"/>
  <c r="U11" i="18" s="1"/>
  <c r="U151" i="6"/>
  <c r="P215" i="6"/>
  <c r="K225" i="6"/>
  <c r="P246" i="6"/>
  <c r="P16" i="18" s="1"/>
  <c r="D236" i="6"/>
  <c r="D8" i="18" s="1"/>
  <c r="D45" i="18" s="1"/>
  <c r="D30" i="6"/>
  <c r="H246" i="6"/>
  <c r="Z250" i="6"/>
  <c r="V240" i="6"/>
  <c r="V11" i="18" s="1"/>
  <c r="V151" i="6"/>
  <c r="F250" i="6"/>
  <c r="F19" i="18" s="1"/>
  <c r="O182" i="6"/>
  <c r="O241" i="6"/>
  <c r="H250" i="6"/>
  <c r="J151" i="6"/>
  <c r="J240" i="6"/>
  <c r="J11" i="18" s="1"/>
  <c r="Y242" i="6"/>
  <c r="Y197" i="6"/>
  <c r="U250" i="6"/>
  <c r="U19" i="18" s="1"/>
  <c r="AA242" i="6"/>
  <c r="AA197" i="6"/>
  <c r="L246" i="6"/>
  <c r="J250" i="6"/>
  <c r="F84" i="6"/>
  <c r="T197" i="6"/>
  <c r="T242" i="6"/>
  <c r="W242" i="6"/>
  <c r="W197" i="6"/>
  <c r="E258" i="6"/>
  <c r="U251" i="6"/>
  <c r="U20" i="18" s="1"/>
  <c r="M250" i="6"/>
  <c r="D241" i="6"/>
  <c r="D12" i="18" s="1"/>
  <c r="D182" i="6"/>
  <c r="I242" i="6"/>
  <c r="I197" i="6"/>
  <c r="Y151" i="6"/>
  <c r="Z251" i="6"/>
  <c r="Z20" i="18" s="1"/>
  <c r="X251" i="6"/>
  <c r="X20" i="18" s="1"/>
  <c r="N224" i="6"/>
  <c r="N231" i="6" s="1"/>
  <c r="N211" i="6"/>
  <c r="AA250" i="6"/>
  <c r="P240" i="6"/>
  <c r="P11" i="18" s="1"/>
  <c r="P151" i="6"/>
  <c r="E240" i="6"/>
  <c r="E151" i="6"/>
  <c r="R8" i="6"/>
  <c r="F151" i="6"/>
  <c r="D221" i="6"/>
  <c r="L250" i="6"/>
  <c r="L19" i="18" s="1"/>
  <c r="S251" i="6"/>
  <c r="S20" i="18" s="1"/>
  <c r="V242" i="6"/>
  <c r="V197" i="6"/>
  <c r="M54" i="6"/>
  <c r="M69" i="6" s="1"/>
  <c r="H182" i="6"/>
  <c r="H241" i="6"/>
  <c r="H12" i="18" s="1"/>
  <c r="H242" i="6"/>
  <c r="H197" i="6"/>
  <c r="R151" i="6"/>
  <c r="R240" i="6"/>
  <c r="G182" i="6"/>
  <c r="G241" i="6"/>
  <c r="J236" i="6"/>
  <c r="J8" i="18" s="1"/>
  <c r="J30" i="6"/>
  <c r="O250" i="6"/>
  <c r="O19" i="18" s="1"/>
  <c r="V84" i="6"/>
  <c r="T84" i="6"/>
  <c r="X182" i="6"/>
  <c r="S182" i="6"/>
  <c r="F224" i="6"/>
  <c r="F231" i="6" s="1"/>
  <c r="F211" i="6"/>
  <c r="O221" i="6"/>
  <c r="L30" i="6"/>
  <c r="X250" i="6"/>
  <c r="E251" i="6"/>
  <c r="E236" i="6"/>
  <c r="E8" i="18" s="1"/>
  <c r="E30" i="6"/>
  <c r="T251" i="6"/>
  <c r="S258" i="6"/>
  <c r="S242" i="6"/>
  <c r="S197" i="6"/>
  <c r="E241" i="6"/>
  <c r="E12" i="18" s="1"/>
  <c r="E182" i="6"/>
  <c r="I62" i="6"/>
  <c r="I64" i="6" s="1"/>
  <c r="I71" i="6" s="1"/>
  <c r="I59" i="6"/>
  <c r="I70" i="6" s="1"/>
  <c r="W182" i="6"/>
  <c r="F242" i="6"/>
  <c r="F197" i="6"/>
  <c r="N258" i="6"/>
  <c r="AA241" i="6"/>
  <c r="AA12" i="18" s="1"/>
  <c r="AA182" i="6"/>
  <c r="AA151" i="6"/>
  <c r="D224" i="6"/>
  <c r="D231" i="6" s="1"/>
  <c r="D211" i="6"/>
  <c r="F261" i="6"/>
  <c r="G242" i="6"/>
  <c r="G197" i="6"/>
  <c r="S178" i="11"/>
  <c r="R193" i="11"/>
  <c r="R164" i="11"/>
  <c r="S142" i="11"/>
  <c r="H411" i="11"/>
  <c r="G16" i="11"/>
  <c r="I12" i="11"/>
  <c r="O158" i="11"/>
  <c r="P52" i="11"/>
  <c r="P158" i="11" s="1"/>
  <c r="R165" i="11"/>
  <c r="S143" i="11"/>
  <c r="E99" i="11"/>
  <c r="D113" i="11"/>
  <c r="X166" i="11"/>
  <c r="Y144" i="11"/>
  <c r="T158" i="11"/>
  <c r="U52" i="11"/>
  <c r="U158" i="11" s="1"/>
  <c r="R163" i="11"/>
  <c r="S141" i="11"/>
  <c r="X137" i="11"/>
  <c r="W158" i="11"/>
  <c r="Z52" i="11"/>
  <c r="Z203" i="11"/>
  <c r="AA83" i="11"/>
  <c r="J198" i="11"/>
  <c r="K78" i="11"/>
  <c r="L156" i="11"/>
  <c r="M50" i="11"/>
  <c r="J162" i="11"/>
  <c r="K140" i="11"/>
  <c r="L157" i="11"/>
  <c r="M51" i="11"/>
  <c r="R200" i="11"/>
  <c r="S80" i="11"/>
  <c r="Z155" i="11"/>
  <c r="AA134" i="11"/>
  <c r="AA155" i="11" s="1"/>
  <c r="D197" i="11"/>
  <c r="E77" i="11"/>
  <c r="Y196" i="11"/>
  <c r="Z181" i="11"/>
  <c r="R7" i="11"/>
  <c r="O153" i="11"/>
  <c r="P132" i="11"/>
  <c r="K167" i="11"/>
  <c r="L61" i="11"/>
  <c r="Y195" i="11"/>
  <c r="Z180" i="11"/>
  <c r="S179" i="11"/>
  <c r="R194" i="11"/>
  <c r="L168" i="11"/>
  <c r="M62" i="11"/>
  <c r="G154" i="11"/>
  <c r="H48" i="11"/>
  <c r="X154" i="11"/>
  <c r="Y133" i="11"/>
  <c r="E120" i="11"/>
  <c r="F105" i="11"/>
  <c r="J24" i="11"/>
  <c r="H28" i="11"/>
  <c r="F34" i="11"/>
  <c r="U201" i="11"/>
  <c r="V81" i="11"/>
  <c r="L199" i="11"/>
  <c r="M79" i="11"/>
  <c r="F152" i="11"/>
  <c r="G131" i="11"/>
  <c r="O205" i="6" l="1"/>
  <c r="Q7" i="6"/>
  <c r="Q16" i="5"/>
  <c r="P21" i="6"/>
  <c r="P36" i="6"/>
  <c r="R22" i="6"/>
  <c r="R29" i="6" s="1"/>
  <c r="R37" i="6"/>
  <c r="R44" i="6" s="1"/>
  <c r="E257" i="6"/>
  <c r="E56" i="11"/>
  <c r="F56" i="11" s="1"/>
  <c r="D86" i="11"/>
  <c r="E74" i="11"/>
  <c r="E194" i="11" s="1"/>
  <c r="J97" i="6"/>
  <c r="I92" i="6"/>
  <c r="I99" i="6" s="1"/>
  <c r="I98" i="6"/>
  <c r="G262" i="6"/>
  <c r="G13" i="18"/>
  <c r="R260" i="6"/>
  <c r="R11" i="18"/>
  <c r="V262" i="6"/>
  <c r="V13" i="18"/>
  <c r="AA260" i="6"/>
  <c r="AA19" i="18"/>
  <c r="J257" i="6"/>
  <c r="J9" i="18"/>
  <c r="K57" i="18"/>
  <c r="K79" i="18"/>
  <c r="U49" i="18"/>
  <c r="U71" i="18"/>
  <c r="T57" i="18"/>
  <c r="T79" i="18"/>
  <c r="D260" i="6"/>
  <c r="D19" i="18"/>
  <c r="E260" i="6"/>
  <c r="E11" i="18"/>
  <c r="D49" i="18"/>
  <c r="D71" i="18"/>
  <c r="F57" i="18"/>
  <c r="F60" i="18" s="1"/>
  <c r="F79" i="18"/>
  <c r="F82" i="18" s="1"/>
  <c r="H256" i="6"/>
  <c r="H16" i="18"/>
  <c r="K262" i="6"/>
  <c r="K13" i="18"/>
  <c r="F45" i="18"/>
  <c r="F67" i="18"/>
  <c r="Q49" i="18"/>
  <c r="Q71" i="18"/>
  <c r="P261" i="6"/>
  <c r="P12" i="18"/>
  <c r="W58" i="18"/>
  <c r="W80" i="18"/>
  <c r="Q48" i="18"/>
  <c r="Q70" i="18"/>
  <c r="R261" i="6"/>
  <c r="R20" i="18"/>
  <c r="V57" i="18"/>
  <c r="V79" i="18"/>
  <c r="L262" i="6"/>
  <c r="L13" i="18"/>
  <c r="Q262" i="6"/>
  <c r="Q13" i="18"/>
  <c r="I260" i="6"/>
  <c r="I11" i="18"/>
  <c r="P262" i="6"/>
  <c r="P13" i="18"/>
  <c r="Y48" i="18"/>
  <c r="Y70" i="18"/>
  <c r="I256" i="6"/>
  <c r="I8" i="18"/>
  <c r="E262" i="6"/>
  <c r="E13" i="18"/>
  <c r="X49" i="18"/>
  <c r="X71" i="18"/>
  <c r="AA58" i="18"/>
  <c r="AA80" i="18"/>
  <c r="Z49" i="18"/>
  <c r="Z71" i="18"/>
  <c r="L257" i="6"/>
  <c r="L9" i="18"/>
  <c r="G58" i="18"/>
  <c r="G80" i="18"/>
  <c r="D48" i="18"/>
  <c r="D70" i="18"/>
  <c r="D47" i="18"/>
  <c r="D69" i="18"/>
  <c r="J47" i="18"/>
  <c r="J69" i="18"/>
  <c r="E67" i="18"/>
  <c r="E45" i="18"/>
  <c r="U57" i="18"/>
  <c r="U79" i="18"/>
  <c r="Z260" i="6"/>
  <c r="Z19" i="18"/>
  <c r="M261" i="6"/>
  <c r="M20" i="18"/>
  <c r="F48" i="18"/>
  <c r="F70" i="18"/>
  <c r="I261" i="6"/>
  <c r="I12" i="18"/>
  <c r="S49" i="18"/>
  <c r="S71" i="18"/>
  <c r="L79" i="18"/>
  <c r="L57" i="18"/>
  <c r="P54" i="18"/>
  <c r="P76" i="18"/>
  <c r="D58" i="18"/>
  <c r="D80" i="18"/>
  <c r="R262" i="6"/>
  <c r="R13" i="18"/>
  <c r="O55" i="18"/>
  <c r="O77" i="18"/>
  <c r="O262" i="6"/>
  <c r="O13" i="18"/>
  <c r="Q57" i="18"/>
  <c r="Q79" i="18"/>
  <c r="Y57" i="18"/>
  <c r="Y79" i="18"/>
  <c r="H257" i="6"/>
  <c r="H17" i="18"/>
  <c r="N77" i="18"/>
  <c r="N55" i="18"/>
  <c r="X262" i="6"/>
  <c r="X13" i="18"/>
  <c r="T70" i="18"/>
  <c r="T48" i="18"/>
  <c r="G256" i="6"/>
  <c r="G16" i="18"/>
  <c r="I253" i="6"/>
  <c r="I20" i="18"/>
  <c r="N261" i="6"/>
  <c r="N20" i="18"/>
  <c r="N49" i="18"/>
  <c r="N71" i="18"/>
  <c r="K47" i="18"/>
  <c r="K69" i="18"/>
  <c r="M47" i="18"/>
  <c r="M69" i="18"/>
  <c r="S262" i="6"/>
  <c r="S13" i="18"/>
  <c r="H49" i="18"/>
  <c r="H71" i="18"/>
  <c r="Z58" i="18"/>
  <c r="Z80" i="18"/>
  <c r="J48" i="18"/>
  <c r="J70" i="18"/>
  <c r="K48" i="18"/>
  <c r="K70" i="18"/>
  <c r="K55" i="18"/>
  <c r="K77" i="18"/>
  <c r="M256" i="6"/>
  <c r="M16" i="18"/>
  <c r="P79" i="18"/>
  <c r="P57" i="18"/>
  <c r="O48" i="18"/>
  <c r="O70" i="18"/>
  <c r="W49" i="18"/>
  <c r="W71" i="18"/>
  <c r="G260" i="6"/>
  <c r="G19" i="18"/>
  <c r="E253" i="6"/>
  <c r="E20" i="18"/>
  <c r="J67" i="18"/>
  <c r="J45" i="18"/>
  <c r="S58" i="18"/>
  <c r="S80" i="18"/>
  <c r="F262" i="6"/>
  <c r="F13" i="18"/>
  <c r="E49" i="18"/>
  <c r="E71" i="18"/>
  <c r="T261" i="6"/>
  <c r="T20" i="18"/>
  <c r="X260" i="6"/>
  <c r="X19" i="18"/>
  <c r="G261" i="6"/>
  <c r="G12" i="18"/>
  <c r="M260" i="6"/>
  <c r="M19" i="18"/>
  <c r="W262" i="6"/>
  <c r="W13" i="18"/>
  <c r="J253" i="6"/>
  <c r="J19" i="18"/>
  <c r="H260" i="6"/>
  <c r="H19" i="18"/>
  <c r="F257" i="6"/>
  <c r="F9" i="18"/>
  <c r="AA49" i="18"/>
  <c r="AA71" i="18"/>
  <c r="O57" i="18"/>
  <c r="O79" i="18"/>
  <c r="H262" i="6"/>
  <c r="H13" i="18"/>
  <c r="P70" i="18"/>
  <c r="P48" i="18"/>
  <c r="X58" i="18"/>
  <c r="X80" i="18"/>
  <c r="I262" i="6"/>
  <c r="I13" i="18"/>
  <c r="U80" i="18"/>
  <c r="U58" i="18"/>
  <c r="T262" i="6"/>
  <c r="T13" i="18"/>
  <c r="L256" i="6"/>
  <c r="L16" i="18"/>
  <c r="AA262" i="6"/>
  <c r="AA13" i="18"/>
  <c r="Y262" i="6"/>
  <c r="Y13" i="18"/>
  <c r="O261" i="6"/>
  <c r="O12" i="18"/>
  <c r="V48" i="18"/>
  <c r="V70" i="18"/>
  <c r="D67" i="18"/>
  <c r="U48" i="18"/>
  <c r="U70" i="18"/>
  <c r="S48" i="18"/>
  <c r="S70" i="18"/>
  <c r="O76" i="18"/>
  <c r="O54" i="18"/>
  <c r="L48" i="18"/>
  <c r="L70" i="18"/>
  <c r="J262" i="6"/>
  <c r="J13" i="18"/>
  <c r="L261" i="6"/>
  <c r="L12" i="18"/>
  <c r="N262" i="6"/>
  <c r="N13" i="18"/>
  <c r="H58" i="18"/>
  <c r="H80" i="18"/>
  <c r="N76" i="18"/>
  <c r="N54" i="18"/>
  <c r="M262" i="6"/>
  <c r="M13" i="18"/>
  <c r="S57" i="18"/>
  <c r="S79" i="18"/>
  <c r="Q58" i="18"/>
  <c r="Q80" i="18"/>
  <c r="U262" i="6"/>
  <c r="U13" i="18"/>
  <c r="J261" i="6"/>
  <c r="J12" i="18"/>
  <c r="N260" i="6"/>
  <c r="N11" i="18"/>
  <c r="Y261" i="6"/>
  <c r="Y12" i="18"/>
  <c r="D257" i="6"/>
  <c r="D17" i="18"/>
  <c r="K256" i="6"/>
  <c r="K8" i="18"/>
  <c r="Y47" i="18"/>
  <c r="Y69" i="18"/>
  <c r="D165" i="11"/>
  <c r="D111" i="11"/>
  <c r="D115" i="11" s="1"/>
  <c r="E97" i="11"/>
  <c r="D64" i="11"/>
  <c r="E60" i="11"/>
  <c r="D166" i="11"/>
  <c r="Y82" i="11"/>
  <c r="X202" i="11"/>
  <c r="D53" i="11"/>
  <c r="E47" i="11"/>
  <c r="D153" i="11"/>
  <c r="D159" i="11" s="1"/>
  <c r="F98" i="11"/>
  <c r="E112" i="11"/>
  <c r="D118" i="11"/>
  <c r="D122" i="11" s="1"/>
  <c r="E103" i="11"/>
  <c r="F104" i="11"/>
  <c r="E119" i="11"/>
  <c r="E155" i="11"/>
  <c r="F49" i="11"/>
  <c r="Q410" i="11"/>
  <c r="P15" i="11"/>
  <c r="R11" i="11"/>
  <c r="P27" i="11"/>
  <c r="R23" i="11"/>
  <c r="E76" i="11"/>
  <c r="D196" i="11"/>
  <c r="D206" i="11" s="1"/>
  <c r="N45" i="6"/>
  <c r="S261" i="6"/>
  <c r="N237" i="6"/>
  <c r="N9" i="18" s="1"/>
  <c r="N30" i="6"/>
  <c r="M243" i="6"/>
  <c r="K231" i="6"/>
  <c r="T260" i="6"/>
  <c r="Z261" i="6"/>
  <c r="L243" i="6"/>
  <c r="G253" i="6"/>
  <c r="N236" i="6"/>
  <c r="F260" i="6"/>
  <c r="AA261" i="6"/>
  <c r="O260" i="6"/>
  <c r="H243" i="6"/>
  <c r="K243" i="6"/>
  <c r="X261" i="6"/>
  <c r="Y260" i="6"/>
  <c r="N253" i="6"/>
  <c r="G243" i="6"/>
  <c r="I243" i="6"/>
  <c r="S260" i="6"/>
  <c r="D253" i="6"/>
  <c r="J260" i="6"/>
  <c r="Q261" i="6"/>
  <c r="W261" i="6"/>
  <c r="H261" i="6"/>
  <c r="O236" i="6"/>
  <c r="P221" i="6"/>
  <c r="D261" i="6"/>
  <c r="O30" i="6"/>
  <c r="O237" i="6"/>
  <c r="O9" i="18" s="1"/>
  <c r="P260" i="6"/>
  <c r="V260" i="6"/>
  <c r="L260" i="6"/>
  <c r="O225" i="6"/>
  <c r="O231" i="6" s="1"/>
  <c r="O211" i="6"/>
  <c r="O45" i="6"/>
  <c r="U261" i="6"/>
  <c r="Q214" i="6"/>
  <c r="J62" i="6"/>
  <c r="J64" i="6" s="1"/>
  <c r="J71" i="6" s="1"/>
  <c r="J59" i="6"/>
  <c r="J70" i="6" s="1"/>
  <c r="K253" i="6"/>
  <c r="J256" i="6"/>
  <c r="J243" i="6"/>
  <c r="K97" i="6"/>
  <c r="L253" i="6"/>
  <c r="H253" i="6"/>
  <c r="P247" i="6"/>
  <c r="K260" i="6"/>
  <c r="F253" i="6"/>
  <c r="F256" i="6"/>
  <c r="F243" i="6"/>
  <c r="M253" i="6"/>
  <c r="S8" i="6"/>
  <c r="E261" i="6"/>
  <c r="E256" i="6"/>
  <c r="E243" i="6"/>
  <c r="K257" i="6"/>
  <c r="O253" i="6"/>
  <c r="Q215" i="6"/>
  <c r="D256" i="6"/>
  <c r="D243" i="6"/>
  <c r="U260" i="6"/>
  <c r="N54" i="6"/>
  <c r="N69" i="6" s="1"/>
  <c r="Q260" i="6"/>
  <c r="M168" i="11"/>
  <c r="N62" i="11"/>
  <c r="Z195" i="11"/>
  <c r="AA180" i="11"/>
  <c r="AA195" i="11" s="1"/>
  <c r="L167" i="11"/>
  <c r="M61" i="11"/>
  <c r="S7" i="11"/>
  <c r="E197" i="11"/>
  <c r="F77" i="11"/>
  <c r="K198" i="11"/>
  <c r="L78" i="11"/>
  <c r="E113" i="11"/>
  <c r="F99" i="11"/>
  <c r="S193" i="11"/>
  <c r="T178" i="11"/>
  <c r="M199" i="11"/>
  <c r="N79" i="11"/>
  <c r="V201" i="11"/>
  <c r="W81" i="11"/>
  <c r="F17" i="11"/>
  <c r="F29" i="11"/>
  <c r="P153" i="11"/>
  <c r="Q132" i="11"/>
  <c r="M157" i="11"/>
  <c r="N51" i="11"/>
  <c r="H154" i="11"/>
  <c r="I48" i="11"/>
  <c r="M156" i="11"/>
  <c r="N50" i="11"/>
  <c r="D163" i="11"/>
  <c r="E57" i="11"/>
  <c r="AA203" i="11"/>
  <c r="Z144" i="11"/>
  <c r="Y166" i="11"/>
  <c r="I411" i="11"/>
  <c r="H16" i="11"/>
  <c r="J12" i="11"/>
  <c r="I28" i="11"/>
  <c r="K24" i="11"/>
  <c r="Y154" i="11"/>
  <c r="Z133" i="11"/>
  <c r="F59" i="11"/>
  <c r="E165" i="11"/>
  <c r="Y137" i="11"/>
  <c r="X158" i="11"/>
  <c r="S200" i="11"/>
  <c r="T80" i="11"/>
  <c r="S163" i="11"/>
  <c r="T141" i="11"/>
  <c r="D193" i="11"/>
  <c r="D87" i="11"/>
  <c r="E73" i="11"/>
  <c r="S165" i="11"/>
  <c r="T143" i="11"/>
  <c r="G152" i="11"/>
  <c r="H131" i="11"/>
  <c r="E58" i="11"/>
  <c r="D164" i="11"/>
  <c r="Z196" i="11"/>
  <c r="AA181" i="11"/>
  <c r="AA196" i="11" s="1"/>
  <c r="F120" i="11"/>
  <c r="G105" i="11"/>
  <c r="T179" i="11"/>
  <c r="S194" i="11"/>
  <c r="D195" i="11"/>
  <c r="E75" i="11"/>
  <c r="K162" i="11"/>
  <c r="L140" i="11"/>
  <c r="G34" i="11"/>
  <c r="S164" i="11"/>
  <c r="T142" i="11"/>
  <c r="P43" i="6" l="1"/>
  <c r="P205" i="6"/>
  <c r="P28" i="6"/>
  <c r="P204" i="6"/>
  <c r="P224" i="6" s="1"/>
  <c r="S22" i="6"/>
  <c r="S29" i="6" s="1"/>
  <c r="S37" i="6"/>
  <c r="S44" i="6" s="1"/>
  <c r="R16" i="5"/>
  <c r="Q21" i="6"/>
  <c r="Q36" i="6"/>
  <c r="R7" i="6"/>
  <c r="D89" i="11"/>
  <c r="D218" i="11" s="1"/>
  <c r="D417" i="11" s="1"/>
  <c r="E162" i="11"/>
  <c r="E86" i="11"/>
  <c r="F74" i="11"/>
  <c r="G74" i="11" s="1"/>
  <c r="M263" i="6"/>
  <c r="K60" i="18"/>
  <c r="O82" i="18"/>
  <c r="G263" i="6"/>
  <c r="I263" i="6"/>
  <c r="J92" i="6"/>
  <c r="J99" i="6" s="1"/>
  <c r="J98" i="6"/>
  <c r="K82" i="18"/>
  <c r="D73" i="18"/>
  <c r="O256" i="6"/>
  <c r="O8" i="18"/>
  <c r="R72" i="18"/>
  <c r="R50" i="18"/>
  <c r="Z57" i="18"/>
  <c r="Z79" i="18"/>
  <c r="AA57" i="18"/>
  <c r="AA79" i="18"/>
  <c r="P17" i="18"/>
  <c r="N256" i="6"/>
  <c r="N8" i="18"/>
  <c r="N257" i="6"/>
  <c r="K67" i="18"/>
  <c r="K45" i="18"/>
  <c r="Y71" i="18"/>
  <c r="Y49" i="18"/>
  <c r="J49" i="18"/>
  <c r="J71" i="18"/>
  <c r="M50" i="18"/>
  <c r="M51" i="18" s="1"/>
  <c r="M72" i="18"/>
  <c r="M73" i="18" s="1"/>
  <c r="L49" i="18"/>
  <c r="L71" i="18"/>
  <c r="D51" i="18"/>
  <c r="O49" i="18"/>
  <c r="O71" i="18"/>
  <c r="AA50" i="18"/>
  <c r="AA72" i="18"/>
  <c r="T50" i="18"/>
  <c r="T72" i="18"/>
  <c r="I50" i="18"/>
  <c r="I72" i="18"/>
  <c r="F46" i="18"/>
  <c r="F68" i="18"/>
  <c r="J57" i="18"/>
  <c r="J60" i="18" s="1"/>
  <c r="J79" i="18"/>
  <c r="J82" i="18" s="1"/>
  <c r="M57" i="18"/>
  <c r="M79" i="18"/>
  <c r="X79" i="18"/>
  <c r="X57" i="18"/>
  <c r="E80" i="18"/>
  <c r="E82" i="18" s="1"/>
  <c r="E58" i="18"/>
  <c r="E60" i="18" s="1"/>
  <c r="I67" i="18"/>
  <c r="I45" i="18"/>
  <c r="P50" i="18"/>
  <c r="P72" i="18"/>
  <c r="Q50" i="18"/>
  <c r="Q72" i="18"/>
  <c r="P49" i="18"/>
  <c r="P71" i="18"/>
  <c r="H54" i="18"/>
  <c r="H76" i="18"/>
  <c r="I80" i="18"/>
  <c r="I82" i="18" s="1"/>
  <c r="I58" i="18"/>
  <c r="I60" i="18" s="1"/>
  <c r="O50" i="18"/>
  <c r="O72" i="18"/>
  <c r="O46" i="18"/>
  <c r="O68" i="18"/>
  <c r="H263" i="6"/>
  <c r="N46" i="18"/>
  <c r="N68" i="18"/>
  <c r="G57" i="18"/>
  <c r="G79" i="18"/>
  <c r="M76" i="18"/>
  <c r="M54" i="18"/>
  <c r="S50" i="18"/>
  <c r="S72" i="18"/>
  <c r="N58" i="18"/>
  <c r="N60" i="18" s="1"/>
  <c r="N80" i="18"/>
  <c r="N82" i="18" s="1"/>
  <c r="G76" i="18"/>
  <c r="G54" i="18"/>
  <c r="X50" i="18"/>
  <c r="X72" i="18"/>
  <c r="H55" i="18"/>
  <c r="H77" i="18"/>
  <c r="I71" i="18"/>
  <c r="I49" i="18"/>
  <c r="M58" i="18"/>
  <c r="M80" i="18"/>
  <c r="D79" i="18"/>
  <c r="D57" i="18"/>
  <c r="J68" i="18"/>
  <c r="J46" i="18"/>
  <c r="V72" i="18"/>
  <c r="V50" i="18"/>
  <c r="G50" i="18"/>
  <c r="G72" i="18"/>
  <c r="R48" i="18"/>
  <c r="R70" i="18"/>
  <c r="L263" i="6"/>
  <c r="D55" i="18"/>
  <c r="D77" i="18"/>
  <c r="N48" i="18"/>
  <c r="N70" i="18"/>
  <c r="U50" i="18"/>
  <c r="U72" i="18"/>
  <c r="N72" i="18"/>
  <c r="N50" i="18"/>
  <c r="J50" i="18"/>
  <c r="J72" i="18"/>
  <c r="O60" i="18"/>
  <c r="Y50" i="18"/>
  <c r="Y72" i="18"/>
  <c r="L54" i="18"/>
  <c r="L60" i="18" s="1"/>
  <c r="L76" i="18"/>
  <c r="L82" i="18" s="1"/>
  <c r="H50" i="18"/>
  <c r="H51" i="18" s="1"/>
  <c r="H72" i="18"/>
  <c r="H73" i="18" s="1"/>
  <c r="H57" i="18"/>
  <c r="H79" i="18"/>
  <c r="W50" i="18"/>
  <c r="W72" i="18"/>
  <c r="G49" i="18"/>
  <c r="G71" i="18"/>
  <c r="T58" i="18"/>
  <c r="T80" i="18"/>
  <c r="F72" i="18"/>
  <c r="F50" i="18"/>
  <c r="L46" i="18"/>
  <c r="L68" i="18"/>
  <c r="E50" i="18"/>
  <c r="E72" i="18"/>
  <c r="I48" i="18"/>
  <c r="I70" i="18"/>
  <c r="L50" i="18"/>
  <c r="L72" i="18"/>
  <c r="R58" i="18"/>
  <c r="R80" i="18"/>
  <c r="K50" i="18"/>
  <c r="K72" i="18"/>
  <c r="E48" i="18"/>
  <c r="E70" i="18"/>
  <c r="D66" i="11"/>
  <c r="F97" i="11"/>
  <c r="E111" i="11"/>
  <c r="E115" i="11" s="1"/>
  <c r="D124" i="11"/>
  <c r="D228" i="11" s="1"/>
  <c r="D222" i="11" s="1"/>
  <c r="G104" i="11"/>
  <c r="F119" i="11"/>
  <c r="E118" i="11"/>
  <c r="E122" i="11" s="1"/>
  <c r="F103" i="11"/>
  <c r="Y202" i="11"/>
  <c r="Z82" i="11"/>
  <c r="E196" i="11"/>
  <c r="E206" i="11" s="1"/>
  <c r="F76" i="11"/>
  <c r="F155" i="11"/>
  <c r="G49" i="11"/>
  <c r="E153" i="11"/>
  <c r="E159" i="11" s="1"/>
  <c r="F47" i="11"/>
  <c r="E53" i="11"/>
  <c r="Q27" i="11"/>
  <c r="S23" i="11"/>
  <c r="S11" i="11"/>
  <c r="R410" i="11"/>
  <c r="Q15" i="11"/>
  <c r="E166" i="11"/>
  <c r="F60" i="11"/>
  <c r="D170" i="11"/>
  <c r="D172" i="11" s="1"/>
  <c r="D229" i="11" s="1"/>
  <c r="D207" i="11"/>
  <c r="D209" i="11" s="1"/>
  <c r="D230" i="11" s="1"/>
  <c r="G98" i="11"/>
  <c r="F112" i="11"/>
  <c r="N243" i="6"/>
  <c r="F263" i="6"/>
  <c r="K263" i="6"/>
  <c r="J263" i="6"/>
  <c r="E263" i="6"/>
  <c r="D263" i="6"/>
  <c r="K98" i="6"/>
  <c r="P253" i="6"/>
  <c r="O243" i="6"/>
  <c r="O257" i="6"/>
  <c r="R215" i="6"/>
  <c r="T8" i="6"/>
  <c r="Q221" i="6"/>
  <c r="L97" i="6"/>
  <c r="O54" i="6"/>
  <c r="O69" i="6" s="1"/>
  <c r="Q247" i="6"/>
  <c r="K59" i="6"/>
  <c r="K70" i="6" s="1"/>
  <c r="K62" i="6"/>
  <c r="K64" i="6" s="1"/>
  <c r="K71" i="6" s="1"/>
  <c r="R214" i="6"/>
  <c r="Q246" i="6"/>
  <c r="Q16" i="18" s="1"/>
  <c r="G30" i="11"/>
  <c r="H26" i="11" s="1"/>
  <c r="G18" i="11"/>
  <c r="H14" i="11" s="1"/>
  <c r="T194" i="11"/>
  <c r="U179" i="11"/>
  <c r="F162" i="11"/>
  <c r="G56" i="11"/>
  <c r="E195" i="11"/>
  <c r="F75" i="11"/>
  <c r="H152" i="11"/>
  <c r="I131" i="11"/>
  <c r="E193" i="11"/>
  <c r="E207" i="11" s="1"/>
  <c r="E87" i="11"/>
  <c r="F73" i="11"/>
  <c r="H34" i="11"/>
  <c r="N156" i="11"/>
  <c r="O50" i="11"/>
  <c r="Q153" i="11"/>
  <c r="R132" i="11"/>
  <c r="F35" i="11"/>
  <c r="F36" i="11" s="1"/>
  <c r="G13" i="11"/>
  <c r="F19" i="11"/>
  <c r="N199" i="11"/>
  <c r="O79" i="11"/>
  <c r="G99" i="11"/>
  <c r="F113" i="11"/>
  <c r="F197" i="11"/>
  <c r="G77" i="11"/>
  <c r="M140" i="11"/>
  <c r="L162" i="11"/>
  <c r="T200" i="11"/>
  <c r="U80" i="11"/>
  <c r="Z137" i="11"/>
  <c r="Y158" i="11"/>
  <c r="J28" i="11"/>
  <c r="L24" i="11"/>
  <c r="W201" i="11"/>
  <c r="X81" i="11"/>
  <c r="M167" i="11"/>
  <c r="N61" i="11"/>
  <c r="N168" i="11"/>
  <c r="O62" i="11"/>
  <c r="E164" i="11"/>
  <c r="F58" i="11"/>
  <c r="U143" i="11"/>
  <c r="T165" i="11"/>
  <c r="Z166" i="11"/>
  <c r="AA144" i="11"/>
  <c r="AA166" i="11" s="1"/>
  <c r="F57" i="11"/>
  <c r="E163" i="11"/>
  <c r="E64" i="11"/>
  <c r="N157" i="11"/>
  <c r="O51" i="11"/>
  <c r="G25" i="11"/>
  <c r="F31" i="11"/>
  <c r="T193" i="11"/>
  <c r="U178" i="11"/>
  <c r="L198" i="11"/>
  <c r="M78" i="11"/>
  <c r="T7" i="11"/>
  <c r="U142" i="11"/>
  <c r="T164" i="11"/>
  <c r="H105" i="11"/>
  <c r="I105" i="11" s="1"/>
  <c r="J105" i="11" s="1"/>
  <c r="K105" i="11" s="1"/>
  <c r="L105" i="11" s="1"/>
  <c r="M105" i="11" s="1"/>
  <c r="N105" i="11" s="1"/>
  <c r="O105" i="11" s="1"/>
  <c r="P105" i="11" s="1"/>
  <c r="Q105" i="11" s="1"/>
  <c r="R105" i="11" s="1"/>
  <c r="S105" i="11" s="1"/>
  <c r="T105" i="11" s="1"/>
  <c r="U105" i="11" s="1"/>
  <c r="V105" i="11" s="1"/>
  <c r="W105" i="11" s="1"/>
  <c r="X105" i="11" s="1"/>
  <c r="Y105" i="11" s="1"/>
  <c r="Z105" i="11" s="1"/>
  <c r="AA105" i="11" s="1"/>
  <c r="T163" i="11"/>
  <c r="U141" i="11"/>
  <c r="F165" i="11"/>
  <c r="G59" i="11"/>
  <c r="Z154" i="11"/>
  <c r="AA133" i="11"/>
  <c r="AA154" i="11" s="1"/>
  <c r="K12" i="11"/>
  <c r="I16" i="11"/>
  <c r="J411" i="11"/>
  <c r="I154" i="11"/>
  <c r="J48" i="11"/>
  <c r="G73" i="18" l="1"/>
  <c r="F73" i="18"/>
  <c r="P30" i="6"/>
  <c r="P236" i="6"/>
  <c r="Q43" i="6"/>
  <c r="Q205" i="6"/>
  <c r="Q225" i="6" s="1"/>
  <c r="Q28" i="6"/>
  <c r="Q204" i="6"/>
  <c r="P211" i="6"/>
  <c r="P225" i="6"/>
  <c r="P231" i="6" s="1"/>
  <c r="S16" i="5"/>
  <c r="R21" i="6"/>
  <c r="R36" i="6"/>
  <c r="S7" i="6"/>
  <c r="T22" i="6"/>
  <c r="T29" i="6" s="1"/>
  <c r="T37" i="6"/>
  <c r="T44" i="6" s="1"/>
  <c r="P237" i="6"/>
  <c r="P45" i="6"/>
  <c r="E89" i="11"/>
  <c r="E218" i="11" s="1"/>
  <c r="E417" i="11" s="1"/>
  <c r="D224" i="11"/>
  <c r="F194" i="11"/>
  <c r="D217" i="11"/>
  <c r="D418" i="11" s="1"/>
  <c r="F86" i="11"/>
  <c r="F51" i="18"/>
  <c r="N263" i="6"/>
  <c r="G51" i="18"/>
  <c r="I73" i="18"/>
  <c r="J73" i="18"/>
  <c r="K92" i="6"/>
  <c r="K99" i="6" s="1"/>
  <c r="D60" i="18"/>
  <c r="O263" i="6"/>
  <c r="E73" i="18"/>
  <c r="J51" i="18"/>
  <c r="D82" i="18"/>
  <c r="G60" i="18"/>
  <c r="E51" i="18"/>
  <c r="L51" i="18"/>
  <c r="O45" i="18"/>
  <c r="O51" i="18" s="1"/>
  <c r="O67" i="18"/>
  <c r="O73" i="18" s="1"/>
  <c r="G82" i="18"/>
  <c r="K51" i="18"/>
  <c r="N67" i="18"/>
  <c r="N73" i="18" s="1"/>
  <c r="N45" i="18"/>
  <c r="N51" i="18" s="1"/>
  <c r="M60" i="18"/>
  <c r="H82" i="18"/>
  <c r="K73" i="18"/>
  <c r="P55" i="18"/>
  <c r="P60" i="18" s="1"/>
  <c r="P77" i="18"/>
  <c r="P82" i="18" s="1"/>
  <c r="Q76" i="18"/>
  <c r="Q54" i="18"/>
  <c r="Q17" i="18"/>
  <c r="L73" i="18"/>
  <c r="H60" i="18"/>
  <c r="M82" i="18"/>
  <c r="I51" i="18"/>
  <c r="F111" i="11"/>
  <c r="F115" i="11" s="1"/>
  <c r="G97" i="11"/>
  <c r="E209" i="11"/>
  <c r="E230" i="11" s="1"/>
  <c r="E224" i="11" s="1"/>
  <c r="E170" i="11"/>
  <c r="E172" i="11" s="1"/>
  <c r="E229" i="11" s="1"/>
  <c r="D231" i="11"/>
  <c r="E66" i="11"/>
  <c r="E217" i="11" s="1"/>
  <c r="E418" i="11" s="1"/>
  <c r="T23" i="11"/>
  <c r="R27" i="11"/>
  <c r="H49" i="11"/>
  <c r="G155" i="11"/>
  <c r="H74" i="11"/>
  <c r="G194" i="11"/>
  <c r="AA82" i="11"/>
  <c r="Z202" i="11"/>
  <c r="F196" i="11"/>
  <c r="G76" i="11"/>
  <c r="G86" i="11" s="1"/>
  <c r="H104" i="11"/>
  <c r="G119" i="11"/>
  <c r="H98" i="11"/>
  <c r="G112" i="11"/>
  <c r="F166" i="11"/>
  <c r="G60" i="11"/>
  <c r="S410" i="11"/>
  <c r="R15" i="11"/>
  <c r="T11" i="11"/>
  <c r="F53" i="11"/>
  <c r="F153" i="11"/>
  <c r="F159" i="11" s="1"/>
  <c r="G47" i="11"/>
  <c r="G103" i="11"/>
  <c r="F118" i="11"/>
  <c r="F122" i="11" s="1"/>
  <c r="E124" i="11"/>
  <c r="E228" i="11" s="1"/>
  <c r="E222" i="11" s="1"/>
  <c r="R221" i="6"/>
  <c r="Q253" i="6"/>
  <c r="S215" i="6"/>
  <c r="R247" i="6"/>
  <c r="M97" i="6"/>
  <c r="S214" i="6"/>
  <c r="R246" i="6"/>
  <c r="R16" i="18" s="1"/>
  <c r="U8" i="6"/>
  <c r="L59" i="6"/>
  <c r="L70" i="6" s="1"/>
  <c r="L62" i="6"/>
  <c r="L64" i="6" s="1"/>
  <c r="L71" i="6" s="1"/>
  <c r="P54" i="6"/>
  <c r="P69" i="6" s="1"/>
  <c r="V141" i="11"/>
  <c r="U163" i="11"/>
  <c r="V178" i="11"/>
  <c r="U193" i="11"/>
  <c r="O157" i="11"/>
  <c r="P51" i="11"/>
  <c r="F163" i="11"/>
  <c r="G57" i="11"/>
  <c r="O168" i="11"/>
  <c r="P62" i="11"/>
  <c r="X201" i="11"/>
  <c r="Y81" i="11"/>
  <c r="H99" i="11"/>
  <c r="I99" i="11" s="1"/>
  <c r="J99" i="11" s="1"/>
  <c r="K99" i="11" s="1"/>
  <c r="L99" i="11" s="1"/>
  <c r="M99" i="11" s="1"/>
  <c r="N99" i="11" s="1"/>
  <c r="O99" i="11" s="1"/>
  <c r="P99" i="11" s="1"/>
  <c r="Q99" i="11" s="1"/>
  <c r="R99" i="11" s="1"/>
  <c r="S99" i="11" s="1"/>
  <c r="T99" i="11" s="1"/>
  <c r="U99" i="11" s="1"/>
  <c r="V99" i="11" s="1"/>
  <c r="W99" i="11" s="1"/>
  <c r="X99" i="11" s="1"/>
  <c r="Y99" i="11" s="1"/>
  <c r="Z99" i="11" s="1"/>
  <c r="AA99" i="11" s="1"/>
  <c r="G412" i="11"/>
  <c r="G414" i="11" s="1"/>
  <c r="G113" i="11"/>
  <c r="H13" i="11"/>
  <c r="G20" i="11"/>
  <c r="O156" i="11"/>
  <c r="P50" i="11"/>
  <c r="H413" i="11"/>
  <c r="H114" i="11"/>
  <c r="K411" i="11"/>
  <c r="L12" i="11"/>
  <c r="J16" i="11"/>
  <c r="G165" i="11"/>
  <c r="H59" i="11"/>
  <c r="U164" i="11"/>
  <c r="V142" i="11"/>
  <c r="M198" i="11"/>
  <c r="N78" i="11"/>
  <c r="F164" i="11"/>
  <c r="G58" i="11"/>
  <c r="N167" i="11"/>
  <c r="O61" i="11"/>
  <c r="U200" i="11"/>
  <c r="V80" i="11"/>
  <c r="S132" i="11"/>
  <c r="R153" i="11"/>
  <c r="H30" i="11"/>
  <c r="I26" i="11" s="1"/>
  <c r="H18" i="11"/>
  <c r="I14" i="11" s="1"/>
  <c r="J131" i="11"/>
  <c r="I152" i="11"/>
  <c r="F64" i="11"/>
  <c r="U194" i="11"/>
  <c r="V179" i="11"/>
  <c r="I34" i="11"/>
  <c r="U7" i="11"/>
  <c r="G120" i="11"/>
  <c r="H25" i="11"/>
  <c r="G32" i="11"/>
  <c r="G38" i="11"/>
  <c r="G216" i="11" s="1"/>
  <c r="M24" i="11"/>
  <c r="K28" i="11"/>
  <c r="F193" i="11"/>
  <c r="G73" i="11"/>
  <c r="F87" i="11"/>
  <c r="J154" i="11"/>
  <c r="K48" i="11"/>
  <c r="V143" i="11"/>
  <c r="U165" i="11"/>
  <c r="AA137" i="11"/>
  <c r="AA158" i="11" s="1"/>
  <c r="Z158" i="11"/>
  <c r="N140" i="11"/>
  <c r="M162" i="11"/>
  <c r="G197" i="11"/>
  <c r="H77" i="11"/>
  <c r="O199" i="11"/>
  <c r="P79" i="11"/>
  <c r="F195" i="11"/>
  <c r="G75" i="11"/>
  <c r="G162" i="11"/>
  <c r="H121" i="11"/>
  <c r="R28" i="6" l="1"/>
  <c r="R204" i="6"/>
  <c r="Q237" i="6"/>
  <c r="Q45" i="6"/>
  <c r="R43" i="6"/>
  <c r="R205" i="6"/>
  <c r="R225" i="6" s="1"/>
  <c r="Q211" i="6"/>
  <c r="Q224" i="6"/>
  <c r="Q231" i="6" s="1"/>
  <c r="P8" i="18"/>
  <c r="P256" i="6"/>
  <c r="P243" i="6"/>
  <c r="U37" i="6"/>
  <c r="U44" i="6" s="1"/>
  <c r="U22" i="6"/>
  <c r="U29" i="6" s="1"/>
  <c r="P9" i="18"/>
  <c r="P257" i="6"/>
  <c r="T16" i="5"/>
  <c r="S36" i="6"/>
  <c r="S21" i="6"/>
  <c r="T7" i="6"/>
  <c r="Q236" i="6"/>
  <c r="Q30" i="6"/>
  <c r="F206" i="11"/>
  <c r="D223" i="11"/>
  <c r="D219" i="11"/>
  <c r="D225" i="11" s="1"/>
  <c r="D238" i="11"/>
  <c r="F89" i="11"/>
  <c r="F218" i="11" s="1"/>
  <c r="F417" i="11" s="1"/>
  <c r="L92" i="6"/>
  <c r="L99" i="6" s="1"/>
  <c r="L98" i="6"/>
  <c r="R17" i="18"/>
  <c r="R76" i="18"/>
  <c r="R54" i="18"/>
  <c r="Q55" i="18"/>
  <c r="Q60" i="18" s="1"/>
  <c r="Q77" i="18"/>
  <c r="Q82" i="18" s="1"/>
  <c r="D235" i="11"/>
  <c r="G111" i="11"/>
  <c r="G115" i="11" s="1"/>
  <c r="H97" i="11"/>
  <c r="F124" i="11"/>
  <c r="F228" i="11" s="1"/>
  <c r="F222" i="11" s="1"/>
  <c r="E223" i="11"/>
  <c r="G64" i="11"/>
  <c r="F207" i="11"/>
  <c r="G118" i="11"/>
  <c r="G122" i="11" s="1"/>
  <c r="H103" i="11"/>
  <c r="H60" i="11"/>
  <c r="G166" i="11"/>
  <c r="H76" i="11"/>
  <c r="H86" i="11" s="1"/>
  <c r="G196" i="11"/>
  <c r="G206" i="11" s="1"/>
  <c r="F170" i="11"/>
  <c r="F172" i="11" s="1"/>
  <c r="F229" i="11" s="1"/>
  <c r="G153" i="11"/>
  <c r="G159" i="11" s="1"/>
  <c r="H47" i="11"/>
  <c r="G53" i="11"/>
  <c r="I104" i="11"/>
  <c r="H119" i="11"/>
  <c r="I74" i="11"/>
  <c r="H194" i="11"/>
  <c r="E219" i="11"/>
  <c r="E231" i="11"/>
  <c r="E235" i="11" s="1"/>
  <c r="I98" i="11"/>
  <c r="H112" i="11"/>
  <c r="AA202" i="11"/>
  <c r="T27" i="11"/>
  <c r="S27" i="11"/>
  <c r="F66" i="11"/>
  <c r="F217" i="11" s="1"/>
  <c r="F418" i="11" s="1"/>
  <c r="T15" i="11"/>
  <c r="T410" i="11"/>
  <c r="S15" i="11"/>
  <c r="H155" i="11"/>
  <c r="I49" i="11"/>
  <c r="R253" i="6"/>
  <c r="S221" i="6"/>
  <c r="V8" i="6"/>
  <c r="T214" i="6"/>
  <c r="M59" i="6"/>
  <c r="M70" i="6" s="1"/>
  <c r="M62" i="6"/>
  <c r="M64" i="6" s="1"/>
  <c r="M71" i="6" s="1"/>
  <c r="S247" i="6"/>
  <c r="T215" i="6"/>
  <c r="N97" i="6"/>
  <c r="S246" i="6"/>
  <c r="S16" i="18" s="1"/>
  <c r="Q54" i="6"/>
  <c r="Q69" i="6" s="1"/>
  <c r="I413" i="11"/>
  <c r="I114" i="11"/>
  <c r="I121" i="11"/>
  <c r="N162" i="11"/>
  <c r="O140" i="11"/>
  <c r="G164" i="11"/>
  <c r="H58" i="11"/>
  <c r="N198" i="11"/>
  <c r="O78" i="11"/>
  <c r="J34" i="11"/>
  <c r="G193" i="11"/>
  <c r="H73" i="11"/>
  <c r="G87" i="11"/>
  <c r="G89" i="11" s="1"/>
  <c r="G218" i="11" s="1"/>
  <c r="G417" i="11" s="1"/>
  <c r="I18" i="11"/>
  <c r="J14" i="11" s="1"/>
  <c r="I30" i="11"/>
  <c r="J26" i="11" s="1"/>
  <c r="J152" i="11"/>
  <c r="K131" i="11"/>
  <c r="V163" i="11"/>
  <c r="W141" i="11"/>
  <c r="G195" i="11"/>
  <c r="H75" i="11"/>
  <c r="V164" i="11"/>
  <c r="W142" i="11"/>
  <c r="L411" i="11"/>
  <c r="K16" i="11"/>
  <c r="M12" i="11"/>
  <c r="P156" i="11"/>
  <c r="Q50" i="11"/>
  <c r="W178" i="11"/>
  <c r="V193" i="11"/>
  <c r="H120" i="11"/>
  <c r="G29" i="11"/>
  <c r="G31" i="11" s="1"/>
  <c r="I25" i="11"/>
  <c r="H32" i="11"/>
  <c r="H38" i="11"/>
  <c r="H216" i="11" s="1"/>
  <c r="H197" i="11"/>
  <c r="I77" i="11"/>
  <c r="V165" i="11"/>
  <c r="W143" i="11"/>
  <c r="I59" i="11"/>
  <c r="H165" i="11"/>
  <c r="H412" i="11"/>
  <c r="H414" i="11" s="1"/>
  <c r="H113" i="11"/>
  <c r="G17" i="11"/>
  <c r="I13" i="11"/>
  <c r="H20" i="11"/>
  <c r="G163" i="11"/>
  <c r="H57" i="11"/>
  <c r="N24" i="11"/>
  <c r="L28" i="11"/>
  <c r="O167" i="11"/>
  <c r="P61" i="11"/>
  <c r="P199" i="11"/>
  <c r="Q79" i="11"/>
  <c r="K154" i="11"/>
  <c r="L48" i="11"/>
  <c r="V7" i="11"/>
  <c r="W179" i="11"/>
  <c r="V194" i="11"/>
  <c r="S153" i="11"/>
  <c r="T132" i="11"/>
  <c r="V200" i="11"/>
  <c r="W80" i="11"/>
  <c r="Y201" i="11"/>
  <c r="Z81" i="11"/>
  <c r="P168" i="11"/>
  <c r="Q62" i="11"/>
  <c r="P157" i="11"/>
  <c r="Q51" i="11"/>
  <c r="U16" i="5" l="1"/>
  <c r="T21" i="6"/>
  <c r="T36" i="6"/>
  <c r="U7" i="6"/>
  <c r="S28" i="6"/>
  <c r="S204" i="6"/>
  <c r="P46" i="18"/>
  <c r="P68" i="18"/>
  <c r="Q9" i="18"/>
  <c r="Q257" i="6"/>
  <c r="S43" i="6"/>
  <c r="S205" i="6"/>
  <c r="S225" i="6" s="1"/>
  <c r="P263" i="6"/>
  <c r="R211" i="6"/>
  <c r="R224" i="6"/>
  <c r="R231" i="6" s="1"/>
  <c r="V22" i="6"/>
  <c r="V29" i="6" s="1"/>
  <c r="V37" i="6"/>
  <c r="V44" i="6" s="1"/>
  <c r="Q8" i="18"/>
  <c r="Q243" i="6"/>
  <c r="Q256" i="6"/>
  <c r="P67" i="18"/>
  <c r="P45" i="18"/>
  <c r="P51" i="18" s="1"/>
  <c r="R237" i="6"/>
  <c r="R45" i="6"/>
  <c r="R30" i="6"/>
  <c r="R236" i="6"/>
  <c r="F209" i="11"/>
  <c r="F230" i="11" s="1"/>
  <c r="F231" i="11" s="1"/>
  <c r="F219" i="11"/>
  <c r="M92" i="6"/>
  <c r="M99" i="6" s="1"/>
  <c r="M98" i="6"/>
  <c r="S76" i="18"/>
  <c r="S54" i="18"/>
  <c r="R55" i="18"/>
  <c r="R60" i="18" s="1"/>
  <c r="R77" i="18"/>
  <c r="R82" i="18" s="1"/>
  <c r="S17" i="18"/>
  <c r="E225" i="11"/>
  <c r="G124" i="11"/>
  <c r="G228" i="11" s="1"/>
  <c r="G222" i="11" s="1"/>
  <c r="G66" i="11"/>
  <c r="G217" i="11" s="1"/>
  <c r="G219" i="11" s="1"/>
  <c r="E238" i="11"/>
  <c r="H111" i="11"/>
  <c r="I97" i="11"/>
  <c r="F223" i="11"/>
  <c r="J74" i="11"/>
  <c r="I194" i="11"/>
  <c r="H53" i="11"/>
  <c r="I47" i="11"/>
  <c r="H153" i="11"/>
  <c r="H159" i="11" s="1"/>
  <c r="H196" i="11"/>
  <c r="H206" i="11" s="1"/>
  <c r="I76" i="11"/>
  <c r="H118" i="11"/>
  <c r="I103" i="11"/>
  <c r="H115" i="11"/>
  <c r="J104" i="11"/>
  <c r="I119" i="11"/>
  <c r="I60" i="11"/>
  <c r="H166" i="11"/>
  <c r="G170" i="11"/>
  <c r="G172" i="11" s="1"/>
  <c r="G229" i="11" s="1"/>
  <c r="H122" i="11"/>
  <c r="J49" i="11"/>
  <c r="I155" i="11"/>
  <c r="J98" i="11"/>
  <c r="I112" i="11"/>
  <c r="R54" i="6"/>
  <c r="R69" i="6" s="1"/>
  <c r="N59" i="6"/>
  <c r="N70" i="6" s="1"/>
  <c r="N62" i="6"/>
  <c r="N64" i="6" s="1"/>
  <c r="N71" i="6" s="1"/>
  <c r="T221" i="6"/>
  <c r="W8" i="6"/>
  <c r="S253" i="6"/>
  <c r="O97" i="6"/>
  <c r="U214" i="6"/>
  <c r="T247" i="6"/>
  <c r="T246" i="6"/>
  <c r="T16" i="18" s="1"/>
  <c r="U215" i="6"/>
  <c r="J121" i="11"/>
  <c r="W163" i="11"/>
  <c r="X141" i="11"/>
  <c r="K152" i="11"/>
  <c r="L131" i="11"/>
  <c r="J413" i="11"/>
  <c r="J114" i="11"/>
  <c r="X179" i="11"/>
  <c r="W194" i="11"/>
  <c r="L154" i="11"/>
  <c r="M48" i="11"/>
  <c r="M28" i="11"/>
  <c r="O24" i="11"/>
  <c r="I412" i="11"/>
  <c r="I414" i="11" s="1"/>
  <c r="I113" i="11"/>
  <c r="J13" i="11"/>
  <c r="H17" i="11"/>
  <c r="I20" i="11"/>
  <c r="Q156" i="11"/>
  <c r="R50" i="11"/>
  <c r="W164" i="11"/>
  <c r="X142" i="11"/>
  <c r="H193" i="11"/>
  <c r="H87" i="11"/>
  <c r="H89" i="11" s="1"/>
  <c r="H218" i="11" s="1"/>
  <c r="H417" i="11" s="1"/>
  <c r="I73" i="11"/>
  <c r="O198" i="11"/>
  <c r="P78" i="11"/>
  <c r="O162" i="11"/>
  <c r="P140" i="11"/>
  <c r="W7" i="11"/>
  <c r="M411" i="11"/>
  <c r="L16" i="11"/>
  <c r="N12" i="11"/>
  <c r="H164" i="11"/>
  <c r="I58" i="11"/>
  <c r="Q157" i="11"/>
  <c r="R51" i="11"/>
  <c r="Z201" i="11"/>
  <c r="AA81" i="11"/>
  <c r="AA201" i="11" s="1"/>
  <c r="W200" i="11"/>
  <c r="X80" i="11"/>
  <c r="Q199" i="11"/>
  <c r="R79" i="11"/>
  <c r="H163" i="11"/>
  <c r="I57" i="11"/>
  <c r="H64" i="11"/>
  <c r="W165" i="11"/>
  <c r="X143" i="11"/>
  <c r="K34" i="11"/>
  <c r="J18" i="11"/>
  <c r="K14" i="11" s="1"/>
  <c r="J30" i="11"/>
  <c r="K26" i="11" s="1"/>
  <c r="Q168" i="11"/>
  <c r="R62" i="11"/>
  <c r="T153" i="11"/>
  <c r="U132" i="11"/>
  <c r="P167" i="11"/>
  <c r="Q61" i="11"/>
  <c r="G35" i="11"/>
  <c r="G36" i="11" s="1"/>
  <c r="G19" i="11"/>
  <c r="I165" i="11"/>
  <c r="J59" i="11"/>
  <c r="I197" i="11"/>
  <c r="J77" i="11"/>
  <c r="H29" i="11"/>
  <c r="H31" i="11" s="1"/>
  <c r="I120" i="11"/>
  <c r="J25" i="11"/>
  <c r="I32" i="11"/>
  <c r="I38" i="11"/>
  <c r="I216" i="11" s="1"/>
  <c r="W193" i="11"/>
  <c r="X178" i="11"/>
  <c r="H195" i="11"/>
  <c r="I75" i="11"/>
  <c r="G207" i="11"/>
  <c r="G209" i="11" s="1"/>
  <c r="G230" i="11" s="1"/>
  <c r="G224" i="11" s="1"/>
  <c r="W22" i="6" l="1"/>
  <c r="W29" i="6" s="1"/>
  <c r="W37" i="6"/>
  <c r="W44" i="6" s="1"/>
  <c r="R8" i="18"/>
  <c r="R243" i="6"/>
  <c r="R256" i="6"/>
  <c r="Q67" i="18"/>
  <c r="Q45" i="18"/>
  <c r="S45" i="6"/>
  <c r="S237" i="6"/>
  <c r="T43" i="6"/>
  <c r="T205" i="6"/>
  <c r="T225" i="6" s="1"/>
  <c r="P73" i="18"/>
  <c r="S211" i="6"/>
  <c r="S224" i="6"/>
  <c r="S231" i="6" s="1"/>
  <c r="T28" i="6"/>
  <c r="T204" i="6"/>
  <c r="R9" i="18"/>
  <c r="R257" i="6"/>
  <c r="V16" i="5"/>
  <c r="U21" i="6"/>
  <c r="U36" i="6"/>
  <c r="V7" i="6"/>
  <c r="Q263" i="6"/>
  <c r="Q68" i="18"/>
  <c r="Q46" i="18"/>
  <c r="S30" i="6"/>
  <c r="S236" i="6"/>
  <c r="F224" i="11"/>
  <c r="F225" i="11"/>
  <c r="H124" i="11"/>
  <c r="H228" i="11" s="1"/>
  <c r="H222" i="11" s="1"/>
  <c r="N92" i="6"/>
  <c r="N99" i="6" s="1"/>
  <c r="N98" i="6"/>
  <c r="S55" i="18"/>
  <c r="S60" i="18" s="1"/>
  <c r="S77" i="18"/>
  <c r="S82" i="18" s="1"/>
  <c r="T54" i="18"/>
  <c r="T76" i="18"/>
  <c r="T17" i="18"/>
  <c r="G418" i="11"/>
  <c r="G223" i="11"/>
  <c r="F235" i="11"/>
  <c r="F238" i="11"/>
  <c r="I111" i="11"/>
  <c r="I115" i="11" s="1"/>
  <c r="J97" i="11"/>
  <c r="K49" i="11"/>
  <c r="J155" i="11"/>
  <c r="J60" i="11"/>
  <c r="I166" i="11"/>
  <c r="J103" i="11"/>
  <c r="I118" i="11"/>
  <c r="I122" i="11" s="1"/>
  <c r="H66" i="11"/>
  <c r="H217" i="11" s="1"/>
  <c r="H418" i="11" s="1"/>
  <c r="I153" i="11"/>
  <c r="I159" i="11" s="1"/>
  <c r="J47" i="11"/>
  <c r="I53" i="11"/>
  <c r="K74" i="11"/>
  <c r="J194" i="11"/>
  <c r="K98" i="11"/>
  <c r="J112" i="11"/>
  <c r="K104" i="11"/>
  <c r="J119" i="11"/>
  <c r="I196" i="11"/>
  <c r="I206" i="11" s="1"/>
  <c r="J76" i="11"/>
  <c r="H170" i="11"/>
  <c r="H172" i="11" s="1"/>
  <c r="H229" i="11" s="1"/>
  <c r="H223" i="11" s="1"/>
  <c r="I86" i="11"/>
  <c r="T253" i="6"/>
  <c r="U221" i="6"/>
  <c r="V214" i="6"/>
  <c r="O59" i="6"/>
  <c r="O70" i="6" s="1"/>
  <c r="O62" i="6"/>
  <c r="O64" i="6" s="1"/>
  <c r="O71" i="6" s="1"/>
  <c r="P97" i="6"/>
  <c r="X8" i="6"/>
  <c r="U247" i="6"/>
  <c r="U246" i="6"/>
  <c r="U16" i="18" s="1"/>
  <c r="S54" i="6"/>
  <c r="S69" i="6" s="1"/>
  <c r="V215" i="6"/>
  <c r="K121" i="11"/>
  <c r="K413" i="11"/>
  <c r="K114" i="11"/>
  <c r="X193" i="11"/>
  <c r="Y178" i="11"/>
  <c r="I29" i="11"/>
  <c r="I31" i="11" s="1"/>
  <c r="K25" i="11"/>
  <c r="J120" i="11"/>
  <c r="J38" i="11"/>
  <c r="J216" i="11" s="1"/>
  <c r="J32" i="11"/>
  <c r="J165" i="11"/>
  <c r="K59" i="11"/>
  <c r="X200" i="11"/>
  <c r="Y80" i="11"/>
  <c r="R157" i="11"/>
  <c r="S51" i="11"/>
  <c r="N411" i="11"/>
  <c r="O12" i="11"/>
  <c r="M16" i="11"/>
  <c r="X7" i="11"/>
  <c r="I193" i="11"/>
  <c r="I87" i="11"/>
  <c r="J73" i="11"/>
  <c r="R156" i="11"/>
  <c r="S50" i="11"/>
  <c r="U153" i="11"/>
  <c r="V132" i="11"/>
  <c r="I163" i="11"/>
  <c r="J57" i="11"/>
  <c r="I64" i="11"/>
  <c r="I66" i="11" s="1"/>
  <c r="I217" i="11" s="1"/>
  <c r="I418" i="11" s="1"/>
  <c r="R199" i="11"/>
  <c r="S79" i="11"/>
  <c r="L34" i="11"/>
  <c r="Q167" i="11"/>
  <c r="R61" i="11"/>
  <c r="K18" i="11"/>
  <c r="L14" i="11" s="1"/>
  <c r="K30" i="11"/>
  <c r="L26" i="11" s="1"/>
  <c r="P162" i="11"/>
  <c r="Q140" i="11"/>
  <c r="Y141" i="11"/>
  <c r="X163" i="11"/>
  <c r="R168" i="11"/>
  <c r="S62" i="11"/>
  <c r="G231" i="11"/>
  <c r="H35" i="11"/>
  <c r="H36" i="11" s="1"/>
  <c r="H19" i="11"/>
  <c r="X194" i="11"/>
  <c r="Y179" i="11"/>
  <c r="L152" i="11"/>
  <c r="M131" i="11"/>
  <c r="I195" i="11"/>
  <c r="J75" i="11"/>
  <c r="J197" i="11"/>
  <c r="K77" i="11"/>
  <c r="H219" i="11"/>
  <c r="Y143" i="11"/>
  <c r="X165" i="11"/>
  <c r="I164" i="11"/>
  <c r="J58" i="11"/>
  <c r="P198" i="11"/>
  <c r="Q78" i="11"/>
  <c r="H207" i="11"/>
  <c r="H209" i="11" s="1"/>
  <c r="H230" i="11" s="1"/>
  <c r="H224" i="11" s="1"/>
  <c r="Y142" i="11"/>
  <c r="X164" i="11"/>
  <c r="J412" i="11"/>
  <c r="J414" i="11" s="1"/>
  <c r="J113" i="11"/>
  <c r="I17" i="11"/>
  <c r="K13" i="11"/>
  <c r="J20" i="11"/>
  <c r="N28" i="11"/>
  <c r="P24" i="11"/>
  <c r="N48" i="11"/>
  <c r="M154" i="11"/>
  <c r="Q73" i="18" l="1"/>
  <c r="T211" i="6"/>
  <c r="T224" i="6"/>
  <c r="T231" i="6" s="1"/>
  <c r="W16" i="5"/>
  <c r="V21" i="6"/>
  <c r="V36" i="6"/>
  <c r="W7" i="6"/>
  <c r="T30" i="6"/>
  <c r="T236" i="6"/>
  <c r="Q51" i="18"/>
  <c r="R67" i="18"/>
  <c r="R45" i="18"/>
  <c r="R51" i="18" s="1"/>
  <c r="X37" i="6"/>
  <c r="X44" i="6" s="1"/>
  <c r="X22" i="6"/>
  <c r="X29" i="6" s="1"/>
  <c r="S8" i="18"/>
  <c r="S243" i="6"/>
  <c r="S256" i="6"/>
  <c r="U43" i="6"/>
  <c r="U205" i="6"/>
  <c r="U225" i="6" s="1"/>
  <c r="R68" i="18"/>
  <c r="R46" i="18"/>
  <c r="T237" i="6"/>
  <c r="T45" i="6"/>
  <c r="U28" i="6"/>
  <c r="U204" i="6"/>
  <c r="S9" i="18"/>
  <c r="S257" i="6"/>
  <c r="R263" i="6"/>
  <c r="O92" i="6"/>
  <c r="O99" i="6" s="1"/>
  <c r="O98" i="6"/>
  <c r="U76" i="18"/>
  <c r="U54" i="18"/>
  <c r="T55" i="18"/>
  <c r="T60" i="18" s="1"/>
  <c r="T77" i="18"/>
  <c r="T82" i="18" s="1"/>
  <c r="U17" i="18"/>
  <c r="I89" i="11"/>
  <c r="I218" i="11" s="1"/>
  <c r="I417" i="11" s="1"/>
  <c r="J111" i="11"/>
  <c r="J115" i="11" s="1"/>
  <c r="K97" i="11"/>
  <c r="I124" i="11"/>
  <c r="I228" i="11" s="1"/>
  <c r="I222" i="11" s="1"/>
  <c r="J196" i="11"/>
  <c r="J206" i="11" s="1"/>
  <c r="K76" i="11"/>
  <c r="K86" i="11" s="1"/>
  <c r="L74" i="11"/>
  <c r="K194" i="11"/>
  <c r="L98" i="11"/>
  <c r="K112" i="11"/>
  <c r="J166" i="11"/>
  <c r="K60" i="11"/>
  <c r="J86" i="11"/>
  <c r="J153" i="11"/>
  <c r="J159" i="11" s="1"/>
  <c r="J53" i="11"/>
  <c r="K47" i="11"/>
  <c r="L104" i="11"/>
  <c r="K119" i="11"/>
  <c r="K103" i="11"/>
  <c r="J118" i="11"/>
  <c r="J122" i="11" s="1"/>
  <c r="K155" i="11"/>
  <c r="L49" i="11"/>
  <c r="U253" i="6"/>
  <c r="V247" i="6"/>
  <c r="W214" i="6"/>
  <c r="P59" i="6"/>
  <c r="P70" i="6" s="1"/>
  <c r="P62" i="6"/>
  <c r="P64" i="6" s="1"/>
  <c r="P71" i="6" s="1"/>
  <c r="Y8" i="6"/>
  <c r="V246" i="6"/>
  <c r="V16" i="18" s="1"/>
  <c r="T54" i="6"/>
  <c r="T69" i="6" s="1"/>
  <c r="Q97" i="6"/>
  <c r="W215" i="6"/>
  <c r="V221" i="6"/>
  <c r="G238" i="11"/>
  <c r="G235" i="11"/>
  <c r="G225" i="11"/>
  <c r="R140" i="11"/>
  <c r="Q162" i="11"/>
  <c r="L18" i="11"/>
  <c r="M14" i="11" s="1"/>
  <c r="L30" i="11"/>
  <c r="M26" i="11" s="1"/>
  <c r="J193" i="11"/>
  <c r="K73" i="11"/>
  <c r="J87" i="11"/>
  <c r="Y163" i="11"/>
  <c r="Z141" i="11"/>
  <c r="J163" i="11"/>
  <c r="J64" i="11"/>
  <c r="K57" i="11"/>
  <c r="J195" i="11"/>
  <c r="K75" i="11"/>
  <c r="Q24" i="11"/>
  <c r="O28" i="11"/>
  <c r="Q198" i="11"/>
  <c r="R78" i="11"/>
  <c r="K197" i="11"/>
  <c r="L77" i="11"/>
  <c r="Y194" i="11"/>
  <c r="Z179" i="11"/>
  <c r="M34" i="11"/>
  <c r="K412" i="11"/>
  <c r="K414" i="11" s="1"/>
  <c r="J17" i="11"/>
  <c r="L13" i="11"/>
  <c r="K113" i="11"/>
  <c r="K20" i="11"/>
  <c r="S156" i="11"/>
  <c r="T50" i="11"/>
  <c r="S157" i="11"/>
  <c r="T51" i="11"/>
  <c r="K120" i="11"/>
  <c r="L25" i="11"/>
  <c r="J29" i="11"/>
  <c r="J31" i="11" s="1"/>
  <c r="K38" i="11"/>
  <c r="K216" i="11" s="1"/>
  <c r="K32" i="11"/>
  <c r="L121" i="11"/>
  <c r="O48" i="11"/>
  <c r="N154" i="11"/>
  <c r="I35" i="11"/>
  <c r="I36" i="11" s="1"/>
  <c r="I19" i="11"/>
  <c r="Y164" i="11"/>
  <c r="Z142" i="11"/>
  <c r="J164" i="11"/>
  <c r="K58" i="11"/>
  <c r="Z143" i="11"/>
  <c r="Y165" i="11"/>
  <c r="M152" i="11"/>
  <c r="N131" i="11"/>
  <c r="S168" i="11"/>
  <c r="T62" i="11"/>
  <c r="Y7" i="11"/>
  <c r="K165" i="11"/>
  <c r="L59" i="11"/>
  <c r="L413" i="11"/>
  <c r="L114" i="11"/>
  <c r="R167" i="11"/>
  <c r="S61" i="11"/>
  <c r="T79" i="11"/>
  <c r="S199" i="11"/>
  <c r="I170" i="11"/>
  <c r="I172" i="11" s="1"/>
  <c r="I229" i="11" s="1"/>
  <c r="I223" i="11" s="1"/>
  <c r="V153" i="11"/>
  <c r="W132" i="11"/>
  <c r="I207" i="11"/>
  <c r="I209" i="11" s="1"/>
  <c r="I230" i="11" s="1"/>
  <c r="O411" i="11"/>
  <c r="P12" i="11"/>
  <c r="N16" i="11"/>
  <c r="Y200" i="11"/>
  <c r="Z80" i="11"/>
  <c r="Z178" i="11"/>
  <c r="Y193" i="11"/>
  <c r="H231" i="11"/>
  <c r="R73" i="18" l="1"/>
  <c r="S67" i="18"/>
  <c r="S45" i="18"/>
  <c r="S68" i="18"/>
  <c r="S46" i="18"/>
  <c r="T9" i="18"/>
  <c r="T257" i="6"/>
  <c r="U237" i="6"/>
  <c r="U45" i="6"/>
  <c r="X16" i="5"/>
  <c r="W36" i="6"/>
  <c r="W21" i="6"/>
  <c r="X7" i="6"/>
  <c r="U211" i="6"/>
  <c r="U224" i="6"/>
  <c r="U231" i="6" s="1"/>
  <c r="S263" i="6"/>
  <c r="V43" i="6"/>
  <c r="V205" i="6"/>
  <c r="V225" i="6" s="1"/>
  <c r="Y37" i="6"/>
  <c r="Y44" i="6" s="1"/>
  <c r="Y22" i="6"/>
  <c r="Y29" i="6" s="1"/>
  <c r="U236" i="6"/>
  <c r="U30" i="6"/>
  <c r="T8" i="18"/>
  <c r="T243" i="6"/>
  <c r="T256" i="6"/>
  <c r="T263" i="6" s="1"/>
  <c r="V28" i="6"/>
  <c r="V204" i="6"/>
  <c r="I219" i="11"/>
  <c r="P92" i="6"/>
  <c r="P99" i="6" s="1"/>
  <c r="P98" i="6"/>
  <c r="U55" i="18"/>
  <c r="U60" i="18" s="1"/>
  <c r="U77" i="18"/>
  <c r="U82" i="18" s="1"/>
  <c r="V17" i="18"/>
  <c r="V76" i="18"/>
  <c r="V54" i="18"/>
  <c r="I224" i="11"/>
  <c r="L97" i="11"/>
  <c r="K111" i="11"/>
  <c r="K115" i="11" s="1"/>
  <c r="J124" i="11"/>
  <c r="J228" i="11" s="1"/>
  <c r="J222" i="11" s="1"/>
  <c r="J66" i="11"/>
  <c r="J217" i="11" s="1"/>
  <c r="J418" i="11" s="1"/>
  <c r="J89" i="11"/>
  <c r="J218" i="11" s="1"/>
  <c r="J417" i="11" s="1"/>
  <c r="J207" i="11"/>
  <c r="J209" i="11" s="1"/>
  <c r="J230" i="11" s="1"/>
  <c r="M104" i="11"/>
  <c r="L119" i="11"/>
  <c r="K118" i="11"/>
  <c r="K122" i="11" s="1"/>
  <c r="L103" i="11"/>
  <c r="L194" i="11"/>
  <c r="M74" i="11"/>
  <c r="M49" i="11"/>
  <c r="L155" i="11"/>
  <c r="K53" i="11"/>
  <c r="K153" i="11"/>
  <c r="K159" i="11" s="1"/>
  <c r="L47" i="11"/>
  <c r="M98" i="11"/>
  <c r="L112" i="11"/>
  <c r="K196" i="11"/>
  <c r="K206" i="11" s="1"/>
  <c r="L76" i="11"/>
  <c r="L86" i="11" s="1"/>
  <c r="K166" i="11"/>
  <c r="L60" i="11"/>
  <c r="V253" i="6"/>
  <c r="W246" i="6"/>
  <c r="W16" i="18" s="1"/>
  <c r="X214" i="6"/>
  <c r="W221" i="6"/>
  <c r="W247" i="6"/>
  <c r="Z8" i="6"/>
  <c r="Q59" i="6"/>
  <c r="Q70" i="6" s="1"/>
  <c r="Q62" i="6"/>
  <c r="Q64" i="6" s="1"/>
  <c r="Q71" i="6" s="1"/>
  <c r="R97" i="6"/>
  <c r="X215" i="6"/>
  <c r="U54" i="6"/>
  <c r="U69" i="6" s="1"/>
  <c r="AA178" i="11"/>
  <c r="AA193" i="11" s="1"/>
  <c r="Z193" i="11"/>
  <c r="W153" i="11"/>
  <c r="X132" i="11"/>
  <c r="T199" i="11"/>
  <c r="U79" i="11"/>
  <c r="T168" i="11"/>
  <c r="U62" i="11"/>
  <c r="M121" i="11"/>
  <c r="M18" i="11"/>
  <c r="N14" i="11" s="1"/>
  <c r="M30" i="11"/>
  <c r="N26" i="11" s="1"/>
  <c r="Z7" i="11"/>
  <c r="P411" i="11"/>
  <c r="O16" i="11"/>
  <c r="Q12" i="11"/>
  <c r="S167" i="11"/>
  <c r="T61" i="11"/>
  <c r="M413" i="11"/>
  <c r="M114" i="11"/>
  <c r="K164" i="11"/>
  <c r="L58" i="11"/>
  <c r="O154" i="11"/>
  <c r="P48" i="11"/>
  <c r="T157" i="11"/>
  <c r="U51" i="11"/>
  <c r="J35" i="11"/>
  <c r="J36" i="11" s="1"/>
  <c r="J19" i="11"/>
  <c r="I231" i="11"/>
  <c r="J170" i="11"/>
  <c r="J172" i="11" s="1"/>
  <c r="J229" i="11" s="1"/>
  <c r="L197" i="11"/>
  <c r="M77" i="11"/>
  <c r="K193" i="11"/>
  <c r="L73" i="11"/>
  <c r="K87" i="11"/>
  <c r="K89" i="11" s="1"/>
  <c r="K218" i="11" s="1"/>
  <c r="K417" i="11" s="1"/>
  <c r="R162" i="11"/>
  <c r="S140" i="11"/>
  <c r="N34" i="11"/>
  <c r="Z164" i="11"/>
  <c r="AA142" i="11"/>
  <c r="AA164" i="11" s="1"/>
  <c r="L120" i="11"/>
  <c r="K29" i="11"/>
  <c r="K31" i="11" s="1"/>
  <c r="M25" i="11"/>
  <c r="L38" i="11"/>
  <c r="L216" i="11" s="1"/>
  <c r="L32" i="11"/>
  <c r="T156" i="11"/>
  <c r="U50" i="11"/>
  <c r="R24" i="11"/>
  <c r="P28" i="11"/>
  <c r="K163" i="11"/>
  <c r="K64" i="11"/>
  <c r="L57" i="11"/>
  <c r="Z163" i="11"/>
  <c r="AA141" i="11"/>
  <c r="AA163" i="11" s="1"/>
  <c r="H235" i="11"/>
  <c r="H238" i="11"/>
  <c r="H225" i="11"/>
  <c r="Z200" i="11"/>
  <c r="AA80" i="11"/>
  <c r="AA200" i="11" s="1"/>
  <c r="L165" i="11"/>
  <c r="M59" i="11"/>
  <c r="N152" i="11"/>
  <c r="O131" i="11"/>
  <c r="Z165" i="11"/>
  <c r="AA143" i="11"/>
  <c r="AA165" i="11" s="1"/>
  <c r="L412" i="11"/>
  <c r="L414" i="11" s="1"/>
  <c r="L113" i="11"/>
  <c r="K17" i="11"/>
  <c r="M13" i="11"/>
  <c r="L20" i="11"/>
  <c r="AA179" i="11"/>
  <c r="AA194" i="11" s="1"/>
  <c r="Z194" i="11"/>
  <c r="R198" i="11"/>
  <c r="S78" i="11"/>
  <c r="K195" i="11"/>
  <c r="L75" i="11"/>
  <c r="V211" i="6" l="1"/>
  <c r="V224" i="6"/>
  <c r="V231" i="6" s="1"/>
  <c r="T45" i="18"/>
  <c r="T67" i="18"/>
  <c r="Y16" i="5"/>
  <c r="X21" i="6"/>
  <c r="X36" i="6"/>
  <c r="Y7" i="6"/>
  <c r="V236" i="6"/>
  <c r="V30" i="6"/>
  <c r="W28" i="6"/>
  <c r="W204" i="6"/>
  <c r="U9" i="18"/>
  <c r="U257" i="6"/>
  <c r="Z22" i="6"/>
  <c r="Z29" i="6" s="1"/>
  <c r="Z37" i="6"/>
  <c r="Z44" i="6" s="1"/>
  <c r="U8" i="18"/>
  <c r="U243" i="6"/>
  <c r="U256" i="6"/>
  <c r="U263" i="6" s="1"/>
  <c r="W43" i="6"/>
  <c r="W205" i="6"/>
  <c r="W225" i="6" s="1"/>
  <c r="S51" i="18"/>
  <c r="V237" i="6"/>
  <c r="V45" i="6"/>
  <c r="T46" i="18"/>
  <c r="T68" i="18"/>
  <c r="S73" i="18"/>
  <c r="Q92" i="6"/>
  <c r="Q99" i="6" s="1"/>
  <c r="Q98" i="6"/>
  <c r="W17" i="18"/>
  <c r="W76" i="18"/>
  <c r="W54" i="18"/>
  <c r="V55" i="18"/>
  <c r="V60" i="18" s="1"/>
  <c r="V77" i="18"/>
  <c r="V82" i="18" s="1"/>
  <c r="K66" i="11"/>
  <c r="K217" i="11" s="1"/>
  <c r="K418" i="11" s="1"/>
  <c r="L111" i="11"/>
  <c r="L115" i="11" s="1"/>
  <c r="M97" i="11"/>
  <c r="K124" i="11"/>
  <c r="K228" i="11" s="1"/>
  <c r="K222" i="11" s="1"/>
  <c r="J224" i="11"/>
  <c r="J219" i="11"/>
  <c r="M76" i="11"/>
  <c r="L196" i="11"/>
  <c r="L206" i="11" s="1"/>
  <c r="L153" i="11"/>
  <c r="L159" i="11" s="1"/>
  <c r="L53" i="11"/>
  <c r="M53" i="11"/>
  <c r="N49" i="11"/>
  <c r="M155" i="11"/>
  <c r="M159" i="11" s="1"/>
  <c r="K170" i="11"/>
  <c r="K172" i="11" s="1"/>
  <c r="K229" i="11" s="1"/>
  <c r="M103" i="11"/>
  <c r="L118" i="11"/>
  <c r="L122" i="11" s="1"/>
  <c r="M60" i="11"/>
  <c r="L166" i="11"/>
  <c r="N98" i="11"/>
  <c r="M112" i="11"/>
  <c r="N74" i="11"/>
  <c r="M194" i="11"/>
  <c r="N104" i="11"/>
  <c r="M119" i="11"/>
  <c r="Y215" i="6"/>
  <c r="X247" i="6"/>
  <c r="S97" i="6"/>
  <c r="Y214" i="6"/>
  <c r="R59" i="6"/>
  <c r="R70" i="6" s="1"/>
  <c r="R62" i="6"/>
  <c r="R64" i="6" s="1"/>
  <c r="R71" i="6" s="1"/>
  <c r="V54" i="6"/>
  <c r="V69" i="6" s="1"/>
  <c r="X246" i="6"/>
  <c r="X16" i="18" s="1"/>
  <c r="AA8" i="6"/>
  <c r="X221" i="6"/>
  <c r="W253" i="6"/>
  <c r="N121" i="11"/>
  <c r="N413" i="11"/>
  <c r="N114" i="11"/>
  <c r="L195" i="11"/>
  <c r="M75" i="11"/>
  <c r="P154" i="11"/>
  <c r="Q48" i="11"/>
  <c r="U168" i="11"/>
  <c r="V62" i="11"/>
  <c r="X153" i="11"/>
  <c r="Y132" i="11"/>
  <c r="M412" i="11"/>
  <c r="M414" i="11" s="1"/>
  <c r="M113" i="11"/>
  <c r="N13" i="11"/>
  <c r="L17" i="11"/>
  <c r="M20" i="11"/>
  <c r="N30" i="11"/>
  <c r="O26" i="11" s="1"/>
  <c r="N18" i="11"/>
  <c r="O14" i="11" s="1"/>
  <c r="U157" i="11"/>
  <c r="V51" i="11"/>
  <c r="Q411" i="11"/>
  <c r="P16" i="11"/>
  <c r="R12" i="11"/>
  <c r="S198" i="11"/>
  <c r="T78" i="11"/>
  <c r="T167" i="11"/>
  <c r="U61" i="11"/>
  <c r="O34" i="11"/>
  <c r="U199" i="11"/>
  <c r="V79" i="11"/>
  <c r="M165" i="11"/>
  <c r="N59" i="11"/>
  <c r="M197" i="11"/>
  <c r="N77" i="11"/>
  <c r="J223" i="11"/>
  <c r="J231" i="11"/>
  <c r="K35" i="11"/>
  <c r="K36" i="11" s="1"/>
  <c r="K19" i="11"/>
  <c r="L163" i="11"/>
  <c r="L64" i="11"/>
  <c r="M57" i="11"/>
  <c r="U156" i="11"/>
  <c r="V50" i="11"/>
  <c r="M120" i="11"/>
  <c r="L29" i="11"/>
  <c r="L31" i="11" s="1"/>
  <c r="N25" i="11"/>
  <c r="M38" i="11"/>
  <c r="M216" i="11" s="1"/>
  <c r="M32" i="11"/>
  <c r="L193" i="11"/>
  <c r="L87" i="11"/>
  <c r="L89" i="11" s="1"/>
  <c r="L218" i="11" s="1"/>
  <c r="L417" i="11" s="1"/>
  <c r="M73" i="11"/>
  <c r="O152" i="11"/>
  <c r="P131" i="11"/>
  <c r="Q28" i="11"/>
  <c r="S24" i="11"/>
  <c r="S162" i="11"/>
  <c r="T140" i="11"/>
  <c r="K207" i="11"/>
  <c r="K209" i="11" s="1"/>
  <c r="K230" i="11" s="1"/>
  <c r="K224" i="11" s="1"/>
  <c r="I225" i="11"/>
  <c r="I235" i="11"/>
  <c r="I238" i="11"/>
  <c r="L164" i="11"/>
  <c r="M58" i="11"/>
  <c r="AA7" i="11"/>
  <c r="W236" i="6" l="1"/>
  <c r="W30" i="6"/>
  <c r="Z16" i="5"/>
  <c r="Y21" i="6"/>
  <c r="Y36" i="6"/>
  <c r="Z7" i="6"/>
  <c r="T73" i="18"/>
  <c r="AA22" i="6"/>
  <c r="AA29" i="6" s="1"/>
  <c r="AA37" i="6"/>
  <c r="AA44" i="6" s="1"/>
  <c r="X43" i="6"/>
  <c r="X205" i="6"/>
  <c r="X225" i="6" s="1"/>
  <c r="T51" i="18"/>
  <c r="U67" i="18"/>
  <c r="U45" i="18"/>
  <c r="U46" i="18"/>
  <c r="U68" i="18"/>
  <c r="V8" i="18"/>
  <c r="V243" i="6"/>
  <c r="V256" i="6"/>
  <c r="X28" i="6"/>
  <c r="X204" i="6"/>
  <c r="V9" i="18"/>
  <c r="V257" i="6"/>
  <c r="W45" i="6"/>
  <c r="W237" i="6"/>
  <c r="W211" i="6"/>
  <c r="W224" i="6"/>
  <c r="W231" i="6" s="1"/>
  <c r="R92" i="6"/>
  <c r="R99" i="6" s="1"/>
  <c r="R98" i="6"/>
  <c r="X54" i="18"/>
  <c r="X76" i="18"/>
  <c r="X17" i="18"/>
  <c r="W55" i="18"/>
  <c r="W60" i="18" s="1"/>
  <c r="W77" i="18"/>
  <c r="W82" i="18" s="1"/>
  <c r="N97" i="11"/>
  <c r="M111" i="11"/>
  <c r="M115" i="11" s="1"/>
  <c r="K223" i="11"/>
  <c r="K219" i="11"/>
  <c r="L124" i="11"/>
  <c r="L228" i="11" s="1"/>
  <c r="L222" i="11" s="1"/>
  <c r="L66" i="11"/>
  <c r="L217" i="11" s="1"/>
  <c r="L418" i="11" s="1"/>
  <c r="L207" i="11"/>
  <c r="L209" i="11" s="1"/>
  <c r="L230" i="11" s="1"/>
  <c r="L224" i="11" s="1"/>
  <c r="O98" i="11"/>
  <c r="N112" i="11"/>
  <c r="M118" i="11"/>
  <c r="M122" i="11" s="1"/>
  <c r="N103" i="11"/>
  <c r="N53" i="11"/>
  <c r="N155" i="11"/>
  <c r="N159" i="11" s="1"/>
  <c r="O49" i="11"/>
  <c r="O74" i="11"/>
  <c r="N194" i="11"/>
  <c r="M196" i="11"/>
  <c r="M206" i="11" s="1"/>
  <c r="N76" i="11"/>
  <c r="N86" i="11" s="1"/>
  <c r="O104" i="11"/>
  <c r="N119" i="11"/>
  <c r="M86" i="11"/>
  <c r="N60" i="11"/>
  <c r="M166" i="11"/>
  <c r="X253" i="6"/>
  <c r="Y221" i="6"/>
  <c r="W54" i="6"/>
  <c r="W69" i="6" s="1"/>
  <c r="S59" i="6"/>
  <c r="S70" i="6" s="1"/>
  <c r="S62" i="6"/>
  <c r="S64" i="6" s="1"/>
  <c r="S71" i="6" s="1"/>
  <c r="Y247" i="6"/>
  <c r="Z214" i="6"/>
  <c r="Y246" i="6"/>
  <c r="Y16" i="18" s="1"/>
  <c r="Z215" i="6"/>
  <c r="T97" i="6"/>
  <c r="O121" i="11"/>
  <c r="O413" i="11"/>
  <c r="O114" i="11"/>
  <c r="AB7" i="11"/>
  <c r="M163" i="11"/>
  <c r="N57" i="11"/>
  <c r="M64" i="11"/>
  <c r="M66" i="11" s="1"/>
  <c r="M217" i="11" s="1"/>
  <c r="M418" i="11" s="1"/>
  <c r="T198" i="11"/>
  <c r="U78" i="11"/>
  <c r="N412" i="11"/>
  <c r="N414" i="11" s="1"/>
  <c r="N113" i="11"/>
  <c r="O13" i="11"/>
  <c r="M17" i="11"/>
  <c r="N20" i="11"/>
  <c r="J225" i="11"/>
  <c r="J238" i="11"/>
  <c r="J235" i="11"/>
  <c r="K231" i="11"/>
  <c r="O18" i="11"/>
  <c r="P14" i="11" s="1"/>
  <c r="O30" i="11"/>
  <c r="P26" i="11" s="1"/>
  <c r="V168" i="11"/>
  <c r="W62" i="11"/>
  <c r="M195" i="11"/>
  <c r="N75" i="11"/>
  <c r="U140" i="11"/>
  <c r="T162" i="11"/>
  <c r="P152" i="11"/>
  <c r="Q131" i="11"/>
  <c r="M29" i="11"/>
  <c r="M31" i="11" s="1"/>
  <c r="N120" i="11"/>
  <c r="O25" i="11"/>
  <c r="N38" i="11"/>
  <c r="N216" i="11" s="1"/>
  <c r="N32" i="11"/>
  <c r="L170" i="11"/>
  <c r="L172" i="11" s="1"/>
  <c r="L229" i="11" s="1"/>
  <c r="N165" i="11"/>
  <c r="O59" i="11"/>
  <c r="O165" i="11" s="1"/>
  <c r="V199" i="11"/>
  <c r="W79" i="11"/>
  <c r="R411" i="11"/>
  <c r="S12" i="11"/>
  <c r="Q16" i="11"/>
  <c r="R28" i="11"/>
  <c r="T24" i="11"/>
  <c r="M193" i="11"/>
  <c r="M87" i="11"/>
  <c r="N73" i="11"/>
  <c r="V156" i="11"/>
  <c r="W50" i="11"/>
  <c r="M164" i="11"/>
  <c r="N58" i="11"/>
  <c r="N197" i="11"/>
  <c r="O77" i="11"/>
  <c r="U167" i="11"/>
  <c r="V61" i="11"/>
  <c r="P34" i="11"/>
  <c r="W51" i="11"/>
  <c r="V157" i="11"/>
  <c r="L35" i="11"/>
  <c r="L36" i="11" s="1"/>
  <c r="L19" i="11"/>
  <c r="Y153" i="11"/>
  <c r="Z132" i="11"/>
  <c r="Q154" i="11"/>
  <c r="R48" i="11"/>
  <c r="U73" i="18" l="1"/>
  <c r="V263" i="6"/>
  <c r="Y28" i="6"/>
  <c r="Y204" i="6"/>
  <c r="V68" i="18"/>
  <c r="V46" i="18"/>
  <c r="U51" i="18"/>
  <c r="W9" i="18"/>
  <c r="W257" i="6"/>
  <c r="X211" i="6"/>
  <c r="X224" i="6"/>
  <c r="X231" i="6" s="1"/>
  <c r="V67" i="18"/>
  <c r="V73" i="18" s="1"/>
  <c r="V45" i="18"/>
  <c r="X237" i="6"/>
  <c r="X45" i="6"/>
  <c r="AA16" i="5"/>
  <c r="Z21" i="6"/>
  <c r="Z36" i="6"/>
  <c r="AA7" i="6"/>
  <c r="X30" i="6"/>
  <c r="X236" i="6"/>
  <c r="Y43" i="6"/>
  <c r="Y205" i="6"/>
  <c r="Y225" i="6" s="1"/>
  <c r="W8" i="18"/>
  <c r="W243" i="6"/>
  <c r="W256" i="6"/>
  <c r="W263" i="6" s="1"/>
  <c r="S92" i="6"/>
  <c r="S99" i="6" s="1"/>
  <c r="S98" i="6"/>
  <c r="Y76" i="18"/>
  <c r="Y54" i="18"/>
  <c r="X55" i="18"/>
  <c r="X60" i="18" s="1"/>
  <c r="X77" i="18"/>
  <c r="X82" i="18" s="1"/>
  <c r="Y17" i="18"/>
  <c r="L223" i="11"/>
  <c r="L219" i="11"/>
  <c r="M89" i="11"/>
  <c r="M218" i="11" s="1"/>
  <c r="M417" i="11" s="1"/>
  <c r="M124" i="11"/>
  <c r="M228" i="11" s="1"/>
  <c r="M222" i="11" s="1"/>
  <c r="O97" i="11"/>
  <c r="N111" i="11"/>
  <c r="N115" i="11" s="1"/>
  <c r="M207" i="11"/>
  <c r="M209" i="11" s="1"/>
  <c r="M230" i="11" s="1"/>
  <c r="M224" i="11" s="1"/>
  <c r="O60" i="11"/>
  <c r="N166" i="11"/>
  <c r="N196" i="11"/>
  <c r="N206" i="11" s="1"/>
  <c r="O76" i="11"/>
  <c r="O86" i="11" s="1"/>
  <c r="O194" i="11"/>
  <c r="P98" i="11"/>
  <c r="O112" i="11"/>
  <c r="O103" i="11"/>
  <c r="N118" i="11"/>
  <c r="N122" i="11" s="1"/>
  <c r="O53" i="11"/>
  <c r="O155" i="11"/>
  <c r="O159" i="11" s="1"/>
  <c r="P49" i="11"/>
  <c r="L231" i="11"/>
  <c r="L235" i="11" s="1"/>
  <c r="P104" i="11"/>
  <c r="O119" i="11"/>
  <c r="Z247" i="6"/>
  <c r="Y253" i="6"/>
  <c r="X54" i="6"/>
  <c r="X69" i="6" s="1"/>
  <c r="AA214" i="6"/>
  <c r="U97" i="6"/>
  <c r="Z221" i="6"/>
  <c r="T59" i="6"/>
  <c r="T70" i="6" s="1"/>
  <c r="T62" i="6"/>
  <c r="T64" i="6" s="1"/>
  <c r="T71" i="6" s="1"/>
  <c r="AA215" i="6"/>
  <c r="Z246" i="6"/>
  <c r="P121" i="11"/>
  <c r="P413" i="11"/>
  <c r="P114" i="11"/>
  <c r="W157" i="11"/>
  <c r="X51" i="11"/>
  <c r="P77" i="11"/>
  <c r="O197" i="11"/>
  <c r="V140" i="11"/>
  <c r="U162" i="11"/>
  <c r="R154" i="11"/>
  <c r="S48" i="11"/>
  <c r="P18" i="11"/>
  <c r="Q14" i="11" s="1"/>
  <c r="P30" i="11"/>
  <c r="Q26" i="11" s="1"/>
  <c r="W156" i="11"/>
  <c r="X50" i="11"/>
  <c r="Q152" i="11"/>
  <c r="R131" i="11"/>
  <c r="O75" i="11"/>
  <c r="N195" i="11"/>
  <c r="K238" i="11"/>
  <c r="K225" i="11"/>
  <c r="K235" i="11"/>
  <c r="M35" i="11"/>
  <c r="M36" i="11" s="1"/>
  <c r="M19" i="11"/>
  <c r="U198" i="11"/>
  <c r="V78" i="11"/>
  <c r="AC7" i="11"/>
  <c r="N164" i="11"/>
  <c r="O58" i="11"/>
  <c r="O164" i="11" s="1"/>
  <c r="Q34" i="11"/>
  <c r="W199" i="11"/>
  <c r="W206" i="11" s="1"/>
  <c r="X79" i="11"/>
  <c r="W86" i="11"/>
  <c r="O120" i="11"/>
  <c r="P25" i="11"/>
  <c r="N29" i="11"/>
  <c r="N31" i="11" s="1"/>
  <c r="O38" i="11"/>
  <c r="O216" i="11" s="1"/>
  <c r="O32" i="11"/>
  <c r="O412" i="11"/>
  <c r="O414" i="11" s="1"/>
  <c r="O113" i="11"/>
  <c r="N17" i="11"/>
  <c r="P13" i="11"/>
  <c r="O20" i="11"/>
  <c r="N163" i="11"/>
  <c r="N64" i="11"/>
  <c r="N66" i="11" s="1"/>
  <c r="N217" i="11" s="1"/>
  <c r="N418" i="11" s="1"/>
  <c r="O57" i="11"/>
  <c r="S411" i="11"/>
  <c r="T12" i="11"/>
  <c r="R16" i="11"/>
  <c r="Z153" i="11"/>
  <c r="AA132" i="11"/>
  <c r="AA153" i="11" s="1"/>
  <c r="V167" i="11"/>
  <c r="V64" i="11"/>
  <c r="W61" i="11"/>
  <c r="N193" i="11"/>
  <c r="N87" i="11"/>
  <c r="N89" i="11" s="1"/>
  <c r="N218" i="11" s="1"/>
  <c r="N417" i="11" s="1"/>
  <c r="U24" i="11"/>
  <c r="S28" i="11"/>
  <c r="W168" i="11"/>
  <c r="X62" i="11"/>
  <c r="M170" i="11"/>
  <c r="M172" i="11" s="1"/>
  <c r="M229" i="11" s="1"/>
  <c r="M223" i="11" s="1"/>
  <c r="V51" i="18" l="1"/>
  <c r="W68" i="18"/>
  <c r="W46" i="18"/>
  <c r="Y237" i="6"/>
  <c r="Y45" i="6"/>
  <c r="AB16" i="5"/>
  <c r="AA36" i="6"/>
  <c r="AA21" i="6"/>
  <c r="Y211" i="6"/>
  <c r="Y224" i="6"/>
  <c r="Y231" i="6" s="1"/>
  <c r="X8" i="18"/>
  <c r="X243" i="6"/>
  <c r="X256" i="6"/>
  <c r="Z43" i="6"/>
  <c r="Z205" i="6"/>
  <c r="Z225" i="6" s="1"/>
  <c r="X9" i="18"/>
  <c r="X257" i="6"/>
  <c r="Y30" i="6"/>
  <c r="Y236" i="6"/>
  <c r="W67" i="18"/>
  <c r="W73" i="18" s="1"/>
  <c r="W45" i="18"/>
  <c r="Z28" i="6"/>
  <c r="Z204" i="6"/>
  <c r="T92" i="6"/>
  <c r="T99" i="6" s="1"/>
  <c r="T98" i="6"/>
  <c r="Z17" i="18"/>
  <c r="Y55" i="18"/>
  <c r="Y60" i="18" s="1"/>
  <c r="Y77" i="18"/>
  <c r="Y82" i="18" s="1"/>
  <c r="Z253" i="6"/>
  <c r="Z16" i="18"/>
  <c r="L225" i="11"/>
  <c r="M219" i="11"/>
  <c r="L238" i="11"/>
  <c r="N170" i="11"/>
  <c r="N172" i="11" s="1"/>
  <c r="N229" i="11" s="1"/>
  <c r="N223" i="11" s="1"/>
  <c r="N124" i="11"/>
  <c r="N228" i="11" s="1"/>
  <c r="O111" i="11"/>
  <c r="O115" i="11" s="1"/>
  <c r="P97" i="11"/>
  <c r="N207" i="11"/>
  <c r="N209" i="11" s="1"/>
  <c r="N230" i="11" s="1"/>
  <c r="N224" i="11" s="1"/>
  <c r="Q98" i="11"/>
  <c r="P112" i="11"/>
  <c r="Q104" i="11"/>
  <c r="P119" i="11"/>
  <c r="P53" i="11"/>
  <c r="P155" i="11"/>
  <c r="P159" i="11" s="1"/>
  <c r="Q49" i="11"/>
  <c r="O118" i="11"/>
  <c r="P103" i="11"/>
  <c r="O166" i="11"/>
  <c r="P60" i="11"/>
  <c r="O122" i="11"/>
  <c r="P76" i="11"/>
  <c r="O196" i="11"/>
  <c r="O206" i="11" s="1"/>
  <c r="AA221" i="6"/>
  <c r="V97" i="6"/>
  <c r="AA246" i="6"/>
  <c r="AA16" i="18" s="1"/>
  <c r="AA247" i="6"/>
  <c r="Y54" i="6"/>
  <c r="Y69" i="6" s="1"/>
  <c r="U59" i="6"/>
  <c r="U70" i="6" s="1"/>
  <c r="U62" i="6"/>
  <c r="U64" i="6" s="1"/>
  <c r="U71" i="6" s="1"/>
  <c r="Q413" i="11"/>
  <c r="Q114" i="11"/>
  <c r="V24" i="11"/>
  <c r="T28" i="11"/>
  <c r="T411" i="11"/>
  <c r="S16" i="11"/>
  <c r="U12" i="11"/>
  <c r="W167" i="11"/>
  <c r="W64" i="11"/>
  <c r="X61" i="11"/>
  <c r="P120" i="11"/>
  <c r="O29" i="11"/>
  <c r="O31" i="11" s="1"/>
  <c r="Q25" i="11"/>
  <c r="P38" i="11"/>
  <c r="P216" i="11" s="1"/>
  <c r="P32" i="11"/>
  <c r="R34" i="11"/>
  <c r="N35" i="11"/>
  <c r="N36" i="11" s="1"/>
  <c r="N19" i="11"/>
  <c r="Q30" i="11"/>
  <c r="R26" i="11" s="1"/>
  <c r="Q18" i="11"/>
  <c r="R14" i="11" s="1"/>
  <c r="N219" i="11"/>
  <c r="P197" i="11"/>
  <c r="Q77" i="11"/>
  <c r="X199" i="11"/>
  <c r="X206" i="11" s="1"/>
  <c r="X86" i="11"/>
  <c r="Y79" i="11"/>
  <c r="V198" i="11"/>
  <c r="W78" i="11"/>
  <c r="O195" i="11"/>
  <c r="O207" i="11" s="1"/>
  <c r="O87" i="11"/>
  <c r="O89" i="11" s="1"/>
  <c r="O218" i="11" s="1"/>
  <c r="O417" i="11" s="1"/>
  <c r="P75" i="11"/>
  <c r="V162" i="11"/>
  <c r="V170" i="11" s="1"/>
  <c r="W140" i="11"/>
  <c r="X157" i="11"/>
  <c r="Y51" i="11"/>
  <c r="X168" i="11"/>
  <c r="Y62" i="11"/>
  <c r="S131" i="11"/>
  <c r="R152" i="11"/>
  <c r="X156" i="11"/>
  <c r="X53" i="11"/>
  <c r="Y50" i="11"/>
  <c r="Q121" i="11"/>
  <c r="O163" i="11"/>
  <c r="O64" i="11"/>
  <c r="O66" i="11" s="1"/>
  <c r="O217" i="11" s="1"/>
  <c r="O418" i="11" s="1"/>
  <c r="P412" i="11"/>
  <c r="P414" i="11" s="1"/>
  <c r="P113" i="11"/>
  <c r="O17" i="11"/>
  <c r="Q13" i="11"/>
  <c r="P20" i="11"/>
  <c r="AD7" i="11"/>
  <c r="M231" i="11"/>
  <c r="S154" i="11"/>
  <c r="T48" i="11"/>
  <c r="W51" i="18" l="1"/>
  <c r="Z211" i="6"/>
  <c r="Z224" i="6"/>
  <c r="Z231" i="6" s="1"/>
  <c r="Y8" i="18"/>
  <c r="Y243" i="6"/>
  <c r="Y256" i="6"/>
  <c r="X45" i="18"/>
  <c r="X67" i="18"/>
  <c r="Z236" i="6"/>
  <c r="Z30" i="6"/>
  <c r="Z237" i="6"/>
  <c r="Z45" i="6"/>
  <c r="AA28" i="6"/>
  <c r="AA204" i="6"/>
  <c r="Y9" i="18"/>
  <c r="Y257" i="6"/>
  <c r="X263" i="6"/>
  <c r="AA43" i="6"/>
  <c r="AA205" i="6"/>
  <c r="AA225" i="6" s="1"/>
  <c r="X46" i="18"/>
  <c r="X68" i="18"/>
  <c r="U92" i="6"/>
  <c r="U99" i="6" s="1"/>
  <c r="U98" i="6"/>
  <c r="AA76" i="18"/>
  <c r="AA54" i="18"/>
  <c r="AA17" i="18"/>
  <c r="Z76" i="18"/>
  <c r="Z54" i="18"/>
  <c r="Z77" i="18"/>
  <c r="Z55" i="18"/>
  <c r="O170" i="11"/>
  <c r="O172" i="11" s="1"/>
  <c r="O229" i="11" s="1"/>
  <c r="O223" i="11" s="1"/>
  <c r="N231" i="11"/>
  <c r="N225" i="11" s="1"/>
  <c r="N222" i="11"/>
  <c r="P111" i="11"/>
  <c r="P115" i="11" s="1"/>
  <c r="Q97" i="11"/>
  <c r="O124" i="11"/>
  <c r="O228" i="11" s="1"/>
  <c r="O222" i="11" s="1"/>
  <c r="P166" i="11"/>
  <c r="P170" i="11" s="1"/>
  <c r="P172" i="11" s="1"/>
  <c r="P229" i="11" s="1"/>
  <c r="Q60" i="11"/>
  <c r="P64" i="11"/>
  <c r="P66" i="11" s="1"/>
  <c r="P217" i="11" s="1"/>
  <c r="P418" i="11" s="1"/>
  <c r="Q53" i="11"/>
  <c r="R49" i="11"/>
  <c r="Q155" i="11"/>
  <c r="Q159" i="11" s="1"/>
  <c r="R104" i="11"/>
  <c r="Q119" i="11"/>
  <c r="P196" i="11"/>
  <c r="P206" i="11" s="1"/>
  <c r="Q76" i="11"/>
  <c r="P86" i="11"/>
  <c r="P118" i="11"/>
  <c r="P122" i="11" s="1"/>
  <c r="Q103" i="11"/>
  <c r="O209" i="11"/>
  <c r="O230" i="11" s="1"/>
  <c r="O224" i="11" s="1"/>
  <c r="R98" i="11"/>
  <c r="Q112" i="11"/>
  <c r="AA54" i="6"/>
  <c r="AA69" i="6" s="1"/>
  <c r="V59" i="6"/>
  <c r="V70" i="6" s="1"/>
  <c r="V62" i="6"/>
  <c r="V64" i="6" s="1"/>
  <c r="V71" i="6" s="1"/>
  <c r="AA253" i="6"/>
  <c r="Z54" i="6"/>
  <c r="Z69" i="6" s="1"/>
  <c r="W97" i="6"/>
  <c r="R121" i="11"/>
  <c r="U411" i="11"/>
  <c r="T16" i="11"/>
  <c r="V12" i="11"/>
  <c r="M225" i="11"/>
  <c r="M235" i="11"/>
  <c r="M238" i="11"/>
  <c r="Q412" i="11"/>
  <c r="Q414" i="11" s="1"/>
  <c r="Q113" i="11"/>
  <c r="R13" i="11"/>
  <c r="P17" i="11"/>
  <c r="Q20" i="11"/>
  <c r="W162" i="11"/>
  <c r="W170" i="11" s="1"/>
  <c r="X140" i="11"/>
  <c r="Q197" i="11"/>
  <c r="R77" i="11"/>
  <c r="O219" i="11"/>
  <c r="T154" i="11"/>
  <c r="U48" i="11"/>
  <c r="O35" i="11"/>
  <c r="O36" i="11" s="1"/>
  <c r="O19" i="11"/>
  <c r="W198" i="11"/>
  <c r="X78" i="11"/>
  <c r="X167" i="11"/>
  <c r="Y61" i="11"/>
  <c r="X64" i="11"/>
  <c r="X66" i="11" s="1"/>
  <c r="X217" i="11" s="1"/>
  <c r="X418" i="11" s="1"/>
  <c r="R413" i="11"/>
  <c r="R114" i="11"/>
  <c r="AE7" i="11"/>
  <c r="Y156" i="11"/>
  <c r="Z50" i="11"/>
  <c r="Y53" i="11"/>
  <c r="S152" i="11"/>
  <c r="T131" i="11"/>
  <c r="Y168" i="11"/>
  <c r="Z62" i="11"/>
  <c r="Y157" i="11"/>
  <c r="Z51" i="11"/>
  <c r="P195" i="11"/>
  <c r="P207" i="11" s="1"/>
  <c r="P87" i="11"/>
  <c r="Q75" i="11"/>
  <c r="Q120" i="11"/>
  <c r="P29" i="11"/>
  <c r="P31" i="11" s="1"/>
  <c r="R25" i="11"/>
  <c r="Q32" i="11"/>
  <c r="Q38" i="11"/>
  <c r="Q216" i="11" s="1"/>
  <c r="S34" i="11"/>
  <c r="Y199" i="11"/>
  <c r="Y206" i="11" s="1"/>
  <c r="Y86" i="11"/>
  <c r="Z79" i="11"/>
  <c r="R30" i="11"/>
  <c r="S26" i="11" s="1"/>
  <c r="R18" i="11"/>
  <c r="S14" i="11" s="1"/>
  <c r="U28" i="11"/>
  <c r="W24" i="11"/>
  <c r="AA236" i="6" l="1"/>
  <c r="AA30" i="6"/>
  <c r="Z8" i="18"/>
  <c r="Z243" i="6"/>
  <c r="Z256" i="6"/>
  <c r="X73" i="18"/>
  <c r="Y67" i="18"/>
  <c r="Y73" i="18" s="1"/>
  <c r="Y45" i="18"/>
  <c r="Y51" i="18" s="1"/>
  <c r="Y46" i="18"/>
  <c r="Y68" i="18"/>
  <c r="Z9" i="18"/>
  <c r="Z257" i="6"/>
  <c r="X51" i="18"/>
  <c r="AA237" i="6"/>
  <c r="AA45" i="6"/>
  <c r="AA211" i="6"/>
  <c r="AA224" i="6"/>
  <c r="AA231" i="6" s="1"/>
  <c r="Y263" i="6"/>
  <c r="Z60" i="18"/>
  <c r="V92" i="6"/>
  <c r="V99" i="6" s="1"/>
  <c r="V98" i="6"/>
  <c r="Z82" i="18"/>
  <c r="AA55" i="18"/>
  <c r="AA60" i="18" s="1"/>
  <c r="AA77" i="18"/>
  <c r="AA82" i="18" s="1"/>
  <c r="N238" i="11"/>
  <c r="N235" i="11"/>
  <c r="P89" i="11"/>
  <c r="P218" i="11" s="1"/>
  <c r="P417" i="11" s="1"/>
  <c r="Q111" i="11"/>
  <c r="Q115" i="11" s="1"/>
  <c r="R97" i="11"/>
  <c r="O231" i="11"/>
  <c r="O225" i="11" s="1"/>
  <c r="P223" i="11"/>
  <c r="P124" i="11"/>
  <c r="P228" i="11" s="1"/>
  <c r="P222" i="11" s="1"/>
  <c r="R103" i="11"/>
  <c r="Q118" i="11"/>
  <c r="P209" i="11"/>
  <c r="P230" i="11" s="1"/>
  <c r="S104" i="11"/>
  <c r="R119" i="11"/>
  <c r="Q122" i="11"/>
  <c r="Q64" i="11"/>
  <c r="Q66" i="11" s="1"/>
  <c r="Q217" i="11" s="1"/>
  <c r="Q166" i="11"/>
  <c r="Q170" i="11" s="1"/>
  <c r="Q172" i="11" s="1"/>
  <c r="Q229" i="11" s="1"/>
  <c r="R60" i="11"/>
  <c r="S98" i="11"/>
  <c r="R112" i="11"/>
  <c r="Q86" i="11"/>
  <c r="Q196" i="11"/>
  <c r="Q206" i="11" s="1"/>
  <c r="R76" i="11"/>
  <c r="R53" i="11"/>
  <c r="R155" i="11"/>
  <c r="R159" i="11" s="1"/>
  <c r="S49" i="11"/>
  <c r="W59" i="6"/>
  <c r="W70" i="6" s="1"/>
  <c r="W62" i="6"/>
  <c r="W64" i="6" s="1"/>
  <c r="W71" i="6" s="1"/>
  <c r="X97" i="6"/>
  <c r="S121" i="11"/>
  <c r="S413" i="11"/>
  <c r="S114" i="11"/>
  <c r="Z156" i="11"/>
  <c r="AA50" i="11"/>
  <c r="Z53" i="11"/>
  <c r="P35" i="11"/>
  <c r="P36" i="11" s="1"/>
  <c r="P19" i="11"/>
  <c r="T34" i="11"/>
  <c r="S18" i="11"/>
  <c r="T14" i="11" s="1"/>
  <c r="S30" i="11"/>
  <c r="T26" i="11" s="1"/>
  <c r="T152" i="11"/>
  <c r="U131" i="11"/>
  <c r="AF7" i="11"/>
  <c r="X162" i="11"/>
  <c r="X170" i="11" s="1"/>
  <c r="Y140" i="11"/>
  <c r="Q195" i="11"/>
  <c r="Q207" i="11" s="1"/>
  <c r="Q87" i="11"/>
  <c r="R75" i="11"/>
  <c r="X198" i="11"/>
  <c r="Y78" i="11"/>
  <c r="R197" i="11"/>
  <c r="S77" i="11"/>
  <c r="Z199" i="11"/>
  <c r="Z206" i="11" s="1"/>
  <c r="AA79" i="11"/>
  <c r="Z86" i="11"/>
  <c r="Y167" i="11"/>
  <c r="Z61" i="11"/>
  <c r="Y64" i="11"/>
  <c r="Y66" i="11" s="1"/>
  <c r="Y217" i="11" s="1"/>
  <c r="Y418" i="11" s="1"/>
  <c r="R120" i="11"/>
  <c r="Q29" i="11"/>
  <c r="Q31" i="11" s="1"/>
  <c r="S25" i="11"/>
  <c r="R32" i="11"/>
  <c r="R38" i="11"/>
  <c r="R216" i="11" s="1"/>
  <c r="Z157" i="11"/>
  <c r="AA51" i="11"/>
  <c r="AA157" i="11" s="1"/>
  <c r="U154" i="11"/>
  <c r="R412" i="11"/>
  <c r="R414" i="11" s="1"/>
  <c r="R113" i="11"/>
  <c r="Q17" i="11"/>
  <c r="S13" i="11"/>
  <c r="R20" i="11"/>
  <c r="V28" i="11"/>
  <c r="X24" i="11"/>
  <c r="Z168" i="11"/>
  <c r="AA62" i="11"/>
  <c r="AA168" i="11" s="1"/>
  <c r="V411" i="11"/>
  <c r="W12" i="11"/>
  <c r="U16" i="11"/>
  <c r="Z46" i="18" l="1"/>
  <c r="Z68" i="18"/>
  <c r="Z45" i="18"/>
  <c r="Z51" i="18" s="1"/>
  <c r="Z67" i="18"/>
  <c r="Z73" i="18" s="1"/>
  <c r="AA9" i="18"/>
  <c r="AA257" i="6"/>
  <c r="Z263" i="6"/>
  <c r="AA8" i="18"/>
  <c r="AA243" i="6"/>
  <c r="AA256" i="6"/>
  <c r="AA263" i="6" s="1"/>
  <c r="P224" i="11"/>
  <c r="W92" i="6"/>
  <c r="W99" i="6" s="1"/>
  <c r="W98" i="6"/>
  <c r="O235" i="11"/>
  <c r="Q89" i="11"/>
  <c r="Q218" i="11" s="1"/>
  <c r="Q417" i="11" s="1"/>
  <c r="P231" i="11"/>
  <c r="P238" i="11" s="1"/>
  <c r="O238" i="11"/>
  <c r="P219" i="11"/>
  <c r="R111" i="11"/>
  <c r="R115" i="11" s="1"/>
  <c r="S97" i="11"/>
  <c r="Q124" i="11"/>
  <c r="Q228" i="11" s="1"/>
  <c r="Q222" i="11" s="1"/>
  <c r="Q418" i="11"/>
  <c r="R64" i="11"/>
  <c r="R66" i="11" s="1"/>
  <c r="R217" i="11" s="1"/>
  <c r="R418" i="11" s="1"/>
  <c r="S60" i="11"/>
  <c r="R166" i="11"/>
  <c r="R170" i="11" s="1"/>
  <c r="R172" i="11" s="1"/>
  <c r="R229" i="11" s="1"/>
  <c r="Q209" i="11"/>
  <c r="Q230" i="11" s="1"/>
  <c r="R86" i="11"/>
  <c r="R196" i="11"/>
  <c r="R206" i="11" s="1"/>
  <c r="S76" i="11"/>
  <c r="T98" i="11"/>
  <c r="S112" i="11"/>
  <c r="T104" i="11"/>
  <c r="S119" i="11"/>
  <c r="R118" i="11"/>
  <c r="R122" i="11" s="1"/>
  <c r="S103" i="11"/>
  <c r="S53" i="11"/>
  <c r="S155" i="11"/>
  <c r="S159" i="11" s="1"/>
  <c r="T49" i="11"/>
  <c r="Q223" i="11"/>
  <c r="X59" i="6"/>
  <c r="X70" i="6" s="1"/>
  <c r="X62" i="6"/>
  <c r="X64" i="6" s="1"/>
  <c r="X71" i="6" s="1"/>
  <c r="Y97" i="6"/>
  <c r="T121" i="11"/>
  <c r="W411" i="11"/>
  <c r="X12" i="11"/>
  <c r="V16" i="11"/>
  <c r="Z167" i="11"/>
  <c r="Z64" i="11"/>
  <c r="Z66" i="11" s="1"/>
  <c r="Z217" i="11" s="1"/>
  <c r="Z418" i="11" s="1"/>
  <c r="AA61" i="11"/>
  <c r="AA199" i="11"/>
  <c r="AA206" i="11" s="1"/>
  <c r="AA86" i="11"/>
  <c r="Z140" i="11"/>
  <c r="Y162" i="11"/>
  <c r="Y170" i="11" s="1"/>
  <c r="T413" i="11"/>
  <c r="T114" i="11"/>
  <c r="S412" i="11"/>
  <c r="S414" i="11" s="1"/>
  <c r="R17" i="11"/>
  <c r="T13" i="11"/>
  <c r="S113" i="11"/>
  <c r="S20" i="11"/>
  <c r="S197" i="11"/>
  <c r="T77" i="11"/>
  <c r="U152" i="11"/>
  <c r="V131" i="11"/>
  <c r="T18" i="11"/>
  <c r="U14" i="11" s="1"/>
  <c r="T30" i="11"/>
  <c r="U26" i="11" s="1"/>
  <c r="Q35" i="11"/>
  <c r="Q36" i="11" s="1"/>
  <c r="Q19" i="11"/>
  <c r="R195" i="11"/>
  <c r="R207" i="11" s="1"/>
  <c r="S75" i="11"/>
  <c r="R87" i="11"/>
  <c r="AA156" i="11"/>
  <c r="AA53" i="11"/>
  <c r="U34" i="11"/>
  <c r="Y24" i="11"/>
  <c r="W28" i="11"/>
  <c r="T25" i="11"/>
  <c r="R29" i="11"/>
  <c r="R31" i="11" s="1"/>
  <c r="S120" i="11"/>
  <c r="S32" i="11"/>
  <c r="S38" i="11"/>
  <c r="S216" i="11" s="1"/>
  <c r="Y198" i="11"/>
  <c r="Z78" i="11"/>
  <c r="AA45" i="18" l="1"/>
  <c r="AA67" i="18"/>
  <c r="AA46" i="18"/>
  <c r="AA68" i="18"/>
  <c r="Q224" i="11"/>
  <c r="Q219" i="11"/>
  <c r="P235" i="11"/>
  <c r="R89" i="11"/>
  <c r="R218" i="11" s="1"/>
  <c r="R417" i="11" s="1"/>
  <c r="X92" i="6"/>
  <c r="X99" i="6" s="1"/>
  <c r="X98" i="6"/>
  <c r="P225" i="11"/>
  <c r="R124" i="11"/>
  <c r="R228" i="11" s="1"/>
  <c r="T97" i="11"/>
  <c r="S111" i="11"/>
  <c r="S115" i="11" s="1"/>
  <c r="T76" i="11"/>
  <c r="S86" i="11"/>
  <c r="S196" i="11"/>
  <c r="S206" i="11" s="1"/>
  <c r="R223" i="11"/>
  <c r="R209" i="11"/>
  <c r="R230" i="11" s="1"/>
  <c r="S118" i="11"/>
  <c r="S122" i="11" s="1"/>
  <c r="T103" i="11"/>
  <c r="U104" i="11"/>
  <c r="T119" i="11"/>
  <c r="Q231" i="11"/>
  <c r="T53" i="11"/>
  <c r="T155" i="11"/>
  <c r="T159" i="11" s="1"/>
  <c r="U49" i="11"/>
  <c r="U98" i="11"/>
  <c r="T112" i="11"/>
  <c r="T60" i="11"/>
  <c r="S166" i="11"/>
  <c r="S170" i="11" s="1"/>
  <c r="S172" i="11" s="1"/>
  <c r="S229" i="11" s="1"/>
  <c r="S64" i="11"/>
  <c r="S66" i="11" s="1"/>
  <c r="S217" i="11" s="1"/>
  <c r="Z97" i="6"/>
  <c r="AA97" i="6"/>
  <c r="Y59" i="6"/>
  <c r="Y70" i="6" s="1"/>
  <c r="Y62" i="6"/>
  <c r="Y64" i="6" s="1"/>
  <c r="Y71" i="6" s="1"/>
  <c r="U121" i="11"/>
  <c r="R35" i="11"/>
  <c r="R36" i="11" s="1"/>
  <c r="R19" i="11"/>
  <c r="U413" i="11"/>
  <c r="U114" i="11"/>
  <c r="T120" i="11"/>
  <c r="S29" i="11"/>
  <c r="S31" i="11" s="1"/>
  <c r="U25" i="11"/>
  <c r="T38" i="11"/>
  <c r="T216" i="11" s="1"/>
  <c r="T32" i="11"/>
  <c r="Z24" i="11"/>
  <c r="X28" i="11"/>
  <c r="Z162" i="11"/>
  <c r="Z170" i="11" s="1"/>
  <c r="AA140" i="11"/>
  <c r="AA162" i="11" s="1"/>
  <c r="X411" i="11"/>
  <c r="W16" i="11"/>
  <c r="Y12" i="11"/>
  <c r="S195" i="11"/>
  <c r="S207" i="11" s="1"/>
  <c r="S87" i="11"/>
  <c r="T75" i="11"/>
  <c r="Z198" i="11"/>
  <c r="Z207" i="11" s="1"/>
  <c r="Z209" i="11" s="1"/>
  <c r="Z230" i="11" s="1"/>
  <c r="Z87" i="11"/>
  <c r="Z89" i="11" s="1"/>
  <c r="Z218" i="11" s="1"/>
  <c r="Z417" i="11" s="1"/>
  <c r="AA78" i="11"/>
  <c r="U30" i="11"/>
  <c r="V26" i="11" s="1"/>
  <c r="U18" i="11"/>
  <c r="V14" i="11" s="1"/>
  <c r="V152" i="11"/>
  <c r="W131" i="11"/>
  <c r="T197" i="11"/>
  <c r="U77" i="11"/>
  <c r="T412" i="11"/>
  <c r="T414" i="11" s="1"/>
  <c r="T113" i="11"/>
  <c r="S17" i="11"/>
  <c r="U13" i="11"/>
  <c r="T20" i="11"/>
  <c r="AA167" i="11"/>
  <c r="AA64" i="11"/>
  <c r="AA66" i="11" s="1"/>
  <c r="AA217" i="11" s="1"/>
  <c r="AA418" i="11" s="1"/>
  <c r="V34" i="11"/>
  <c r="AA73" i="18" l="1"/>
  <c r="AA51" i="18"/>
  <c r="Q225" i="11"/>
  <c r="R219" i="11"/>
  <c r="R224" i="11"/>
  <c r="Y92" i="6"/>
  <c r="Y99" i="6" s="1"/>
  <c r="Y98" i="6"/>
  <c r="R231" i="11"/>
  <c r="R225" i="11" s="1"/>
  <c r="R222" i="11"/>
  <c r="Q238" i="11"/>
  <c r="U97" i="11"/>
  <c r="T111" i="11"/>
  <c r="T115" i="11" s="1"/>
  <c r="S124" i="11"/>
  <c r="S228" i="11" s="1"/>
  <c r="Q235" i="11"/>
  <c r="S209" i="11"/>
  <c r="S230" i="11" s="1"/>
  <c r="S223" i="11"/>
  <c r="S222" i="11"/>
  <c r="S418" i="11"/>
  <c r="Z224" i="11"/>
  <c r="V98" i="11"/>
  <c r="U112" i="11"/>
  <c r="V104" i="11"/>
  <c r="U119" i="11"/>
  <c r="T196" i="11"/>
  <c r="T206" i="11" s="1"/>
  <c r="U76" i="11"/>
  <c r="T86" i="11"/>
  <c r="S89" i="11"/>
  <c r="S218" i="11" s="1"/>
  <c r="S417" i="11" s="1"/>
  <c r="AA170" i="11"/>
  <c r="V49" i="11"/>
  <c r="U53" i="11"/>
  <c r="U155" i="11"/>
  <c r="U159" i="11" s="1"/>
  <c r="U60" i="11"/>
  <c r="T64" i="11"/>
  <c r="T66" i="11" s="1"/>
  <c r="T217" i="11" s="1"/>
  <c r="T418" i="11" s="1"/>
  <c r="T166" i="11"/>
  <c r="T170" i="11" s="1"/>
  <c r="T172" i="11" s="1"/>
  <c r="T229" i="11" s="1"/>
  <c r="T118" i="11"/>
  <c r="T122" i="11" s="1"/>
  <c r="U103" i="11"/>
  <c r="AA98" i="6"/>
  <c r="AA59" i="6"/>
  <c r="AA70" i="6" s="1"/>
  <c r="AA62" i="6"/>
  <c r="AA64" i="6" s="1"/>
  <c r="AA71" i="6" s="1"/>
  <c r="Z59" i="6"/>
  <c r="Z70" i="6" s="1"/>
  <c r="Z62" i="6"/>
  <c r="Z64" i="6" s="1"/>
  <c r="Z71" i="6" s="1"/>
  <c r="U412" i="11"/>
  <c r="U414" i="11" s="1"/>
  <c r="U113" i="11"/>
  <c r="V13" i="11"/>
  <c r="T17" i="11"/>
  <c r="U20" i="11"/>
  <c r="Y411" i="11"/>
  <c r="X16" i="11"/>
  <c r="Z12" i="11"/>
  <c r="Z28" i="11"/>
  <c r="Y28" i="11"/>
  <c r="V121" i="11"/>
  <c r="V18" i="11"/>
  <c r="W14" i="11" s="1"/>
  <c r="V30" i="11"/>
  <c r="W26" i="11" s="1"/>
  <c r="S35" i="11"/>
  <c r="S36" i="11" s="1"/>
  <c r="S19" i="11"/>
  <c r="U197" i="11"/>
  <c r="V77" i="11"/>
  <c r="T195" i="11"/>
  <c r="T207" i="11" s="1"/>
  <c r="T87" i="11"/>
  <c r="U75" i="11"/>
  <c r="W34" i="11"/>
  <c r="U120" i="11"/>
  <c r="T29" i="11"/>
  <c r="T31" i="11" s="1"/>
  <c r="V25" i="11"/>
  <c r="U32" i="11"/>
  <c r="U38" i="11"/>
  <c r="U216" i="11" s="1"/>
  <c r="V413" i="11"/>
  <c r="V114" i="11"/>
  <c r="AA198" i="11"/>
  <c r="AA207" i="11" s="1"/>
  <c r="AA209" i="11" s="1"/>
  <c r="AA230" i="11" s="1"/>
  <c r="AA87" i="11"/>
  <c r="AA89" i="11" s="1"/>
  <c r="AA218" i="11" s="1"/>
  <c r="AA417" i="11" s="1"/>
  <c r="W152" i="11"/>
  <c r="X131" i="11"/>
  <c r="R238" i="11" l="1"/>
  <c r="R235" i="11"/>
  <c r="T89" i="11"/>
  <c r="T218" i="11" s="1"/>
  <c r="T417" i="11" s="1"/>
  <c r="Z92" i="6"/>
  <c r="Z99" i="6" s="1"/>
  <c r="Z98" i="6"/>
  <c r="AA92" i="6"/>
  <c r="AA99" i="6" s="1"/>
  <c r="S231" i="11"/>
  <c r="S238" i="11" s="1"/>
  <c r="V97" i="11"/>
  <c r="U111" i="11"/>
  <c r="U115" i="11" s="1"/>
  <c r="S224" i="11"/>
  <c r="S219" i="11"/>
  <c r="T223" i="11"/>
  <c r="W104" i="11"/>
  <c r="V119" i="11"/>
  <c r="T124" i="11"/>
  <c r="T228" i="11" s="1"/>
  <c r="T222" i="11" s="1"/>
  <c r="T209" i="11"/>
  <c r="T230" i="11" s="1"/>
  <c r="V103" i="11"/>
  <c r="U118" i="11"/>
  <c r="U122" i="11" s="1"/>
  <c r="W49" i="11"/>
  <c r="V155" i="11"/>
  <c r="V159" i="11" s="1"/>
  <c r="V172" i="11" s="1"/>
  <c r="V229" i="11" s="1"/>
  <c r="V53" i="11"/>
  <c r="V66" i="11" s="1"/>
  <c r="V217" i="11" s="1"/>
  <c r="V418" i="11" s="1"/>
  <c r="U196" i="11"/>
  <c r="U206" i="11" s="1"/>
  <c r="U86" i="11"/>
  <c r="V76" i="11"/>
  <c r="U64" i="11"/>
  <c r="U66" i="11" s="1"/>
  <c r="U217" i="11" s="1"/>
  <c r="U166" i="11"/>
  <c r="U170" i="11" s="1"/>
  <c r="U172" i="11" s="1"/>
  <c r="U229" i="11" s="1"/>
  <c r="W98" i="11"/>
  <c r="V112" i="11"/>
  <c r="W121" i="11"/>
  <c r="W413" i="11"/>
  <c r="W114" i="11"/>
  <c r="V197" i="11"/>
  <c r="V207" i="11" s="1"/>
  <c r="W77" i="11"/>
  <c r="V87" i="11"/>
  <c r="T35" i="11"/>
  <c r="T36" i="11" s="1"/>
  <c r="T19" i="11"/>
  <c r="AA224" i="11"/>
  <c r="Z411" i="11"/>
  <c r="Z16" i="11"/>
  <c r="Y16" i="11"/>
  <c r="V412" i="11"/>
  <c r="V414" i="11" s="1"/>
  <c r="V113" i="11"/>
  <c r="U17" i="11"/>
  <c r="W13" i="11"/>
  <c r="V20" i="11"/>
  <c r="X152" i="11"/>
  <c r="X159" i="11" s="1"/>
  <c r="X172" i="11" s="1"/>
  <c r="X229" i="11" s="1"/>
  <c r="X223" i="11" s="1"/>
  <c r="Y131" i="11"/>
  <c r="V120" i="11"/>
  <c r="U29" i="11"/>
  <c r="U31" i="11" s="1"/>
  <c r="W25" i="11"/>
  <c r="V32" i="11"/>
  <c r="V38" i="11"/>
  <c r="V216" i="11" s="1"/>
  <c r="W30" i="11"/>
  <c r="X26" i="11" s="1"/>
  <c r="W18" i="11"/>
  <c r="X14" i="11" s="1"/>
  <c r="U195" i="11"/>
  <c r="U207" i="11" s="1"/>
  <c r="U87" i="11"/>
  <c r="X34" i="11"/>
  <c r="S235" i="11" l="1"/>
  <c r="T224" i="11"/>
  <c r="T219" i="11"/>
  <c r="U209" i="11"/>
  <c r="U230" i="11" s="1"/>
  <c r="S225" i="11"/>
  <c r="U124" i="11"/>
  <c r="U228" i="11" s="1"/>
  <c r="U222" i="11" s="1"/>
  <c r="V111" i="11"/>
  <c r="V115" i="11" s="1"/>
  <c r="W97" i="11"/>
  <c r="V223" i="11"/>
  <c r="T231" i="11"/>
  <c r="T235" i="11" s="1"/>
  <c r="U418" i="11"/>
  <c r="W155" i="11"/>
  <c r="W159" i="11" s="1"/>
  <c r="W172" i="11" s="1"/>
  <c r="W229" i="11" s="1"/>
  <c r="W53" i="11"/>
  <c r="W66" i="11" s="1"/>
  <c r="W217" i="11" s="1"/>
  <c r="W418" i="11" s="1"/>
  <c r="X98" i="11"/>
  <c r="W112" i="11"/>
  <c r="V118" i="11"/>
  <c r="V122" i="11" s="1"/>
  <c r="W103" i="11"/>
  <c r="U223" i="11"/>
  <c r="U89" i="11"/>
  <c r="U218" i="11" s="1"/>
  <c r="U417" i="11" s="1"/>
  <c r="V196" i="11"/>
  <c r="V206" i="11" s="1"/>
  <c r="V209" i="11" s="1"/>
  <c r="V230" i="11" s="1"/>
  <c r="V86" i="11"/>
  <c r="V89" i="11" s="1"/>
  <c r="V218" i="11" s="1"/>
  <c r="X104" i="11"/>
  <c r="W119" i="11"/>
  <c r="X413" i="11"/>
  <c r="X114" i="11"/>
  <c r="X121" i="11"/>
  <c r="W412" i="11"/>
  <c r="W414" i="11" s="1"/>
  <c r="W113" i="11"/>
  <c r="V17" i="11"/>
  <c r="X13" i="11"/>
  <c r="W20" i="11"/>
  <c r="Y34" i="11"/>
  <c r="W120" i="11"/>
  <c r="X25" i="11"/>
  <c r="V29" i="11"/>
  <c r="V31" i="11" s="1"/>
  <c r="W38" i="11"/>
  <c r="W216" i="11" s="1"/>
  <c r="W32" i="11"/>
  <c r="Y152" i="11"/>
  <c r="Y159" i="11" s="1"/>
  <c r="Y172" i="11" s="1"/>
  <c r="Y229" i="11" s="1"/>
  <c r="Y223" i="11" s="1"/>
  <c r="Z131" i="11"/>
  <c r="U35" i="11"/>
  <c r="U36" i="11" s="1"/>
  <c r="U19" i="11"/>
  <c r="W197" i="11"/>
  <c r="W207" i="11" s="1"/>
  <c r="W209" i="11" s="1"/>
  <c r="W230" i="11" s="1"/>
  <c r="X77" i="11"/>
  <c r="W87" i="11"/>
  <c r="W89" i="11" s="1"/>
  <c r="W218" i="11" s="1"/>
  <c r="W417" i="11" s="1"/>
  <c r="X30" i="11"/>
  <c r="Y26" i="11" s="1"/>
  <c r="X18" i="11"/>
  <c r="Y14" i="11" s="1"/>
  <c r="U231" i="11" l="1"/>
  <c r="U235" i="11" s="1"/>
  <c r="V124" i="11"/>
  <c r="V228" i="11" s="1"/>
  <c r="V222" i="11" s="1"/>
  <c r="W111" i="11"/>
  <c r="W115" i="11" s="1"/>
  <c r="X97" i="11"/>
  <c r="T238" i="11"/>
  <c r="T225" i="11"/>
  <c r="V417" i="11"/>
  <c r="V224" i="11"/>
  <c r="V219" i="11"/>
  <c r="U224" i="11"/>
  <c r="Y98" i="11"/>
  <c r="X112" i="11"/>
  <c r="W223" i="11"/>
  <c r="W118" i="11"/>
  <c r="W122" i="11" s="1"/>
  <c r="X103" i="11"/>
  <c r="U219" i="11"/>
  <c r="Y104" i="11"/>
  <c r="X119" i="11"/>
  <c r="Y413" i="11"/>
  <c r="Y114" i="11"/>
  <c r="X120" i="11"/>
  <c r="W29" i="11"/>
  <c r="W31" i="11" s="1"/>
  <c r="Y25" i="11"/>
  <c r="X38" i="11"/>
  <c r="X216" i="11" s="1"/>
  <c r="X32" i="11"/>
  <c r="Y121" i="11"/>
  <c r="X197" i="11"/>
  <c r="X207" i="11" s="1"/>
  <c r="X209" i="11" s="1"/>
  <c r="X230" i="11" s="1"/>
  <c r="Y77" i="11"/>
  <c r="X87" i="11"/>
  <c r="X89" i="11" s="1"/>
  <c r="X218" i="11" s="1"/>
  <c r="X417" i="11" s="1"/>
  <c r="X412" i="11"/>
  <c r="X414" i="11" s="1"/>
  <c r="X113" i="11"/>
  <c r="W17" i="11"/>
  <c r="Y13" i="11"/>
  <c r="X20" i="11"/>
  <c r="W224" i="11"/>
  <c r="W219" i="11"/>
  <c r="Y18" i="11"/>
  <c r="Z14" i="11" s="1"/>
  <c r="Y30" i="11"/>
  <c r="Z26" i="11" s="1"/>
  <c r="V35" i="11"/>
  <c r="V36" i="11" s="1"/>
  <c r="V19" i="11"/>
  <c r="Z152" i="11"/>
  <c r="Z159" i="11" s="1"/>
  <c r="Z172" i="11" s="1"/>
  <c r="Z229" i="11" s="1"/>
  <c r="Z223" i="11" s="1"/>
  <c r="AA131" i="11"/>
  <c r="AA152" i="11" s="1"/>
  <c r="AA159" i="11" s="1"/>
  <c r="AA172" i="11" s="1"/>
  <c r="AA229" i="11" s="1"/>
  <c r="AA223" i="11" s="1"/>
  <c r="U238" i="11" l="1"/>
  <c r="U225" i="11"/>
  <c r="V231" i="11"/>
  <c r="V235" i="11" s="1"/>
  <c r="W124" i="11"/>
  <c r="W228" i="11" s="1"/>
  <c r="W231" i="11" s="1"/>
  <c r="Y97" i="11"/>
  <c r="X111" i="11"/>
  <c r="X115" i="11" s="1"/>
  <c r="Z98" i="11"/>
  <c r="Y112" i="11"/>
  <c r="Y103" i="11"/>
  <c r="X118" i="11"/>
  <c r="X122" i="11" s="1"/>
  <c r="Z104" i="11"/>
  <c r="Y119" i="11"/>
  <c r="Z121" i="11"/>
  <c r="Z413" i="11"/>
  <c r="Z114" i="11"/>
  <c r="X219" i="11"/>
  <c r="Y197" i="11"/>
  <c r="Y207" i="11" s="1"/>
  <c r="Y209" i="11" s="1"/>
  <c r="Y230" i="11" s="1"/>
  <c r="Y87" i="11"/>
  <c r="Y89" i="11" s="1"/>
  <c r="Y218" i="11" s="1"/>
  <c r="Y417" i="11" s="1"/>
  <c r="Y120" i="11"/>
  <c r="X29" i="11"/>
  <c r="X31" i="11" s="1"/>
  <c r="Z25" i="11"/>
  <c r="Y32" i="11"/>
  <c r="Y38" i="11"/>
  <c r="Y216" i="11" s="1"/>
  <c r="Y412" i="11"/>
  <c r="Y414" i="11" s="1"/>
  <c r="Y113" i="11"/>
  <c r="Z13" i="11"/>
  <c r="X17" i="11"/>
  <c r="Y20" i="11"/>
  <c r="X224" i="11"/>
  <c r="W35" i="11"/>
  <c r="W36" i="11" s="1"/>
  <c r="W19" i="11"/>
  <c r="W222" i="11" l="1"/>
  <c r="V225" i="11"/>
  <c r="V238" i="11"/>
  <c r="X124" i="11"/>
  <c r="X228" i="11" s="1"/>
  <c r="X231" i="11" s="1"/>
  <c r="X238" i="11" s="1"/>
  <c r="Y111" i="11"/>
  <c r="Y115" i="11" s="1"/>
  <c r="Z97" i="11"/>
  <c r="Y118" i="11"/>
  <c r="Z103" i="11"/>
  <c r="AA98" i="11"/>
  <c r="AA112" i="11" s="1"/>
  <c r="Z112" i="11"/>
  <c r="Y122" i="11"/>
  <c r="AA104" i="11"/>
  <c r="AA119" i="11" s="1"/>
  <c r="Z119" i="11"/>
  <c r="Z120" i="11"/>
  <c r="Y29" i="11"/>
  <c r="Y31" i="11" s="1"/>
  <c r="AA25" i="11"/>
  <c r="Z38" i="11"/>
  <c r="Z216" i="11" s="1"/>
  <c r="Z219" i="11" s="1"/>
  <c r="Z32" i="11"/>
  <c r="Y224" i="11"/>
  <c r="X35" i="11"/>
  <c r="X36" i="11" s="1"/>
  <c r="X19" i="11"/>
  <c r="Z412" i="11"/>
  <c r="Z414" i="11" s="1"/>
  <c r="Z113" i="11"/>
  <c r="Y17" i="11"/>
  <c r="AA13" i="11"/>
  <c r="Z20" i="11"/>
  <c r="Y219" i="11"/>
  <c r="W238" i="11"/>
  <c r="W235" i="11"/>
  <c r="W225" i="11"/>
  <c r="X222" i="11" l="1"/>
  <c r="Y124" i="11"/>
  <c r="Y228" i="11" s="1"/>
  <c r="Y231" i="11" s="1"/>
  <c r="Y225" i="11" s="1"/>
  <c r="Z111" i="11"/>
  <c r="Z115" i="11" s="1"/>
  <c r="AA97" i="11"/>
  <c r="AA111" i="11" s="1"/>
  <c r="X235" i="11"/>
  <c r="X225" i="11"/>
  <c r="AA103" i="11"/>
  <c r="AA118" i="11" s="1"/>
  <c r="Z118" i="11"/>
  <c r="Z122" i="11" s="1"/>
  <c r="Y35" i="11"/>
  <c r="Y36" i="11" s="1"/>
  <c r="Y19" i="11"/>
  <c r="AA120" i="11"/>
  <c r="AB25" i="11"/>
  <c r="Z29" i="11"/>
  <c r="Y238" i="11"/>
  <c r="AA412" i="11"/>
  <c r="Z17" i="11"/>
  <c r="AA113" i="11"/>
  <c r="AB13" i="11"/>
  <c r="Z124" i="11" l="1"/>
  <c r="Z228" i="11" s="1"/>
  <c r="Z231" i="11" s="1"/>
  <c r="Z225" i="11" s="1"/>
  <c r="Y235" i="11"/>
  <c r="Y222" i="11"/>
  <c r="Z34" i="11"/>
  <c r="AA17" i="11"/>
  <c r="AC13" i="11"/>
  <c r="AA29" i="11"/>
  <c r="AC25" i="11"/>
  <c r="Z222" i="11" l="1"/>
  <c r="Z235" i="11"/>
  <c r="Z238" i="11"/>
  <c r="AD13" i="11"/>
  <c r="AB17" i="11"/>
  <c r="Z18" i="11"/>
  <c r="Z30" i="11"/>
  <c r="AB29" i="11"/>
  <c r="AD25" i="11"/>
  <c r="AA34" i="11"/>
  <c r="AB34" i="11" l="1"/>
  <c r="AC29" i="11"/>
  <c r="AE25" i="11"/>
  <c r="AA26" i="11"/>
  <c r="Z31" i="11"/>
  <c r="AE13" i="11"/>
  <c r="AC17" i="11"/>
  <c r="AA30" i="11"/>
  <c r="AA31" i="11" s="1"/>
  <c r="AA18" i="11"/>
  <c r="Z35" i="11"/>
  <c r="Z36" i="11" s="1"/>
  <c r="AA14" i="11"/>
  <c r="Z19" i="11"/>
  <c r="AC34" i="11" l="1"/>
  <c r="AA121" i="11"/>
  <c r="AA122" i="11" s="1"/>
  <c r="AB26" i="11"/>
  <c r="AA38" i="11"/>
  <c r="AA216" i="11" s="1"/>
  <c r="AA219" i="11" s="1"/>
  <c r="AA32" i="11"/>
  <c r="AA35" i="11"/>
  <c r="AA36" i="11" s="1"/>
  <c r="AA19" i="11"/>
  <c r="AD17" i="11"/>
  <c r="AF13" i="11"/>
  <c r="AB18" i="11"/>
  <c r="AB30" i="11"/>
  <c r="AB31" i="11" s="1"/>
  <c r="AA413" i="11"/>
  <c r="AA414" i="11" s="1"/>
  <c r="AA114" i="11"/>
  <c r="AA115" i="11" s="1"/>
  <c r="AB14" i="11"/>
  <c r="AA20" i="11"/>
  <c r="AF25" i="11"/>
  <c r="AD29" i="11"/>
  <c r="AA124" i="11" l="1"/>
  <c r="AA228" i="11" s="1"/>
  <c r="AA231" i="11" s="1"/>
  <c r="AC26" i="11"/>
  <c r="AB38" i="11"/>
  <c r="AB32" i="11"/>
  <c r="AE17" i="11"/>
  <c r="AC14" i="11"/>
  <c r="AB20" i="11"/>
  <c r="AB35" i="11"/>
  <c r="AB36" i="11" s="1"/>
  <c r="AB19" i="11"/>
  <c r="AD34" i="11"/>
  <c r="AC18" i="11"/>
  <c r="AC30" i="11"/>
  <c r="AC31" i="11" s="1"/>
  <c r="AE29" i="11"/>
  <c r="AA222" i="11" l="1"/>
  <c r="AA238" i="11"/>
  <c r="AA225" i="11"/>
  <c r="AA235" i="11"/>
  <c r="AD30" i="11"/>
  <c r="AD31" i="11" s="1"/>
  <c r="AD18" i="11"/>
  <c r="AC35" i="11"/>
  <c r="AC36" i="11" s="1"/>
  <c r="AC19" i="11"/>
  <c r="AD14" i="11"/>
  <c r="AC20" i="11"/>
  <c r="AE34" i="11"/>
  <c r="AD26" i="11"/>
  <c r="AC32" i="11"/>
  <c r="AC38" i="11"/>
  <c r="AE26" i="11" l="1"/>
  <c r="AD38" i="11"/>
  <c r="AD32" i="11"/>
  <c r="AE14" i="11"/>
  <c r="AD20" i="11"/>
  <c r="AD35" i="11"/>
  <c r="AD36" i="11" s="1"/>
  <c r="AD19" i="11"/>
  <c r="AE18" i="11"/>
  <c r="AE30" i="11"/>
  <c r="AE31" i="11" s="1"/>
  <c r="AF14" i="11" l="1"/>
  <c r="AF20" i="11" s="1"/>
  <c r="AE20" i="11"/>
  <c r="AE35" i="11"/>
  <c r="AE36" i="11" s="1"/>
  <c r="AE19" i="11"/>
  <c r="AF26" i="11"/>
  <c r="AE32" i="11"/>
  <c r="AE38" i="11"/>
  <c r="AF38" i="11" l="1"/>
  <c r="AF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Kasper Nyborg</author>
  </authors>
  <commentList>
    <comment ref="D7" authorId="0" shapeId="0" xr:uid="{00000000-0006-0000-0800-000001000000}">
      <text>
        <r>
          <rPr>
            <b/>
            <sz val="9"/>
            <color indexed="81"/>
            <rFont val="Tahoma"/>
            <family val="2"/>
          </rPr>
          <t>Fordelingen baserer sig på fordelingen jf. Stamdata. 
DK1: 67,5%
DK2: 32,5%
Forholdet forventes ikke at ændre sig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Carsten Vittrup</author>
    <author>CV-DESK</author>
    <author>Kasper Nyborg</author>
  </authors>
  <commentList>
    <comment ref="D11" authorId="0" shapeId="0" xr:uid="{00000000-0006-0000-0900-000001000000}">
      <text>
        <r>
          <rPr>
            <b/>
            <sz val="9"/>
            <color indexed="81"/>
            <rFont val="Tahoma"/>
            <family val="2"/>
          </rPr>
          <t>Carsten Vittrup:</t>
        </r>
        <r>
          <rPr>
            <sz val="9"/>
            <color indexed="81"/>
            <rFont val="Tahoma"/>
            <family val="2"/>
          </rPr>
          <t xml:space="preserve">
Opdateret fra SAB-BI pr. primo feb2017
(forventet jf. nedtagningsanalyse var 446,9 MW)
Bemærk INKL. husstandsvindmøller (&lt;= 25 kW)</t>
        </r>
      </text>
    </comment>
    <comment ref="D12" authorId="0" shapeId="0" xr:uid="{00000000-0006-0000-0900-000002000000}">
      <text>
        <r>
          <rPr>
            <b/>
            <sz val="9"/>
            <color indexed="81"/>
            <rFont val="Tahoma"/>
            <family val="2"/>
          </rPr>
          <t>Carsten Vittrup:</t>
        </r>
        <r>
          <rPr>
            <sz val="9"/>
            <color indexed="81"/>
            <rFont val="Tahoma"/>
            <family val="2"/>
          </rPr>
          <t xml:space="preserve">
Opdateret fra SAB-BI pr. primo feb2017
Bemærk INKL. husstandsvindmøller (&lt;= 25 kW)</t>
        </r>
      </text>
    </comment>
    <comment ref="D13" authorId="0" shapeId="0" xr:uid="{00000000-0006-0000-0900-000003000000}">
      <text>
        <r>
          <rPr>
            <b/>
            <sz val="9"/>
            <color indexed="81"/>
            <rFont val="Tahoma"/>
            <family val="2"/>
          </rPr>
          <t>Carsten Vittrup:</t>
        </r>
        <r>
          <rPr>
            <sz val="9"/>
            <color indexed="81"/>
            <rFont val="Tahoma"/>
            <family val="2"/>
          </rPr>
          <t xml:space="preserve">
Opdateret fra SAB-BI pr. primo feb2017
Forventet 119,9 MW jf. AF2016
Bemærk INKL. husstandsvindmøller (&lt;= 25 kW)</t>
        </r>
      </text>
    </comment>
    <comment ref="D17" authorId="1" shapeId="0" xr:uid="{00000000-0006-0000-0900-000004000000}">
      <text>
        <r>
          <rPr>
            <b/>
            <sz val="9"/>
            <color indexed="81"/>
            <rFont val="Tahoma"/>
            <family val="2"/>
          </rPr>
          <t>CV-DESK:</t>
        </r>
        <r>
          <rPr>
            <sz val="9"/>
            <color indexed="81"/>
            <rFont val="Tahoma"/>
            <family val="2"/>
          </rPr>
          <t xml:space="preserve">
Vurdering ud fra 2-års pibeline</t>
        </r>
      </text>
    </comment>
    <comment ref="E17" authorId="1" shapeId="0" xr:uid="{00000000-0006-0000-0900-000005000000}">
      <text>
        <r>
          <rPr>
            <b/>
            <sz val="9"/>
            <color indexed="81"/>
            <rFont val="Tahoma"/>
            <family val="2"/>
          </rPr>
          <t>CV-DESK:</t>
        </r>
        <r>
          <rPr>
            <sz val="9"/>
            <color indexed="81"/>
            <rFont val="Tahoma"/>
            <family val="2"/>
          </rPr>
          <t xml:space="preserve">
Vurdering ud fra 2-års pibeline</t>
        </r>
      </text>
    </comment>
    <comment ref="D23" authorId="0" shapeId="0" xr:uid="{00000000-0006-0000-0900-000006000000}">
      <text>
        <r>
          <rPr>
            <b/>
            <sz val="9"/>
            <color indexed="81"/>
            <rFont val="Tahoma"/>
            <family val="2"/>
          </rPr>
          <t>Carsten Vittrup:</t>
        </r>
        <r>
          <rPr>
            <sz val="9"/>
            <color indexed="81"/>
            <rFont val="Tahoma"/>
            <family val="2"/>
          </rPr>
          <t xml:space="preserve">
Opdateret fra SAB-BI pr. primo feb2017
(forventet jf. nedtagningsanalyse var 1912,8 MW)
Bemærk INKL. husstandsvindmøller (&lt;= 25 kW)</t>
        </r>
      </text>
    </comment>
    <comment ref="D24" authorId="0" shapeId="0" xr:uid="{00000000-0006-0000-0900-000007000000}">
      <text>
        <r>
          <rPr>
            <b/>
            <sz val="9"/>
            <color indexed="81"/>
            <rFont val="Tahoma"/>
            <family val="2"/>
          </rPr>
          <t>Carsten Vittrup:</t>
        </r>
        <r>
          <rPr>
            <sz val="9"/>
            <color indexed="81"/>
            <rFont val="Tahoma"/>
            <family val="2"/>
          </rPr>
          <t xml:space="preserve">
Opdateret fra SAB-BI pr. primo feb2017
Bemærk INKL. husstandsvindmøller (&lt;= 25 kW)</t>
        </r>
      </text>
    </comment>
    <comment ref="D25" authorId="0" shapeId="0" xr:uid="{00000000-0006-0000-0900-000008000000}">
      <text>
        <r>
          <rPr>
            <b/>
            <sz val="9"/>
            <color indexed="81"/>
            <rFont val="Tahoma"/>
            <family val="2"/>
          </rPr>
          <t>Carsten Vittrup:</t>
        </r>
        <r>
          <rPr>
            <sz val="9"/>
            <color indexed="81"/>
            <rFont val="Tahoma"/>
            <family val="2"/>
          </rPr>
          <t xml:space="preserve">
Opdateret fra SAB-BI pr. primo feb2017
Forventet 436,9 MW jf. AF2016
Bemærk INKL. husstandsvindmøller (&lt;= 25 kW)</t>
        </r>
      </text>
    </comment>
    <comment ref="D29" authorId="1" shapeId="0" xr:uid="{00000000-0006-0000-0900-000009000000}">
      <text>
        <r>
          <rPr>
            <b/>
            <sz val="9"/>
            <color indexed="81"/>
            <rFont val="Tahoma"/>
            <family val="2"/>
          </rPr>
          <t>CV-DESK:</t>
        </r>
        <r>
          <rPr>
            <sz val="9"/>
            <color indexed="81"/>
            <rFont val="Tahoma"/>
            <family val="2"/>
          </rPr>
          <t xml:space="preserve">
Vurdering ud fra 2-års pibeline</t>
        </r>
      </text>
    </comment>
    <comment ref="E29" authorId="1" shapeId="0" xr:uid="{00000000-0006-0000-0900-00000A000000}">
      <text>
        <r>
          <rPr>
            <b/>
            <sz val="9"/>
            <color indexed="81"/>
            <rFont val="Tahoma"/>
            <family val="2"/>
          </rPr>
          <t>CV-DESK:</t>
        </r>
        <r>
          <rPr>
            <sz val="9"/>
            <color indexed="81"/>
            <rFont val="Tahoma"/>
            <family val="2"/>
          </rPr>
          <t xml:space="preserve">
Vurdering ud fra 2-års pibeline</t>
        </r>
      </text>
    </comment>
    <comment ref="G62" authorId="2" shapeId="0" xr:uid="{00000000-0006-0000-0900-00000B000000}">
      <text>
        <r>
          <rPr>
            <sz val="9"/>
            <color indexed="81"/>
            <rFont val="Tahoma"/>
            <family val="2"/>
          </rPr>
          <t>28 MW ved Nissum Bredning. De resterednde 22 MW op til forsøgsordningens forventede 50 MW er sløjfet i forbindelse med PSO-aftale i efteråret 2016.</t>
        </r>
      </text>
    </comment>
    <comment ref="R167" authorId="2" shapeId="0" xr:uid="{00000000-0006-0000-0900-00000C000000}">
      <text>
        <r>
          <rPr>
            <b/>
            <sz val="9"/>
            <color indexed="81"/>
            <rFont val="Tahoma"/>
            <family val="2"/>
          </rPr>
          <t>Kasper Nyborg:</t>
        </r>
        <r>
          <rPr>
            <sz val="9"/>
            <color indexed="81"/>
            <rFont val="Tahoma"/>
            <family val="2"/>
          </rPr>
          <t xml:space="preserve">
Sidste år med støtte - efter nuværende udbudsordning (50.000 fuldlasttimer).</t>
        </r>
      </text>
    </comment>
    <comment ref="R168" authorId="2" shapeId="0" xr:uid="{00000000-0006-0000-0900-00000D000000}">
      <text>
        <r>
          <rPr>
            <b/>
            <sz val="9"/>
            <color indexed="81"/>
            <rFont val="Tahoma"/>
            <family val="2"/>
          </rPr>
          <t>Kasper Nyborg:</t>
        </r>
        <r>
          <rPr>
            <sz val="9"/>
            <color indexed="81"/>
            <rFont val="Tahoma"/>
            <family val="2"/>
          </rPr>
          <t xml:space="preserve">
Sidste år med støtte - efter nuværende udbudsordning (50.000 fuldlasttimer).</t>
        </r>
      </text>
    </comment>
  </commentList>
</comments>
</file>

<file path=xl/sharedStrings.xml><?xml version="1.0" encoding="utf-8"?>
<sst xmlns="http://schemas.openxmlformats.org/spreadsheetml/2006/main" count="1559" uniqueCount="490">
  <si>
    <t>Status</t>
  </si>
  <si>
    <t>Herningværket</t>
  </si>
  <si>
    <t>FYV7</t>
  </si>
  <si>
    <t>FYV8</t>
  </si>
  <si>
    <t>NJV3</t>
  </si>
  <si>
    <t>SKV3</t>
  </si>
  <si>
    <t>SSV3</t>
  </si>
  <si>
    <t>ESV3</t>
  </si>
  <si>
    <t>Fynsværket</t>
  </si>
  <si>
    <t>Nordjyllandsværket</t>
  </si>
  <si>
    <t>Skærbækværket</t>
  </si>
  <si>
    <t>Studstrupværket</t>
  </si>
  <si>
    <t>Esbjergværket</t>
  </si>
  <si>
    <t>HEV</t>
  </si>
  <si>
    <t>SSV4</t>
  </si>
  <si>
    <t>NJV2</t>
  </si>
  <si>
    <t>Enstedværket</t>
  </si>
  <si>
    <t>ENV3</t>
  </si>
  <si>
    <t>SSV5</t>
  </si>
  <si>
    <t>Amagerværket</t>
  </si>
  <si>
    <t>Asnæsværket</t>
  </si>
  <si>
    <t>Avedøreværket</t>
  </si>
  <si>
    <t>H.C. Ørstedsværket</t>
  </si>
  <si>
    <t>Kyndbyværket</t>
  </si>
  <si>
    <t>Svanemølleværket</t>
  </si>
  <si>
    <t>Stigsnæsværket</t>
  </si>
  <si>
    <t>AMV1</t>
  </si>
  <si>
    <t>AMV3</t>
  </si>
  <si>
    <t>ASV2</t>
  </si>
  <si>
    <t>AVV1</t>
  </si>
  <si>
    <t>AVV2</t>
  </si>
  <si>
    <t>HCV7</t>
  </si>
  <si>
    <t>HCV8</t>
  </si>
  <si>
    <t>ASV5</t>
  </si>
  <si>
    <t>KYV21</t>
  </si>
  <si>
    <t>Masnedøværket</t>
  </si>
  <si>
    <t>KYV22</t>
  </si>
  <si>
    <t>KYV41</t>
  </si>
  <si>
    <t>KYV51</t>
  </si>
  <si>
    <t>KYV52</t>
  </si>
  <si>
    <t>MAV31</t>
  </si>
  <si>
    <t>Østkraft</t>
  </si>
  <si>
    <t>HCV1-4</t>
  </si>
  <si>
    <t>STV2</t>
  </si>
  <si>
    <t>SMV7</t>
  </si>
  <si>
    <t>SMV1-3</t>
  </si>
  <si>
    <t>ØKR5</t>
  </si>
  <si>
    <t>ØKR6</t>
  </si>
  <si>
    <t>Vindeby (1991)</t>
  </si>
  <si>
    <t>Middelgrunden (2000)</t>
  </si>
  <si>
    <t>Avedøre Holme (2009)</t>
  </si>
  <si>
    <t>Avedøre Holme (2011)</t>
  </si>
  <si>
    <t>Tunø Knob (1995)</t>
  </si>
  <si>
    <t>Rønland (2003)</t>
  </si>
  <si>
    <t>Samsø (2003)</t>
  </si>
  <si>
    <t xml:space="preserve">Frederikshavn (2003) </t>
  </si>
  <si>
    <t>Sprogø (2009)</t>
  </si>
  <si>
    <t>Horns Rev 1 (2002)</t>
  </si>
  <si>
    <t>Rødsand 1 / Nysted (2003)</t>
  </si>
  <si>
    <t>Horns Rev 2 (2009)</t>
  </si>
  <si>
    <t>Rødsand 2 (2010)</t>
  </si>
  <si>
    <t>Anholt (2013)</t>
  </si>
  <si>
    <t>Horns Rev 3</t>
  </si>
  <si>
    <t>Rødsand 1 + 2 repower</t>
  </si>
  <si>
    <t xml:space="preserve"> </t>
  </si>
  <si>
    <t>DK1</t>
  </si>
  <si>
    <t>DK2</t>
  </si>
  <si>
    <t>Kriegers Flak</t>
  </si>
  <si>
    <t>MW</t>
  </si>
  <si>
    <t>h</t>
  </si>
  <si>
    <t>GWh</t>
  </si>
  <si>
    <t>Klassisk forbrug</t>
  </si>
  <si>
    <t>Øresund</t>
  </si>
  <si>
    <t>Kontek</t>
  </si>
  <si>
    <t>Skagerrak</t>
  </si>
  <si>
    <t>NO</t>
  </si>
  <si>
    <t>Konti-Skan</t>
  </si>
  <si>
    <t>SE</t>
  </si>
  <si>
    <t>DE</t>
  </si>
  <si>
    <t>COBRAcable</t>
  </si>
  <si>
    <t>NL</t>
  </si>
  <si>
    <t>Viking Link</t>
  </si>
  <si>
    <t>GB</t>
  </si>
  <si>
    <t>ØKR7</t>
  </si>
  <si>
    <t>ØKR1-4</t>
  </si>
  <si>
    <t>mio. m3</t>
  </si>
  <si>
    <t>PJ</t>
  </si>
  <si>
    <t>kWh/m3</t>
  </si>
  <si>
    <t>GJ/m3</t>
  </si>
  <si>
    <t>p.u.</t>
  </si>
  <si>
    <t>MWh/h</t>
  </si>
  <si>
    <t>Elbiler og varmepumper</t>
  </si>
  <si>
    <t>Jernbanen og Femern</t>
  </si>
  <si>
    <t>Datacentre</t>
  </si>
  <si>
    <t>NSY</t>
  </si>
  <si>
    <t>SE3</t>
  </si>
  <si>
    <t>SE4</t>
  </si>
  <si>
    <t>DK</t>
  </si>
  <si>
    <t>Import, AF2016</t>
  </si>
  <si>
    <t>Samlet</t>
  </si>
  <si>
    <t>Total, AF2016</t>
  </si>
  <si>
    <t>ASV4</t>
  </si>
  <si>
    <t>STV1</t>
  </si>
  <si>
    <t>1.</t>
  </si>
  <si>
    <t>2.</t>
  </si>
  <si>
    <t>3.</t>
  </si>
  <si>
    <t>4.</t>
  </si>
  <si>
    <t>5.</t>
  </si>
  <si>
    <t>6.</t>
  </si>
  <si>
    <t>7.</t>
  </si>
  <si>
    <t>8.</t>
  </si>
  <si>
    <t>9.</t>
  </si>
  <si>
    <t>10.</t>
  </si>
  <si>
    <t>11.</t>
  </si>
  <si>
    <t>12.</t>
  </si>
  <si>
    <t>13.</t>
  </si>
  <si>
    <t>Denmark (DK1)</t>
  </si>
  <si>
    <t>Denmark (DK2)</t>
  </si>
  <si>
    <t>Denmark (DK)</t>
  </si>
  <si>
    <t>Denmark</t>
  </si>
  <si>
    <t>Denmark - AF2016</t>
  </si>
  <si>
    <t>Power plant</t>
  </si>
  <si>
    <t xml:space="preserve">In total, Denmark </t>
  </si>
  <si>
    <t>A. Central plants</t>
  </si>
  <si>
    <t>B. Central ancillary plants</t>
  </si>
  <si>
    <t>Unit 3</t>
  </si>
  <si>
    <t>Unit 7</t>
  </si>
  <si>
    <t>Unit 8</t>
  </si>
  <si>
    <t>Unit 2</t>
  </si>
  <si>
    <t>Unit 4</t>
  </si>
  <si>
    <t>Unit 1</t>
  </si>
  <si>
    <t>Unit 5</t>
  </si>
  <si>
    <t>Sektion 2 (Unit 1-4)</t>
  </si>
  <si>
    <t>Unit 21</t>
  </si>
  <si>
    <t>Unit 1-3</t>
  </si>
  <si>
    <t>Unit 6</t>
  </si>
  <si>
    <t>Unit 22</t>
  </si>
  <si>
    <t>Unit 41</t>
  </si>
  <si>
    <t>Unit 51</t>
  </si>
  <si>
    <t>Unit 52</t>
  </si>
  <si>
    <t>Unit 31</t>
  </si>
  <si>
    <t>Unit</t>
  </si>
  <si>
    <t>Short name</t>
  </si>
  <si>
    <t>Notes</t>
  </si>
  <si>
    <t>40 MW biomass.</t>
  </si>
  <si>
    <t>Heat agreement expires at the end of 2019.</t>
  </si>
  <si>
    <t>Cooling water permit expires at the end of 2020.</t>
  </si>
  <si>
    <t>90 MW wood chips from middle of 2017.</t>
  </si>
  <si>
    <t>Preserved</t>
  </si>
  <si>
    <t>Ready state</t>
  </si>
  <si>
    <t>In total, Denmark (only ready state)</t>
  </si>
  <si>
    <t>In total, DK2 (only ready state)</t>
  </si>
  <si>
    <t>In total, DK1 (only ready state)</t>
  </si>
  <si>
    <t>Conditioned ready state</t>
  </si>
  <si>
    <t>Permanently out of operation</t>
  </si>
  <si>
    <t>Does not run simultaneously with unit 4 (conditioned ready state).</t>
  </si>
  <si>
    <t>Heat agreement expires at the end of 2017. Does not run simultaneously with ASV5 (Conditioned ready state).</t>
  </si>
  <si>
    <t>8 weeks start-up warning. Backup for ASV2.</t>
  </si>
  <si>
    <t>Converted in 1994.</t>
  </si>
  <si>
    <t>6 weeks start-up warning.</t>
  </si>
  <si>
    <t>Renovated in 2007/2008.</t>
  </si>
  <si>
    <t>Diesel plant</t>
  </si>
  <si>
    <t>Electricity capacity (MW)</t>
  </si>
  <si>
    <t>Electricity overload capacity (MW)</t>
  </si>
  <si>
    <t>Coal</t>
  </si>
  <si>
    <t>Fuel oil</t>
  </si>
  <si>
    <t>Gas oil</t>
  </si>
  <si>
    <t>Natural gas</t>
  </si>
  <si>
    <t>Straw</t>
  </si>
  <si>
    <t>Wood chips</t>
  </si>
  <si>
    <t>Wood pellets</t>
  </si>
  <si>
    <t>Yes</t>
  </si>
  <si>
    <t>Crude oil</t>
  </si>
  <si>
    <t>Natural gas (LHV)</t>
  </si>
  <si>
    <t>DKK/GJ</t>
  </si>
  <si>
    <t>DKK/ton</t>
  </si>
  <si>
    <t>DKK/kg</t>
  </si>
  <si>
    <t>Natural gas (LHV, excl. sunk costs)</t>
  </si>
  <si>
    <t>Natural gas (excl. sunk costs)</t>
  </si>
  <si>
    <t>Natural gas (LHV, incl. sunk costs)</t>
  </si>
  <si>
    <t>DKK/tonne (2017 prices)</t>
  </si>
  <si>
    <t>DKK/GJ (2017 prices)</t>
  </si>
  <si>
    <t>A. Coal, crude oil og natural gas</t>
  </si>
  <si>
    <t>Danish import prices (2017 prices)</t>
  </si>
  <si>
    <t>Figure text</t>
  </si>
  <si>
    <t>Reference: Own projections. Forward prices are from ICE (API2 Rotterdam Coal Futures og Brent Crude Futures) og ICE Endex (German Gaspool Gas Futures). Longterm prices are from IEA (World Energy Outlook 2016, "New Policies Scenario").</t>
  </si>
  <si>
    <t>Reference: Ea Energianalyse, Danish Energy Agency and own projections.</t>
  </si>
  <si>
    <t>At local plant</t>
  </si>
  <si>
    <t>At central plant</t>
  </si>
  <si>
    <t>DKK/MWh (2017 prices)</t>
  </si>
  <si>
    <t>Western Denmark (DK1)</t>
  </si>
  <si>
    <t>Western Denmark (DK1) - AF2016</t>
  </si>
  <si>
    <t>Eastern Denmark (DK2)</t>
  </si>
  <si>
    <t>Eastern Denmark (DK2) - AF2016</t>
  </si>
  <si>
    <t>A. General assumptions</t>
  </si>
  <si>
    <t>Distribution between DK1 og DK2</t>
  </si>
  <si>
    <t>Reference: Energinet</t>
  </si>
  <si>
    <t>Loss of electricity in grid</t>
  </si>
  <si>
    <t>Total, Denmark</t>
  </si>
  <si>
    <t>Total, Western Denmark (DK1)</t>
  </si>
  <si>
    <t>Total, Eastern Denmark (DK2)</t>
  </si>
  <si>
    <t>Net</t>
  </si>
  <si>
    <t>Gross</t>
  </si>
  <si>
    <t>D. Large heat pumps</t>
  </si>
  <si>
    <t>Central</t>
  </si>
  <si>
    <t>Central - AF2016</t>
  </si>
  <si>
    <t>Local</t>
  </si>
  <si>
    <t>Local - AF2016</t>
  </si>
  <si>
    <t>C. Household heat pumps</t>
  </si>
  <si>
    <t>Net consumption</t>
  </si>
  <si>
    <t>Gross consumption</t>
  </si>
  <si>
    <t>Average, Denmark</t>
  </si>
  <si>
    <t>Load factor</t>
  </si>
  <si>
    <t>Households</t>
  </si>
  <si>
    <t>Loss</t>
  </si>
  <si>
    <t>Total</t>
  </si>
  <si>
    <t>Businesses and industry</t>
  </si>
  <si>
    <t>F. Transport</t>
  </si>
  <si>
    <t>H. Large data centres</t>
  </si>
  <si>
    <t>I. Summary</t>
  </si>
  <si>
    <t>Household heat pumps</t>
  </si>
  <si>
    <t>Large heat pumps</t>
  </si>
  <si>
    <t>Electric boilers</t>
  </si>
  <si>
    <t>Road and sea transport</t>
  </si>
  <si>
    <t>Rail transport</t>
  </si>
  <si>
    <t>Large data centres</t>
  </si>
  <si>
    <t>Central incl. ancillary plants</t>
  </si>
  <si>
    <t>Local incl. regulating power</t>
  </si>
  <si>
    <t>Electricity capacity (MW, beginning of year)</t>
  </si>
  <si>
    <t>Land-based, before 2008</t>
  </si>
  <si>
    <t>Land-based</t>
  </si>
  <si>
    <t>Land-based, 2008-2013</t>
  </si>
  <si>
    <t>Land-based, 2014-2019</t>
  </si>
  <si>
    <t>Offshore</t>
  </si>
  <si>
    <t>Near-shore</t>
  </si>
  <si>
    <t>Land-based (MW)</t>
  </si>
  <si>
    <t>Land-based (GWh)</t>
  </si>
  <si>
    <t>Land-based, AF2016</t>
  </si>
  <si>
    <t>Offshore and near-shore, AF2016</t>
  </si>
  <si>
    <t>Land-based, after 2020</t>
  </si>
  <si>
    <t>Land-based, total</t>
  </si>
  <si>
    <t>Household units</t>
  </si>
  <si>
    <t>Household units without battery</t>
  </si>
  <si>
    <t>Household units with battery</t>
  </si>
  <si>
    <t>A. Capacities</t>
  </si>
  <si>
    <t>Land-based (MW, beginning of year)</t>
  </si>
  <si>
    <t>Near-shore (MW, beginning of year)</t>
  </si>
  <si>
    <t>Offshore (MW, beginning of year)</t>
  </si>
  <si>
    <t>Land-based - Production (GWh)</t>
  </si>
  <si>
    <t>Near-shore - Production (GWh)</t>
  </si>
  <si>
    <t>Offshore - Production (GWh)</t>
  </si>
  <si>
    <t>Production, AF2016</t>
  </si>
  <si>
    <t>Field system</t>
  </si>
  <si>
    <t>Commercial units without battery</t>
  </si>
  <si>
    <t>Commercial units with battery</t>
  </si>
  <si>
    <t>Commercial units</t>
  </si>
  <si>
    <t>Sweden (SE3)</t>
  </si>
  <si>
    <t>Sweden (SE4)</t>
  </si>
  <si>
    <t>Sweden</t>
  </si>
  <si>
    <t>Germany (DE)</t>
  </si>
  <si>
    <t>Consumption, AF2016</t>
  </si>
  <si>
    <t>A. Consumption</t>
  </si>
  <si>
    <t>Delivered from the North Sea (Nybro)</t>
  </si>
  <si>
    <t>RE gas</t>
  </si>
  <si>
    <t>Import from Germany (Entry Ellund)</t>
  </si>
  <si>
    <t>E. Electric boilers</t>
  </si>
  <si>
    <t>Electricity capacity (beginning of year)</t>
  </si>
  <si>
    <t>Household heat pumps - AF2016</t>
  </si>
  <si>
    <t>Large heat pumps - AF2016</t>
  </si>
  <si>
    <t>Electric boilers - AF2016</t>
  </si>
  <si>
    <t>Road and sea transport - AF2016</t>
  </si>
  <si>
    <t>Rail transport - AF2016</t>
  </si>
  <si>
    <t>Large data centres - AF2016</t>
  </si>
  <si>
    <t>DK, total - AF2016</t>
  </si>
  <si>
    <t>Electricity , boilers</t>
  </si>
  <si>
    <t>Large heat pumps and electric boilers</t>
  </si>
  <si>
    <t>Key economic figures</t>
  </si>
  <si>
    <t>A. Development in economic figures</t>
  </si>
  <si>
    <t>B. Real socioeconomic calculation interest rate</t>
  </si>
  <si>
    <t>C. Exchange rates</t>
  </si>
  <si>
    <t>Exchange rates</t>
  </si>
  <si>
    <t>Dollar</t>
  </si>
  <si>
    <t>Euro</t>
  </si>
  <si>
    <t>DKK/USD</t>
  </si>
  <si>
    <t>DKK/EUR</t>
  </si>
  <si>
    <t>Reference: Danish Ministry of Finance and Danish Energy Agency.</t>
  </si>
  <si>
    <t>Real GDP, annual growth</t>
  </si>
  <si>
    <t>10-year Danish government bond yield (end of year)</t>
  </si>
  <si>
    <t>Net price index (2017=1)</t>
  </si>
  <si>
    <t>Net price index, annual growth</t>
  </si>
  <si>
    <t>Year 0 - 35</t>
  </si>
  <si>
    <t>Year 36 - 70</t>
  </si>
  <si>
    <t>Year 70 and following years</t>
  </si>
  <si>
    <t>Value</t>
  </si>
  <si>
    <t>Development in economic figures</t>
  </si>
  <si>
    <t>index</t>
  </si>
  <si>
    <t>Fuel and CO2 emission prices</t>
  </si>
  <si>
    <t>Electricity prices</t>
  </si>
  <si>
    <t>Electricity consumption</t>
  </si>
  <si>
    <t>Power consumption</t>
  </si>
  <si>
    <t>Power stations - overview</t>
  </si>
  <si>
    <t>Power stations - capacity</t>
  </si>
  <si>
    <t>Solar cells</t>
  </si>
  <si>
    <t>Wind turbines</t>
  </si>
  <si>
    <t>International connections</t>
  </si>
  <si>
    <t>Gas data</t>
  </si>
  <si>
    <t>Gas connections</t>
  </si>
  <si>
    <t>District heating</t>
  </si>
  <si>
    <t>Consumption in GWh</t>
  </si>
  <si>
    <t>Consumption in PJ</t>
  </si>
  <si>
    <t>Analysis assumptions 2016 (AF2016) for comparison</t>
  </si>
  <si>
    <t>Reference: Danish Energy Agency Base Projection 2017. 2030 value is assumed constant in the period 2030-2040.</t>
  </si>
  <si>
    <t>B. Figures</t>
  </si>
  <si>
    <t>E. Figures</t>
  </si>
  <si>
    <t>J. Figures</t>
  </si>
  <si>
    <t>D. Figures</t>
  </si>
  <si>
    <t>A. Conversion factors</t>
  </si>
  <si>
    <t>Conversion factors</t>
  </si>
  <si>
    <t>Energy content in PJ, gross calorific value</t>
  </si>
  <si>
    <t>Energy content in GWh, gross calorific value</t>
  </si>
  <si>
    <t xml:space="preserve">B. Consumption and export through the gas infrastructure </t>
  </si>
  <si>
    <t>Annual flow</t>
  </si>
  <si>
    <t>Commercial export to Germany</t>
  </si>
  <si>
    <t>Total, consumption and commercial export</t>
  </si>
  <si>
    <t>C. Production and import through the gas infrastructure</t>
  </si>
  <si>
    <t>Total, production to Denmark incl. RE gas</t>
  </si>
  <si>
    <t>D. Difference</t>
  </si>
  <si>
    <t>Difference</t>
  </si>
  <si>
    <t>Net import (positive values indicate import)</t>
  </si>
  <si>
    <t>Export, AF2016</t>
  </si>
  <si>
    <t>Net import, AF2016</t>
  </si>
  <si>
    <t>Max. NTC (MW, beginning of year)</t>
  </si>
  <si>
    <t>Jutland - Germany</t>
  </si>
  <si>
    <t>Great Belt</t>
  </si>
  <si>
    <t xml:space="preserve">From </t>
  </si>
  <si>
    <t>To</t>
  </si>
  <si>
    <t>Share in DK1</t>
  </si>
  <si>
    <t>Total, wind turbines before 2008</t>
  </si>
  <si>
    <t>Total, wind turbines from 2008 - 2013</t>
  </si>
  <si>
    <t>Total, wind turbines from 2014 - 2019</t>
  </si>
  <si>
    <t>Total, wind turbines from 2020 and forward</t>
  </si>
  <si>
    <t>Analysis assumptions 2016 (AF2016) and 2015 (AF2015) for comparison</t>
  </si>
  <si>
    <t>From 2008 - 2013</t>
  </si>
  <si>
    <t>From 2014 - 2019</t>
  </si>
  <si>
    <t>From 2020 and forward</t>
  </si>
  <si>
    <t>Near-shore - Full-load hours (h)</t>
  </si>
  <si>
    <t>Full-load hours (totalt average)</t>
  </si>
  <si>
    <t>Capacity (beginning of year)</t>
  </si>
  <si>
    <t>Area</t>
  </si>
  <si>
    <t>G. Summary</t>
  </si>
  <si>
    <t>AF2016 - Summary</t>
  </si>
  <si>
    <t>AF2015 - Summary</t>
  </si>
  <si>
    <t>Near-shore (MW)</t>
  </si>
  <si>
    <t>Near-shore (GWh)</t>
  </si>
  <si>
    <t>Offshore (GWh)</t>
  </si>
  <si>
    <t>Offshore (MW)</t>
  </si>
  <si>
    <t>Consumption and wind share</t>
  </si>
  <si>
    <t>Capacity in total</t>
  </si>
  <si>
    <t>Production in total</t>
  </si>
  <si>
    <t>Full-load hours (total average)</t>
  </si>
  <si>
    <t>Total consumption (GWh)</t>
  </si>
  <si>
    <t>Growth, wind turbines before 2008</t>
  </si>
  <si>
    <t>Growth, wind turbines from 2008 - 2013</t>
  </si>
  <si>
    <t>Growth, wind turbines from 2014 - 2019</t>
  </si>
  <si>
    <t>Growth, wind turbines from 2020 and forward</t>
  </si>
  <si>
    <t>Test wind turbines</t>
  </si>
  <si>
    <t>Near-shore (municipally/locally anchored)</t>
  </si>
  <si>
    <t>Decommissioning (total)</t>
  </si>
  <si>
    <t>Net installation (total)</t>
  </si>
  <si>
    <t>Installation (total)</t>
  </si>
  <si>
    <t>Total net growth in MW</t>
  </si>
  <si>
    <t>Wind in % af total consumption</t>
  </si>
  <si>
    <t>Capacity in total (MW)</t>
  </si>
  <si>
    <t>Production in total (GWh)</t>
  </si>
  <si>
    <t>Tendered near-shore</t>
  </si>
  <si>
    <t>Jammerbugt or Ringkøbing</t>
  </si>
  <si>
    <t>Horns Rev 5 (possibly in combination with HR2-repower)</t>
  </si>
  <si>
    <t>Horns Rev 4 (possibly in combination with HR1-repower)</t>
  </si>
  <si>
    <t>Before 2008</t>
  </si>
  <si>
    <t>Land-based (average)</t>
  </si>
  <si>
    <t>Near-shore (average)</t>
  </si>
  <si>
    <t>Offshore (average)</t>
  </si>
  <si>
    <t>Full-load hours (annual)</t>
  </si>
  <si>
    <t>Production (annual)</t>
  </si>
  <si>
    <t>Wind in % af traditional consumption</t>
  </si>
  <si>
    <t>Traditional consumption - AF2016</t>
  </si>
  <si>
    <t>Traditional consumption</t>
  </si>
  <si>
    <t>B. Traditional consumption (households and businesses)</t>
  </si>
  <si>
    <t>Total consumption (gross)</t>
  </si>
  <si>
    <t>Traditional consumption (gross)</t>
  </si>
  <si>
    <t>Traditional consumption (GWh)</t>
  </si>
  <si>
    <t xml:space="preserve">Distribution </t>
  </si>
  <si>
    <t>B. Full-load hours (average)</t>
  </si>
  <si>
    <t>C. Electricity production</t>
  </si>
  <si>
    <t>Elelctricity production</t>
  </si>
  <si>
    <t>Full-load hours</t>
  </si>
  <si>
    <t>Electricity production</t>
  </si>
  <si>
    <t>3 months start-up warning</t>
  </si>
  <si>
    <t>C. District heating, industrial and local plants incl. regulating power</t>
  </si>
  <si>
    <t>Gross (for calculation)</t>
  </si>
  <si>
    <t>Accounting for peak power loads in an hour</t>
  </si>
  <si>
    <t>Share, household heat pumps</t>
  </si>
  <si>
    <t>Share, large heat pumps and electric boilers</t>
  </si>
  <si>
    <t>Share, transport</t>
  </si>
  <si>
    <t>Reference: Energinets market data and own calculations</t>
  </si>
  <si>
    <t>Load factor, large data centres</t>
  </si>
  <si>
    <t>Load factor,  rail transport</t>
  </si>
  <si>
    <t>Load factor, maximum power in DK1</t>
  </si>
  <si>
    <t>Load factor, maximum power in DK2</t>
  </si>
  <si>
    <t>Load factor, minimum power in DK1</t>
  </si>
  <si>
    <t>Load factor, minimum power in DK2</t>
  </si>
  <si>
    <t>B. Maximum power</t>
  </si>
  <si>
    <t>C. Minimum power</t>
  </si>
  <si>
    <t>Maximum power</t>
  </si>
  <si>
    <t>Minimum power</t>
  </si>
  <si>
    <t>Reference: EMMA electricity consumption projection 2016 adjusted to market data from Energinet at year-end 2016.</t>
  </si>
  <si>
    <t>Reference: Simulation results, Sifre (May 2017).</t>
  </si>
  <si>
    <t>Reference: Energinet's knowledge of electric boilers in pipeline.</t>
  </si>
  <si>
    <t>Passenger vehicles and vans</t>
  </si>
  <si>
    <t>Busses and trucks, domestic</t>
  </si>
  <si>
    <t>Sea transport, domestic</t>
  </si>
  <si>
    <t>Reference: Electricity and gas for transport [Analyse af el og gas til transport] (Energinet, not published).</t>
  </si>
  <si>
    <t>G. Electrification of railway network and the Fehmarn Belt Fixed Link</t>
  </si>
  <si>
    <t>Existing connections</t>
  </si>
  <si>
    <t xml:space="preserve">New and upgraded connections </t>
  </si>
  <si>
    <t>Reference: BaneDanmark and Energinet's own assessments.</t>
  </si>
  <si>
    <t>Reference: Own projections.</t>
  </si>
  <si>
    <t>A. Electricity prices for Denmark and neighbouring countries</t>
  </si>
  <si>
    <t>Netherlands (NL)</t>
  </si>
  <si>
    <t>Norway (NSY)</t>
  </si>
  <si>
    <t>Great Britain (GB)</t>
  </si>
  <si>
    <t>DKK/MWh</t>
  </si>
  <si>
    <t>Danish prices at consumption site (2017 prices)</t>
  </si>
  <si>
    <t>B. Wood pellets, wood chips and straw</t>
  </si>
  <si>
    <t xml:space="preserve">Reference: The Danish Ministry of Taxation. </t>
  </si>
  <si>
    <t>Sulfur dioxide</t>
  </si>
  <si>
    <t>Nitrogen oxide</t>
  </si>
  <si>
    <t>BVT deflator (2017=1)</t>
  </si>
  <si>
    <t>BVT deflator, annual growth</t>
  </si>
  <si>
    <t>Reference: Danish Ministry of Economic Affairs and the Interior's Denmark's Convergence Programme 2017.</t>
  </si>
  <si>
    <t>Real socio-economic calculation interest rate</t>
  </si>
  <si>
    <t>pc</t>
  </si>
  <si>
    <t>Fuel prices and CO2 emission allowance prices</t>
  </si>
  <si>
    <t>Reference: Price additions (refinery and transport costs etc.) are from the Danish Energy Agency's socio-economic assumptions, May 2017.</t>
  </si>
  <si>
    <t>C. CO2 emission allowances</t>
  </si>
  <si>
    <t>CO2 emission allowances (2017 prices)</t>
  </si>
  <si>
    <t>CO2 emission allowances</t>
  </si>
  <si>
    <t>Reference: Own projections. Forward prices are from EEX (European Emission Allowances Futures). Long-term prices are from IEA (World Energy Outlook 2016, "New Policies Scenario").</t>
  </si>
  <si>
    <t>Fixed 2017 prices</t>
  </si>
  <si>
    <t>For Denmark's neighbouring countries, the price is simulated for the years 2020, 2030 og 2040, using the BID model. The price is interpolated in the intermediate years. For Denmark, prices are simulated for all years, using the Sifre model.</t>
  </si>
  <si>
    <t>Projection of average annual electricity spot prices. Forward prices are used for the years 2017-2019 for all regions However, the 2019 prices for Great Britain are interpolated based on the forward price in 2018 and the simulated price for 2020 from the BID model.</t>
  </si>
  <si>
    <t>Region</t>
  </si>
  <si>
    <t xml:space="preserve">Can also fire with 100 pc wood chips (15 MW electricity) from 2016. Is also an ancillary plant. </t>
  </si>
  <si>
    <t>Reference: Heat pumps in Denmark – Development process for conversion of oil-fired boilers up until 2035 [Udviklingsforløb for omstilling af individuelle opvarmningsløsninger frem mod 2035], v. 2.0 (Energinet, December 2015).</t>
  </si>
  <si>
    <t>Reference: Internal analysis from fall 2016.</t>
  </si>
  <si>
    <t>Load factors 10-year winter)</t>
  </si>
  <si>
    <t>A. Input power consumption calculations</t>
  </si>
  <si>
    <t>Commissioned 
(year)</t>
  </si>
  <si>
    <t>Power plants - overview</t>
  </si>
  <si>
    <t>Power plants - capacities</t>
  </si>
  <si>
    <t>A. Power plants - capacities</t>
  </si>
  <si>
    <t>Solar cells - capacities and full-load hours</t>
  </si>
  <si>
    <t>All values logged at the beginning of the year. Reference: Solar cells and batteries in Denmark [Solceller og batterier i Danmark] (Energinet, 2016).</t>
  </si>
  <si>
    <t>All data logged at the beginning of the year. Source: Energinet's knowledge of projects in the pipeline and own calculations.</t>
  </si>
  <si>
    <t>All data logged at the beginning of the year. Source: Energinet</t>
  </si>
  <si>
    <t>All data logged at the beginning of the year. Source: Energinet Masterdata, 1 January 2017</t>
  </si>
  <si>
    <t>All data logged at the beginning of the year. Reference: Energinet.</t>
  </si>
  <si>
    <t>Power capacity (beginning of year)</t>
  </si>
  <si>
    <t>Wind turbindes - capacities and full-load hours</t>
  </si>
  <si>
    <t>A. Land-based - capacity</t>
  </si>
  <si>
    <t>Net, installed capacity DK1 + DK2</t>
  </si>
  <si>
    <t xml:space="preserve">Method: Decommissioning of old land-based wind turbines (before 2008) follows main scenario in Energinet's analysis of decommissioning of old land-based wind turbines from spring 2016 [Analyse af nedtagning af gammel landvind]. </t>
  </si>
  <si>
    <t xml:space="preserve">With the exception that all wind turbines installed before 2008 are assumed decommisioned by 2033 (25 years after 2008). Phase-out is done linearly from 2026 to 2033. Wind turbines installed after 2008 are decommisioned 25 years after installation. </t>
  </si>
  <si>
    <t>B. Near-shore - capacity</t>
  </si>
  <si>
    <t>Method: no repowering of small near-shore wind farms - 25-year service life.</t>
  </si>
  <si>
    <t>C. Offshore - capacity</t>
  </si>
  <si>
    <t>Horns Rev 4 (possibly in combination with HR1 repowering)</t>
  </si>
  <si>
    <t>Horns Rev 5 (possibly in combination with HR2 repowering)</t>
  </si>
  <si>
    <t>Rødsand 1 + 2 repowering</t>
  </si>
  <si>
    <t xml:space="preserve">Method: 25-year service life for all offshore wind turbines. </t>
  </si>
  <si>
    <t>D. Land-based - full-load hours and production</t>
  </si>
  <si>
    <t>Land-based - full-load hours (h)</t>
  </si>
  <si>
    <t>E. Near-shore - full-load hours and production</t>
  </si>
  <si>
    <t>F. Offshore - full-load hours and production</t>
  </si>
  <si>
    <t>Offshore - full-load hours (h)</t>
  </si>
  <si>
    <t>Table for development figures</t>
  </si>
  <si>
    <t>A. Maximum NTC (net transfer capacity)</t>
  </si>
  <si>
    <t>D. Tax rates - emission of sulfur dioxide and nitrogen oxide to air</t>
  </si>
  <si>
    <t>Tax rates (2017 prices)</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</si>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</sst>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
    <numFmt numFmtId="166" formatCode="0.0%"/>
    <numFmt numFmtId="167" formatCode="0.0"/>
    <numFmt numFmtId="168" formatCode="#,##0.0"/>
  </numFmts>
  <fonts count="33"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color rgb="FF0070C0"/>
      <name val="Calibri"/>
      <family val="2"/>
      <scheme val="minor"/>
    </font>
    <font>
      <sz val="9"/>
      <color indexed="81"/>
      <name val="Tahoma"/>
      <family val="2"/>
    </font>
    <font>
      <b/>
      <sz val="9"/>
      <color indexed="81"/>
      <name val="Tahoma"/>
      <family val="2"/>
    </font>
    <font>
      <sz val="11"/>
      <color theme="1" tint="0.499984740745262"/>
      <name val="Calibri"/>
      <family val="2"/>
      <scheme val="minor"/>
    </font>
    <font>
      <i/>
      <sz val="11"/>
      <color rgb="FF7F7F7F"/>
      <name val="Calibri"/>
      <family val="2"/>
      <scheme val="minor"/>
    </font>
    <font>
      <sz val="11"/>
      <name val="Calibri"/>
      <family val="2"/>
      <scheme val="minor"/>
    </font>
    <font>
      <sz val="11"/>
      <color theme="1"/>
      <name val="Calibri"/>
      <family val="2"/>
      <scheme val="minor"/>
    </font>
    <font>
      <sz val="11"/>
      <color rgb="FF9C6500"/>
      <name val="Calibri"/>
      <family val="2"/>
      <scheme val="minor"/>
    </font>
    <font>
      <sz val="11"/>
      <color theme="1"/>
      <name val="Calibri"/>
      <family val="2"/>
    </font>
    <font>
      <sz val="11"/>
      <name val="Calibri"/>
      <family val="2"/>
    </font>
    <font>
      <sz val="11"/>
      <color rgb="FF9C6500"/>
      <name val="Calibri"/>
      <family val="2"/>
    </font>
    <font>
      <sz val="11"/>
      <color rgb="FFFF0000"/>
      <name val="Calibri"/>
      <family val="2"/>
    </font>
    <font>
      <b/>
      <sz val="11"/>
      <name val="Calibri"/>
      <family val="2"/>
    </font>
    <font>
      <sz val="11"/>
      <color theme="5"/>
      <name val="Calibri"/>
      <family val="2"/>
    </font>
    <font>
      <b/>
      <u/>
      <sz val="11"/>
      <name val="Calibri"/>
      <family val="2"/>
    </font>
    <font>
      <u/>
      <sz val="11"/>
      <name val="Calibri"/>
      <family val="2"/>
    </font>
    <font>
      <b/>
      <sz val="11"/>
      <color rgb="FFFF0000"/>
      <name val="Calibri"/>
      <family val="2"/>
    </font>
    <font>
      <sz val="11"/>
      <color theme="1" tint="0.499984740745262"/>
      <name val="Calibri"/>
      <family val="2"/>
    </font>
    <font>
      <sz val="11"/>
      <color rgb="FF0070C0"/>
      <name val="Calibri"/>
      <family val="2"/>
    </font>
    <font>
      <i/>
      <sz val="11"/>
      <color theme="1"/>
      <name val="Calibri"/>
      <family val="2"/>
    </font>
    <font>
      <b/>
      <sz val="11"/>
      <color theme="1"/>
      <name val="Calibri"/>
      <family val="2"/>
    </font>
    <font>
      <b/>
      <sz val="11"/>
      <color rgb="FF0070C0"/>
      <name val="Calibri"/>
      <family val="2"/>
      <scheme val="minor"/>
    </font>
    <font>
      <sz val="16"/>
      <color theme="0"/>
      <name val="Calibri Light"/>
      <family val="2"/>
    </font>
    <font>
      <b/>
      <sz val="11"/>
      <color theme="1" tint="0.499984740745262"/>
      <name val="Calibri"/>
      <family val="2"/>
      <scheme val="minor"/>
    </font>
    <font>
      <b/>
      <sz val="11"/>
      <color theme="1" tint="0.499984740745262"/>
      <name val="Calibri"/>
      <family val="2"/>
    </font>
    <font>
      <i/>
      <sz val="11"/>
      <color theme="1" tint="0.499984740745262"/>
      <name val="Calibri"/>
      <family val="2"/>
      <scheme val="minor"/>
    </font>
    <font>
      <u/>
      <sz val="11"/>
      <color theme="10"/>
      <name val="Calibri"/>
      <family val="2"/>
      <scheme val="minor"/>
    </font>
    <font>
      <i/>
      <sz val="11"/>
      <name val="Calibri"/>
      <family val="2"/>
    </font>
    <font>
      <i/>
      <sz val="11"/>
      <name val="Calibri"/>
      <family val="2"/>
      <scheme val="minor"/>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9"/>
      </patternFill>
    </fill>
    <fill>
      <patternFill patternType="solid">
        <fgColor rgb="FFFFEB9C"/>
      </patternFill>
    </fill>
    <fill>
      <patternFill patternType="solid">
        <fgColor theme="6"/>
      </patternFill>
    </fill>
    <fill>
      <patternFill patternType="solid">
        <fgColor theme="6" tint="0.39997558519241921"/>
        <bgColor indexed="65"/>
      </patternFill>
    </fill>
    <fill>
      <patternFill patternType="solid">
        <fgColor theme="0"/>
        <bgColor indexed="64"/>
      </patternFill>
    </fill>
    <fill>
      <patternFill patternType="solid">
        <fgColor theme="5"/>
        <bgColor indexed="64"/>
      </patternFill>
    </fill>
    <fill>
      <patternFill patternType="solid">
        <fgColor theme="0" tint="-0.249977111117893"/>
        <bgColor indexed="64"/>
      </patternFill>
    </fill>
    <fill>
      <patternFill patternType="solid">
        <fgColor indexed="22"/>
        <bgColor indexed="64"/>
      </patternFill>
    </fill>
    <fill>
      <patternFill patternType="solid">
        <fgColor theme="6" tint="0.39997558519241921"/>
        <bgColor indexed="64"/>
      </patternFill>
    </fill>
    <fill>
      <patternFill patternType="solid">
        <fgColor theme="8"/>
        <bgColor indexed="64"/>
      </patternFill>
    </fill>
    <fill>
      <patternFill patternType="solid">
        <fgColor rgb="FFDADADA"/>
        <bgColor indexed="64"/>
      </patternFill>
    </fill>
    <fill>
      <patternFill patternType="solid">
        <fgColor theme="7"/>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hair">
        <color indexed="64"/>
      </top>
      <bottom/>
      <diagonal/>
    </border>
  </borders>
  <cellStyleXfs count="10">
    <xf numFmtId="0" fontId="0" fillId="0" borderId="0"/>
    <xf numFmtId="0" fontId="1"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11"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9" fontId="10" fillId="0" borderId="0" applyFont="0" applyFill="0" applyBorder="0" applyAlignment="0" applyProtection="0"/>
    <xf numFmtId="0" fontId="30" fillId="0" borderId="0" applyNumberFormat="0" applyFill="0" applyBorder="0" applyAlignment="0" applyProtection="0"/>
  </cellStyleXfs>
  <cellXfs count="259">
    <xf numFmtId="0" fontId="0" fillId="0" borderId="0" xfId="0"/>
    <xf numFmtId="0" fontId="2" fillId="0" borderId="0" xfId="0" applyFont="1"/>
    <xf numFmtId="0" fontId="8" fillId="0" borderId="0" xfId="4"/>
    <xf numFmtId="0" fontId="7" fillId="0" borderId="0" xfId="0" applyFont="1"/>
    <xf numFmtId="3" fontId="12" fillId="0" borderId="0" xfId="0" applyNumberFormat="1" applyFont="1" applyFill="1"/>
    <xf numFmtId="3" fontId="12" fillId="0" borderId="0" xfId="0" applyNumberFormat="1" applyFont="1" applyFill="1" applyBorder="1"/>
    <xf numFmtId="9" fontId="12" fillId="0" borderId="0" xfId="0" applyNumberFormat="1" applyFont="1" applyFill="1"/>
    <xf numFmtId="3" fontId="12" fillId="0" borderId="0" xfId="0" applyNumberFormat="1" applyFont="1"/>
    <xf numFmtId="3" fontId="12" fillId="0" borderId="1" xfId="0" applyNumberFormat="1" applyFont="1" applyFill="1" applyBorder="1" applyAlignment="1">
      <alignment horizontal="center"/>
    </xf>
    <xf numFmtId="3" fontId="12" fillId="0" borderId="0" xfId="0" applyNumberFormat="1" applyFont="1" applyFill="1" applyBorder="1" applyAlignment="1">
      <alignment horizontal="center"/>
    </xf>
    <xf numFmtId="3" fontId="12" fillId="0" borderId="0" xfId="0" applyNumberFormat="1" applyFont="1" applyBorder="1"/>
    <xf numFmtId="3" fontId="12" fillId="0" borderId="1" xfId="0" applyNumberFormat="1" applyFont="1" applyBorder="1"/>
    <xf numFmtId="0" fontId="0" fillId="0" borderId="0" xfId="0"/>
    <xf numFmtId="1" fontId="12" fillId="0" borderId="4" xfId="0" applyNumberFormat="1" applyFont="1" applyBorder="1" applyAlignment="1">
      <alignment horizontal="center"/>
    </xf>
    <xf numFmtId="1" fontId="12" fillId="0" borderId="0" xfId="0" applyNumberFormat="1" applyFont="1" applyBorder="1" applyAlignment="1">
      <alignment horizontal="center"/>
    </xf>
    <xf numFmtId="1" fontId="12" fillId="0" borderId="0" xfId="0" applyNumberFormat="1" applyFont="1" applyBorder="1"/>
    <xf numFmtId="1" fontId="12" fillId="0" borderId="0" xfId="0" applyNumberFormat="1" applyFont="1" applyFill="1" applyBorder="1"/>
    <xf numFmtId="1" fontId="12" fillId="0" borderId="0" xfId="0" applyNumberFormat="1" applyFont="1" applyFill="1" applyBorder="1" applyAlignment="1">
      <alignment horizontal="center"/>
    </xf>
    <xf numFmtId="1" fontId="12" fillId="0" borderId="0" xfId="0" applyNumberFormat="1" applyFont="1" applyFill="1" applyAlignment="1">
      <alignment horizontal="center"/>
    </xf>
    <xf numFmtId="1" fontId="12" fillId="0" borderId="0" xfId="0" applyNumberFormat="1" applyFont="1" applyFill="1"/>
    <xf numFmtId="1" fontId="12" fillId="0" borderId="1" xfId="0" applyNumberFormat="1" applyFont="1" applyBorder="1" applyAlignment="1">
      <alignment horizontal="center"/>
    </xf>
    <xf numFmtId="1" fontId="12" fillId="0" borderId="0" xfId="0" applyNumberFormat="1" applyFont="1"/>
    <xf numFmtId="1" fontId="12" fillId="0" borderId="1" xfId="0" applyNumberFormat="1" applyFont="1" applyBorder="1"/>
    <xf numFmtId="3" fontId="12" fillId="0" borderId="0" xfId="0" applyNumberFormat="1" applyFont="1" applyFill="1" applyBorder="1" applyAlignment="1">
      <alignment horizontal="left"/>
    </xf>
    <xf numFmtId="0" fontId="12" fillId="0" borderId="0" xfId="0" applyFont="1"/>
    <xf numFmtId="9" fontId="12" fillId="0" borderId="0" xfId="0" applyNumberFormat="1" applyFont="1" applyBorder="1" applyAlignment="1">
      <alignment horizontal="center"/>
    </xf>
    <xf numFmtId="9" fontId="12" fillId="0" borderId="0" xfId="0" applyNumberFormat="1" applyFont="1" applyFill="1" applyBorder="1" applyAlignment="1">
      <alignment horizontal="center"/>
    </xf>
    <xf numFmtId="3" fontId="12" fillId="0" borderId="0" xfId="0" applyNumberFormat="1" applyFont="1" applyBorder="1" applyAlignment="1">
      <alignment horizontal="center"/>
    </xf>
    <xf numFmtId="1" fontId="12" fillId="0" borderId="4" xfId="0" applyNumberFormat="1" applyFont="1" applyFill="1" applyBorder="1" applyAlignment="1">
      <alignment horizontal="center"/>
    </xf>
    <xf numFmtId="1" fontId="12" fillId="0" borderId="5" xfId="0" applyNumberFormat="1" applyFont="1" applyBorder="1" applyAlignment="1">
      <alignment horizontal="center"/>
    </xf>
    <xf numFmtId="1" fontId="12" fillId="0" borderId="7" xfId="0" applyNumberFormat="1" applyFont="1" applyBorder="1" applyAlignment="1">
      <alignment horizontal="center"/>
    </xf>
    <xf numFmtId="1" fontId="12" fillId="0" borderId="6" xfId="0" applyNumberFormat="1" applyFont="1" applyBorder="1" applyAlignment="1">
      <alignment horizontal="center"/>
    </xf>
    <xf numFmtId="1" fontId="12" fillId="10" borderId="1" xfId="0" applyNumberFormat="1" applyFont="1" applyFill="1" applyBorder="1"/>
    <xf numFmtId="3" fontId="12" fillId="10" borderId="1" xfId="0" applyNumberFormat="1" applyFont="1" applyFill="1" applyBorder="1" applyAlignment="1">
      <alignment horizontal="center"/>
    </xf>
    <xf numFmtId="3" fontId="12" fillId="11" borderId="1" xfId="0" applyNumberFormat="1" applyFont="1" applyFill="1" applyBorder="1" applyAlignment="1">
      <alignment horizontal="center"/>
    </xf>
    <xf numFmtId="1" fontId="16" fillId="0" borderId="0" xfId="0" applyNumberFormat="1" applyFont="1" applyBorder="1"/>
    <xf numFmtId="1" fontId="16" fillId="0" borderId="0" xfId="0" applyNumberFormat="1" applyFont="1"/>
    <xf numFmtId="3" fontId="16" fillId="0" borderId="0" xfId="0" applyNumberFormat="1" applyFont="1"/>
    <xf numFmtId="3" fontId="16" fillId="0" borderId="0" xfId="0" applyNumberFormat="1" applyFont="1" applyFill="1" applyBorder="1" applyAlignment="1">
      <alignment horizontal="center"/>
    </xf>
    <xf numFmtId="3" fontId="16" fillId="0" borderId="0" xfId="0" applyNumberFormat="1" applyFont="1" applyBorder="1"/>
    <xf numFmtId="3" fontId="18" fillId="0" borderId="0" xfId="0" applyNumberFormat="1" applyFont="1" applyBorder="1"/>
    <xf numFmtId="1" fontId="16" fillId="0" borderId="0" xfId="0" applyNumberFormat="1" applyFont="1" applyFill="1" applyBorder="1"/>
    <xf numFmtId="3" fontId="16" fillId="0" borderId="0" xfId="0" applyNumberFormat="1" applyFont="1" applyBorder="1" applyAlignment="1">
      <alignment horizontal="center"/>
    </xf>
    <xf numFmtId="1" fontId="17" fillId="0" borderId="0" xfId="0" applyNumberFormat="1" applyFont="1" applyFill="1" applyBorder="1" applyAlignment="1">
      <alignment horizontal="center"/>
    </xf>
    <xf numFmtId="3" fontId="13" fillId="0" borderId="0" xfId="0" applyNumberFormat="1" applyFont="1" applyFill="1" applyBorder="1" applyAlignment="1">
      <alignment horizontal="left"/>
    </xf>
    <xf numFmtId="1" fontId="16" fillId="0" borderId="0" xfId="0" applyNumberFormat="1" applyFont="1" applyBorder="1" applyAlignment="1">
      <alignment horizontal="center"/>
    </xf>
    <xf numFmtId="1" fontId="13" fillId="0" borderId="0" xfId="0" applyNumberFormat="1" applyFont="1" applyBorder="1"/>
    <xf numFmtId="1" fontId="13" fillId="0" borderId="0" xfId="0" applyNumberFormat="1" applyFont="1"/>
    <xf numFmtId="9" fontId="15" fillId="0" borderId="0" xfId="0" applyNumberFormat="1" applyFont="1" applyBorder="1" applyAlignment="1">
      <alignment horizontal="center"/>
    </xf>
    <xf numFmtId="9" fontId="20" fillId="0" borderId="0" xfId="0" applyNumberFormat="1" applyFont="1" applyBorder="1" applyAlignment="1">
      <alignment horizontal="center"/>
    </xf>
    <xf numFmtId="9" fontId="16" fillId="0" borderId="0" xfId="0" applyNumberFormat="1" applyFont="1" applyBorder="1" applyAlignment="1">
      <alignment horizontal="center"/>
    </xf>
    <xf numFmtId="3" fontId="16" fillId="0" borderId="0" xfId="0" applyNumberFormat="1" applyFont="1" applyBorder="1" applyAlignment="1">
      <alignment horizontal="left"/>
    </xf>
    <xf numFmtId="1" fontId="16" fillId="0" borderId="0" xfId="0" applyNumberFormat="1" applyFont="1" applyFill="1" applyBorder="1" applyAlignment="1">
      <alignment horizontal="center"/>
    </xf>
    <xf numFmtId="1" fontId="17" fillId="0" borderId="0" xfId="0" applyNumberFormat="1" applyFont="1" applyBorder="1" applyAlignment="1">
      <alignment horizontal="left"/>
    </xf>
    <xf numFmtId="3" fontId="13" fillId="0" borderId="0" xfId="0" applyNumberFormat="1" applyFont="1" applyBorder="1"/>
    <xf numFmtId="3" fontId="13" fillId="0" borderId="0" xfId="0" applyNumberFormat="1" applyFont="1" applyFill="1" applyBorder="1"/>
    <xf numFmtId="1" fontId="8" fillId="0" borderId="0" xfId="4" applyNumberFormat="1" applyBorder="1" applyAlignment="1">
      <alignment horizontal="left"/>
    </xf>
    <xf numFmtId="1" fontId="8" fillId="0" borderId="0" xfId="4" applyNumberFormat="1" applyFill="1" applyBorder="1" applyAlignment="1">
      <alignment horizontal="left"/>
    </xf>
    <xf numFmtId="1" fontId="8" fillId="0" borderId="0" xfId="4" applyNumberFormat="1" applyFill="1" applyBorder="1" applyAlignment="1"/>
    <xf numFmtId="0" fontId="0" fillId="0" borderId="0" xfId="0" applyFill="1"/>
    <xf numFmtId="0" fontId="0" fillId="0" borderId="0" xfId="0" applyBorder="1"/>
    <xf numFmtId="0" fontId="0" fillId="0" borderId="0" xfId="0" applyFill="1" applyAlignment="1">
      <alignment horizontal="center"/>
    </xf>
    <xf numFmtId="0" fontId="2" fillId="0" borderId="0" xfId="0" applyFont="1" applyFill="1"/>
    <xf numFmtId="0" fontId="2" fillId="0" borderId="0" xfId="0" applyFont="1" applyFill="1" applyBorder="1" applyAlignment="1">
      <alignment horizontal="center"/>
    </xf>
    <xf numFmtId="167" fontId="4" fillId="0" borderId="0" xfId="0" applyNumberFormat="1" applyFont="1" applyFill="1" applyBorder="1" applyAlignment="1">
      <alignment horizontal="center"/>
    </xf>
    <xf numFmtId="0" fontId="0" fillId="0" borderId="0" xfId="0" applyFill="1" applyBorder="1"/>
    <xf numFmtId="0" fontId="0" fillId="0" borderId="0" xfId="0" applyFill="1" applyBorder="1" applyAlignment="1">
      <alignment horizontal="center"/>
    </xf>
    <xf numFmtId="167" fontId="0" fillId="0" borderId="0" xfId="0" applyNumberFormat="1" applyFill="1" applyBorder="1" applyAlignment="1">
      <alignment horizontal="center"/>
    </xf>
    <xf numFmtId="0" fontId="26" fillId="9" borderId="0" xfId="0" applyFont="1" applyFill="1"/>
    <xf numFmtId="0" fontId="26" fillId="9" borderId="0" xfId="0" applyFont="1" applyFill="1" applyBorder="1"/>
    <xf numFmtId="0" fontId="1" fillId="13" borderId="0" xfId="0" applyFont="1" applyFill="1"/>
    <xf numFmtId="0" fontId="1" fillId="13" borderId="0" xfId="0" applyFont="1" applyFill="1" applyBorder="1"/>
    <xf numFmtId="0" fontId="8" fillId="0" borderId="0" xfId="4" applyFill="1"/>
    <xf numFmtId="0" fontId="7" fillId="0" borderId="0" xfId="0" applyFont="1" applyFill="1"/>
    <xf numFmtId="0" fontId="2" fillId="0" borderId="0" xfId="0" applyFont="1" applyFill="1" applyAlignment="1">
      <alignment horizontal="center"/>
    </xf>
    <xf numFmtId="166" fontId="4" fillId="0" borderId="0" xfId="8" applyNumberFormat="1" applyFont="1" applyFill="1" applyAlignment="1">
      <alignment horizontal="center"/>
    </xf>
    <xf numFmtId="164" fontId="4" fillId="0" borderId="0" xfId="0" applyNumberFormat="1" applyFont="1" applyFill="1" applyAlignment="1">
      <alignment horizontal="center"/>
    </xf>
    <xf numFmtId="9" fontId="4" fillId="0" borderId="0" xfId="8" applyFont="1" applyFill="1" applyAlignment="1">
      <alignment horizontal="center"/>
    </xf>
    <xf numFmtId="2" fontId="4" fillId="0" borderId="0" xfId="0" applyNumberFormat="1" applyFont="1" applyFill="1" applyAlignment="1">
      <alignment horizontal="center"/>
    </xf>
    <xf numFmtId="166" fontId="4" fillId="0" borderId="0" xfId="8" applyNumberFormat="1" applyFont="1" applyFill="1" applyBorder="1" applyAlignment="1">
      <alignment horizontal="center"/>
    </xf>
    <xf numFmtId="166" fontId="9" fillId="0" borderId="0" xfId="8" applyNumberFormat="1" applyFont="1" applyFill="1" applyBorder="1" applyAlignment="1">
      <alignment horizontal="center"/>
    </xf>
    <xf numFmtId="3" fontId="0" fillId="0" borderId="0" xfId="0" applyNumberFormat="1" applyFill="1" applyAlignment="1">
      <alignment horizontal="center"/>
    </xf>
    <xf numFmtId="3" fontId="9" fillId="0" borderId="0" xfId="0" applyNumberFormat="1" applyFont="1" applyFill="1" applyAlignment="1">
      <alignment horizontal="center"/>
    </xf>
    <xf numFmtId="3" fontId="3" fillId="0" borderId="0" xfId="0" applyNumberFormat="1" applyFont="1" applyFill="1" applyAlignment="1">
      <alignment horizontal="center"/>
    </xf>
    <xf numFmtId="3" fontId="4" fillId="0" borderId="0" xfId="0" applyNumberFormat="1" applyFont="1" applyFill="1" applyAlignment="1">
      <alignment horizontal="center"/>
    </xf>
    <xf numFmtId="3" fontId="2" fillId="0" borderId="0" xfId="0" applyNumberFormat="1" applyFont="1" applyFill="1" applyAlignment="1">
      <alignment horizontal="center"/>
    </xf>
    <xf numFmtId="0" fontId="9" fillId="0" borderId="0" xfId="0" applyFont="1" applyFill="1"/>
    <xf numFmtId="0" fontId="0" fillId="0" borderId="0" xfId="0" applyFont="1" applyFill="1"/>
    <xf numFmtId="3" fontId="0" fillId="0" borderId="0" xfId="0" applyNumberFormat="1" applyFont="1" applyFill="1" applyAlignment="1">
      <alignment horizontal="center"/>
    </xf>
    <xf numFmtId="3" fontId="0" fillId="0" borderId="0" xfId="0" applyNumberFormat="1" applyFill="1" applyBorder="1" applyAlignment="1">
      <alignment horizontal="center"/>
    </xf>
    <xf numFmtId="3" fontId="2" fillId="0" borderId="0" xfId="0" applyNumberFormat="1" applyFont="1" applyFill="1" applyBorder="1" applyAlignment="1">
      <alignment horizontal="center"/>
    </xf>
    <xf numFmtId="0" fontId="2" fillId="14" borderId="0" xfId="0" applyFont="1" applyFill="1"/>
    <xf numFmtId="3" fontId="2" fillId="14" borderId="0" xfId="0" applyNumberFormat="1" applyFont="1" applyFill="1" applyAlignment="1">
      <alignment horizontal="center"/>
    </xf>
    <xf numFmtId="0" fontId="3" fillId="14" borderId="0" xfId="0" applyFont="1" applyFill="1"/>
    <xf numFmtId="3" fontId="3" fillId="14" borderId="0" xfId="0" applyNumberFormat="1" applyFont="1" applyFill="1" applyAlignment="1">
      <alignment horizontal="center"/>
    </xf>
    <xf numFmtId="3" fontId="25" fillId="14" borderId="0" xfId="0" applyNumberFormat="1" applyFont="1" applyFill="1" applyAlignment="1">
      <alignment horizontal="center"/>
    </xf>
    <xf numFmtId="3" fontId="3" fillId="14" borderId="0" xfId="0" applyNumberFormat="1" applyFont="1" applyFill="1" applyBorder="1" applyAlignment="1">
      <alignment horizontal="center"/>
    </xf>
    <xf numFmtId="0" fontId="2" fillId="0" borderId="0" xfId="0" applyFont="1" applyFill="1" applyBorder="1"/>
    <xf numFmtId="0" fontId="0" fillId="0" borderId="0" xfId="0" applyFont="1" applyFill="1" applyBorder="1"/>
    <xf numFmtId="0" fontId="0" fillId="0" borderId="0" xfId="0" applyFont="1" applyFill="1" applyBorder="1" applyAlignment="1">
      <alignment horizontal="center"/>
    </xf>
    <xf numFmtId="0" fontId="7" fillId="0" borderId="2" xfId="0" applyFont="1" applyFill="1" applyBorder="1"/>
    <xf numFmtId="0" fontId="7" fillId="0" borderId="2" xfId="0" applyFont="1" applyFill="1" applyBorder="1" applyAlignment="1">
      <alignment horizontal="center"/>
    </xf>
    <xf numFmtId="3" fontId="7" fillId="0" borderId="2" xfId="0" applyNumberFormat="1" applyFont="1" applyFill="1" applyBorder="1" applyAlignment="1">
      <alignment horizontal="center"/>
    </xf>
    <xf numFmtId="9" fontId="7" fillId="0" borderId="2" xfId="0" applyNumberFormat="1" applyFont="1" applyFill="1" applyBorder="1" applyAlignment="1">
      <alignment horizontal="center"/>
    </xf>
    <xf numFmtId="0" fontId="4" fillId="0" borderId="0" xfId="0" applyFont="1" applyFill="1" applyAlignment="1">
      <alignment horizontal="center"/>
    </xf>
    <xf numFmtId="9" fontId="0" fillId="0" borderId="0" xfId="0" applyNumberFormat="1" applyFill="1" applyAlignment="1">
      <alignment horizontal="center"/>
    </xf>
    <xf numFmtId="0" fontId="0" fillId="0" borderId="2" xfId="0" applyFill="1" applyBorder="1"/>
    <xf numFmtId="0" fontId="0" fillId="0" borderId="2" xfId="0" applyFill="1" applyBorder="1" applyAlignment="1">
      <alignment horizontal="center"/>
    </xf>
    <xf numFmtId="3" fontId="0" fillId="0" borderId="2" xfId="0" applyNumberFormat="1" applyFill="1" applyBorder="1" applyAlignment="1">
      <alignment horizontal="center"/>
    </xf>
    <xf numFmtId="9" fontId="0" fillId="0" borderId="2" xfId="0" applyNumberFormat="1" applyFill="1" applyBorder="1" applyAlignment="1">
      <alignment horizontal="center"/>
    </xf>
    <xf numFmtId="0" fontId="0" fillId="0" borderId="3" xfId="0" applyFill="1" applyBorder="1"/>
    <xf numFmtId="0" fontId="0" fillId="0" borderId="3" xfId="0" applyFill="1" applyBorder="1" applyAlignment="1">
      <alignment horizontal="center"/>
    </xf>
    <xf numFmtId="3" fontId="0" fillId="0" borderId="3" xfId="0" applyNumberFormat="1" applyFill="1" applyBorder="1" applyAlignment="1">
      <alignment horizontal="center"/>
    </xf>
    <xf numFmtId="9" fontId="0" fillId="0" borderId="3" xfId="0" applyNumberFormat="1" applyFill="1" applyBorder="1" applyAlignment="1">
      <alignment horizontal="center"/>
    </xf>
    <xf numFmtId="0" fontId="7" fillId="0" borderId="0" xfId="0" applyFont="1" applyFill="1" applyBorder="1"/>
    <xf numFmtId="0" fontId="7" fillId="0" borderId="0" xfId="0" applyFont="1" applyFill="1" applyBorder="1" applyAlignment="1">
      <alignment horizontal="center"/>
    </xf>
    <xf numFmtId="3" fontId="7" fillId="0" borderId="0" xfId="0" applyNumberFormat="1" applyFont="1" applyFill="1" applyBorder="1" applyAlignment="1">
      <alignment horizontal="center"/>
    </xf>
    <xf numFmtId="9" fontId="7" fillId="0" borderId="0" xfId="0" applyNumberFormat="1" applyFont="1" applyFill="1" applyBorder="1" applyAlignment="1">
      <alignment horizontal="center"/>
    </xf>
    <xf numFmtId="0" fontId="0" fillId="0" borderId="3" xfId="0" applyFill="1" applyBorder="1" applyAlignment="1"/>
    <xf numFmtId="0" fontId="0" fillId="0" borderId="0" xfId="0" applyFill="1" applyBorder="1" applyAlignment="1"/>
    <xf numFmtId="0" fontId="0" fillId="0" borderId="0" xfId="0" applyFill="1" applyAlignment="1"/>
    <xf numFmtId="3" fontId="3" fillId="0" borderId="0" xfId="0" applyNumberFormat="1" applyFont="1" applyFill="1" applyBorder="1" applyAlignment="1">
      <alignment horizontal="center"/>
    </xf>
    <xf numFmtId="0" fontId="7" fillId="0" borderId="0" xfId="0" applyFont="1" applyFill="1" applyAlignment="1"/>
    <xf numFmtId="0" fontId="7" fillId="0" borderId="0" xfId="0" applyFont="1" applyFill="1" applyAlignment="1">
      <alignment horizontal="center"/>
    </xf>
    <xf numFmtId="3" fontId="7" fillId="0" borderId="0" xfId="0" applyNumberFormat="1" applyFont="1" applyFill="1" applyAlignment="1">
      <alignment horizontal="center"/>
    </xf>
    <xf numFmtId="9" fontId="7" fillId="0" borderId="0" xfId="0" applyNumberFormat="1" applyFont="1" applyFill="1" applyAlignment="1">
      <alignment horizontal="center"/>
    </xf>
    <xf numFmtId="0" fontId="7" fillId="0" borderId="3" xfId="0" applyFont="1" applyFill="1" applyBorder="1"/>
    <xf numFmtId="0" fontId="7" fillId="0" borderId="3" xfId="0" applyFont="1" applyFill="1" applyBorder="1" applyAlignment="1">
      <alignment horizontal="center"/>
    </xf>
    <xf numFmtId="3" fontId="7" fillId="0" borderId="3" xfId="0" applyNumberFormat="1" applyFont="1" applyFill="1" applyBorder="1" applyAlignment="1">
      <alignment horizontal="center"/>
    </xf>
    <xf numFmtId="9" fontId="7" fillId="0" borderId="3" xfId="0" applyNumberFormat="1" applyFont="1" applyFill="1" applyBorder="1" applyAlignment="1">
      <alignment horizontal="center"/>
    </xf>
    <xf numFmtId="0" fontId="9" fillId="0" borderId="0" xfId="0" applyFont="1" applyFill="1" applyBorder="1" applyAlignment="1"/>
    <xf numFmtId="0" fontId="9" fillId="0" borderId="0" xfId="0" applyFont="1" applyFill="1" applyBorder="1"/>
    <xf numFmtId="9" fontId="0" fillId="0" borderId="0" xfId="0" applyNumberFormat="1" applyFill="1" applyBorder="1" applyAlignment="1">
      <alignment horizontal="center"/>
    </xf>
    <xf numFmtId="0" fontId="9" fillId="0" borderId="0" xfId="0" applyFont="1" applyFill="1" applyAlignment="1">
      <alignment horizontal="center"/>
    </xf>
    <xf numFmtId="9" fontId="9" fillId="0" borderId="0" xfId="0" applyNumberFormat="1" applyFont="1" applyFill="1" applyAlignment="1">
      <alignment horizontal="center"/>
    </xf>
    <xf numFmtId="0" fontId="9" fillId="0" borderId="2" xfId="0" applyFont="1" applyFill="1" applyBorder="1"/>
    <xf numFmtId="0" fontId="9" fillId="0" borderId="2" xfId="0" applyFont="1" applyFill="1" applyBorder="1" applyAlignment="1">
      <alignment horizontal="center"/>
    </xf>
    <xf numFmtId="3" fontId="9" fillId="0" borderId="2" xfId="0" applyNumberFormat="1" applyFont="1" applyFill="1" applyBorder="1" applyAlignment="1">
      <alignment horizontal="center"/>
    </xf>
    <xf numFmtId="9" fontId="9" fillId="0" borderId="2" xfId="0" applyNumberFormat="1" applyFont="1" applyFill="1" applyBorder="1" applyAlignment="1">
      <alignment horizontal="center"/>
    </xf>
    <xf numFmtId="0" fontId="9" fillId="0" borderId="3" xfId="0" applyFont="1" applyFill="1" applyBorder="1"/>
    <xf numFmtId="9" fontId="9" fillId="0" borderId="3" xfId="0" applyNumberFormat="1" applyFont="1" applyFill="1" applyBorder="1" applyAlignment="1">
      <alignment horizontal="center"/>
    </xf>
    <xf numFmtId="0" fontId="9" fillId="0" borderId="0" xfId="0" applyFont="1" applyFill="1" applyBorder="1" applyAlignment="1">
      <alignment horizontal="center"/>
    </xf>
    <xf numFmtId="3" fontId="9" fillId="0" borderId="0" xfId="0" applyNumberFormat="1" applyFont="1" applyFill="1" applyBorder="1" applyAlignment="1">
      <alignment horizontal="center"/>
    </xf>
    <xf numFmtId="9" fontId="9" fillId="0" borderId="0" xfId="0" applyNumberFormat="1" applyFont="1" applyFill="1" applyBorder="1" applyAlignment="1">
      <alignment horizontal="center"/>
    </xf>
    <xf numFmtId="0" fontId="9" fillId="0" borderId="0" xfId="0" applyFont="1" applyFill="1" applyAlignment="1"/>
    <xf numFmtId="0" fontId="3" fillId="0" borderId="0" xfId="0" applyFont="1" applyFill="1" applyAlignment="1">
      <alignment horizontal="center"/>
    </xf>
    <xf numFmtId="0" fontId="3" fillId="14" borderId="0" xfId="0" applyFont="1" applyFill="1" applyAlignment="1"/>
    <xf numFmtId="0" fontId="3" fillId="14" borderId="0" xfId="0" applyFont="1" applyFill="1" applyAlignment="1">
      <alignment horizontal="center"/>
    </xf>
    <xf numFmtId="9" fontId="3" fillId="14" borderId="0" xfId="0" applyNumberFormat="1" applyFont="1" applyFill="1" applyAlignment="1">
      <alignment horizontal="center"/>
    </xf>
    <xf numFmtId="0" fontId="2" fillId="14" borderId="0" xfId="0" applyFont="1" applyFill="1" applyAlignment="1">
      <alignment horizontal="center"/>
    </xf>
    <xf numFmtId="0" fontId="0" fillId="0" borderId="0" xfId="0" applyFont="1"/>
    <xf numFmtId="0" fontId="2" fillId="0" borderId="0" xfId="0" applyFont="1" applyAlignment="1">
      <alignment horizontal="center"/>
    </xf>
    <xf numFmtId="164" fontId="0" fillId="0" borderId="0" xfId="0" applyNumberFormat="1" applyFill="1" applyAlignment="1">
      <alignment horizontal="center"/>
    </xf>
    <xf numFmtId="3" fontId="0" fillId="0" borderId="0" xfId="0" applyNumberFormat="1" applyAlignment="1">
      <alignment horizontal="center"/>
    </xf>
    <xf numFmtId="3" fontId="2" fillId="0" borderId="0" xfId="0" applyNumberFormat="1" applyFont="1" applyAlignment="1">
      <alignment horizontal="center"/>
    </xf>
    <xf numFmtId="3" fontId="4" fillId="0" borderId="0" xfId="0" applyNumberFormat="1" applyFont="1" applyAlignment="1">
      <alignment horizontal="center"/>
    </xf>
    <xf numFmtId="9" fontId="4" fillId="0" borderId="0" xfId="8" applyFont="1" applyAlignment="1">
      <alignment horizontal="center"/>
    </xf>
    <xf numFmtId="3" fontId="13" fillId="0" borderId="0" xfId="0" applyNumberFormat="1" applyFont="1" applyFill="1" applyBorder="1" applyAlignment="1">
      <alignment horizontal="center"/>
    </xf>
    <xf numFmtId="3" fontId="22" fillId="0" borderId="0" xfId="5" applyNumberFormat="1" applyFont="1" applyFill="1" applyBorder="1" applyAlignment="1">
      <alignment horizontal="center"/>
    </xf>
    <xf numFmtId="3" fontId="22" fillId="0" borderId="0" xfId="0" applyNumberFormat="1" applyFont="1" applyFill="1" applyBorder="1" applyAlignment="1">
      <alignment horizontal="center"/>
    </xf>
    <xf numFmtId="9" fontId="13" fillId="0" borderId="0" xfId="0" applyNumberFormat="1" applyFont="1" applyFill="1" applyBorder="1"/>
    <xf numFmtId="9" fontId="13" fillId="0" borderId="0" xfId="0" applyNumberFormat="1" applyFont="1" applyFill="1" applyBorder="1" applyAlignment="1">
      <alignment horizontal="center"/>
    </xf>
    <xf numFmtId="9" fontId="22" fillId="0" borderId="0" xfId="5" applyNumberFormat="1" applyFont="1" applyFill="1" applyBorder="1" applyAlignment="1">
      <alignment horizontal="center"/>
    </xf>
    <xf numFmtId="3" fontId="16" fillId="0" borderId="0" xfId="0" applyNumberFormat="1" applyFont="1" applyFill="1" applyBorder="1"/>
    <xf numFmtId="3" fontId="21" fillId="0" borderId="0" xfId="5" applyNumberFormat="1" applyFont="1" applyFill="1" applyBorder="1" applyAlignment="1">
      <alignment horizontal="center"/>
    </xf>
    <xf numFmtId="3" fontId="23" fillId="0" borderId="0" xfId="0" applyNumberFormat="1" applyFont="1" applyFill="1" applyBorder="1" applyAlignment="1">
      <alignment horizontal="center"/>
    </xf>
    <xf numFmtId="3" fontId="13" fillId="0" borderId="0" xfId="5" applyNumberFormat="1" applyFont="1" applyFill="1" applyBorder="1" applyAlignment="1">
      <alignment horizontal="center"/>
    </xf>
    <xf numFmtId="3" fontId="24" fillId="0" borderId="0" xfId="0" applyNumberFormat="1" applyFont="1" applyFill="1" applyBorder="1" applyAlignment="1">
      <alignment horizontal="center"/>
    </xf>
    <xf numFmtId="3" fontId="16" fillId="14" borderId="0" xfId="0" applyNumberFormat="1" applyFont="1" applyFill="1" applyBorder="1"/>
    <xf numFmtId="3" fontId="16" fillId="14" borderId="0" xfId="0" applyNumberFormat="1" applyFont="1" applyFill="1" applyBorder="1" applyAlignment="1">
      <alignment horizontal="center"/>
    </xf>
    <xf numFmtId="1" fontId="18" fillId="0" borderId="0" xfId="0" applyNumberFormat="1" applyFont="1" applyFill="1" applyBorder="1"/>
    <xf numFmtId="1" fontId="13" fillId="0" borderId="0" xfId="0" applyNumberFormat="1" applyFont="1" applyFill="1" applyBorder="1"/>
    <xf numFmtId="3" fontId="20" fillId="0" borderId="0" xfId="0" applyNumberFormat="1" applyFont="1" applyFill="1" applyBorder="1" applyAlignment="1">
      <alignment horizontal="center"/>
    </xf>
    <xf numFmtId="9" fontId="16" fillId="0" borderId="0" xfId="0" applyNumberFormat="1" applyFont="1" applyFill="1" applyBorder="1" applyAlignment="1">
      <alignment horizontal="center"/>
    </xf>
    <xf numFmtId="3" fontId="19" fillId="0" borderId="0" xfId="0" applyNumberFormat="1" applyFont="1" applyFill="1" applyBorder="1"/>
    <xf numFmtId="3" fontId="24" fillId="0" borderId="0" xfId="0" applyNumberFormat="1" applyFont="1" applyFill="1" applyBorder="1"/>
    <xf numFmtId="3" fontId="14" fillId="0" borderId="0" xfId="5" applyNumberFormat="1" applyFont="1" applyFill="1" applyBorder="1" applyAlignment="1">
      <alignment horizontal="center"/>
    </xf>
    <xf numFmtId="0" fontId="0" fillId="0" borderId="2" xfId="0" applyBorder="1"/>
    <xf numFmtId="165" fontId="0" fillId="0" borderId="0" xfId="0" applyNumberFormat="1" applyFont="1" applyAlignment="1">
      <alignment horizontal="center"/>
    </xf>
    <xf numFmtId="165" fontId="4" fillId="0" borderId="0" xfId="0" applyNumberFormat="1" applyFont="1" applyAlignment="1">
      <alignment horizontal="center"/>
    </xf>
    <xf numFmtId="165" fontId="4" fillId="0" borderId="2" xfId="0" applyNumberFormat="1" applyFont="1" applyBorder="1" applyAlignment="1">
      <alignment horizontal="center"/>
    </xf>
    <xf numFmtId="165" fontId="0" fillId="0" borderId="2" xfId="0" applyNumberFormat="1" applyFont="1" applyBorder="1" applyAlignment="1">
      <alignment horizontal="center"/>
    </xf>
    <xf numFmtId="0" fontId="0" fillId="0" borderId="0" xfId="0" applyAlignment="1">
      <alignment horizontal="center"/>
    </xf>
    <xf numFmtId="0" fontId="27" fillId="0" borderId="0" xfId="0" applyFont="1"/>
    <xf numFmtId="0" fontId="27" fillId="0" borderId="0" xfId="0" applyFont="1" applyAlignment="1">
      <alignment horizontal="center"/>
    </xf>
    <xf numFmtId="3" fontId="7" fillId="0" borderId="0" xfId="0" applyNumberFormat="1" applyFont="1" applyAlignment="1">
      <alignment horizontal="center"/>
    </xf>
    <xf numFmtId="3" fontId="27" fillId="0" borderId="0" xfId="0" applyNumberFormat="1" applyFont="1" applyAlignment="1">
      <alignment horizontal="center"/>
    </xf>
    <xf numFmtId="9" fontId="4"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167" fontId="25"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27" fillId="0" borderId="0" xfId="0" applyFont="1" applyBorder="1" applyAlignment="1">
      <alignment horizontal="center"/>
    </xf>
    <xf numFmtId="0" fontId="27" fillId="0" borderId="0" xfId="0" applyFont="1" applyFill="1"/>
    <xf numFmtId="0" fontId="7" fillId="0" borderId="0" xfId="0" applyFont="1" applyBorder="1"/>
    <xf numFmtId="168" fontId="7" fillId="0" borderId="0" xfId="0" applyNumberFormat="1" applyFont="1" applyBorder="1" applyAlignment="1">
      <alignment horizontal="center"/>
    </xf>
    <xf numFmtId="9" fontId="27" fillId="0" borderId="0" xfId="8" applyFont="1" applyAlignment="1">
      <alignment horizontal="center"/>
    </xf>
    <xf numFmtId="1" fontId="28" fillId="0" borderId="0" xfId="0" applyNumberFormat="1" applyFont="1" applyFill="1" applyBorder="1"/>
    <xf numFmtId="9" fontId="21" fillId="0" borderId="0" xfId="0" applyNumberFormat="1" applyFont="1" applyFill="1" applyBorder="1" applyAlignment="1">
      <alignment horizontal="center"/>
    </xf>
    <xf numFmtId="1" fontId="21" fillId="0" borderId="0" xfId="0" applyNumberFormat="1" applyFont="1" applyBorder="1" applyAlignment="1">
      <alignment horizontal="center"/>
    </xf>
    <xf numFmtId="9" fontId="28" fillId="0" borderId="0" xfId="0" applyNumberFormat="1" applyFont="1" applyFill="1" applyBorder="1" applyAlignment="1">
      <alignment horizontal="center"/>
    </xf>
    <xf numFmtId="1" fontId="28" fillId="0" borderId="0" xfId="0" applyNumberFormat="1" applyFont="1"/>
    <xf numFmtId="1" fontId="21" fillId="0" borderId="0" xfId="0" applyNumberFormat="1" applyFont="1"/>
    <xf numFmtId="9" fontId="29" fillId="0" borderId="0" xfId="4" applyNumberFormat="1" applyFont="1" applyFill="1" applyBorder="1" applyAlignment="1">
      <alignment horizontal="left"/>
    </xf>
    <xf numFmtId="0" fontId="29" fillId="0" borderId="0" xfId="4" applyFont="1" applyAlignment="1">
      <alignment horizontal="center"/>
    </xf>
    <xf numFmtId="1" fontId="21" fillId="0" borderId="0" xfId="0" applyNumberFormat="1" applyFont="1" applyFill="1" applyAlignment="1">
      <alignment horizontal="center"/>
    </xf>
    <xf numFmtId="3" fontId="21" fillId="0" borderId="0" xfId="0" applyNumberFormat="1" applyFont="1" applyBorder="1" applyAlignment="1">
      <alignment horizontal="center"/>
    </xf>
    <xf numFmtId="1" fontId="28" fillId="0" borderId="0" xfId="0" applyNumberFormat="1" applyFont="1" applyFill="1" applyAlignment="1">
      <alignment horizontal="center"/>
    </xf>
    <xf numFmtId="3" fontId="28" fillId="0" borderId="0" xfId="0" applyNumberFormat="1" applyFont="1" applyFill="1" applyBorder="1"/>
    <xf numFmtId="3" fontId="21" fillId="0" borderId="0" xfId="0" applyNumberFormat="1" applyFont="1" applyFill="1" applyBorder="1" applyAlignment="1">
      <alignment horizontal="center"/>
    </xf>
    <xf numFmtId="0" fontId="0" fillId="15" borderId="0" xfId="0" applyFill="1"/>
    <xf numFmtId="0" fontId="27" fillId="15" borderId="0" xfId="0" applyFont="1" applyFill="1"/>
    <xf numFmtId="0" fontId="7" fillId="15" borderId="0" xfId="0" applyFont="1" applyFill="1"/>
    <xf numFmtId="1" fontId="12" fillId="15" borderId="0" xfId="0" applyNumberFormat="1" applyFont="1" applyFill="1" applyBorder="1"/>
    <xf numFmtId="1" fontId="28" fillId="15" borderId="0" xfId="0" applyNumberFormat="1" applyFont="1" applyFill="1" applyBorder="1"/>
    <xf numFmtId="9" fontId="21" fillId="15" borderId="0" xfId="0" applyNumberFormat="1" applyFont="1" applyFill="1" applyBorder="1" applyAlignment="1">
      <alignment horizontal="center"/>
    </xf>
    <xf numFmtId="9" fontId="28" fillId="15" borderId="0" xfId="0" applyNumberFormat="1" applyFont="1" applyFill="1" applyBorder="1" applyAlignment="1">
      <alignment horizontal="center"/>
    </xf>
    <xf numFmtId="1" fontId="21" fillId="15" borderId="0" xfId="0" applyNumberFormat="1" applyFont="1" applyFill="1" applyBorder="1"/>
    <xf numFmtId="1" fontId="21" fillId="15" borderId="0" xfId="0" applyNumberFormat="1" applyFont="1" applyFill="1" applyBorder="1" applyAlignment="1">
      <alignment horizontal="center"/>
    </xf>
    <xf numFmtId="166" fontId="10" fillId="0" borderId="0" xfId="8" applyNumberFormat="1" applyFont="1" applyFill="1" applyBorder="1" applyAlignment="1">
      <alignment horizontal="center"/>
    </xf>
    <xf numFmtId="3" fontId="4" fillId="12" borderId="0" xfId="0" applyNumberFormat="1" applyFont="1" applyFill="1" applyAlignment="1">
      <alignment horizontal="center"/>
    </xf>
    <xf numFmtId="0" fontId="9" fillId="0" borderId="0" xfId="0" applyFont="1"/>
    <xf numFmtId="0" fontId="27" fillId="0" borderId="0" xfId="0" applyFont="1" applyFill="1" applyAlignment="1">
      <alignment horizontal="center"/>
    </xf>
    <xf numFmtId="1" fontId="0" fillId="0" borderId="0" xfId="0" applyNumberFormat="1"/>
    <xf numFmtId="1" fontId="2" fillId="14" borderId="0" xfId="0" applyNumberFormat="1" applyFont="1" applyFill="1" applyAlignment="1">
      <alignment horizontal="center"/>
    </xf>
    <xf numFmtId="0" fontId="0" fillId="8" borderId="0" xfId="0" applyFill="1"/>
    <xf numFmtId="0" fontId="2" fillId="8" borderId="0" xfId="0" applyFont="1" applyFill="1"/>
    <xf numFmtId="1" fontId="2" fillId="8" borderId="0" xfId="0" applyNumberFormat="1" applyFont="1" applyFill="1" applyAlignment="1">
      <alignment horizontal="center"/>
    </xf>
    <xf numFmtId="3" fontId="2" fillId="16" borderId="0" xfId="0" applyNumberFormat="1" applyFont="1" applyFill="1" applyAlignment="1">
      <alignment horizontal="center"/>
    </xf>
    <xf numFmtId="165" fontId="4" fillId="0" borderId="0" xfId="0" applyNumberFormat="1" applyFont="1" applyBorder="1" applyAlignment="1">
      <alignment horizontal="center"/>
    </xf>
    <xf numFmtId="165" fontId="9" fillId="0" borderId="0" xfId="0" applyNumberFormat="1" applyFont="1" applyAlignment="1">
      <alignment horizontal="center"/>
    </xf>
    <xf numFmtId="165" fontId="7" fillId="0" borderId="0" xfId="0" applyNumberFormat="1" applyFont="1" applyAlignment="1">
      <alignment horizontal="center"/>
    </xf>
    <xf numFmtId="0" fontId="27" fillId="14" borderId="0" xfId="0" applyFont="1" applyFill="1"/>
    <xf numFmtId="3" fontId="27" fillId="14" borderId="0" xfId="0" applyNumberFormat="1" applyFont="1" applyFill="1" applyAlignment="1">
      <alignment horizontal="center"/>
    </xf>
    <xf numFmtId="0" fontId="24" fillId="0" borderId="0" xfId="0" applyFont="1"/>
    <xf numFmtId="0" fontId="1" fillId="13" borderId="0" xfId="0" applyFont="1" applyFill="1" applyAlignment="1">
      <alignment horizontal="center"/>
    </xf>
    <xf numFmtId="165" fontId="0" fillId="0" borderId="0" xfId="0" applyNumberFormat="1" applyFont="1" applyBorder="1" applyAlignment="1">
      <alignment horizontal="center"/>
    </xf>
    <xf numFmtId="3" fontId="28" fillId="0" borderId="0" xfId="0" applyNumberFormat="1" applyFont="1" applyFill="1" applyAlignment="1">
      <alignment horizontal="center"/>
    </xf>
    <xf numFmtId="0" fontId="7" fillId="0" borderId="8" xfId="0" applyFont="1" applyFill="1" applyBorder="1"/>
    <xf numFmtId="0" fontId="7" fillId="0" borderId="8" xfId="0" applyFont="1" applyFill="1" applyBorder="1" applyAlignment="1">
      <alignment horizontal="center"/>
    </xf>
    <xf numFmtId="3" fontId="7" fillId="0" borderId="8" xfId="0" applyNumberFormat="1" applyFont="1" applyFill="1" applyBorder="1" applyAlignment="1">
      <alignment horizontal="center"/>
    </xf>
    <xf numFmtId="9" fontId="7" fillId="0" borderId="8" xfId="0" applyNumberFormat="1" applyFont="1" applyFill="1" applyBorder="1" applyAlignment="1">
      <alignment horizontal="center"/>
    </xf>
    <xf numFmtId="0" fontId="3" fillId="0" borderId="0" xfId="0" applyFont="1"/>
    <xf numFmtId="9" fontId="13" fillId="0" borderId="0" xfId="0" applyNumberFormat="1" applyFont="1" applyBorder="1" applyAlignment="1">
      <alignment horizontal="center"/>
    </xf>
    <xf numFmtId="1" fontId="13" fillId="0" borderId="0" xfId="0" applyNumberFormat="1" applyFont="1" applyFill="1" applyBorder="1" applyAlignment="1">
      <alignment horizontal="center"/>
    </xf>
    <xf numFmtId="1" fontId="13" fillId="0" borderId="0" xfId="0" applyNumberFormat="1" applyFont="1" applyBorder="1" applyAlignment="1">
      <alignment horizontal="center"/>
    </xf>
    <xf numFmtId="3" fontId="0" fillId="0" borderId="0" xfId="0" applyNumberFormat="1" applyFont="1" applyAlignment="1">
      <alignment horizontal="center"/>
    </xf>
    <xf numFmtId="3" fontId="9" fillId="0" borderId="0" xfId="0" applyNumberFormat="1" applyFont="1" applyAlignment="1">
      <alignment horizontal="center"/>
    </xf>
    <xf numFmtId="0" fontId="0" fillId="0" borderId="0" xfId="0" applyAlignment="1">
      <alignment horizontal="right"/>
    </xf>
    <xf numFmtId="0" fontId="30" fillId="0" borderId="0" xfId="9"/>
    <xf numFmtId="0" fontId="2" fillId="0" borderId="0" xfId="0" applyFont="1" applyFill="1" applyAlignment="1">
      <alignment vertical="top"/>
    </xf>
    <xf numFmtId="0" fontId="2" fillId="0" borderId="0" xfId="0" applyFont="1" applyFill="1" applyAlignment="1">
      <alignment horizontal="center" vertical="top" wrapText="1"/>
    </xf>
    <xf numFmtId="0" fontId="2"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Fill="1" applyAlignment="1">
      <alignment horizontal="center" vertical="top" wrapText="1"/>
    </xf>
    <xf numFmtId="0" fontId="3" fillId="0" borderId="0" xfId="0" applyFont="1" applyFill="1" applyAlignment="1">
      <alignment vertical="top"/>
    </xf>
    <xf numFmtId="0" fontId="3" fillId="0" borderId="0" xfId="0" applyFont="1" applyFill="1" applyAlignment="1">
      <alignment horizontal="left" vertical="top" wrapText="1"/>
    </xf>
    <xf numFmtId="3" fontId="31" fillId="0" borderId="0" xfId="0" applyNumberFormat="1" applyFont="1" applyBorder="1"/>
    <xf numFmtId="1" fontId="32" fillId="0" borderId="0" xfId="4" applyNumberFormat="1" applyFont="1" applyBorder="1" applyAlignment="1">
      <alignment horizontal="left"/>
    </xf>
  </cellXfs>
  <cellStyles count="10">
    <cellStyle name="60% - Accent1" xfId="2" builtinId="32" customBuiltin="1"/>
    <cellStyle name="60% - Accent3" xfId="7" builtinId="40" customBuiltin="1"/>
    <cellStyle name="Accent1" xfId="1" builtinId="29" customBuiltin="1"/>
    <cellStyle name="Accent3" xfId="6" builtinId="37" customBuiltin="1"/>
    <cellStyle name="Accent6" xfId="3" builtinId="49" customBuiltin="1"/>
    <cellStyle name="Explanatory Text" xfId="4" builtinId="53"/>
    <cellStyle name="Hyperlink" xfId="9" builtinId="8"/>
    <cellStyle name="Neutral" xfId="5" builtinId="28"/>
    <cellStyle name="Normal" xfId="0" builtinId="0"/>
    <cellStyle name="Percent" xfId="8" builtinId="5"/>
  </cellStyles>
  <dxfs count="2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DADADA"/>
      <color rgb="FFCC493E"/>
      <color rgb="FFA0CD92"/>
      <color rgb="FF84CCD8"/>
      <color rgb="FFF9AF3C"/>
      <color rgb="FF98CC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Fossil fuel prices at central</a:t>
            </a:r>
            <a:r>
              <a:rPr lang="da-DK" sz="1200" baseline="0"/>
              <a:t> plant </a:t>
            </a:r>
            <a:endParaRPr lang="da-DK" sz="1200"/>
          </a:p>
        </c:rich>
      </c:tx>
      <c:overlay val="0"/>
    </c:title>
    <c:autoTitleDeleted val="0"/>
    <c:plotArea>
      <c:layout/>
      <c:lineChart>
        <c:grouping val="standard"/>
        <c:varyColors val="0"/>
        <c:ser>
          <c:idx val="0"/>
          <c:order val="0"/>
          <c:tx>
            <c:strRef>
              <c:f>'Fuel and CO2 emission prices'!$D$15</c:f>
              <c:strCache>
                <c:ptCount val="1"/>
                <c:pt idx="0">
                  <c:v>Coal</c:v>
                </c:pt>
              </c:strCache>
            </c:strRef>
          </c:tx>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prices'!$E$15:$AB$15</c:f>
              <c:numCache>
                <c:formatCode>0.0</c:formatCode>
                <c:ptCount val="24"/>
                <c:pt idx="0">
                  <c:v>19.814647003458251</c:v>
                </c:pt>
                <c:pt idx="1">
                  <c:v>17.837290765856313</c:v>
                </c:pt>
                <c:pt idx="2">
                  <c:v>16.431601636439481</c:v>
                </c:pt>
                <c:pt idx="3">
                  <c:v>15.777934517093199</c:v>
                </c:pt>
                <c:pt idx="4">
                  <c:v>15.80246809670672</c:v>
                </c:pt>
                <c:pt idx="5">
                  <c:v>15.964793822818319</c:v>
                </c:pt>
                <c:pt idx="6">
                  <c:v>16.234629765279038</c:v>
                </c:pt>
                <c:pt idx="7">
                  <c:v>16.767748324887172</c:v>
                </c:pt>
                <c:pt idx="8">
                  <c:v>17.334620920060896</c:v>
                </c:pt>
                <c:pt idx="9">
                  <c:v>17.963177076024863</c:v>
                </c:pt>
                <c:pt idx="10">
                  <c:v>18.629153252598709</c:v>
                </c:pt>
                <c:pt idx="11">
                  <c:v>19.330612240803706</c:v>
                </c:pt>
                <c:pt idx="12">
                  <c:v>20.068707293010856</c:v>
                </c:pt>
                <c:pt idx="13">
                  <c:v>20.841949539493701</c:v>
                </c:pt>
                <c:pt idx="14">
                  <c:v>20.981167503911685</c:v>
                </c:pt>
                <c:pt idx="15">
                  <c:v>21.109194015382876</c:v>
                </c:pt>
                <c:pt idx="16">
                  <c:v>21.225615590447457</c:v>
                </c:pt>
                <c:pt idx="17">
                  <c:v>21.331479872767488</c:v>
                </c:pt>
                <c:pt idx="18">
                  <c:v>21.425432005701641</c:v>
                </c:pt>
                <c:pt idx="19">
                  <c:v>21.510892861235408</c:v>
                </c:pt>
                <c:pt idx="20">
                  <c:v>21.586462110787917</c:v>
                </c:pt>
                <c:pt idx="21">
                  <c:v>21.652027601825115</c:v>
                </c:pt>
                <c:pt idx="22">
                  <c:v>21.708970319143202</c:v>
                </c:pt>
                <c:pt idx="23">
                  <c:v>21.755429845595735</c:v>
                </c:pt>
              </c:numCache>
            </c:numRef>
          </c:val>
          <c:smooth val="0"/>
          <c:extLst>
            <c:ext xmlns:c16="http://schemas.microsoft.com/office/drawing/2014/chart" uri="{C3380CC4-5D6E-409C-BE32-E72D297353CC}">
              <c16:uniqueId val="{00000000-67CB-AE46-96F5-12965BEE0BFD}"/>
            </c:ext>
          </c:extLst>
        </c:ser>
        <c:ser>
          <c:idx val="5"/>
          <c:order val="1"/>
          <c:tx>
            <c:strRef>
              <c:f>'Fuel and CO2 emission prices'!$D$70</c:f>
              <c:strCache>
                <c:ptCount val="1"/>
                <c:pt idx="0">
                  <c:v>Coal - AF2016</c:v>
                </c:pt>
              </c:strCache>
            </c:strRef>
          </c:tx>
          <c:spPr>
            <a:ln>
              <a:solidFill>
                <a:schemeClr val="accent1"/>
              </a:solidFill>
              <a:prstDash val="sysDash"/>
            </a:ln>
          </c:spPr>
          <c:marker>
            <c:symbol val="none"/>
          </c:marker>
          <c:val>
            <c:numRef>
              <c:f>'Fuel and CO2 emission prices'!$E$70:$AB$70</c:f>
              <c:numCache>
                <c:formatCode>###0.0</c:formatCode>
                <c:ptCount val="24"/>
                <c:pt idx="0">
                  <c:v>10.800352521437041</c:v>
                </c:pt>
                <c:pt idx="1">
                  <c:v>10.228637722252813</c:v>
                </c:pt>
                <c:pt idx="2">
                  <c:v>10.724135631801495</c:v>
                </c:pt>
                <c:pt idx="3">
                  <c:v>11.670617020347711</c:v>
                </c:pt>
                <c:pt idx="4">
                  <c:v>12.777984437609762</c:v>
                </c:pt>
                <c:pt idx="5">
                  <c:v>13.921792386902064</c:v>
                </c:pt>
                <c:pt idx="6">
                  <c:v>15.097130183027472</c:v>
                </c:pt>
                <c:pt idx="7">
                  <c:v>16.302846967019693</c:v>
                </c:pt>
                <c:pt idx="8">
                  <c:v>17.534246154150466</c:v>
                </c:pt>
                <c:pt idx="9">
                  <c:v>18.787269474244987</c:v>
                </c:pt>
                <c:pt idx="10">
                  <c:v>20.058820548749953</c:v>
                </c:pt>
                <c:pt idx="11">
                  <c:v>21.342784641052379</c:v>
                </c:pt>
                <c:pt idx="12">
                  <c:v>22.639791760266512</c:v>
                </c:pt>
                <c:pt idx="13">
                  <c:v>23.958350002771322</c:v>
                </c:pt>
                <c:pt idx="14">
                  <c:v>24.165039813436028</c:v>
                </c:pt>
                <c:pt idx="15">
                  <c:v>24.352242451443246</c:v>
                </c:pt>
                <c:pt idx="16">
                  <c:v>24.522881404192987</c:v>
                </c:pt>
                <c:pt idx="17">
                  <c:v>24.679511692369132</c:v>
                </c:pt>
                <c:pt idx="18">
                  <c:v>24.823606847199787</c:v>
                </c:pt>
                <c:pt idx="19">
                  <c:v>24.954087413126985</c:v>
                </c:pt>
                <c:pt idx="20">
                  <c:v>25.073047542502295</c:v>
                </c:pt>
                <c:pt idx="21">
                  <c:v>25.179401323076178</c:v>
                </c:pt>
                <c:pt idx="22">
                  <c:v>25.274614760679295</c:v>
                </c:pt>
                <c:pt idx="23">
                  <c:v>25.359424877407957</c:v>
                </c:pt>
              </c:numCache>
            </c:numRef>
          </c:val>
          <c:smooth val="0"/>
          <c:extLst>
            <c:ext xmlns:c16="http://schemas.microsoft.com/office/drawing/2014/chart" uri="{C3380CC4-5D6E-409C-BE32-E72D297353CC}">
              <c16:uniqueId val="{00000001-67CB-AE46-96F5-12965BEE0BFD}"/>
            </c:ext>
          </c:extLst>
        </c:ser>
        <c:ser>
          <c:idx val="1"/>
          <c:order val="2"/>
          <c:tx>
            <c:strRef>
              <c:f>'Fuel and CO2 emission prices'!$D$16</c:f>
              <c:strCache>
                <c:ptCount val="1"/>
                <c:pt idx="0">
                  <c:v>Fuel oil</c:v>
                </c:pt>
              </c:strCache>
            </c:strRef>
          </c:tx>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prices'!$E$16:$AB$16</c:f>
              <c:numCache>
                <c:formatCode>0.0</c:formatCode>
                <c:ptCount val="24"/>
                <c:pt idx="0">
                  <c:v>48.457309151631563</c:v>
                </c:pt>
                <c:pt idx="1">
                  <c:v>46.279496009356066</c:v>
                </c:pt>
                <c:pt idx="2">
                  <c:v>43.527224649408637</c:v>
                </c:pt>
                <c:pt idx="3">
                  <c:v>44.856706879000015</c:v>
                </c:pt>
                <c:pt idx="4">
                  <c:v>48.945138834129551</c:v>
                </c:pt>
                <c:pt idx="5">
                  <c:v>54.078482095279782</c:v>
                </c:pt>
                <c:pt idx="6">
                  <c:v>59.818750817643533</c:v>
                </c:pt>
                <c:pt idx="7">
                  <c:v>66.082327269428163</c:v>
                </c:pt>
                <c:pt idx="8">
                  <c:v>72.856875663778723</c:v>
                </c:pt>
                <c:pt idx="9">
                  <c:v>80.283094915937326</c:v>
                </c:pt>
                <c:pt idx="10">
                  <c:v>88.203774639581951</c:v>
                </c:pt>
                <c:pt idx="11">
                  <c:v>96.590150760377583</c:v>
                </c:pt>
                <c:pt idx="12">
                  <c:v>105.43390198545835</c:v>
                </c:pt>
                <c:pt idx="13">
                  <c:v>114.7125573864456</c:v>
                </c:pt>
                <c:pt idx="14">
                  <c:v>116.71658563615323</c:v>
                </c:pt>
                <c:pt idx="15">
                  <c:v>118.607184111601</c:v>
                </c:pt>
                <c:pt idx="16">
                  <c:v>120.38322205003517</c:v>
                </c:pt>
                <c:pt idx="17">
                  <c:v>122.0526933057432</c:v>
                </c:pt>
                <c:pt idx="18">
                  <c:v>123.60817877293094</c:v>
                </c:pt>
                <c:pt idx="19">
                  <c:v>125.07288829876875</c:v>
                </c:pt>
                <c:pt idx="20">
                  <c:v>126.43902828109417</c:v>
                </c:pt>
                <c:pt idx="21">
                  <c:v>127.70692548311605</c:v>
                </c:pt>
                <c:pt idx="22">
                  <c:v>128.88666552965879</c:v>
                </c:pt>
                <c:pt idx="23">
                  <c:v>129.96691445850479</c:v>
                </c:pt>
              </c:numCache>
            </c:numRef>
          </c:val>
          <c:smooth val="0"/>
          <c:extLst>
            <c:ext xmlns:c16="http://schemas.microsoft.com/office/drawing/2014/chart" uri="{C3380CC4-5D6E-409C-BE32-E72D297353CC}">
              <c16:uniqueId val="{00000002-67CB-AE46-96F5-12965BEE0BFD}"/>
            </c:ext>
          </c:extLst>
        </c:ser>
        <c:ser>
          <c:idx val="6"/>
          <c:order val="3"/>
          <c:tx>
            <c:strRef>
              <c:f>'Fuel and CO2 emission prices'!$D$71</c:f>
              <c:strCache>
                <c:ptCount val="1"/>
                <c:pt idx="0">
                  <c:v>Fuel oil - AF2016</c:v>
                </c:pt>
              </c:strCache>
            </c:strRef>
          </c:tx>
          <c:spPr>
            <a:ln>
              <a:solidFill>
                <a:schemeClr val="accent2"/>
              </a:solidFill>
              <a:prstDash val="sysDash"/>
            </a:ln>
          </c:spPr>
          <c:marker>
            <c:symbol val="none"/>
          </c:marker>
          <c:val>
            <c:numRef>
              <c:f>'Fuel and CO2 emission prices'!$E$71:$AB$71</c:f>
              <c:numCache>
                <c:formatCode>###0.0</c:formatCode>
                <c:ptCount val="24"/>
                <c:pt idx="0">
                  <c:v>38.476249718573079</c:v>
                </c:pt>
                <c:pt idx="1">
                  <c:v>39.83062507687049</c:v>
                </c:pt>
                <c:pt idx="2">
                  <c:v>42.709406644467336</c:v>
                </c:pt>
                <c:pt idx="3">
                  <c:v>45.566300642765185</c:v>
                </c:pt>
                <c:pt idx="4">
                  <c:v>49.284685558021756</c:v>
                </c:pt>
                <c:pt idx="5">
                  <c:v>53.652517431189715</c:v>
                </c:pt>
                <c:pt idx="6">
                  <c:v>58.620189283794119</c:v>
                </c:pt>
                <c:pt idx="7">
                  <c:v>64.155431701032171</c:v>
                </c:pt>
                <c:pt idx="8">
                  <c:v>70.212327788539213</c:v>
                </c:pt>
                <c:pt idx="9">
                  <c:v>76.748438342863921</c:v>
                </c:pt>
                <c:pt idx="10">
                  <c:v>83.72660919463685</c:v>
                </c:pt>
                <c:pt idx="11">
                  <c:v>91.09606749147089</c:v>
                </c:pt>
                <c:pt idx="12">
                  <c:v>98.839120328603443</c:v>
                </c:pt>
                <c:pt idx="13">
                  <c:v>106.97995856577876</c:v>
                </c:pt>
                <c:pt idx="14">
                  <c:v>109.07609912298722</c:v>
                </c:pt>
                <c:pt idx="15">
                  <c:v>111.03306662477148</c:v>
                </c:pt>
                <c:pt idx="16">
                  <c:v>112.86675371913368</c:v>
                </c:pt>
                <c:pt idx="17">
                  <c:v>114.59149202065794</c:v>
                </c:pt>
                <c:pt idx="18">
                  <c:v>116.21621183466557</c:v>
                </c:pt>
                <c:pt idx="19">
                  <c:v>117.73647943836669</c:v>
                </c:pt>
                <c:pt idx="20">
                  <c:v>119.16441722879581</c:v>
                </c:pt>
                <c:pt idx="21">
                  <c:v>120.49536302997903</c:v>
                </c:pt>
                <c:pt idx="22">
                  <c:v>121.73809851383655</c:v>
                </c:pt>
                <c:pt idx="23">
                  <c:v>122.89756062012205</c:v>
                </c:pt>
              </c:numCache>
            </c:numRef>
          </c:val>
          <c:smooth val="0"/>
          <c:extLst>
            <c:ext xmlns:c16="http://schemas.microsoft.com/office/drawing/2014/chart" uri="{C3380CC4-5D6E-409C-BE32-E72D297353CC}">
              <c16:uniqueId val="{00000003-67CB-AE46-96F5-12965BEE0BFD}"/>
            </c:ext>
          </c:extLst>
        </c:ser>
        <c:ser>
          <c:idx val="2"/>
          <c:order val="4"/>
          <c:tx>
            <c:strRef>
              <c:f>'Fuel and CO2 emission prices'!$D$17</c:f>
              <c:strCache>
                <c:ptCount val="1"/>
                <c:pt idx="0">
                  <c:v>Gas oil</c:v>
                </c:pt>
              </c:strCache>
            </c:strRef>
          </c:tx>
          <c:spPr>
            <a:ln>
              <a:solidFill>
                <a:schemeClr val="accent3"/>
              </a:solidFill>
            </a:ln>
          </c:spPr>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prices'!$E$17:$AB$17</c:f>
              <c:numCache>
                <c:formatCode>0.0</c:formatCode>
                <c:ptCount val="24"/>
                <c:pt idx="0">
                  <c:v>87.348014108923692</c:v>
                </c:pt>
                <c:pt idx="1">
                  <c:v>85.170200966648196</c:v>
                </c:pt>
                <c:pt idx="2">
                  <c:v>82.417929606700767</c:v>
                </c:pt>
                <c:pt idx="3">
                  <c:v>83.747411836292144</c:v>
                </c:pt>
                <c:pt idx="4">
                  <c:v>87.835843791421681</c:v>
                </c:pt>
                <c:pt idx="5">
                  <c:v>92.969187052571911</c:v>
                </c:pt>
                <c:pt idx="6">
                  <c:v>98.709455774935662</c:v>
                </c:pt>
                <c:pt idx="7">
                  <c:v>104.97303222672029</c:v>
                </c:pt>
                <c:pt idx="8">
                  <c:v>111.74758062107085</c:v>
                </c:pt>
                <c:pt idx="9">
                  <c:v>119.17379987322946</c:v>
                </c:pt>
                <c:pt idx="10">
                  <c:v>127.09447959687408</c:v>
                </c:pt>
                <c:pt idx="11">
                  <c:v>135.4808557176697</c:v>
                </c:pt>
                <c:pt idx="12">
                  <c:v>144.32460694275048</c:v>
                </c:pt>
                <c:pt idx="13">
                  <c:v>153.60326234373773</c:v>
                </c:pt>
                <c:pt idx="14">
                  <c:v>155.60729059344536</c:v>
                </c:pt>
                <c:pt idx="15">
                  <c:v>157.49788906889313</c:v>
                </c:pt>
                <c:pt idx="16">
                  <c:v>159.2739270073273</c:v>
                </c:pt>
                <c:pt idx="17">
                  <c:v>160.94339826303533</c:v>
                </c:pt>
                <c:pt idx="18">
                  <c:v>162.49888373022307</c:v>
                </c:pt>
                <c:pt idx="19">
                  <c:v>163.96359325606088</c:v>
                </c:pt>
                <c:pt idx="20">
                  <c:v>165.3297332383863</c:v>
                </c:pt>
                <c:pt idx="21">
                  <c:v>166.59763044040818</c:v>
                </c:pt>
                <c:pt idx="22">
                  <c:v>167.7773704869509</c:v>
                </c:pt>
                <c:pt idx="23">
                  <c:v>168.8576194157969</c:v>
                </c:pt>
              </c:numCache>
            </c:numRef>
          </c:val>
          <c:smooth val="0"/>
          <c:extLst>
            <c:ext xmlns:c16="http://schemas.microsoft.com/office/drawing/2014/chart" uri="{C3380CC4-5D6E-409C-BE32-E72D297353CC}">
              <c16:uniqueId val="{00000004-67CB-AE46-96F5-12965BEE0BFD}"/>
            </c:ext>
          </c:extLst>
        </c:ser>
        <c:ser>
          <c:idx val="7"/>
          <c:order val="5"/>
          <c:tx>
            <c:strRef>
              <c:f>'Fuel and CO2 emission prices'!$D$72</c:f>
              <c:strCache>
                <c:ptCount val="1"/>
                <c:pt idx="0">
                  <c:v>Gas oil - AF2016</c:v>
                </c:pt>
              </c:strCache>
            </c:strRef>
          </c:tx>
          <c:spPr>
            <a:ln>
              <a:solidFill>
                <a:schemeClr val="accent3"/>
              </a:solidFill>
              <a:prstDash val="sysDash"/>
            </a:ln>
          </c:spPr>
          <c:marker>
            <c:symbol val="none"/>
          </c:marker>
          <c:val>
            <c:numRef>
              <c:f>'Fuel and CO2 emission prices'!$E$72:$AB$72</c:f>
              <c:numCache>
                <c:formatCode>###0.0</c:formatCode>
                <c:ptCount val="24"/>
                <c:pt idx="0">
                  <c:v>69.285380744403085</c:v>
                </c:pt>
                <c:pt idx="1">
                  <c:v>70.639756102700488</c:v>
                </c:pt>
                <c:pt idx="2">
                  <c:v>73.518537670297334</c:v>
                </c:pt>
                <c:pt idx="3">
                  <c:v>76.375431668595198</c:v>
                </c:pt>
                <c:pt idx="4">
                  <c:v>80.093816583851762</c:v>
                </c:pt>
                <c:pt idx="5">
                  <c:v>84.46164845701972</c:v>
                </c:pt>
                <c:pt idx="6">
                  <c:v>89.429320309624103</c:v>
                </c:pt>
                <c:pt idx="7">
                  <c:v>94.964562726862184</c:v>
                </c:pt>
                <c:pt idx="8">
                  <c:v>101.02145881436921</c:v>
                </c:pt>
                <c:pt idx="9">
                  <c:v>107.5575693686939</c:v>
                </c:pt>
                <c:pt idx="10">
                  <c:v>114.53574022046686</c:v>
                </c:pt>
                <c:pt idx="11">
                  <c:v>121.90519851730089</c:v>
                </c:pt>
                <c:pt idx="12">
                  <c:v>129.64825135443346</c:v>
                </c:pt>
                <c:pt idx="13">
                  <c:v>137.78908959160879</c:v>
                </c:pt>
                <c:pt idx="14">
                  <c:v>139.88523014881721</c:v>
                </c:pt>
                <c:pt idx="15">
                  <c:v>141.84219765060149</c:v>
                </c:pt>
                <c:pt idx="16">
                  <c:v>143.67588474496367</c:v>
                </c:pt>
                <c:pt idx="17">
                  <c:v>145.40062304648794</c:v>
                </c:pt>
                <c:pt idx="18">
                  <c:v>147.02534286049558</c:v>
                </c:pt>
                <c:pt idx="19">
                  <c:v>148.5456104641967</c:v>
                </c:pt>
                <c:pt idx="20">
                  <c:v>149.97354825462583</c:v>
                </c:pt>
                <c:pt idx="21">
                  <c:v>151.30449405580904</c:v>
                </c:pt>
                <c:pt idx="22">
                  <c:v>152.54722953966655</c:v>
                </c:pt>
                <c:pt idx="23">
                  <c:v>153.70669164595205</c:v>
                </c:pt>
              </c:numCache>
            </c:numRef>
          </c:val>
          <c:smooth val="0"/>
          <c:extLst>
            <c:ext xmlns:c16="http://schemas.microsoft.com/office/drawing/2014/chart" uri="{C3380CC4-5D6E-409C-BE32-E72D297353CC}">
              <c16:uniqueId val="{00000005-67CB-AE46-96F5-12965BEE0BFD}"/>
            </c:ext>
          </c:extLst>
        </c:ser>
        <c:ser>
          <c:idx val="3"/>
          <c:order val="6"/>
          <c:tx>
            <c:strRef>
              <c:f>'Fuel and CO2 emission prices'!$D$18</c:f>
              <c:strCache>
                <c:ptCount val="1"/>
                <c:pt idx="0">
                  <c:v>Natural gas</c:v>
                </c:pt>
              </c:strCache>
            </c:strRef>
          </c:tx>
          <c:spPr>
            <a:ln>
              <a:solidFill>
                <a:srgbClr val="84CCD8"/>
              </a:solidFill>
            </a:ln>
          </c:spPr>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prices'!$E$18:$AB$18</c:f>
              <c:numCache>
                <c:formatCode>0.0</c:formatCode>
                <c:ptCount val="24"/>
                <c:pt idx="0">
                  <c:v>28.536167654685983</c:v>
                </c:pt>
                <c:pt idx="1">
                  <c:v>29.400973987469058</c:v>
                </c:pt>
                <c:pt idx="2">
                  <c:v>29.267970845368435</c:v>
                </c:pt>
                <c:pt idx="3">
                  <c:v>30.118122785325042</c:v>
                </c:pt>
                <c:pt idx="4">
                  <c:v>31.877309302427733</c:v>
                </c:pt>
                <c:pt idx="5">
                  <c:v>34.679578030223446</c:v>
                </c:pt>
                <c:pt idx="6">
                  <c:v>37.906615843615313</c:v>
                </c:pt>
                <c:pt idx="7">
                  <c:v>41.521858509570485</c:v>
                </c:pt>
                <c:pt idx="8">
                  <c:v>45.454752071039948</c:v>
                </c:pt>
                <c:pt idx="9">
                  <c:v>49.782260154245051</c:v>
                </c:pt>
                <c:pt idx="10">
                  <c:v>54.414473600471396</c:v>
                </c:pt>
                <c:pt idx="11">
                  <c:v>59.333531840117494</c:v>
                </c:pt>
                <c:pt idx="12">
                  <c:v>64.533302031588832</c:v>
                </c:pt>
                <c:pt idx="13">
                  <c:v>69.999817415857208</c:v>
                </c:pt>
                <c:pt idx="14">
                  <c:v>71.837992771141117</c:v>
                </c:pt>
                <c:pt idx="15">
                  <c:v>73.611958733008336</c:v>
                </c:pt>
                <c:pt idx="16">
                  <c:v>75.321066723594726</c:v>
                </c:pt>
                <c:pt idx="17">
                  <c:v>76.969849115235789</c:v>
                </c:pt>
                <c:pt idx="18">
                  <c:v>78.554088657015484</c:v>
                </c:pt>
                <c:pt idx="19">
                  <c:v>79.381559757394157</c:v>
                </c:pt>
                <c:pt idx="20">
                  <c:v>80.153228747178431</c:v>
                </c:pt>
                <c:pt idx="21">
                  <c:v>80.869276539846211</c:v>
                </c:pt>
                <c:pt idx="22">
                  <c:v>81.53542316798179</c:v>
                </c:pt>
                <c:pt idx="23">
                  <c:v>82.145231938061727</c:v>
                </c:pt>
              </c:numCache>
            </c:numRef>
          </c:val>
          <c:smooth val="0"/>
          <c:extLst>
            <c:ext xmlns:c16="http://schemas.microsoft.com/office/drawing/2014/chart" uri="{C3380CC4-5D6E-409C-BE32-E72D297353CC}">
              <c16:uniqueId val="{00000006-67CB-AE46-96F5-12965BEE0BFD}"/>
            </c:ext>
          </c:extLst>
        </c:ser>
        <c:ser>
          <c:idx val="4"/>
          <c:order val="7"/>
          <c:tx>
            <c:strRef>
              <c:f>'Fuel and CO2 emission prices'!$D$19</c:f>
              <c:strCache>
                <c:ptCount val="1"/>
                <c:pt idx="0">
                  <c:v>Natural gas (excl. sunk costs)</c:v>
                </c:pt>
              </c:strCache>
            </c:strRef>
          </c:tx>
          <c:spPr>
            <a:ln>
              <a:solidFill>
                <a:schemeClr val="accent5"/>
              </a:solidFill>
            </a:ln>
          </c:spPr>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prices'!$E$19:$AB$19</c:f>
              <c:numCache>
                <c:formatCode>0.0</c:formatCode>
                <c:ptCount val="24"/>
                <c:pt idx="0">
                  <c:v>27.143071686926497</c:v>
                </c:pt>
                <c:pt idx="1">
                  <c:v>28.007878019709572</c:v>
                </c:pt>
                <c:pt idx="2">
                  <c:v>27.874874877608949</c:v>
                </c:pt>
                <c:pt idx="3">
                  <c:v>28.725026817565556</c:v>
                </c:pt>
                <c:pt idx="4">
                  <c:v>30.484213334668247</c:v>
                </c:pt>
                <c:pt idx="5">
                  <c:v>33.286482062463961</c:v>
                </c:pt>
                <c:pt idx="6">
                  <c:v>36.513519875855827</c:v>
                </c:pt>
                <c:pt idx="7">
                  <c:v>40.128762541811</c:v>
                </c:pt>
                <c:pt idx="8">
                  <c:v>44.061656103280463</c:v>
                </c:pt>
                <c:pt idx="9">
                  <c:v>48.389164186485566</c:v>
                </c:pt>
                <c:pt idx="10">
                  <c:v>53.021377632711911</c:v>
                </c:pt>
                <c:pt idx="11">
                  <c:v>57.940435872358009</c:v>
                </c:pt>
                <c:pt idx="12">
                  <c:v>63.140206063829346</c:v>
                </c:pt>
                <c:pt idx="13">
                  <c:v>68.606721448097716</c:v>
                </c:pt>
                <c:pt idx="14">
                  <c:v>70.444896803381624</c:v>
                </c:pt>
                <c:pt idx="15">
                  <c:v>72.218862765248844</c:v>
                </c:pt>
                <c:pt idx="16">
                  <c:v>73.927970755835247</c:v>
                </c:pt>
                <c:pt idx="17">
                  <c:v>75.576753147476296</c:v>
                </c:pt>
                <c:pt idx="18">
                  <c:v>77.160992689256005</c:v>
                </c:pt>
                <c:pt idx="19">
                  <c:v>77.988463789634665</c:v>
                </c:pt>
                <c:pt idx="20">
                  <c:v>78.760132779418939</c:v>
                </c:pt>
                <c:pt idx="21">
                  <c:v>79.476180572086719</c:v>
                </c:pt>
                <c:pt idx="22">
                  <c:v>80.142327200222297</c:v>
                </c:pt>
                <c:pt idx="23">
                  <c:v>80.752135970302248</c:v>
                </c:pt>
              </c:numCache>
            </c:numRef>
          </c:val>
          <c:smooth val="0"/>
          <c:extLst>
            <c:ext xmlns:c16="http://schemas.microsoft.com/office/drawing/2014/chart" uri="{C3380CC4-5D6E-409C-BE32-E72D297353CC}">
              <c16:uniqueId val="{00000007-67CB-AE46-96F5-12965BEE0BFD}"/>
            </c:ext>
          </c:extLst>
        </c:ser>
        <c:ser>
          <c:idx val="8"/>
          <c:order val="8"/>
          <c:tx>
            <c:strRef>
              <c:f>'Fuel and CO2 emission prices'!$D$73</c:f>
              <c:strCache>
                <c:ptCount val="1"/>
                <c:pt idx="0">
                  <c:v>Natural gas - AF2016</c:v>
                </c:pt>
              </c:strCache>
            </c:strRef>
          </c:tx>
          <c:spPr>
            <a:ln>
              <a:solidFill>
                <a:srgbClr val="84CCD8"/>
              </a:solidFill>
              <a:prstDash val="sysDash"/>
            </a:ln>
          </c:spPr>
          <c:marker>
            <c:symbol val="none"/>
          </c:marker>
          <c:val>
            <c:numRef>
              <c:f>'Fuel and CO2 emission prices'!$E$73:$AB$73</c:f>
              <c:numCache>
                <c:formatCode>###0.0</c:formatCode>
                <c:ptCount val="24"/>
                <c:pt idx="0">
                  <c:v>27.119409752873164</c:v>
                </c:pt>
                <c:pt idx="1">
                  <c:v>27.388169256618532</c:v>
                </c:pt>
                <c:pt idx="2">
                  <c:v>28.477610789358366</c:v>
                </c:pt>
                <c:pt idx="3">
                  <c:v>28.972296536366184</c:v>
                </c:pt>
                <c:pt idx="4">
                  <c:v>30.707712098086301</c:v>
                </c:pt>
                <c:pt idx="5">
                  <c:v>32.830292667251136</c:v>
                </c:pt>
                <c:pt idx="6">
                  <c:v>35.310797195793732</c:v>
                </c:pt>
                <c:pt idx="7">
                  <c:v>38.129885457204729</c:v>
                </c:pt>
                <c:pt idx="8">
                  <c:v>41.260515131150591</c:v>
                </c:pt>
                <c:pt idx="9">
                  <c:v>44.677647952730915</c:v>
                </c:pt>
                <c:pt idx="10">
                  <c:v>48.359292484871624</c:v>
                </c:pt>
                <c:pt idx="11">
                  <c:v>52.275690324010391</c:v>
                </c:pt>
                <c:pt idx="12">
                  <c:v>56.41604070181296</c:v>
                </c:pt>
                <c:pt idx="13">
                  <c:v>60.793649075651693</c:v>
                </c:pt>
                <c:pt idx="14">
                  <c:v>61.786833809080555</c:v>
                </c:pt>
                <c:pt idx="15">
                  <c:v>62.708308352489084</c:v>
                </c:pt>
                <c:pt idx="16">
                  <c:v>63.566960174084336</c:v>
                </c:pt>
                <c:pt idx="17">
                  <c:v>64.370722418519904</c:v>
                </c:pt>
                <c:pt idx="18">
                  <c:v>65.124419752393962</c:v>
                </c:pt>
                <c:pt idx="19">
                  <c:v>65.825308719679668</c:v>
                </c:pt>
                <c:pt idx="20">
                  <c:v>66.480032515479962</c:v>
                </c:pt>
                <c:pt idx="21">
                  <c:v>67.085755519421753</c:v>
                </c:pt>
                <c:pt idx="22">
                  <c:v>67.647239108476228</c:v>
                </c:pt>
                <c:pt idx="23">
                  <c:v>68.167072861929725</c:v>
                </c:pt>
              </c:numCache>
            </c:numRef>
          </c:val>
          <c:smooth val="0"/>
          <c:extLst>
            <c:ext xmlns:c16="http://schemas.microsoft.com/office/drawing/2014/chart" uri="{C3380CC4-5D6E-409C-BE32-E72D297353CC}">
              <c16:uniqueId val="{00000008-67CB-AE46-96F5-12965BEE0BFD}"/>
            </c:ext>
          </c:extLst>
        </c:ser>
        <c:dLbls>
          <c:showLegendKey val="0"/>
          <c:showVal val="0"/>
          <c:showCatName val="0"/>
          <c:showSerName val="0"/>
          <c:showPercent val="0"/>
          <c:showBubbleSize val="0"/>
        </c:dLbls>
        <c:smooth val="0"/>
        <c:axId val="98821248"/>
        <c:axId val="98822784"/>
      </c:lineChart>
      <c:catAx>
        <c:axId val="98821248"/>
        <c:scaling>
          <c:orientation val="minMax"/>
        </c:scaling>
        <c:delete val="0"/>
        <c:axPos val="b"/>
        <c:numFmt formatCode="General" sourceLinked="1"/>
        <c:majorTickMark val="out"/>
        <c:minorTickMark val="none"/>
        <c:tickLblPos val="nextTo"/>
        <c:crossAx val="98822784"/>
        <c:crosses val="autoZero"/>
        <c:auto val="1"/>
        <c:lblAlgn val="ctr"/>
        <c:lblOffset val="100"/>
        <c:noMultiLvlLbl val="0"/>
      </c:catAx>
      <c:valAx>
        <c:axId val="98822784"/>
        <c:scaling>
          <c:orientation val="minMax"/>
        </c:scaling>
        <c:delete val="0"/>
        <c:axPos val="l"/>
        <c:majorGridlines/>
        <c:title>
          <c:tx>
            <c:strRef>
              <c:f>'Fuel and CO2 emission prices'!$E$92</c:f>
              <c:strCache>
                <c:ptCount val="1"/>
                <c:pt idx="0">
                  <c:v>DKK/GJ (2017 prices)</c:v>
                </c:pt>
              </c:strCache>
            </c:strRef>
          </c:tx>
          <c:overlay val="0"/>
          <c:txPr>
            <a:bodyPr rot="-5400000" vert="horz"/>
            <a:lstStyle/>
            <a:p>
              <a:pPr>
                <a:defRPr/>
              </a:pPr>
              <a:endParaRPr lang="en-US"/>
            </a:p>
          </c:txPr>
        </c:title>
        <c:numFmt formatCode="0" sourceLinked="0"/>
        <c:majorTickMark val="out"/>
        <c:minorTickMark val="none"/>
        <c:tickLblPos val="nextTo"/>
        <c:crossAx val="9882124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capacity for electric boilers</a:t>
            </a:r>
          </a:p>
        </c:rich>
      </c:tx>
      <c:overlay val="0"/>
    </c:title>
    <c:autoTitleDeleted val="0"/>
    <c:plotArea>
      <c:layout/>
      <c:lineChart>
        <c:grouping val="standard"/>
        <c:varyColors val="0"/>
        <c:ser>
          <c:idx val="0"/>
          <c:order val="0"/>
          <c:tx>
            <c:v>Western Denmark</c:v>
          </c:tx>
          <c:marker>
            <c:symbol val="none"/>
          </c:marke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consumption'!$D$90:$AA$90</c:f>
              <c:numCache>
                <c:formatCode>#,##0</c:formatCode>
                <c:ptCount val="24"/>
                <c:pt idx="0">
                  <c:v>455.4</c:v>
                </c:pt>
                <c:pt idx="1">
                  <c:v>505.4</c:v>
                </c:pt>
                <c:pt idx="2">
                  <c:v>505.4</c:v>
                </c:pt>
                <c:pt idx="3">
                  <c:v>505.4</c:v>
                </c:pt>
                <c:pt idx="4">
                  <c:v>505.4</c:v>
                </c:pt>
                <c:pt idx="5">
                  <c:v>505.4</c:v>
                </c:pt>
                <c:pt idx="6">
                  <c:v>505.4</c:v>
                </c:pt>
                <c:pt idx="7">
                  <c:v>505.4</c:v>
                </c:pt>
                <c:pt idx="8">
                  <c:v>505.4</c:v>
                </c:pt>
                <c:pt idx="9">
                  <c:v>505.4</c:v>
                </c:pt>
                <c:pt idx="10">
                  <c:v>505.4</c:v>
                </c:pt>
                <c:pt idx="11">
                  <c:v>505.4</c:v>
                </c:pt>
                <c:pt idx="12">
                  <c:v>505.4</c:v>
                </c:pt>
                <c:pt idx="13">
                  <c:v>505.4</c:v>
                </c:pt>
                <c:pt idx="14">
                  <c:v>505.4</c:v>
                </c:pt>
                <c:pt idx="15">
                  <c:v>505.4</c:v>
                </c:pt>
                <c:pt idx="16">
                  <c:v>505.4</c:v>
                </c:pt>
                <c:pt idx="17">
                  <c:v>505.4</c:v>
                </c:pt>
                <c:pt idx="18">
                  <c:v>505.4</c:v>
                </c:pt>
                <c:pt idx="19">
                  <c:v>505.4</c:v>
                </c:pt>
                <c:pt idx="20">
                  <c:v>505.4</c:v>
                </c:pt>
                <c:pt idx="21">
                  <c:v>505.4</c:v>
                </c:pt>
                <c:pt idx="22">
                  <c:v>505.4</c:v>
                </c:pt>
                <c:pt idx="23">
                  <c:v>505.4</c:v>
                </c:pt>
              </c:numCache>
            </c:numRef>
          </c:val>
          <c:smooth val="0"/>
          <c:extLst>
            <c:ext xmlns:c16="http://schemas.microsoft.com/office/drawing/2014/chart" uri="{C3380CC4-5D6E-409C-BE32-E72D297353CC}">
              <c16:uniqueId val="{00000000-8D76-5D40-AFB8-56DE1650690F}"/>
            </c:ext>
          </c:extLst>
        </c:ser>
        <c:ser>
          <c:idx val="1"/>
          <c:order val="1"/>
          <c:tx>
            <c:v>Eastern Denmark</c:v>
          </c:tx>
          <c:marker>
            <c:symbol val="none"/>
          </c:marker>
          <c:val>
            <c:numRef>
              <c:f>'Electricity consumption'!$D$91:$AA$91</c:f>
              <c:numCache>
                <c:formatCode>#,##0</c:formatCode>
                <c:ptCount val="24"/>
                <c:pt idx="0">
                  <c:v>134.5</c:v>
                </c:pt>
                <c:pt idx="1">
                  <c:v>134.5</c:v>
                </c:pt>
                <c:pt idx="2">
                  <c:v>254.5</c:v>
                </c:pt>
                <c:pt idx="3">
                  <c:v>254.5</c:v>
                </c:pt>
                <c:pt idx="4">
                  <c:v>254.5</c:v>
                </c:pt>
                <c:pt idx="5">
                  <c:v>254.5</c:v>
                </c:pt>
                <c:pt idx="6">
                  <c:v>254.5</c:v>
                </c:pt>
                <c:pt idx="7">
                  <c:v>254.5</c:v>
                </c:pt>
                <c:pt idx="8">
                  <c:v>254.5</c:v>
                </c:pt>
                <c:pt idx="9">
                  <c:v>254.5</c:v>
                </c:pt>
                <c:pt idx="10">
                  <c:v>254.5</c:v>
                </c:pt>
                <c:pt idx="11">
                  <c:v>254.5</c:v>
                </c:pt>
                <c:pt idx="12">
                  <c:v>254.5</c:v>
                </c:pt>
                <c:pt idx="13">
                  <c:v>254.5</c:v>
                </c:pt>
                <c:pt idx="14">
                  <c:v>254.5</c:v>
                </c:pt>
                <c:pt idx="15">
                  <c:v>254.5</c:v>
                </c:pt>
                <c:pt idx="16">
                  <c:v>254.5</c:v>
                </c:pt>
                <c:pt idx="17">
                  <c:v>254.5</c:v>
                </c:pt>
                <c:pt idx="18">
                  <c:v>254.5</c:v>
                </c:pt>
                <c:pt idx="19">
                  <c:v>254.5</c:v>
                </c:pt>
                <c:pt idx="20">
                  <c:v>254.5</c:v>
                </c:pt>
                <c:pt idx="21">
                  <c:v>254.5</c:v>
                </c:pt>
                <c:pt idx="22">
                  <c:v>254.5</c:v>
                </c:pt>
                <c:pt idx="23">
                  <c:v>254.5</c:v>
                </c:pt>
              </c:numCache>
            </c:numRef>
          </c:val>
          <c:smooth val="0"/>
          <c:extLst>
            <c:ext xmlns:c16="http://schemas.microsoft.com/office/drawing/2014/chart" uri="{C3380CC4-5D6E-409C-BE32-E72D297353CC}">
              <c16:uniqueId val="{00000001-8D76-5D40-AFB8-56DE1650690F}"/>
            </c:ext>
          </c:extLst>
        </c:ser>
        <c:ser>
          <c:idx val="2"/>
          <c:order val="2"/>
          <c:tx>
            <c:v>Total</c:v>
          </c:tx>
          <c:marker>
            <c:symbol val="none"/>
          </c:marker>
          <c:val>
            <c:numRef>
              <c:f>'Electricity consumption'!$D$92:$AA$92</c:f>
              <c:numCache>
                <c:formatCode>#,##0</c:formatCode>
                <c:ptCount val="24"/>
                <c:pt idx="0">
                  <c:v>589.9</c:v>
                </c:pt>
                <c:pt idx="1">
                  <c:v>639.9</c:v>
                </c:pt>
                <c:pt idx="2">
                  <c:v>759.9</c:v>
                </c:pt>
                <c:pt idx="3">
                  <c:v>759.9</c:v>
                </c:pt>
                <c:pt idx="4">
                  <c:v>759.9</c:v>
                </c:pt>
                <c:pt idx="5">
                  <c:v>759.9</c:v>
                </c:pt>
                <c:pt idx="6">
                  <c:v>759.9</c:v>
                </c:pt>
                <c:pt idx="7">
                  <c:v>759.9</c:v>
                </c:pt>
                <c:pt idx="8">
                  <c:v>759.9</c:v>
                </c:pt>
                <c:pt idx="9">
                  <c:v>759.9</c:v>
                </c:pt>
                <c:pt idx="10">
                  <c:v>759.9</c:v>
                </c:pt>
                <c:pt idx="11">
                  <c:v>759.9</c:v>
                </c:pt>
                <c:pt idx="12">
                  <c:v>759.9</c:v>
                </c:pt>
                <c:pt idx="13">
                  <c:v>759.9</c:v>
                </c:pt>
                <c:pt idx="14">
                  <c:v>759.9</c:v>
                </c:pt>
                <c:pt idx="15">
                  <c:v>759.9</c:v>
                </c:pt>
                <c:pt idx="16">
                  <c:v>759.9</c:v>
                </c:pt>
                <c:pt idx="17">
                  <c:v>759.9</c:v>
                </c:pt>
                <c:pt idx="18">
                  <c:v>759.9</c:v>
                </c:pt>
                <c:pt idx="19">
                  <c:v>759.9</c:v>
                </c:pt>
                <c:pt idx="20">
                  <c:v>759.9</c:v>
                </c:pt>
                <c:pt idx="21">
                  <c:v>759.9</c:v>
                </c:pt>
                <c:pt idx="22">
                  <c:v>759.9</c:v>
                </c:pt>
                <c:pt idx="23">
                  <c:v>759.9</c:v>
                </c:pt>
              </c:numCache>
            </c:numRef>
          </c:val>
          <c:smooth val="0"/>
          <c:extLst>
            <c:ext xmlns:c16="http://schemas.microsoft.com/office/drawing/2014/chart" uri="{C3380CC4-5D6E-409C-BE32-E72D297353CC}">
              <c16:uniqueId val="{00000002-8D76-5D40-AFB8-56DE1650690F}"/>
            </c:ext>
          </c:extLst>
        </c:ser>
        <c:dLbls>
          <c:showLegendKey val="0"/>
          <c:showVal val="0"/>
          <c:showCatName val="0"/>
          <c:showSerName val="0"/>
          <c:showPercent val="0"/>
          <c:showBubbleSize val="0"/>
        </c:dLbls>
        <c:smooth val="0"/>
        <c:axId val="108094592"/>
        <c:axId val="108096128"/>
      </c:lineChart>
      <c:catAx>
        <c:axId val="108094592"/>
        <c:scaling>
          <c:orientation val="minMax"/>
        </c:scaling>
        <c:delete val="0"/>
        <c:axPos val="b"/>
        <c:numFmt formatCode="General" sourceLinked="1"/>
        <c:majorTickMark val="out"/>
        <c:minorTickMark val="none"/>
        <c:tickLblPos val="nextTo"/>
        <c:crossAx val="108096128"/>
        <c:crosses val="autoZero"/>
        <c:auto val="1"/>
        <c:lblAlgn val="ctr"/>
        <c:lblOffset val="100"/>
        <c:noMultiLvlLbl val="0"/>
      </c:catAx>
      <c:valAx>
        <c:axId val="108096128"/>
        <c:scaling>
          <c:orientation val="minMax"/>
        </c:scaling>
        <c:delete val="0"/>
        <c:axPos val="l"/>
        <c:majorGridlines/>
        <c:title>
          <c:tx>
            <c:rich>
              <a:bodyPr rot="-5400000" vert="horz"/>
              <a:lstStyle/>
              <a:p>
                <a:pPr>
                  <a:defRPr/>
                </a:pPr>
                <a:r>
                  <a:rPr lang="da-DK"/>
                  <a:t>MWe</a:t>
                </a:r>
              </a:p>
            </c:rich>
          </c:tx>
          <c:overlay val="0"/>
        </c:title>
        <c:numFmt formatCode="#,##0" sourceLinked="1"/>
        <c:majorTickMark val="out"/>
        <c:minorTickMark val="none"/>
        <c:tickLblPos val="nextTo"/>
        <c:crossAx val="1080945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capacity for large heat pumps</a:t>
            </a:r>
          </a:p>
        </c:rich>
      </c:tx>
      <c:overlay val="0"/>
    </c:title>
    <c:autoTitleDeleted val="0"/>
    <c:plotArea>
      <c:layout/>
      <c:lineChart>
        <c:grouping val="standard"/>
        <c:varyColors val="0"/>
        <c:ser>
          <c:idx val="0"/>
          <c:order val="0"/>
          <c:tx>
            <c:v>Total</c:v>
          </c:tx>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consumption'!$D$54:$AA$54</c:f>
              <c:numCache>
                <c:formatCode>#,##0</c:formatCode>
                <c:ptCount val="24"/>
                <c:pt idx="0">
                  <c:v>11.116668853163132</c:v>
                </c:pt>
                <c:pt idx="1">
                  <c:v>13.116668853163132</c:v>
                </c:pt>
                <c:pt idx="2">
                  <c:v>30.558334426581567</c:v>
                </c:pt>
                <c:pt idx="3">
                  <c:v>48</c:v>
                </c:pt>
                <c:pt idx="4">
                  <c:v>58.066666666666677</c:v>
                </c:pt>
                <c:pt idx="5">
                  <c:v>62.805555555555557</c:v>
                </c:pt>
                <c:pt idx="6">
                  <c:v>82.466666666666669</c:v>
                </c:pt>
                <c:pt idx="7">
                  <c:v>87.777777777777771</c:v>
                </c:pt>
                <c:pt idx="8">
                  <c:v>90.833333333333343</c:v>
                </c:pt>
                <c:pt idx="9">
                  <c:v>93.833333333333343</c:v>
                </c:pt>
                <c:pt idx="10">
                  <c:v>115.35555555555557</c:v>
                </c:pt>
                <c:pt idx="11">
                  <c:v>156.84444444444443</c:v>
                </c:pt>
                <c:pt idx="12">
                  <c:v>157.60000000000002</c:v>
                </c:pt>
                <c:pt idx="13">
                  <c:v>219.72222222222223</c:v>
                </c:pt>
                <c:pt idx="14">
                  <c:v>221.11111111111114</c:v>
                </c:pt>
                <c:pt idx="15">
                  <c:v>222.4666666666667</c:v>
                </c:pt>
                <c:pt idx="16">
                  <c:v>224.4666666666667</c:v>
                </c:pt>
                <c:pt idx="17">
                  <c:v>225.07777777777781</c:v>
                </c:pt>
                <c:pt idx="18">
                  <c:v>226.33333333333331</c:v>
                </c:pt>
                <c:pt idx="19">
                  <c:v>229</c:v>
                </c:pt>
                <c:pt idx="20">
                  <c:v>231</c:v>
                </c:pt>
                <c:pt idx="21">
                  <c:v>233</c:v>
                </c:pt>
                <c:pt idx="22">
                  <c:v>234.33333333333331</c:v>
                </c:pt>
                <c:pt idx="23">
                  <c:v>237</c:v>
                </c:pt>
              </c:numCache>
            </c:numRef>
          </c:val>
          <c:smooth val="0"/>
          <c:extLst>
            <c:ext xmlns:c16="http://schemas.microsoft.com/office/drawing/2014/chart" uri="{C3380CC4-5D6E-409C-BE32-E72D297353CC}">
              <c16:uniqueId val="{00000000-6DB5-6C4C-95EB-81BEDDB6FF38}"/>
            </c:ext>
          </c:extLst>
        </c:ser>
        <c:ser>
          <c:idx val="1"/>
          <c:order val="1"/>
          <c:tx>
            <c:v>Eastern Denmark</c:v>
          </c:tx>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consumption'!$D$59:$AA$59</c:f>
              <c:numCache>
                <c:formatCode>#,##0</c:formatCode>
                <c:ptCount val="24"/>
                <c:pt idx="0">
                  <c:v>3.3238095238095235</c:v>
                </c:pt>
                <c:pt idx="1">
                  <c:v>7.9380952380952392</c:v>
                </c:pt>
                <c:pt idx="2">
                  <c:v>12.31904761904762</c:v>
                </c:pt>
                <c:pt idx="3">
                  <c:v>16.7</c:v>
                </c:pt>
                <c:pt idx="4">
                  <c:v>20.633333333333329</c:v>
                </c:pt>
                <c:pt idx="5">
                  <c:v>22.894444444444442</c:v>
                </c:pt>
                <c:pt idx="6">
                  <c:v>25.233333333333327</c:v>
                </c:pt>
                <c:pt idx="7">
                  <c:v>27.922222222222214</c:v>
                </c:pt>
                <c:pt idx="8">
                  <c:v>29.866666666666656</c:v>
                </c:pt>
                <c:pt idx="9">
                  <c:v>31.866666666666653</c:v>
                </c:pt>
                <c:pt idx="10">
                  <c:v>33.344444444444434</c:v>
                </c:pt>
                <c:pt idx="11">
                  <c:v>34.85555555555554</c:v>
                </c:pt>
                <c:pt idx="12">
                  <c:v>36.09999999999998</c:v>
                </c:pt>
                <c:pt idx="13">
                  <c:v>82.97777777777776</c:v>
                </c:pt>
                <c:pt idx="14">
                  <c:v>84.588888888888874</c:v>
                </c:pt>
                <c:pt idx="15">
                  <c:v>86.233333333333306</c:v>
                </c:pt>
                <c:pt idx="16">
                  <c:v>88.233333333333306</c:v>
                </c:pt>
                <c:pt idx="17">
                  <c:v>89.622222222222192</c:v>
                </c:pt>
                <c:pt idx="18">
                  <c:v>91.366666666666674</c:v>
                </c:pt>
                <c:pt idx="19">
                  <c:v>92.7</c:v>
                </c:pt>
                <c:pt idx="20">
                  <c:v>93.7</c:v>
                </c:pt>
                <c:pt idx="21">
                  <c:v>94.7</c:v>
                </c:pt>
                <c:pt idx="22">
                  <c:v>95.366666666666674</c:v>
                </c:pt>
                <c:pt idx="23">
                  <c:v>96.7</c:v>
                </c:pt>
              </c:numCache>
            </c:numRef>
          </c:val>
          <c:smooth val="0"/>
          <c:extLst>
            <c:ext xmlns:c16="http://schemas.microsoft.com/office/drawing/2014/chart" uri="{C3380CC4-5D6E-409C-BE32-E72D297353CC}">
              <c16:uniqueId val="{00000001-6DB5-6C4C-95EB-81BEDDB6FF38}"/>
            </c:ext>
          </c:extLst>
        </c:ser>
        <c:ser>
          <c:idx val="2"/>
          <c:order val="2"/>
          <c:tx>
            <c:v>DK, i alt</c:v>
          </c:tx>
          <c:marker>
            <c:symbol val="none"/>
          </c:marker>
          <c:val>
            <c:numRef>
              <c:f>'Electricity consumption'!$D$64:$AA$64</c:f>
              <c:numCache>
                <c:formatCode>#,##0</c:formatCode>
                <c:ptCount val="24"/>
                <c:pt idx="0">
                  <c:v>14.440478376972656</c:v>
                </c:pt>
                <c:pt idx="1">
                  <c:v>21.05476409125837</c:v>
                </c:pt>
                <c:pt idx="2">
                  <c:v>42.87738204562919</c:v>
                </c:pt>
                <c:pt idx="3">
                  <c:v>64.7</c:v>
                </c:pt>
                <c:pt idx="4">
                  <c:v>78.7</c:v>
                </c:pt>
                <c:pt idx="5">
                  <c:v>85.7</c:v>
                </c:pt>
                <c:pt idx="6">
                  <c:v>107.7</c:v>
                </c:pt>
                <c:pt idx="7">
                  <c:v>115.69999999999999</c:v>
                </c:pt>
                <c:pt idx="8">
                  <c:v>120.7</c:v>
                </c:pt>
                <c:pt idx="9">
                  <c:v>125.7</c:v>
                </c:pt>
                <c:pt idx="10">
                  <c:v>148.69999999999999</c:v>
                </c:pt>
                <c:pt idx="11">
                  <c:v>191.7</c:v>
                </c:pt>
                <c:pt idx="12">
                  <c:v>193.7</c:v>
                </c:pt>
                <c:pt idx="13">
                  <c:v>302.7</c:v>
                </c:pt>
                <c:pt idx="14">
                  <c:v>305.7</c:v>
                </c:pt>
                <c:pt idx="15">
                  <c:v>308.7</c:v>
                </c:pt>
                <c:pt idx="16">
                  <c:v>312.7</c:v>
                </c:pt>
                <c:pt idx="17">
                  <c:v>314.7</c:v>
                </c:pt>
                <c:pt idx="18">
                  <c:v>317.7</c:v>
                </c:pt>
                <c:pt idx="19">
                  <c:v>321.7</c:v>
                </c:pt>
                <c:pt idx="20">
                  <c:v>324.7</c:v>
                </c:pt>
                <c:pt idx="21">
                  <c:v>327.7</c:v>
                </c:pt>
                <c:pt idx="22">
                  <c:v>329.7</c:v>
                </c:pt>
                <c:pt idx="23">
                  <c:v>333.7</c:v>
                </c:pt>
              </c:numCache>
            </c:numRef>
          </c:val>
          <c:smooth val="0"/>
          <c:extLst>
            <c:ext xmlns:c16="http://schemas.microsoft.com/office/drawing/2014/chart" uri="{C3380CC4-5D6E-409C-BE32-E72D297353CC}">
              <c16:uniqueId val="{00000002-6DB5-6C4C-95EB-81BEDDB6FF38}"/>
            </c:ext>
          </c:extLst>
        </c:ser>
        <c:dLbls>
          <c:showLegendKey val="0"/>
          <c:showVal val="0"/>
          <c:showCatName val="0"/>
          <c:showSerName val="0"/>
          <c:showPercent val="0"/>
          <c:showBubbleSize val="0"/>
        </c:dLbls>
        <c:smooth val="0"/>
        <c:axId val="109192320"/>
        <c:axId val="109193856"/>
      </c:lineChart>
      <c:catAx>
        <c:axId val="109192320"/>
        <c:scaling>
          <c:orientation val="minMax"/>
        </c:scaling>
        <c:delete val="0"/>
        <c:axPos val="b"/>
        <c:numFmt formatCode="General" sourceLinked="1"/>
        <c:majorTickMark val="out"/>
        <c:minorTickMark val="none"/>
        <c:tickLblPos val="nextTo"/>
        <c:crossAx val="109193856"/>
        <c:crosses val="autoZero"/>
        <c:auto val="1"/>
        <c:lblAlgn val="ctr"/>
        <c:lblOffset val="100"/>
        <c:noMultiLvlLbl val="0"/>
      </c:catAx>
      <c:valAx>
        <c:axId val="109193856"/>
        <c:scaling>
          <c:orientation val="minMax"/>
        </c:scaling>
        <c:delete val="0"/>
        <c:axPos val="l"/>
        <c:majorGridlines/>
        <c:title>
          <c:tx>
            <c:rich>
              <a:bodyPr rot="-5400000" vert="horz"/>
              <a:lstStyle/>
              <a:p>
                <a:pPr>
                  <a:defRPr/>
                </a:pPr>
                <a:r>
                  <a:rPr lang="da-DK"/>
                  <a:t>MWe</a:t>
                </a:r>
              </a:p>
            </c:rich>
          </c:tx>
          <c:overlay val="0"/>
        </c:title>
        <c:numFmt formatCode="#,##0" sourceLinked="1"/>
        <c:majorTickMark val="out"/>
        <c:minorTickMark val="none"/>
        <c:tickLblPos val="nextTo"/>
        <c:crossAx val="109192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Net electricity consumption </a:t>
            </a:r>
            <a:r>
              <a:rPr lang="da-DK" sz="1200" baseline="0"/>
              <a:t>for businesses and households (traditional)</a:t>
            </a:r>
            <a:endParaRPr lang="da-DK" sz="1200"/>
          </a:p>
        </c:rich>
      </c:tx>
      <c:overlay val="0"/>
    </c:title>
    <c:autoTitleDeleted val="0"/>
    <c:plotArea>
      <c:layout/>
      <c:areaChart>
        <c:grouping val="stacked"/>
        <c:varyColors val="0"/>
        <c:ser>
          <c:idx val="0"/>
          <c:order val="0"/>
          <c:tx>
            <c:v>Western Denmark</c:v>
          </c:tx>
          <c:cat>
            <c:numRef>
              <c:f>'Electricity consumption'!$D$35:$AA$35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consumption'!$D$21:$AA$21</c:f>
              <c:numCache>
                <c:formatCode>#,##0</c:formatCode>
                <c:ptCount val="24"/>
                <c:pt idx="0">
                  <c:v>18481.491966499179</c:v>
                </c:pt>
                <c:pt idx="1">
                  <c:v>18594.769883535675</c:v>
                </c:pt>
                <c:pt idx="2">
                  <c:v>18729.521891593467</c:v>
                </c:pt>
                <c:pt idx="3">
                  <c:v>18733.929169709496</c:v>
                </c:pt>
                <c:pt idx="4">
                  <c:v>18701.883064085283</c:v>
                </c:pt>
                <c:pt idx="5">
                  <c:v>18738.337545589857</c:v>
                </c:pt>
                <c:pt idx="6">
                  <c:v>18756.887702640681</c:v>
                </c:pt>
                <c:pt idx="7">
                  <c:v>18777.582471111742</c:v>
                </c:pt>
                <c:pt idx="8">
                  <c:v>18791.470781903499</c:v>
                </c:pt>
                <c:pt idx="9">
                  <c:v>18788.067523054873</c:v>
                </c:pt>
                <c:pt idx="10">
                  <c:v>18796.783837655741</c:v>
                </c:pt>
                <c:pt idx="11">
                  <c:v>18784.450383748237</c:v>
                </c:pt>
                <c:pt idx="12">
                  <c:v>18776.450550045283</c:v>
                </c:pt>
                <c:pt idx="13">
                  <c:v>18808.091738729574</c:v>
                </c:pt>
                <c:pt idx="14">
                  <c:v>18795.937140148544</c:v>
                </c:pt>
                <c:pt idx="15">
                  <c:v>18789.745799691053</c:v>
                </c:pt>
                <c:pt idx="16">
                  <c:v>18757.852606771146</c:v>
                </c:pt>
                <c:pt idx="17">
                  <c:v>18720.738877153883</c:v>
                </c:pt>
                <c:pt idx="18">
                  <c:v>18738.622953419799</c:v>
                </c:pt>
                <c:pt idx="19">
                  <c:v>18714.73704364185</c:v>
                </c:pt>
                <c:pt idx="20">
                  <c:v>18709.063486991257</c:v>
                </c:pt>
                <c:pt idx="21">
                  <c:v>18698.773718225868</c:v>
                </c:pt>
                <c:pt idx="22">
                  <c:v>18690.329190808752</c:v>
                </c:pt>
                <c:pt idx="23">
                  <c:v>18733.303049822098</c:v>
                </c:pt>
              </c:numCache>
            </c:numRef>
          </c:val>
          <c:extLst>
            <c:ext xmlns:c16="http://schemas.microsoft.com/office/drawing/2014/chart" uri="{C3380CC4-5D6E-409C-BE32-E72D297353CC}">
              <c16:uniqueId val="{00000000-40A3-9A45-A464-F82A3EF693F3}"/>
            </c:ext>
          </c:extLst>
        </c:ser>
        <c:ser>
          <c:idx val="1"/>
          <c:order val="1"/>
          <c:tx>
            <c:v>Eastern Denmark</c:v>
          </c:tx>
          <c:val>
            <c:numRef>
              <c:f>'Electricity consumption'!$D$22:$AA$22</c:f>
              <c:numCache>
                <c:formatCode>#,##0</c:formatCode>
                <c:ptCount val="24"/>
                <c:pt idx="0">
                  <c:v>12710.672377570112</c:v>
                </c:pt>
                <c:pt idx="1">
                  <c:v>12793.727882474906</c:v>
                </c:pt>
                <c:pt idx="2">
                  <c:v>12894.00515818139</c:v>
                </c:pt>
                <c:pt idx="3">
                  <c:v>12895.953221118667</c:v>
                </c:pt>
                <c:pt idx="4">
                  <c:v>12870.22032730207</c:v>
                </c:pt>
                <c:pt idx="5">
                  <c:v>12892.212936537675</c:v>
                </c:pt>
                <c:pt idx="6">
                  <c:v>12892.30582583797</c:v>
                </c:pt>
                <c:pt idx="7">
                  <c:v>12908.380128404471</c:v>
                </c:pt>
                <c:pt idx="8">
                  <c:v>12921.370216393632</c:v>
                </c:pt>
                <c:pt idx="9">
                  <c:v>12919.030071333373</c:v>
                </c:pt>
                <c:pt idx="10">
                  <c:v>12925.023573874367</c:v>
                </c:pt>
                <c:pt idx="11">
                  <c:v>12916.542858030713</c:v>
                </c:pt>
                <c:pt idx="12">
                  <c:v>12911.042021287001</c:v>
                </c:pt>
                <c:pt idx="13">
                  <c:v>12932.799100220398</c:v>
                </c:pt>
                <c:pt idx="14">
                  <c:v>12924.441368677191</c:v>
                </c:pt>
                <c:pt idx="15">
                  <c:v>12920.184086045327</c:v>
                </c:pt>
                <c:pt idx="16">
                  <c:v>12898.253724240023</c:v>
                </c:pt>
                <c:pt idx="17">
                  <c:v>12872.733622803491</c:v>
                </c:pt>
                <c:pt idx="18">
                  <c:v>12885.031051413105</c:v>
                </c:pt>
                <c:pt idx="19">
                  <c:v>12868.606648726463</c:v>
                </c:pt>
                <c:pt idx="20">
                  <c:v>12864.705404019391</c:v>
                </c:pt>
                <c:pt idx="21">
                  <c:v>12857.629964677692</c:v>
                </c:pt>
                <c:pt idx="22">
                  <c:v>12851.823348137377</c:v>
                </c:pt>
                <c:pt idx="23">
                  <c:v>12881.372985224501</c:v>
                </c:pt>
              </c:numCache>
            </c:numRef>
          </c:val>
          <c:extLst>
            <c:ext xmlns:c16="http://schemas.microsoft.com/office/drawing/2014/chart" uri="{C3380CC4-5D6E-409C-BE32-E72D297353CC}">
              <c16:uniqueId val="{00000001-40A3-9A45-A464-F82A3EF693F3}"/>
            </c:ext>
          </c:extLst>
        </c:ser>
        <c:dLbls>
          <c:showLegendKey val="0"/>
          <c:showVal val="0"/>
          <c:showCatName val="0"/>
          <c:showSerName val="0"/>
          <c:showPercent val="0"/>
          <c:showBubbleSize val="0"/>
        </c:dLbls>
        <c:axId val="109232896"/>
        <c:axId val="109234432"/>
      </c:areaChart>
      <c:lineChart>
        <c:grouping val="standard"/>
        <c:varyColors val="0"/>
        <c:ser>
          <c:idx val="3"/>
          <c:order val="2"/>
          <c:tx>
            <c:v>Denmark, AF2016</c:v>
          </c:tx>
          <c:spPr>
            <a:ln>
              <a:solidFill>
                <a:schemeClr val="accent3"/>
              </a:solidFill>
              <a:prstDash val="dash"/>
            </a:ln>
          </c:spPr>
          <c:marker>
            <c:symbol val="none"/>
          </c:marker>
          <c:val>
            <c:numRef>
              <c:f>'Electricity consumption'!$D$292:$AA$292</c:f>
              <c:numCache>
                <c:formatCode>#,##0</c:formatCode>
                <c:ptCount val="24"/>
                <c:pt idx="0">
                  <c:v>31030.782829441421</c:v>
                </c:pt>
                <c:pt idx="1">
                  <c:v>31226.100464704508</c:v>
                </c:pt>
                <c:pt idx="2">
                  <c:v>31459.913757767499</c:v>
                </c:pt>
                <c:pt idx="3">
                  <c:v>31466.236217660196</c:v>
                </c:pt>
                <c:pt idx="4">
                  <c:v>31408.756154270777</c:v>
                </c:pt>
                <c:pt idx="5">
                  <c:v>31466.900852399613</c:v>
                </c:pt>
                <c:pt idx="6">
                  <c:v>31485.447443659512</c:v>
                </c:pt>
                <c:pt idx="7">
                  <c:v>31522.026279472935</c:v>
                </c:pt>
                <c:pt idx="8">
                  <c:v>31548.765615229629</c:v>
                </c:pt>
                <c:pt idx="9">
                  <c:v>31543.051926450848</c:v>
                </c:pt>
                <c:pt idx="10">
                  <c:v>31557.685638179049</c:v>
                </c:pt>
                <c:pt idx="11">
                  <c:v>31536.979156442205</c:v>
                </c:pt>
                <c:pt idx="12">
                  <c:v>31523.548335545602</c:v>
                </c:pt>
                <c:pt idx="13">
                  <c:v>31576.670332071248</c:v>
                </c:pt>
                <c:pt idx="14">
                  <c:v>31556.26412830835</c:v>
                </c:pt>
                <c:pt idx="15">
                  <c:v>31545.869564135883</c:v>
                </c:pt>
                <c:pt idx="16">
                  <c:v>31492.324480846262</c:v>
                </c:pt>
                <c:pt idx="17">
                  <c:v>31430.014703693014</c:v>
                </c:pt>
                <c:pt idx="18">
                  <c:v>31460.040055987502</c:v>
                </c:pt>
                <c:pt idx="19">
                  <c:v>31419.938300364585</c:v>
                </c:pt>
                <c:pt idx="20">
                  <c:v>31410.413036959093</c:v>
                </c:pt>
                <c:pt idx="21">
                  <c:v>31393.137672684417</c:v>
                </c:pt>
                <c:pt idx="22">
                  <c:v>31378.960261064749</c:v>
                </c:pt>
                <c:pt idx="23">
                  <c:v>31451.108536275839</c:v>
                </c:pt>
              </c:numCache>
            </c:numRef>
          </c:val>
          <c:smooth val="0"/>
          <c:extLst>
            <c:ext xmlns:c16="http://schemas.microsoft.com/office/drawing/2014/chart" uri="{C3380CC4-5D6E-409C-BE32-E72D297353CC}">
              <c16:uniqueId val="{00000002-40A3-9A45-A464-F82A3EF693F3}"/>
            </c:ext>
          </c:extLst>
        </c:ser>
        <c:dLbls>
          <c:showLegendKey val="0"/>
          <c:showVal val="0"/>
          <c:showCatName val="0"/>
          <c:showSerName val="0"/>
          <c:showPercent val="0"/>
          <c:showBubbleSize val="0"/>
        </c:dLbls>
        <c:marker val="1"/>
        <c:smooth val="0"/>
        <c:axId val="109232896"/>
        <c:axId val="109234432"/>
      </c:lineChart>
      <c:catAx>
        <c:axId val="109232896"/>
        <c:scaling>
          <c:orientation val="minMax"/>
        </c:scaling>
        <c:delete val="0"/>
        <c:axPos val="b"/>
        <c:numFmt formatCode="General" sourceLinked="1"/>
        <c:majorTickMark val="out"/>
        <c:minorTickMark val="none"/>
        <c:tickLblPos val="nextTo"/>
        <c:crossAx val="109234432"/>
        <c:crosses val="autoZero"/>
        <c:auto val="1"/>
        <c:lblAlgn val="ctr"/>
        <c:lblOffset val="100"/>
        <c:tickLblSkip val="1"/>
        <c:noMultiLvlLbl val="0"/>
      </c:catAx>
      <c:valAx>
        <c:axId val="109234432"/>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0923289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a:t>
            </a:r>
            <a:r>
              <a:rPr lang="da-DK" sz="1200" baseline="0"/>
              <a:t> consumption, light transport</a:t>
            </a:r>
            <a:endParaRPr lang="da-DK" sz="1200"/>
          </a:p>
        </c:rich>
      </c:tx>
      <c:overlay val="0"/>
    </c:title>
    <c:autoTitleDeleted val="0"/>
    <c:plotArea>
      <c:layout/>
      <c:areaChart>
        <c:grouping val="stacked"/>
        <c:varyColors val="0"/>
        <c:ser>
          <c:idx val="0"/>
          <c:order val="0"/>
          <c:tx>
            <c:v>Western Denmark</c:v>
          </c:tx>
          <c:cat>
            <c:numRef>
              <c:f>'Electricity consumption'!$D$117:$AA$117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consumption'!$D$119:$AA$119</c:f>
              <c:numCache>
                <c:formatCode>#,##0</c:formatCode>
                <c:ptCount val="24"/>
                <c:pt idx="0">
                  <c:v>10.853775319658316</c:v>
                </c:pt>
                <c:pt idx="1">
                  <c:v>11.209030253425439</c:v>
                </c:pt>
                <c:pt idx="2">
                  <c:v>15.856945913745092</c:v>
                </c:pt>
                <c:pt idx="3">
                  <c:v>37.941309012106124</c:v>
                </c:pt>
                <c:pt idx="4">
                  <c:v>88.794067558796613</c:v>
                </c:pt>
                <c:pt idx="5">
                  <c:v>173.57813426196503</c:v>
                </c:pt>
                <c:pt idx="6">
                  <c:v>284.73587517185143</c:v>
                </c:pt>
                <c:pt idx="7">
                  <c:v>411.65475600005436</c:v>
                </c:pt>
                <c:pt idx="8">
                  <c:v>550.28789218536429</c:v>
                </c:pt>
                <c:pt idx="9">
                  <c:v>719.97709598529241</c:v>
                </c:pt>
                <c:pt idx="10">
                  <c:v>914.9403657279222</c:v>
                </c:pt>
                <c:pt idx="11">
                  <c:v>1134.8074289250983</c:v>
                </c:pt>
                <c:pt idx="12">
                  <c:v>1381.2240552657952</c:v>
                </c:pt>
                <c:pt idx="13">
                  <c:v>1647.8535839353285</c:v>
                </c:pt>
                <c:pt idx="14">
                  <c:v>1935.0515860321582</c:v>
                </c:pt>
                <c:pt idx="15">
                  <c:v>2237.9228437251691</c:v>
                </c:pt>
                <c:pt idx="16">
                  <c:v>2584.1528096579141</c:v>
                </c:pt>
                <c:pt idx="17">
                  <c:v>2942.6599585436534</c:v>
                </c:pt>
                <c:pt idx="18">
                  <c:v>3298.9261852403351</c:v>
                </c:pt>
                <c:pt idx="19">
                  <c:v>3645.3723715531078</c:v>
                </c:pt>
                <c:pt idx="20">
                  <c:v>3965.5554247156092</c:v>
                </c:pt>
                <c:pt idx="21">
                  <c:v>4254.147739140355</c:v>
                </c:pt>
                <c:pt idx="22">
                  <c:v>4518.5524101459187</c:v>
                </c:pt>
                <c:pt idx="23">
                  <c:v>4761.090300250662</c:v>
                </c:pt>
              </c:numCache>
            </c:numRef>
          </c:val>
          <c:extLst>
            <c:ext xmlns:c16="http://schemas.microsoft.com/office/drawing/2014/chart" uri="{C3380CC4-5D6E-409C-BE32-E72D297353CC}">
              <c16:uniqueId val="{00000000-F241-5347-BCDF-C740FA52264A}"/>
            </c:ext>
          </c:extLst>
        </c:ser>
        <c:ser>
          <c:idx val="1"/>
          <c:order val="1"/>
          <c:tx>
            <c:v>Eastern Denmark</c:v>
          </c:tx>
          <c:spPr>
            <a:ln w="25400">
              <a:noFill/>
            </a:ln>
          </c:spPr>
          <c:cat>
            <c:numRef>
              <c:f>'Electricity consumption'!$D$117:$AA$117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consumption'!$D$125:$AA$125</c:f>
              <c:numCache>
                <c:formatCode>#,##0</c:formatCode>
                <c:ptCount val="24"/>
                <c:pt idx="0">
                  <c:v>16.506453266580404</c:v>
                </c:pt>
                <c:pt idx="1">
                  <c:v>18.719686554113871</c:v>
                </c:pt>
                <c:pt idx="2">
                  <c:v>26.621156372576788</c:v>
                </c:pt>
                <c:pt idx="3">
                  <c:v>49.524083877421035</c:v>
                </c:pt>
                <c:pt idx="4">
                  <c:v>96.053247173443054</c:v>
                </c:pt>
                <c:pt idx="5">
                  <c:v>167.9294797852009</c:v>
                </c:pt>
                <c:pt idx="6">
                  <c:v>255.90655112266884</c:v>
                </c:pt>
                <c:pt idx="7">
                  <c:v>353.50129515741315</c:v>
                </c:pt>
                <c:pt idx="8">
                  <c:v>461.32403707016994</c:v>
                </c:pt>
                <c:pt idx="9">
                  <c:v>590.69391725711705</c:v>
                </c:pt>
                <c:pt idx="10">
                  <c:v>734.68354953530275</c:v>
                </c:pt>
                <c:pt idx="11">
                  <c:v>895.34850333030226</c:v>
                </c:pt>
                <c:pt idx="12">
                  <c:v>1075.0475369188919</c:v>
                </c:pt>
                <c:pt idx="13">
                  <c:v>1269.3043769354242</c:v>
                </c:pt>
                <c:pt idx="14">
                  <c:v>1477.6376640879273</c:v>
                </c:pt>
                <c:pt idx="15">
                  <c:v>1697.3448713676135</c:v>
                </c:pt>
                <c:pt idx="16">
                  <c:v>1948.5333716877915</c:v>
                </c:pt>
                <c:pt idx="17">
                  <c:v>2207.0905944605038</c:v>
                </c:pt>
                <c:pt idx="18">
                  <c:v>2461.4798200994633</c:v>
                </c:pt>
                <c:pt idx="19">
                  <c:v>2708.5251811949556</c:v>
                </c:pt>
                <c:pt idx="20">
                  <c:v>2933.7469432881471</c:v>
                </c:pt>
                <c:pt idx="21">
                  <c:v>3135.3054436499783</c:v>
                </c:pt>
                <c:pt idx="22">
                  <c:v>3322.3353259985588</c:v>
                </c:pt>
                <c:pt idx="23">
                  <c:v>3495.1085030142494</c:v>
                </c:pt>
              </c:numCache>
            </c:numRef>
          </c:val>
          <c:extLst>
            <c:ext xmlns:c16="http://schemas.microsoft.com/office/drawing/2014/chart" uri="{C3380CC4-5D6E-409C-BE32-E72D297353CC}">
              <c16:uniqueId val="{00000001-F241-5347-BCDF-C740FA52264A}"/>
            </c:ext>
          </c:extLst>
        </c:ser>
        <c:dLbls>
          <c:showLegendKey val="0"/>
          <c:showVal val="0"/>
          <c:showCatName val="0"/>
          <c:showSerName val="0"/>
          <c:showPercent val="0"/>
          <c:showBubbleSize val="0"/>
        </c:dLbls>
        <c:axId val="109268352"/>
        <c:axId val="109270144"/>
      </c:areaChart>
      <c:catAx>
        <c:axId val="109268352"/>
        <c:scaling>
          <c:orientation val="minMax"/>
        </c:scaling>
        <c:delete val="0"/>
        <c:axPos val="b"/>
        <c:numFmt formatCode="General" sourceLinked="1"/>
        <c:majorTickMark val="out"/>
        <c:minorTickMark val="none"/>
        <c:tickLblPos val="nextTo"/>
        <c:crossAx val="109270144"/>
        <c:crosses val="autoZero"/>
        <c:auto val="1"/>
        <c:lblAlgn val="ctr"/>
        <c:lblOffset val="100"/>
        <c:noMultiLvlLbl val="0"/>
      </c:catAx>
      <c:valAx>
        <c:axId val="109270144"/>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0926835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 consumption, heavy transport</a:t>
            </a:r>
          </a:p>
        </c:rich>
      </c:tx>
      <c:overlay val="0"/>
    </c:title>
    <c:autoTitleDeleted val="0"/>
    <c:plotArea>
      <c:layout/>
      <c:areaChart>
        <c:grouping val="stacked"/>
        <c:varyColors val="0"/>
        <c:ser>
          <c:idx val="0"/>
          <c:order val="0"/>
          <c:tx>
            <c:v>Western Denmark</c:v>
          </c:tx>
          <c:cat>
            <c:numRef>
              <c:f>'Electricity consumption'!$D$117:$AA$117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consumption'!$D$120:$AA$120</c:f>
              <c:numCache>
                <c:formatCode>#,##0</c:formatCode>
                <c:ptCount val="24"/>
                <c:pt idx="0">
                  <c:v>8.7855890346055385E-2</c:v>
                </c:pt>
                <c:pt idx="1">
                  <c:v>1.1026763955867644</c:v>
                </c:pt>
                <c:pt idx="2">
                  <c:v>2.589097005510494</c:v>
                </c:pt>
                <c:pt idx="3">
                  <c:v>3.57499391367026</c:v>
                </c:pt>
                <c:pt idx="4">
                  <c:v>4.2404962476518939</c:v>
                </c:pt>
                <c:pt idx="5">
                  <c:v>4.7017943112857417</c:v>
                </c:pt>
                <c:pt idx="6">
                  <c:v>5.0192703462333839</c:v>
                </c:pt>
                <c:pt idx="7">
                  <c:v>5.1813967218250392</c:v>
                </c:pt>
                <c:pt idx="8">
                  <c:v>4.3987875232561677</c:v>
                </c:pt>
                <c:pt idx="9">
                  <c:v>3.4274189599205527</c:v>
                </c:pt>
                <c:pt idx="10">
                  <c:v>3.4607704084329631</c:v>
                </c:pt>
                <c:pt idx="11">
                  <c:v>5.288789715501375</c:v>
                </c:pt>
                <c:pt idx="12">
                  <c:v>10.281544463534207</c:v>
                </c:pt>
                <c:pt idx="13">
                  <c:v>20.512270705546118</c:v>
                </c:pt>
                <c:pt idx="14">
                  <c:v>37.996447066083896</c:v>
                </c:pt>
                <c:pt idx="15">
                  <c:v>62.546746217683946</c:v>
                </c:pt>
                <c:pt idx="16">
                  <c:v>96.094364836420112</c:v>
                </c:pt>
                <c:pt idx="17">
                  <c:v>136.55967892288211</c:v>
                </c:pt>
                <c:pt idx="18">
                  <c:v>182.77919862535057</c:v>
                </c:pt>
                <c:pt idx="19">
                  <c:v>234.17629211838394</c:v>
                </c:pt>
                <c:pt idx="20">
                  <c:v>284.78208715333352</c:v>
                </c:pt>
                <c:pt idx="21">
                  <c:v>331.91288450550121</c:v>
                </c:pt>
                <c:pt idx="22">
                  <c:v>376.11525356523555</c:v>
                </c:pt>
                <c:pt idx="23">
                  <c:v>417.44442263161181</c:v>
                </c:pt>
              </c:numCache>
            </c:numRef>
          </c:val>
          <c:extLst>
            <c:ext xmlns:c16="http://schemas.microsoft.com/office/drawing/2014/chart" uri="{C3380CC4-5D6E-409C-BE32-E72D297353CC}">
              <c16:uniqueId val="{00000000-4E2E-944D-A902-E7ED62563C56}"/>
            </c:ext>
          </c:extLst>
        </c:ser>
        <c:ser>
          <c:idx val="1"/>
          <c:order val="1"/>
          <c:tx>
            <c:v>Eastern Denmark</c:v>
          </c:tx>
          <c:spPr>
            <a:ln w="25400">
              <a:noFill/>
            </a:ln>
          </c:spPr>
          <c:cat>
            <c:numRef>
              <c:f>'Electricity consumption'!$D$117:$AA$117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consumption'!$D$126:$AA$126</c:f>
              <c:numCache>
                <c:formatCode>#,##0</c:formatCode>
                <c:ptCount val="24"/>
                <c:pt idx="0">
                  <c:v>0.12322017247926703</c:v>
                </c:pt>
                <c:pt idx="1">
                  <c:v>1.4547156668375987</c:v>
                </c:pt>
                <c:pt idx="2">
                  <c:v>3.1302177223038719</c:v>
                </c:pt>
                <c:pt idx="3">
                  <c:v>3.972106351080761</c:v>
                </c:pt>
                <c:pt idx="4">
                  <c:v>4.5159435869915079</c:v>
                </c:pt>
                <c:pt idx="5">
                  <c:v>4.9056571827725319</c:v>
                </c:pt>
                <c:pt idx="6">
                  <c:v>5.1887465639314643</c:v>
                </c:pt>
                <c:pt idx="7">
                  <c:v>5.302745077194178</c:v>
                </c:pt>
                <c:pt idx="8">
                  <c:v>4.2029048456632223</c:v>
                </c:pt>
                <c:pt idx="9">
                  <c:v>3.0640093866414846</c:v>
                </c:pt>
                <c:pt idx="10">
                  <c:v>3.3154554646897845</c:v>
                </c:pt>
                <c:pt idx="11">
                  <c:v>5.4931346537315395</c:v>
                </c:pt>
                <c:pt idx="12">
                  <c:v>11.085914679968054</c:v>
                </c:pt>
                <c:pt idx="13">
                  <c:v>22.378251005546467</c:v>
                </c:pt>
                <c:pt idx="14">
                  <c:v>41.529882582731624</c:v>
                </c:pt>
                <c:pt idx="15">
                  <c:v>68.286692007504314</c:v>
                </c:pt>
                <c:pt idx="16">
                  <c:v>104.63480220135511</c:v>
                </c:pt>
                <c:pt idx="17">
                  <c:v>148.38620232479349</c:v>
                </c:pt>
                <c:pt idx="18">
                  <c:v>198.26665981574507</c:v>
                </c:pt>
                <c:pt idx="19">
                  <c:v>253.43948687890591</c:v>
                </c:pt>
                <c:pt idx="20">
                  <c:v>307.75492701997928</c:v>
                </c:pt>
                <c:pt idx="21">
                  <c:v>358.46839211122222</c:v>
                </c:pt>
                <c:pt idx="22">
                  <c:v>406.13822426644299</c:v>
                </c:pt>
                <c:pt idx="23">
                  <c:v>450.71903654239344</c:v>
                </c:pt>
              </c:numCache>
            </c:numRef>
          </c:val>
          <c:extLst>
            <c:ext xmlns:c16="http://schemas.microsoft.com/office/drawing/2014/chart" uri="{C3380CC4-5D6E-409C-BE32-E72D297353CC}">
              <c16:uniqueId val="{00000001-4E2E-944D-A902-E7ED62563C56}"/>
            </c:ext>
          </c:extLst>
        </c:ser>
        <c:dLbls>
          <c:showLegendKey val="0"/>
          <c:showVal val="0"/>
          <c:showCatName val="0"/>
          <c:showSerName val="0"/>
          <c:showPercent val="0"/>
          <c:showBubbleSize val="0"/>
        </c:dLbls>
        <c:axId val="109304064"/>
        <c:axId val="111484928"/>
      </c:areaChart>
      <c:catAx>
        <c:axId val="109304064"/>
        <c:scaling>
          <c:orientation val="minMax"/>
        </c:scaling>
        <c:delete val="0"/>
        <c:axPos val="b"/>
        <c:numFmt formatCode="General" sourceLinked="1"/>
        <c:majorTickMark val="out"/>
        <c:minorTickMark val="none"/>
        <c:tickLblPos val="nextTo"/>
        <c:crossAx val="111484928"/>
        <c:crosses val="autoZero"/>
        <c:auto val="1"/>
        <c:lblAlgn val="ctr"/>
        <c:lblOffset val="100"/>
        <c:noMultiLvlLbl val="0"/>
      </c:catAx>
      <c:valAx>
        <c:axId val="111484928"/>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0930406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a:t>
            </a:r>
            <a:r>
              <a:rPr lang="da-DK" sz="1200" baseline="0"/>
              <a:t> consumption, road and sea transport</a:t>
            </a:r>
            <a:endParaRPr lang="da-DK" sz="1200"/>
          </a:p>
        </c:rich>
      </c:tx>
      <c:overlay val="0"/>
    </c:title>
    <c:autoTitleDeleted val="0"/>
    <c:plotArea>
      <c:layout/>
      <c:areaChart>
        <c:grouping val="stacked"/>
        <c:varyColors val="0"/>
        <c:ser>
          <c:idx val="0"/>
          <c:order val="0"/>
          <c:tx>
            <c:v>Light transport</c:v>
          </c:tx>
          <c:cat>
            <c:numRef>
              <c:f>'Electricity consumption'!$D$117:$AA$117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consumption'!$D$131:$AA$131</c:f>
              <c:numCache>
                <c:formatCode>#,##0</c:formatCode>
                <c:ptCount val="24"/>
                <c:pt idx="0">
                  <c:v>27.360228586238719</c:v>
                </c:pt>
                <c:pt idx="1">
                  <c:v>29.92871680753931</c:v>
                </c:pt>
                <c:pt idx="2">
                  <c:v>42.478102286321878</c:v>
                </c:pt>
                <c:pt idx="3">
                  <c:v>87.465392889527152</c:v>
                </c:pt>
                <c:pt idx="4">
                  <c:v>184.84731473223968</c:v>
                </c:pt>
                <c:pt idx="5">
                  <c:v>341.50761404716593</c:v>
                </c:pt>
                <c:pt idx="6">
                  <c:v>540.64242629452031</c:v>
                </c:pt>
                <c:pt idx="7">
                  <c:v>765.15605115746757</c:v>
                </c:pt>
                <c:pt idx="8">
                  <c:v>1011.6119292555343</c:v>
                </c:pt>
                <c:pt idx="9">
                  <c:v>1310.6710132424096</c:v>
                </c:pt>
                <c:pt idx="10">
                  <c:v>1649.6239152632249</c:v>
                </c:pt>
                <c:pt idx="11">
                  <c:v>2030.1559322554006</c:v>
                </c:pt>
                <c:pt idx="12">
                  <c:v>2456.2715921846871</c:v>
                </c:pt>
                <c:pt idx="13">
                  <c:v>2917.1579608707525</c:v>
                </c:pt>
                <c:pt idx="14">
                  <c:v>3412.6892501200855</c:v>
                </c:pt>
                <c:pt idx="15">
                  <c:v>3935.2677150927825</c:v>
                </c:pt>
                <c:pt idx="16">
                  <c:v>4532.6861813457053</c:v>
                </c:pt>
                <c:pt idx="17">
                  <c:v>5149.7505530041572</c:v>
                </c:pt>
                <c:pt idx="18">
                  <c:v>5760.4060053397989</c:v>
                </c:pt>
                <c:pt idx="19">
                  <c:v>6353.8975527480634</c:v>
                </c:pt>
                <c:pt idx="20">
                  <c:v>6899.3023680037568</c:v>
                </c:pt>
                <c:pt idx="21">
                  <c:v>7389.4531827903338</c:v>
                </c:pt>
                <c:pt idx="22">
                  <c:v>7840.8877361444775</c:v>
                </c:pt>
                <c:pt idx="23">
                  <c:v>8256.1988032649115</c:v>
                </c:pt>
              </c:numCache>
            </c:numRef>
          </c:val>
          <c:extLst>
            <c:ext xmlns:c16="http://schemas.microsoft.com/office/drawing/2014/chart" uri="{C3380CC4-5D6E-409C-BE32-E72D297353CC}">
              <c16:uniqueId val="{00000000-1697-2949-9057-A0FCC6466A58}"/>
            </c:ext>
          </c:extLst>
        </c:ser>
        <c:ser>
          <c:idx val="1"/>
          <c:order val="1"/>
          <c:tx>
            <c:v>Heavy transport</c:v>
          </c:tx>
          <c:spPr>
            <a:solidFill>
              <a:schemeClr val="accent4"/>
            </a:solidFill>
            <a:ln w="25400">
              <a:noFill/>
            </a:ln>
          </c:spPr>
          <c:cat>
            <c:numRef>
              <c:f>'Electricity consumption'!$D$117:$AA$117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consumption'!$D$132:$AA$132</c:f>
              <c:numCache>
                <c:formatCode>#,##0</c:formatCode>
                <c:ptCount val="24"/>
                <c:pt idx="0">
                  <c:v>0.21107606282532243</c:v>
                </c:pt>
                <c:pt idx="1">
                  <c:v>2.5573920624243631</c:v>
                </c:pt>
                <c:pt idx="2">
                  <c:v>5.7193147278143659</c:v>
                </c:pt>
                <c:pt idx="3">
                  <c:v>7.5471002647510215</c:v>
                </c:pt>
                <c:pt idx="4">
                  <c:v>8.7564398346434018</c:v>
                </c:pt>
                <c:pt idx="5">
                  <c:v>9.6074514940582745</c:v>
                </c:pt>
                <c:pt idx="6">
                  <c:v>10.208016910164847</c:v>
                </c:pt>
                <c:pt idx="7">
                  <c:v>10.484141799019216</c:v>
                </c:pt>
                <c:pt idx="8">
                  <c:v>8.6016923689193909</c:v>
                </c:pt>
                <c:pt idx="9">
                  <c:v>6.4914283465620368</c:v>
                </c:pt>
                <c:pt idx="10">
                  <c:v>6.7762258731227476</c:v>
                </c:pt>
                <c:pt idx="11">
                  <c:v>10.781924369232915</c:v>
                </c:pt>
                <c:pt idx="12">
                  <c:v>21.367459143502259</c:v>
                </c:pt>
                <c:pt idx="13">
                  <c:v>42.890521711092589</c:v>
                </c:pt>
                <c:pt idx="14">
                  <c:v>79.526329648815519</c:v>
                </c:pt>
                <c:pt idx="15">
                  <c:v>130.83343822518827</c:v>
                </c:pt>
                <c:pt idx="16">
                  <c:v>200.72916703777523</c:v>
                </c:pt>
                <c:pt idx="17">
                  <c:v>284.94588124767563</c:v>
                </c:pt>
                <c:pt idx="18">
                  <c:v>381.04585844109567</c:v>
                </c:pt>
                <c:pt idx="19">
                  <c:v>487.61577899728985</c:v>
                </c:pt>
                <c:pt idx="20">
                  <c:v>592.53701417331285</c:v>
                </c:pt>
                <c:pt idx="21">
                  <c:v>690.38127661672343</c:v>
                </c:pt>
                <c:pt idx="22">
                  <c:v>782.25347783167854</c:v>
                </c:pt>
                <c:pt idx="23">
                  <c:v>868.16345917400531</c:v>
                </c:pt>
              </c:numCache>
            </c:numRef>
          </c:val>
          <c:extLst>
            <c:ext xmlns:c16="http://schemas.microsoft.com/office/drawing/2014/chart" uri="{C3380CC4-5D6E-409C-BE32-E72D297353CC}">
              <c16:uniqueId val="{00000001-1697-2949-9057-A0FCC6466A58}"/>
            </c:ext>
          </c:extLst>
        </c:ser>
        <c:ser>
          <c:idx val="2"/>
          <c:order val="2"/>
          <c:tx>
            <c:v>Sea transport</c:v>
          </c:tx>
          <c:spPr>
            <a:solidFill>
              <a:schemeClr val="accent2"/>
            </a:solidFill>
            <a:ln w="25400">
              <a:noFill/>
            </a:ln>
          </c:spPr>
          <c:val>
            <c:numRef>
              <c:f>'Electricity consumption'!$D$133:$AA$133</c:f>
              <c:numCache>
                <c:formatCode>#,##0</c:formatCode>
                <c:ptCount val="24"/>
                <c:pt idx="0">
                  <c:v>120.1584426334645</c:v>
                </c:pt>
                <c:pt idx="1">
                  <c:v>120.39888293651516</c:v>
                </c:pt>
                <c:pt idx="2">
                  <c:v>120.63932323956581</c:v>
                </c:pt>
                <c:pt idx="3">
                  <c:v>114.39488797854861</c:v>
                </c:pt>
                <c:pt idx="4">
                  <c:v>114.66773545288001</c:v>
                </c:pt>
                <c:pt idx="5">
                  <c:v>114.94058292721141</c:v>
                </c:pt>
                <c:pt idx="6">
                  <c:v>115.21343040154278</c:v>
                </c:pt>
                <c:pt idx="7">
                  <c:v>115.48627787587418</c:v>
                </c:pt>
                <c:pt idx="8">
                  <c:v>115.3487514618684</c:v>
                </c:pt>
                <c:pt idx="9">
                  <c:v>115.62503362503439</c:v>
                </c:pt>
                <c:pt idx="10">
                  <c:v>115.90131578820036</c:v>
                </c:pt>
                <c:pt idx="11">
                  <c:v>116.17759795136635</c:v>
                </c:pt>
                <c:pt idx="12">
                  <c:v>116.45388011453232</c:v>
                </c:pt>
                <c:pt idx="13">
                  <c:v>116.41448760211138</c:v>
                </c:pt>
                <c:pt idx="14">
                  <c:v>116.77675119918706</c:v>
                </c:pt>
                <c:pt idx="15">
                  <c:v>117.13901479626271</c:v>
                </c:pt>
                <c:pt idx="16">
                  <c:v>117.5012783933384</c:v>
                </c:pt>
                <c:pt idx="17">
                  <c:v>117.86354199041406</c:v>
                </c:pt>
                <c:pt idx="18">
                  <c:v>117.8209770904393</c:v>
                </c:pt>
                <c:pt idx="19">
                  <c:v>118.19052014349079</c:v>
                </c:pt>
                <c:pt idx="20">
                  <c:v>118.32281238660707</c:v>
                </c:pt>
                <c:pt idx="21">
                  <c:v>118.45510462972335</c:v>
                </c:pt>
                <c:pt idx="22">
                  <c:v>118.58739687283962</c:v>
                </c:pt>
                <c:pt idx="23">
                  <c:v>118.37815339299733</c:v>
                </c:pt>
              </c:numCache>
            </c:numRef>
          </c:val>
          <c:extLst>
            <c:ext xmlns:c16="http://schemas.microsoft.com/office/drawing/2014/chart" uri="{C3380CC4-5D6E-409C-BE32-E72D297353CC}">
              <c16:uniqueId val="{00000002-1697-2949-9057-A0FCC6466A58}"/>
            </c:ext>
          </c:extLst>
        </c:ser>
        <c:dLbls>
          <c:showLegendKey val="0"/>
          <c:showVal val="0"/>
          <c:showCatName val="0"/>
          <c:showSerName val="0"/>
          <c:showPercent val="0"/>
          <c:showBubbleSize val="0"/>
        </c:dLbls>
        <c:axId val="111525888"/>
        <c:axId val="111527424"/>
      </c:areaChart>
      <c:lineChart>
        <c:grouping val="standard"/>
        <c:varyColors val="0"/>
        <c:ser>
          <c:idx val="3"/>
          <c:order val="3"/>
          <c:tx>
            <c:v>Electric vehicles, AF2016</c:v>
          </c:tx>
          <c:spPr>
            <a:ln>
              <a:solidFill>
                <a:schemeClr val="accent3"/>
              </a:solidFill>
              <a:prstDash val="sysDash"/>
            </a:ln>
          </c:spPr>
          <c:marker>
            <c:symbol val="none"/>
          </c:marker>
          <c:val>
            <c:numRef>
              <c:f>'Electricity consumption'!$D$296:$AA$296</c:f>
              <c:numCache>
                <c:formatCode>#,##0</c:formatCode>
                <c:ptCount val="24"/>
                <c:pt idx="0">
                  <c:v>27</c:v>
                </c:pt>
                <c:pt idx="1">
                  <c:v>30</c:v>
                </c:pt>
                <c:pt idx="2">
                  <c:v>33.75</c:v>
                </c:pt>
                <c:pt idx="3">
                  <c:v>37.5</c:v>
                </c:pt>
                <c:pt idx="4">
                  <c:v>99.75</c:v>
                </c:pt>
                <c:pt idx="5">
                  <c:v>162</c:v>
                </c:pt>
                <c:pt idx="6">
                  <c:v>224.25</c:v>
                </c:pt>
                <c:pt idx="7">
                  <c:v>286.5</c:v>
                </c:pt>
                <c:pt idx="8">
                  <c:v>348.75</c:v>
                </c:pt>
                <c:pt idx="9">
                  <c:v>411</c:v>
                </c:pt>
                <c:pt idx="10">
                  <c:v>473.25</c:v>
                </c:pt>
                <c:pt idx="11">
                  <c:v>535.5</c:v>
                </c:pt>
                <c:pt idx="12">
                  <c:v>597.75</c:v>
                </c:pt>
                <c:pt idx="13">
                  <c:v>660</c:v>
                </c:pt>
                <c:pt idx="14">
                  <c:v>768</c:v>
                </c:pt>
                <c:pt idx="15">
                  <c:v>876</c:v>
                </c:pt>
                <c:pt idx="16">
                  <c:v>984</c:v>
                </c:pt>
                <c:pt idx="17">
                  <c:v>1092</c:v>
                </c:pt>
                <c:pt idx="18">
                  <c:v>1200</c:v>
                </c:pt>
                <c:pt idx="19">
                  <c:v>1410</c:v>
                </c:pt>
                <c:pt idx="20">
                  <c:v>1620</c:v>
                </c:pt>
                <c:pt idx="21">
                  <c:v>1830</c:v>
                </c:pt>
                <c:pt idx="22">
                  <c:v>2040</c:v>
                </c:pt>
                <c:pt idx="23">
                  <c:v>2250</c:v>
                </c:pt>
              </c:numCache>
            </c:numRef>
          </c:val>
          <c:smooth val="0"/>
          <c:extLst>
            <c:ext xmlns:c16="http://schemas.microsoft.com/office/drawing/2014/chart" uri="{C3380CC4-5D6E-409C-BE32-E72D297353CC}">
              <c16:uniqueId val="{00000003-1697-2949-9057-A0FCC6466A58}"/>
            </c:ext>
          </c:extLst>
        </c:ser>
        <c:dLbls>
          <c:showLegendKey val="0"/>
          <c:showVal val="0"/>
          <c:showCatName val="0"/>
          <c:showSerName val="0"/>
          <c:showPercent val="0"/>
          <c:showBubbleSize val="0"/>
        </c:dLbls>
        <c:marker val="1"/>
        <c:smooth val="0"/>
        <c:axId val="111525888"/>
        <c:axId val="111527424"/>
      </c:lineChart>
      <c:catAx>
        <c:axId val="111525888"/>
        <c:scaling>
          <c:orientation val="minMax"/>
        </c:scaling>
        <c:delete val="0"/>
        <c:axPos val="b"/>
        <c:numFmt formatCode="General" sourceLinked="1"/>
        <c:majorTickMark val="out"/>
        <c:minorTickMark val="none"/>
        <c:tickLblPos val="nextTo"/>
        <c:crossAx val="111527424"/>
        <c:crosses val="autoZero"/>
        <c:auto val="1"/>
        <c:lblAlgn val="ctr"/>
        <c:lblOffset val="100"/>
        <c:noMultiLvlLbl val="0"/>
      </c:catAx>
      <c:valAx>
        <c:axId val="111527424"/>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152588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 consumption,</a:t>
            </a:r>
            <a:r>
              <a:rPr lang="da-DK" sz="1200" baseline="0"/>
              <a:t> rail transport</a:t>
            </a:r>
            <a:endParaRPr lang="da-DK" sz="1200"/>
          </a:p>
        </c:rich>
      </c:tx>
      <c:overlay val="0"/>
    </c:title>
    <c:autoTitleDeleted val="0"/>
    <c:plotArea>
      <c:layout/>
      <c:areaChart>
        <c:grouping val="stacked"/>
        <c:varyColors val="0"/>
        <c:ser>
          <c:idx val="0"/>
          <c:order val="0"/>
          <c:tx>
            <c:v>Western Denmark</c:v>
          </c:tx>
          <c:cat>
            <c:numRef>
              <c:f>'Electricity consumption'!$D$35:$AA$35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consumption'!$D$160:$AA$160</c:f>
              <c:numCache>
                <c:formatCode>#,##0</c:formatCode>
                <c:ptCount val="24"/>
                <c:pt idx="0">
                  <c:v>74</c:v>
                </c:pt>
                <c:pt idx="1">
                  <c:v>85.320388000000008</c:v>
                </c:pt>
                <c:pt idx="2">
                  <c:v>96.640776000000002</c:v>
                </c:pt>
                <c:pt idx="3">
                  <c:v>116.39994</c:v>
                </c:pt>
                <c:pt idx="4">
                  <c:v>165.58692000000002</c:v>
                </c:pt>
                <c:pt idx="5">
                  <c:v>244.348612</c:v>
                </c:pt>
                <c:pt idx="6">
                  <c:v>326.90587600000003</c:v>
                </c:pt>
                <c:pt idx="7">
                  <c:v>409.46313999999995</c:v>
                </c:pt>
                <c:pt idx="8">
                  <c:v>487.08422800000005</c:v>
                </c:pt>
                <c:pt idx="9">
                  <c:v>538.64066000000003</c:v>
                </c:pt>
                <c:pt idx="10">
                  <c:v>560.62238000000002</c:v>
                </c:pt>
                <c:pt idx="11">
                  <c:v>567.48814000000004</c:v>
                </c:pt>
                <c:pt idx="12">
                  <c:v>574.35389999999995</c:v>
                </c:pt>
                <c:pt idx="13">
                  <c:v>577.71705999999995</c:v>
                </c:pt>
                <c:pt idx="14">
                  <c:v>577.71705999999995</c:v>
                </c:pt>
                <c:pt idx="15">
                  <c:v>577.71705999999995</c:v>
                </c:pt>
                <c:pt idx="16">
                  <c:v>577.71705999999995</c:v>
                </c:pt>
                <c:pt idx="17">
                  <c:v>577.71705999999995</c:v>
                </c:pt>
                <c:pt idx="18">
                  <c:v>577.71705999999995</c:v>
                </c:pt>
                <c:pt idx="19">
                  <c:v>577.71705999999995</c:v>
                </c:pt>
                <c:pt idx="20">
                  <c:v>577.71705999999995</c:v>
                </c:pt>
                <c:pt idx="21">
                  <c:v>577.71705999999995</c:v>
                </c:pt>
                <c:pt idx="22">
                  <c:v>577.71705999999995</c:v>
                </c:pt>
                <c:pt idx="23">
                  <c:v>577.71705999999995</c:v>
                </c:pt>
              </c:numCache>
            </c:numRef>
          </c:val>
          <c:extLst>
            <c:ext xmlns:c16="http://schemas.microsoft.com/office/drawing/2014/chart" uri="{C3380CC4-5D6E-409C-BE32-E72D297353CC}">
              <c16:uniqueId val="{00000000-65D4-8345-B479-10EB915F89E1}"/>
            </c:ext>
          </c:extLst>
        </c:ser>
        <c:ser>
          <c:idx val="1"/>
          <c:order val="1"/>
          <c:tx>
            <c:v>Eastern Denmark</c:v>
          </c:tx>
          <c:val>
            <c:numRef>
              <c:f>'Electricity consumption'!$D$165:$AA$165</c:f>
              <c:numCache>
                <c:formatCode>#,##0</c:formatCode>
                <c:ptCount val="24"/>
                <c:pt idx="0">
                  <c:v>119.80000000000001</c:v>
                </c:pt>
                <c:pt idx="1">
                  <c:v>139.92384800000002</c:v>
                </c:pt>
                <c:pt idx="2">
                  <c:v>160.047696</c:v>
                </c:pt>
                <c:pt idx="3">
                  <c:v>200.11146400000001</c:v>
                </c:pt>
                <c:pt idx="4">
                  <c:v>312.98781200000002</c:v>
                </c:pt>
                <c:pt idx="5">
                  <c:v>425.86416000000003</c:v>
                </c:pt>
                <c:pt idx="6">
                  <c:v>518.61665999999991</c:v>
                </c:pt>
                <c:pt idx="7">
                  <c:v>650.56773599999997</c:v>
                </c:pt>
                <c:pt idx="8">
                  <c:v>762.578892</c:v>
                </c:pt>
                <c:pt idx="9">
                  <c:v>820.36946799999987</c:v>
                </c:pt>
                <c:pt idx="10">
                  <c:v>878.16004399999997</c:v>
                </c:pt>
                <c:pt idx="11">
                  <c:v>935.95062000000007</c:v>
                </c:pt>
                <c:pt idx="12">
                  <c:v>954.54261999999994</c:v>
                </c:pt>
                <c:pt idx="13">
                  <c:v>973.13462000000004</c:v>
                </c:pt>
                <c:pt idx="14">
                  <c:v>973.13462000000004</c:v>
                </c:pt>
                <c:pt idx="15">
                  <c:v>973.13462000000004</c:v>
                </c:pt>
                <c:pt idx="16">
                  <c:v>973.13462000000004</c:v>
                </c:pt>
                <c:pt idx="17">
                  <c:v>973.13462000000004</c:v>
                </c:pt>
                <c:pt idx="18">
                  <c:v>973.13462000000004</c:v>
                </c:pt>
                <c:pt idx="19">
                  <c:v>973.13462000000004</c:v>
                </c:pt>
                <c:pt idx="20">
                  <c:v>973.13462000000004</c:v>
                </c:pt>
                <c:pt idx="21">
                  <c:v>973.13462000000004</c:v>
                </c:pt>
                <c:pt idx="22">
                  <c:v>973.13462000000004</c:v>
                </c:pt>
                <c:pt idx="23">
                  <c:v>973.13462000000004</c:v>
                </c:pt>
              </c:numCache>
            </c:numRef>
          </c:val>
          <c:extLst>
            <c:ext xmlns:c16="http://schemas.microsoft.com/office/drawing/2014/chart" uri="{C3380CC4-5D6E-409C-BE32-E72D297353CC}">
              <c16:uniqueId val="{00000001-65D4-8345-B479-10EB915F89E1}"/>
            </c:ext>
          </c:extLst>
        </c:ser>
        <c:dLbls>
          <c:showLegendKey val="0"/>
          <c:showVal val="0"/>
          <c:showCatName val="0"/>
          <c:showSerName val="0"/>
          <c:showPercent val="0"/>
          <c:showBubbleSize val="0"/>
        </c:dLbls>
        <c:axId val="113662976"/>
        <c:axId val="113668864"/>
      </c:areaChart>
      <c:lineChart>
        <c:grouping val="standard"/>
        <c:varyColors val="0"/>
        <c:ser>
          <c:idx val="3"/>
          <c:order val="2"/>
          <c:tx>
            <c:v>Denmark, AF2016</c:v>
          </c:tx>
          <c:spPr>
            <a:ln>
              <a:solidFill>
                <a:schemeClr val="accent3"/>
              </a:solidFill>
              <a:prstDash val="dash"/>
            </a:ln>
          </c:spPr>
          <c:marker>
            <c:symbol val="none"/>
          </c:marker>
          <c:val>
            <c:numRef>
              <c:f>'Electricity consumption'!$D$297:$AA$297</c:f>
              <c:numCache>
                <c:formatCode>#,##0</c:formatCode>
                <c:ptCount val="24"/>
                <c:pt idx="0">
                  <c:v>202.24077599999998</c:v>
                </c:pt>
                <c:pt idx="1">
                  <c:v>230.48501200000001</c:v>
                </c:pt>
                <c:pt idx="2">
                  <c:v>277.70503999999994</c:v>
                </c:pt>
                <c:pt idx="3">
                  <c:v>434.96945599999998</c:v>
                </c:pt>
                <c:pt idx="4">
                  <c:v>595.75074799999993</c:v>
                </c:pt>
                <c:pt idx="5">
                  <c:v>795.04419199999984</c:v>
                </c:pt>
                <c:pt idx="6">
                  <c:v>989.32974799999988</c:v>
                </c:pt>
                <c:pt idx="7">
                  <c:v>1203.4542959999999</c:v>
                </c:pt>
                <c:pt idx="8">
                  <c:v>1311.0370559999999</c:v>
                </c:pt>
                <c:pt idx="9">
                  <c:v>1410.3457119999998</c:v>
                </c:pt>
                <c:pt idx="10">
                  <c:v>1471.1422160000002</c:v>
                </c:pt>
                <c:pt idx="11">
                  <c:v>1516.82276</c:v>
                </c:pt>
                <c:pt idx="12">
                  <c:v>1523.6885200000002</c:v>
                </c:pt>
                <c:pt idx="13">
                  <c:v>1527.05168</c:v>
                </c:pt>
                <c:pt idx="14">
                  <c:v>1527.05168</c:v>
                </c:pt>
                <c:pt idx="15">
                  <c:v>1527.05168</c:v>
                </c:pt>
                <c:pt idx="16">
                  <c:v>1527.05168</c:v>
                </c:pt>
                <c:pt idx="17">
                  <c:v>1527.05168</c:v>
                </c:pt>
                <c:pt idx="18">
                  <c:v>1527.05168</c:v>
                </c:pt>
                <c:pt idx="19">
                  <c:v>1527.05168</c:v>
                </c:pt>
                <c:pt idx="20">
                  <c:v>1527.05168</c:v>
                </c:pt>
                <c:pt idx="21">
                  <c:v>1527.05168</c:v>
                </c:pt>
                <c:pt idx="22">
                  <c:v>1527.05168</c:v>
                </c:pt>
                <c:pt idx="23">
                  <c:v>1527.05168</c:v>
                </c:pt>
              </c:numCache>
            </c:numRef>
          </c:val>
          <c:smooth val="0"/>
          <c:extLst>
            <c:ext xmlns:c16="http://schemas.microsoft.com/office/drawing/2014/chart" uri="{C3380CC4-5D6E-409C-BE32-E72D297353CC}">
              <c16:uniqueId val="{00000002-65D4-8345-B479-10EB915F89E1}"/>
            </c:ext>
          </c:extLst>
        </c:ser>
        <c:dLbls>
          <c:showLegendKey val="0"/>
          <c:showVal val="0"/>
          <c:showCatName val="0"/>
          <c:showSerName val="0"/>
          <c:showPercent val="0"/>
          <c:showBubbleSize val="0"/>
        </c:dLbls>
        <c:marker val="1"/>
        <c:smooth val="0"/>
        <c:axId val="113662976"/>
        <c:axId val="113668864"/>
      </c:lineChart>
      <c:catAx>
        <c:axId val="113662976"/>
        <c:scaling>
          <c:orientation val="minMax"/>
        </c:scaling>
        <c:delete val="0"/>
        <c:axPos val="b"/>
        <c:numFmt formatCode="General" sourceLinked="1"/>
        <c:majorTickMark val="out"/>
        <c:minorTickMark val="none"/>
        <c:tickLblPos val="nextTo"/>
        <c:crossAx val="113668864"/>
        <c:crosses val="autoZero"/>
        <c:auto val="1"/>
        <c:lblAlgn val="ctr"/>
        <c:lblOffset val="100"/>
        <c:tickLblSkip val="1"/>
        <c:noMultiLvlLbl val="0"/>
      </c:catAx>
      <c:valAx>
        <c:axId val="113668864"/>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366297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 consumtion,</a:t>
            </a:r>
            <a:r>
              <a:rPr lang="da-DK" sz="1200" baseline="0"/>
              <a:t> large data centres</a:t>
            </a:r>
            <a:endParaRPr lang="da-DK" sz="1200"/>
          </a:p>
        </c:rich>
      </c:tx>
      <c:overlay val="0"/>
    </c:title>
    <c:autoTitleDeleted val="0"/>
    <c:plotArea>
      <c:layout/>
      <c:areaChart>
        <c:grouping val="standard"/>
        <c:varyColors val="0"/>
        <c:ser>
          <c:idx val="0"/>
          <c:order val="0"/>
          <c:tx>
            <c:v>Denmark</c:v>
          </c:tx>
          <c:cat>
            <c:numRef>
              <c:f>'Electricity consumption'!$D$187:$AA$187</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consumption'!$D$190:$AA$190</c:f>
              <c:numCache>
                <c:formatCode>#,##0</c:formatCode>
                <c:ptCount val="24"/>
                <c:pt idx="0">
                  <c:v>0</c:v>
                </c:pt>
                <c:pt idx="1">
                  <c:v>423.40000000000003</c:v>
                </c:pt>
                <c:pt idx="2">
                  <c:v>846.80000000000007</c:v>
                </c:pt>
                <c:pt idx="3">
                  <c:v>1445.4</c:v>
                </c:pt>
                <c:pt idx="4">
                  <c:v>2044.0000000000002</c:v>
                </c:pt>
                <c:pt idx="5">
                  <c:v>2642.6</c:v>
                </c:pt>
                <c:pt idx="6">
                  <c:v>3241.2</c:v>
                </c:pt>
                <c:pt idx="7">
                  <c:v>3416.3999999999996</c:v>
                </c:pt>
                <c:pt idx="8">
                  <c:v>3591.6000000000004</c:v>
                </c:pt>
                <c:pt idx="9">
                  <c:v>3591.6000000000004</c:v>
                </c:pt>
                <c:pt idx="10">
                  <c:v>3591.6000000000004</c:v>
                </c:pt>
                <c:pt idx="11">
                  <c:v>3591.6000000000004</c:v>
                </c:pt>
                <c:pt idx="12">
                  <c:v>3591.6000000000004</c:v>
                </c:pt>
                <c:pt idx="13">
                  <c:v>3591.6000000000004</c:v>
                </c:pt>
                <c:pt idx="14">
                  <c:v>3591.6000000000004</c:v>
                </c:pt>
                <c:pt idx="15">
                  <c:v>3591.6000000000004</c:v>
                </c:pt>
                <c:pt idx="16">
                  <c:v>3591.6000000000004</c:v>
                </c:pt>
                <c:pt idx="17">
                  <c:v>3591.6000000000004</c:v>
                </c:pt>
                <c:pt idx="18">
                  <c:v>3591.6000000000004</c:v>
                </c:pt>
                <c:pt idx="19">
                  <c:v>3591.6000000000004</c:v>
                </c:pt>
                <c:pt idx="20">
                  <c:v>3591.6000000000004</c:v>
                </c:pt>
                <c:pt idx="21">
                  <c:v>3591.6000000000004</c:v>
                </c:pt>
                <c:pt idx="22">
                  <c:v>3591.6000000000004</c:v>
                </c:pt>
                <c:pt idx="23">
                  <c:v>3591.6000000000004</c:v>
                </c:pt>
              </c:numCache>
            </c:numRef>
          </c:val>
          <c:extLst>
            <c:ext xmlns:c16="http://schemas.microsoft.com/office/drawing/2014/chart" uri="{C3380CC4-5D6E-409C-BE32-E72D297353CC}">
              <c16:uniqueId val="{00000000-D85D-2D41-88AD-6EBE12D31F43}"/>
            </c:ext>
          </c:extLst>
        </c:ser>
        <c:dLbls>
          <c:showLegendKey val="0"/>
          <c:showVal val="0"/>
          <c:showCatName val="0"/>
          <c:showSerName val="0"/>
          <c:showPercent val="0"/>
          <c:showBubbleSize val="0"/>
        </c:dLbls>
        <c:axId val="113698688"/>
        <c:axId val="113700224"/>
      </c:areaChart>
      <c:lineChart>
        <c:grouping val="standard"/>
        <c:varyColors val="0"/>
        <c:ser>
          <c:idx val="1"/>
          <c:order val="1"/>
          <c:tx>
            <c:v>Denmark, AF2016</c:v>
          </c:tx>
          <c:spPr>
            <a:ln>
              <a:solidFill>
                <a:schemeClr val="accent3"/>
              </a:solidFill>
              <a:prstDash val="dash"/>
            </a:ln>
          </c:spPr>
          <c:marker>
            <c:symbol val="none"/>
          </c:marker>
          <c:val>
            <c:numRef>
              <c:f>'Electricity consumption'!$D$298:$AA$298</c:f>
              <c:numCache>
                <c:formatCode>#,##0</c:formatCode>
                <c:ptCount val="24"/>
                <c:pt idx="0">
                  <c:v>0</c:v>
                </c:pt>
                <c:pt idx="1">
                  <c:v>700.8</c:v>
                </c:pt>
                <c:pt idx="2">
                  <c:v>1401.6</c:v>
                </c:pt>
                <c:pt idx="3">
                  <c:v>2102.4</c:v>
                </c:pt>
                <c:pt idx="4">
                  <c:v>2657.2</c:v>
                </c:pt>
                <c:pt idx="5">
                  <c:v>3212</c:v>
                </c:pt>
                <c:pt idx="6">
                  <c:v>3766.8</c:v>
                </c:pt>
                <c:pt idx="7">
                  <c:v>3766.8</c:v>
                </c:pt>
                <c:pt idx="8">
                  <c:v>3766.8</c:v>
                </c:pt>
                <c:pt idx="9">
                  <c:v>3766.8</c:v>
                </c:pt>
                <c:pt idx="10">
                  <c:v>3766.8</c:v>
                </c:pt>
                <c:pt idx="11">
                  <c:v>3766.8</c:v>
                </c:pt>
                <c:pt idx="12">
                  <c:v>3766.8</c:v>
                </c:pt>
                <c:pt idx="13">
                  <c:v>3766.8</c:v>
                </c:pt>
                <c:pt idx="14">
                  <c:v>3766.8</c:v>
                </c:pt>
                <c:pt idx="15">
                  <c:v>3766.8</c:v>
                </c:pt>
                <c:pt idx="16">
                  <c:v>3766.8</c:v>
                </c:pt>
                <c:pt idx="17">
                  <c:v>3766.8</c:v>
                </c:pt>
                <c:pt idx="18">
                  <c:v>3766.8</c:v>
                </c:pt>
                <c:pt idx="19">
                  <c:v>3766.8</c:v>
                </c:pt>
                <c:pt idx="20">
                  <c:v>3766.8</c:v>
                </c:pt>
                <c:pt idx="21">
                  <c:v>3766.8</c:v>
                </c:pt>
                <c:pt idx="22">
                  <c:v>3766.8</c:v>
                </c:pt>
                <c:pt idx="23">
                  <c:v>3766.8</c:v>
                </c:pt>
              </c:numCache>
            </c:numRef>
          </c:val>
          <c:smooth val="0"/>
          <c:extLst>
            <c:ext xmlns:c16="http://schemas.microsoft.com/office/drawing/2014/chart" uri="{C3380CC4-5D6E-409C-BE32-E72D297353CC}">
              <c16:uniqueId val="{00000001-D85D-2D41-88AD-6EBE12D31F43}"/>
            </c:ext>
          </c:extLst>
        </c:ser>
        <c:dLbls>
          <c:showLegendKey val="0"/>
          <c:showVal val="0"/>
          <c:showCatName val="0"/>
          <c:showSerName val="0"/>
          <c:showPercent val="0"/>
          <c:showBubbleSize val="0"/>
        </c:dLbls>
        <c:marker val="1"/>
        <c:smooth val="0"/>
        <c:axId val="113698688"/>
        <c:axId val="113700224"/>
      </c:lineChart>
      <c:catAx>
        <c:axId val="113698688"/>
        <c:scaling>
          <c:orientation val="minMax"/>
        </c:scaling>
        <c:delete val="0"/>
        <c:axPos val="b"/>
        <c:numFmt formatCode="General" sourceLinked="1"/>
        <c:majorTickMark val="out"/>
        <c:minorTickMark val="none"/>
        <c:tickLblPos val="nextTo"/>
        <c:crossAx val="113700224"/>
        <c:crosses val="autoZero"/>
        <c:auto val="1"/>
        <c:lblAlgn val="ctr"/>
        <c:lblOffset val="100"/>
        <c:tickLblSkip val="1"/>
        <c:noMultiLvlLbl val="0"/>
      </c:catAx>
      <c:valAx>
        <c:axId val="113700224"/>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369868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1" i="0" u="none" strike="noStrike" baseline="0">
                <a:effectLst/>
              </a:rPr>
              <a:t>Total gross electricity consumption, Western Denmark </a:t>
            </a:r>
            <a:r>
              <a:rPr lang="da-DK" sz="1200"/>
              <a:t>(DK2)</a:t>
            </a:r>
          </a:p>
        </c:rich>
      </c:tx>
      <c:overlay val="0"/>
    </c:title>
    <c:autoTitleDeleted val="0"/>
    <c:plotArea>
      <c:layout/>
      <c:areaChart>
        <c:grouping val="stacked"/>
        <c:varyColors val="0"/>
        <c:ser>
          <c:idx val="1"/>
          <c:order val="0"/>
          <c:tx>
            <c:strRef>
              <c:f>'Electricity consumption'!$B$246</c:f>
              <c:strCache>
                <c:ptCount val="1"/>
                <c:pt idx="0">
                  <c:v>Traditional consumption</c:v>
                </c:pt>
              </c:strCache>
            </c:strRef>
          </c:tx>
          <c:spPr>
            <a:ln>
              <a:solidFill>
                <a:schemeClr val="accent1"/>
              </a:solidFill>
              <a:prstDash val="dash"/>
            </a:ln>
          </c:spPr>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consumption'!$D$246:$AA$246</c:f>
              <c:numCache>
                <c:formatCode>#,##0</c:formatCode>
                <c:ptCount val="24"/>
                <c:pt idx="0">
                  <c:v>13473.312720224319</c:v>
                </c:pt>
                <c:pt idx="1">
                  <c:v>13561.351555423402</c:v>
                </c:pt>
                <c:pt idx="2">
                  <c:v>13667.645467672273</c:v>
                </c:pt>
                <c:pt idx="3">
                  <c:v>13669.710414385787</c:v>
                </c:pt>
                <c:pt idx="4">
                  <c:v>13642.433546940194</c:v>
                </c:pt>
                <c:pt idx="5">
                  <c:v>13665.745712729937</c:v>
                </c:pt>
                <c:pt idx="6">
                  <c:v>13665.844175388249</c:v>
                </c:pt>
                <c:pt idx="7">
                  <c:v>13682.882936108741</c:v>
                </c:pt>
                <c:pt idx="8">
                  <c:v>13696.652429377251</c:v>
                </c:pt>
                <c:pt idx="9">
                  <c:v>13694.171875613376</c:v>
                </c:pt>
                <c:pt idx="10">
                  <c:v>13700.52498830683</c:v>
                </c:pt>
                <c:pt idx="11">
                  <c:v>13691.535429512556</c:v>
                </c:pt>
                <c:pt idx="12">
                  <c:v>13685.704542564223</c:v>
                </c:pt>
                <c:pt idx="13">
                  <c:v>13708.767046233623</c:v>
                </c:pt>
                <c:pt idx="14">
                  <c:v>13699.907850797823</c:v>
                </c:pt>
                <c:pt idx="15">
                  <c:v>13695.395131208046</c:v>
                </c:pt>
                <c:pt idx="16">
                  <c:v>13672.148947694424</c:v>
                </c:pt>
                <c:pt idx="17">
                  <c:v>13645.097640171702</c:v>
                </c:pt>
                <c:pt idx="18">
                  <c:v>13658.132914497892</c:v>
                </c:pt>
                <c:pt idx="19">
                  <c:v>13640.723047650052</c:v>
                </c:pt>
                <c:pt idx="20">
                  <c:v>13636.587728260554</c:v>
                </c:pt>
                <c:pt idx="21">
                  <c:v>13629.087762558354</c:v>
                </c:pt>
                <c:pt idx="22">
                  <c:v>13622.93274902562</c:v>
                </c:pt>
                <c:pt idx="23">
                  <c:v>13654.255364337972</c:v>
                </c:pt>
              </c:numCache>
            </c:numRef>
          </c:val>
          <c:extLst>
            <c:ext xmlns:c16="http://schemas.microsoft.com/office/drawing/2014/chart" uri="{C3380CC4-5D6E-409C-BE32-E72D297353CC}">
              <c16:uniqueId val="{00000000-26B5-8F4C-8857-87265632F673}"/>
            </c:ext>
          </c:extLst>
        </c:ser>
        <c:ser>
          <c:idx val="0"/>
          <c:order val="1"/>
          <c:tx>
            <c:strRef>
              <c:f>'Electricity consumption'!$B$247</c:f>
              <c:strCache>
                <c:ptCount val="1"/>
                <c:pt idx="0">
                  <c:v>Household heat pumps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consumption'!$D$247:$AA$247</c:f>
              <c:numCache>
                <c:formatCode>#,##0</c:formatCode>
                <c:ptCount val="24"/>
                <c:pt idx="0">
                  <c:v>225.28881060579303</c:v>
                </c:pt>
                <c:pt idx="1">
                  <c:v>239.44046307019718</c:v>
                </c:pt>
                <c:pt idx="2">
                  <c:v>254.49183276136421</c:v>
                </c:pt>
                <c:pt idx="3">
                  <c:v>270.54749743872998</c:v>
                </c:pt>
                <c:pt idx="4">
                  <c:v>295.86893929364584</c:v>
                </c:pt>
                <c:pt idx="5">
                  <c:v>323.36526729142048</c:v>
                </c:pt>
                <c:pt idx="6">
                  <c:v>353.40034676247967</c:v>
                </c:pt>
                <c:pt idx="7">
                  <c:v>385.07755614216319</c:v>
                </c:pt>
                <c:pt idx="8">
                  <c:v>418.12915411043298</c:v>
                </c:pt>
                <c:pt idx="9">
                  <c:v>452.38459402775499</c:v>
                </c:pt>
                <c:pt idx="10">
                  <c:v>487.62984755719401</c:v>
                </c:pt>
                <c:pt idx="11">
                  <c:v>524.02855130454464</c:v>
                </c:pt>
                <c:pt idx="12">
                  <c:v>561.29246245878664</c:v>
                </c:pt>
                <c:pt idx="13">
                  <c:v>598.22645694437836</c:v>
                </c:pt>
                <c:pt idx="14">
                  <c:v>636.61760959577612</c:v>
                </c:pt>
                <c:pt idx="15">
                  <c:v>678.14571804383786</c:v>
                </c:pt>
                <c:pt idx="16">
                  <c:v>720.21174402978147</c:v>
                </c:pt>
                <c:pt idx="17">
                  <c:v>747.30174531067416</c:v>
                </c:pt>
                <c:pt idx="18">
                  <c:v>773.25025454230729</c:v>
                </c:pt>
                <c:pt idx="19">
                  <c:v>799.2404708662466</c:v>
                </c:pt>
                <c:pt idx="20">
                  <c:v>824.83220368861998</c:v>
                </c:pt>
                <c:pt idx="21">
                  <c:v>849.98943562717511</c:v>
                </c:pt>
                <c:pt idx="22">
                  <c:v>874.67470070535921</c:v>
                </c:pt>
                <c:pt idx="23">
                  <c:v>898.84903631892882</c:v>
                </c:pt>
              </c:numCache>
            </c:numRef>
          </c:val>
          <c:extLst>
            <c:ext xmlns:c16="http://schemas.microsoft.com/office/drawing/2014/chart" uri="{C3380CC4-5D6E-409C-BE32-E72D297353CC}">
              <c16:uniqueId val="{00000001-26B5-8F4C-8857-87265632F673}"/>
            </c:ext>
          </c:extLst>
        </c:ser>
        <c:ser>
          <c:idx val="2"/>
          <c:order val="2"/>
          <c:tx>
            <c:strRef>
              <c:f>'Electricity consumption'!$B$248</c:f>
              <c:strCache>
                <c:ptCount val="1"/>
                <c:pt idx="0">
                  <c:v>Large heat pumps</c:v>
                </c:pt>
              </c:strCache>
            </c:strRef>
          </c:tx>
          <c:spPr>
            <a:solidFill>
              <a:srgbClr val="F9AF3C"/>
            </a:solidFill>
          </c:spPr>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consumption'!$D$248:$AA$248</c:f>
              <c:numCache>
                <c:formatCode>#,##0</c:formatCode>
                <c:ptCount val="24"/>
                <c:pt idx="0">
                  <c:v>19.606303992000004</c:v>
                </c:pt>
                <c:pt idx="1">
                  <c:v>46.123944723999998</c:v>
                </c:pt>
                <c:pt idx="2">
                  <c:v>67.404646446000001</c:v>
                </c:pt>
                <c:pt idx="3">
                  <c:v>72.097872660000007</c:v>
                </c:pt>
                <c:pt idx="4">
                  <c:v>78.598558721999993</c:v>
                </c:pt>
                <c:pt idx="5">
                  <c:v>85.262873274</c:v>
                </c:pt>
                <c:pt idx="6">
                  <c:v>86.645807786000006</c:v>
                </c:pt>
                <c:pt idx="7">
                  <c:v>82.353714192000027</c:v>
                </c:pt>
                <c:pt idx="8">
                  <c:v>79.829807022000026</c:v>
                </c:pt>
                <c:pt idx="9">
                  <c:v>88.156857713999997</c:v>
                </c:pt>
                <c:pt idx="10">
                  <c:v>92.43830487999999</c:v>
                </c:pt>
                <c:pt idx="11">
                  <c:v>97.791645882000012</c:v>
                </c:pt>
                <c:pt idx="12">
                  <c:v>97.580271918000022</c:v>
                </c:pt>
                <c:pt idx="13">
                  <c:v>233.79463625599999</c:v>
                </c:pt>
                <c:pt idx="14">
                  <c:v>239.81963109999998</c:v>
                </c:pt>
                <c:pt idx="15">
                  <c:v>246.31559888999996</c:v>
                </c:pt>
                <c:pt idx="16">
                  <c:v>249.70862126000003</c:v>
                </c:pt>
                <c:pt idx="17">
                  <c:v>247.53454324</c:v>
                </c:pt>
                <c:pt idx="18">
                  <c:v>261.52631141800003</c:v>
                </c:pt>
                <c:pt idx="19">
                  <c:v>267.63094151799999</c:v>
                </c:pt>
                <c:pt idx="20">
                  <c:v>275.54272109800002</c:v>
                </c:pt>
                <c:pt idx="21">
                  <c:v>277.77389676000001</c:v>
                </c:pt>
                <c:pt idx="22">
                  <c:v>279.30175849999989</c:v>
                </c:pt>
                <c:pt idx="23">
                  <c:v>277.77939296599999</c:v>
                </c:pt>
              </c:numCache>
            </c:numRef>
          </c:val>
          <c:extLst>
            <c:ext xmlns:c16="http://schemas.microsoft.com/office/drawing/2014/chart" uri="{C3380CC4-5D6E-409C-BE32-E72D297353CC}">
              <c16:uniqueId val="{00000002-26B5-8F4C-8857-87265632F673}"/>
            </c:ext>
          </c:extLst>
        </c:ser>
        <c:ser>
          <c:idx val="3"/>
          <c:order val="3"/>
          <c:tx>
            <c:strRef>
              <c:f>'Electricity consumption'!$B$249</c:f>
              <c:strCache>
                <c:ptCount val="1"/>
                <c:pt idx="0">
                  <c:v>Electric boilers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consumption'!$D$249:$AA$249</c:f>
              <c:numCache>
                <c:formatCode>#,##0</c:formatCode>
                <c:ptCount val="24"/>
                <c:pt idx="0">
                  <c:v>121.79368581600001</c:v>
                </c:pt>
                <c:pt idx="1">
                  <c:v>85.498811360000005</c:v>
                </c:pt>
                <c:pt idx="2">
                  <c:v>100.98540743800001</c:v>
                </c:pt>
                <c:pt idx="3">
                  <c:v>330.31391325800001</c:v>
                </c:pt>
                <c:pt idx="4">
                  <c:v>332.88823053000004</c:v>
                </c:pt>
                <c:pt idx="5">
                  <c:v>343.74570262200001</c:v>
                </c:pt>
                <c:pt idx="6">
                  <c:v>333.23067402400005</c:v>
                </c:pt>
                <c:pt idx="7">
                  <c:v>338.34154151000001</c:v>
                </c:pt>
                <c:pt idx="8">
                  <c:v>336.92862691199997</c:v>
                </c:pt>
                <c:pt idx="9">
                  <c:v>331.20541004000006</c:v>
                </c:pt>
                <c:pt idx="10">
                  <c:v>329.50657750800008</c:v>
                </c:pt>
                <c:pt idx="11">
                  <c:v>317.32094046799995</c:v>
                </c:pt>
                <c:pt idx="12">
                  <c:v>315.84622331199995</c:v>
                </c:pt>
                <c:pt idx="13">
                  <c:v>314.895136192</c:v>
                </c:pt>
                <c:pt idx="14">
                  <c:v>325.190599464</c:v>
                </c:pt>
                <c:pt idx="15">
                  <c:v>316.02484624399995</c:v>
                </c:pt>
                <c:pt idx="16">
                  <c:v>307.39875354599997</c:v>
                </c:pt>
                <c:pt idx="17">
                  <c:v>343.27303515999995</c:v>
                </c:pt>
                <c:pt idx="18">
                  <c:v>338.74348047199999</c:v>
                </c:pt>
                <c:pt idx="19">
                  <c:v>344.90233847600001</c:v>
                </c:pt>
                <c:pt idx="20">
                  <c:v>327.89134039200007</c:v>
                </c:pt>
                <c:pt idx="21">
                  <c:v>328.58909652200003</c:v>
                </c:pt>
                <c:pt idx="22">
                  <c:v>327.61642939200004</c:v>
                </c:pt>
                <c:pt idx="23">
                  <c:v>349.59843835000009</c:v>
                </c:pt>
              </c:numCache>
            </c:numRef>
          </c:val>
          <c:extLst>
            <c:ext xmlns:c16="http://schemas.microsoft.com/office/drawing/2014/chart" uri="{C3380CC4-5D6E-409C-BE32-E72D297353CC}">
              <c16:uniqueId val="{00000003-26B5-8F4C-8857-87265632F673}"/>
            </c:ext>
          </c:extLst>
        </c:ser>
        <c:ser>
          <c:idx val="4"/>
          <c:order val="4"/>
          <c:tx>
            <c:strRef>
              <c:f>'Electricity consumption'!$B$250</c:f>
              <c:strCache>
                <c:ptCount val="1"/>
                <c:pt idx="0">
                  <c:v>Road and sea transport</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consumption'!$D$250:$AA$250</c:f>
              <c:numCache>
                <c:formatCode>#,##0</c:formatCode>
                <c:ptCount val="24"/>
                <c:pt idx="0">
                  <c:v>144.12958588804872</c:v>
                </c:pt>
                <c:pt idx="1">
                  <c:v>147.93260304016087</c:v>
                </c:pt>
                <c:pt idx="2">
                  <c:v>158.1297978698326</c:v>
                </c:pt>
                <c:pt idx="3">
                  <c:v>176.47841696891157</c:v>
                </c:pt>
                <c:pt idx="4">
                  <c:v>226.42754888886066</c:v>
                </c:pt>
                <c:pt idx="5">
                  <c:v>303.08120322495216</c:v>
                </c:pt>
                <c:pt idx="6">
                  <c:v>396.68872494279697</c:v>
                </c:pt>
                <c:pt idx="7">
                  <c:v>500.3117433997848</c:v>
                </c:pt>
                <c:pt idx="8">
                  <c:v>613.05787291561342</c:v>
                </c:pt>
                <c:pt idx="9">
                  <c:v>749.03511954547457</c:v>
                </c:pt>
                <c:pt idx="10">
                  <c:v>901.98306542134299</c:v>
                </c:pt>
                <c:pt idx="11">
                  <c:v>1074.648659202687</c:v>
                </c:pt>
                <c:pt idx="12">
                  <c:v>1271.1103844526631</c:v>
                </c:pt>
                <c:pt idx="13">
                  <c:v>1488.633525505868</c:v>
                </c:pt>
                <c:pt idx="14">
                  <c:v>1729.836250394543</c:v>
                </c:pt>
                <c:pt idx="15">
                  <c:v>1991.1568191364745</c:v>
                </c:pt>
                <c:pt idx="16">
                  <c:v>2296.0143373165502</c:v>
                </c:pt>
                <c:pt idx="17">
                  <c:v>2616.5301886216753</c:v>
                </c:pt>
                <c:pt idx="18">
                  <c:v>2938.6989849741558</c:v>
                </c:pt>
                <c:pt idx="19">
                  <c:v>3259.12035616197</c:v>
                </c:pt>
                <c:pt idx="20">
                  <c:v>3555.4548825821767</c:v>
                </c:pt>
                <c:pt idx="21">
                  <c:v>3822.8882580143209</c:v>
                </c:pt>
                <c:pt idx="22">
                  <c:v>4071.6950474402361</c:v>
                </c:pt>
                <c:pt idx="23">
                  <c:v>4301.704086985731</c:v>
                </c:pt>
              </c:numCache>
            </c:numRef>
          </c:val>
          <c:extLst>
            <c:ext xmlns:c16="http://schemas.microsoft.com/office/drawing/2014/chart" uri="{C3380CC4-5D6E-409C-BE32-E72D297353CC}">
              <c16:uniqueId val="{00000004-26B5-8F4C-8857-87265632F673}"/>
            </c:ext>
          </c:extLst>
        </c:ser>
        <c:ser>
          <c:idx val="5"/>
          <c:order val="5"/>
          <c:tx>
            <c:strRef>
              <c:f>'Electricity consumption'!$B$251</c:f>
              <c:strCache>
                <c:ptCount val="1"/>
                <c:pt idx="0">
                  <c:v>Rail transport</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consumption'!$D$251:$AA$251</c:f>
              <c:numCache>
                <c:formatCode>#,##0</c:formatCode>
                <c:ptCount val="24"/>
                <c:pt idx="0">
                  <c:v>126.98800000000001</c:v>
                </c:pt>
                <c:pt idx="1">
                  <c:v>148.31927888000001</c:v>
                </c:pt>
                <c:pt idx="2">
                  <c:v>169.65055776000003</c:v>
                </c:pt>
                <c:pt idx="3">
                  <c:v>212.11815184000002</c:v>
                </c:pt>
                <c:pt idx="4">
                  <c:v>331.76708072000002</c:v>
                </c:pt>
                <c:pt idx="5">
                  <c:v>451.41600960000005</c:v>
                </c:pt>
                <c:pt idx="6">
                  <c:v>549.73365960000001</c:v>
                </c:pt>
                <c:pt idx="7">
                  <c:v>689.60180015999993</c:v>
                </c:pt>
                <c:pt idx="8">
                  <c:v>808.33362552000017</c:v>
                </c:pt>
                <c:pt idx="9">
                  <c:v>869.59163608000006</c:v>
                </c:pt>
                <c:pt idx="10">
                  <c:v>930.84964663999995</c:v>
                </c:pt>
                <c:pt idx="11">
                  <c:v>992.10765720000006</c:v>
                </c:pt>
                <c:pt idx="12">
                  <c:v>1011.8151772000001</c:v>
                </c:pt>
                <c:pt idx="13">
                  <c:v>1031.5226972</c:v>
                </c:pt>
                <c:pt idx="14">
                  <c:v>1031.5226972</c:v>
                </c:pt>
                <c:pt idx="15">
                  <c:v>1031.5226972</c:v>
                </c:pt>
                <c:pt idx="16">
                  <c:v>1031.5226972</c:v>
                </c:pt>
                <c:pt idx="17">
                  <c:v>1031.5226972</c:v>
                </c:pt>
                <c:pt idx="18">
                  <c:v>1031.5226972</c:v>
                </c:pt>
                <c:pt idx="19">
                  <c:v>1031.5226972</c:v>
                </c:pt>
                <c:pt idx="20">
                  <c:v>1031.5226972</c:v>
                </c:pt>
                <c:pt idx="21">
                  <c:v>1031.5226972</c:v>
                </c:pt>
                <c:pt idx="22">
                  <c:v>1031.5226972</c:v>
                </c:pt>
                <c:pt idx="23">
                  <c:v>1031.5226972</c:v>
                </c:pt>
              </c:numCache>
            </c:numRef>
          </c:val>
          <c:extLst>
            <c:ext xmlns:c16="http://schemas.microsoft.com/office/drawing/2014/chart" uri="{C3380CC4-5D6E-409C-BE32-E72D297353CC}">
              <c16:uniqueId val="{00000005-26B5-8F4C-8857-87265632F673}"/>
            </c:ext>
          </c:extLst>
        </c:ser>
        <c:ser>
          <c:idx val="6"/>
          <c:order val="6"/>
          <c:tx>
            <c:strRef>
              <c:f>'Electricity consumption'!$B$252</c:f>
              <c:strCache>
                <c:ptCount val="1"/>
                <c:pt idx="0">
                  <c:v>Large data centres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consumption'!$D$252:$AA$252</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6-26B5-8F4C-8857-87265632F673}"/>
            </c:ext>
          </c:extLst>
        </c:ser>
        <c:dLbls>
          <c:showLegendKey val="0"/>
          <c:showVal val="0"/>
          <c:showCatName val="0"/>
          <c:showSerName val="0"/>
          <c:showPercent val="0"/>
          <c:showBubbleSize val="0"/>
        </c:dLbls>
        <c:axId val="113764992"/>
        <c:axId val="113836416"/>
      </c:areaChart>
      <c:lineChart>
        <c:grouping val="standard"/>
        <c:varyColors val="0"/>
        <c:ser>
          <c:idx val="7"/>
          <c:order val="7"/>
          <c:tx>
            <c:strRef>
              <c:f>'Electricity consumption'!$B$304</c:f>
              <c:strCache>
                <c:ptCount val="1"/>
                <c:pt idx="0">
                  <c:v>Eastern Denmark (DK2) - AF2016</c:v>
                </c:pt>
              </c:strCache>
            </c:strRef>
          </c:tx>
          <c:spPr>
            <a:ln>
              <a:solidFill>
                <a:schemeClr val="accent3"/>
              </a:solidFill>
              <a:prstDash val="sysDash"/>
            </a:ln>
          </c:spPr>
          <c:marker>
            <c:symbol val="none"/>
          </c:marker>
          <c:val>
            <c:numRef>
              <c:f>'Electricity consumption'!$D$304:$AA$304</c:f>
              <c:numCache>
                <c:formatCode>#,##0</c:formatCode>
                <c:ptCount val="24"/>
                <c:pt idx="0">
                  <c:v>13864.179411071002</c:v>
                </c:pt>
                <c:pt idx="1">
                  <c:v>14190.328179279371</c:v>
                </c:pt>
                <c:pt idx="2">
                  <c:v>14365.843372969155</c:v>
                </c:pt>
                <c:pt idx="3">
                  <c:v>14528.989141173019</c:v>
                </c:pt>
                <c:pt idx="4">
                  <c:v>14645.398789264551</c:v>
                </c:pt>
                <c:pt idx="5">
                  <c:v>14848.8741299062</c:v>
                </c:pt>
                <c:pt idx="6">
                  <c:v>15013.616894660026</c:v>
                </c:pt>
                <c:pt idx="7">
                  <c:v>15236.067114790927</c:v>
                </c:pt>
                <c:pt idx="8">
                  <c:v>15366.149771750072</c:v>
                </c:pt>
                <c:pt idx="9">
                  <c:v>15541.390892146652</c:v>
                </c:pt>
                <c:pt idx="10">
                  <c:v>15675.493071220759</c:v>
                </c:pt>
                <c:pt idx="11">
                  <c:v>15815.667572067628</c:v>
                </c:pt>
                <c:pt idx="12">
                  <c:v>15901.214600300787</c:v>
                </c:pt>
                <c:pt idx="13">
                  <c:v>16009.955798165989</c:v>
                </c:pt>
                <c:pt idx="14">
                  <c:v>16106.084970129537</c:v>
                </c:pt>
                <c:pt idx="15">
                  <c:v>16213.121057342898</c:v>
                </c:pt>
                <c:pt idx="16">
                  <c:v>16280.202403615309</c:v>
                </c:pt>
                <c:pt idx="17">
                  <c:v>16342.004605788792</c:v>
                </c:pt>
                <c:pt idx="18">
                  <c:v>16434.012402282879</c:v>
                </c:pt>
                <c:pt idx="19">
                  <c:v>16546.912824514664</c:v>
                </c:pt>
                <c:pt idx="20">
                  <c:v>16656.063704979293</c:v>
                </c:pt>
                <c:pt idx="21">
                  <c:v>16767.383643789552</c:v>
                </c:pt>
                <c:pt idx="22">
                  <c:v>16951.498934147108</c:v>
                </c:pt>
                <c:pt idx="23">
                  <c:v>17106.078819874121</c:v>
                </c:pt>
              </c:numCache>
            </c:numRef>
          </c:val>
          <c:smooth val="0"/>
          <c:extLst>
            <c:ext xmlns:c16="http://schemas.microsoft.com/office/drawing/2014/chart" uri="{C3380CC4-5D6E-409C-BE32-E72D297353CC}">
              <c16:uniqueId val="{00000007-26B5-8F4C-8857-87265632F673}"/>
            </c:ext>
          </c:extLst>
        </c:ser>
        <c:dLbls>
          <c:showLegendKey val="0"/>
          <c:showVal val="0"/>
          <c:showCatName val="0"/>
          <c:showSerName val="0"/>
          <c:showPercent val="0"/>
          <c:showBubbleSize val="0"/>
        </c:dLbls>
        <c:marker val="1"/>
        <c:smooth val="0"/>
        <c:axId val="113764992"/>
        <c:axId val="113836416"/>
      </c:lineChart>
      <c:catAx>
        <c:axId val="113764992"/>
        <c:scaling>
          <c:orientation val="minMax"/>
        </c:scaling>
        <c:delete val="0"/>
        <c:axPos val="b"/>
        <c:numFmt formatCode="General" sourceLinked="1"/>
        <c:majorTickMark val="out"/>
        <c:minorTickMark val="none"/>
        <c:tickLblPos val="nextTo"/>
        <c:crossAx val="113836416"/>
        <c:crosses val="autoZero"/>
        <c:auto val="1"/>
        <c:lblAlgn val="ctr"/>
        <c:lblOffset val="100"/>
        <c:noMultiLvlLbl val="0"/>
      </c:catAx>
      <c:valAx>
        <c:axId val="113836416"/>
        <c:scaling>
          <c:orientation val="minMax"/>
          <c:min val="10000"/>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376499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1" i="0" u="none" strike="noStrike" baseline="0">
                <a:effectLst/>
              </a:rPr>
              <a:t>Total gross electricity consumption, Denmark</a:t>
            </a:r>
            <a:endParaRPr lang="da-DK" sz="1200"/>
          </a:p>
        </c:rich>
      </c:tx>
      <c:overlay val="0"/>
    </c:title>
    <c:autoTitleDeleted val="0"/>
    <c:plotArea>
      <c:layout/>
      <c:areaChart>
        <c:grouping val="stacked"/>
        <c:varyColors val="0"/>
        <c:ser>
          <c:idx val="1"/>
          <c:order val="0"/>
          <c:tx>
            <c:strRef>
              <c:f>'Electricity consumption'!$B$256</c:f>
              <c:strCache>
                <c:ptCount val="1"/>
                <c:pt idx="0">
                  <c:v>Traditional consumption</c:v>
                </c:pt>
              </c:strCache>
            </c:strRef>
          </c:tx>
          <c:spPr>
            <a:ln>
              <a:solidFill>
                <a:schemeClr val="accent1"/>
              </a:solidFill>
              <a:prstDash val="dash"/>
            </a:ln>
          </c:spPr>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consumption'!$D$256:$AA$256</c:f>
              <c:numCache>
                <c:formatCode>#,##0</c:formatCode>
                <c:ptCount val="24"/>
                <c:pt idx="0">
                  <c:v>33248.509124378441</c:v>
                </c:pt>
                <c:pt idx="1">
                  <c:v>33457.755330806576</c:v>
                </c:pt>
                <c:pt idx="2">
                  <c:v>33708.233891677286</c:v>
                </c:pt>
                <c:pt idx="3">
                  <c:v>33715.014625974945</c:v>
                </c:pt>
                <c:pt idx="4">
                  <c:v>33653.448425511451</c:v>
                </c:pt>
                <c:pt idx="5">
                  <c:v>33715.766886511083</c:v>
                </c:pt>
                <c:pt idx="6">
                  <c:v>33735.714017213781</c:v>
                </c:pt>
                <c:pt idx="7">
                  <c:v>33774.89618019831</c:v>
                </c:pt>
                <c:pt idx="8">
                  <c:v>33803.526166013995</c:v>
                </c:pt>
                <c:pt idx="9">
                  <c:v>33797.40412528209</c:v>
                </c:pt>
                <c:pt idx="10">
                  <c:v>33813.083694598477</c:v>
                </c:pt>
                <c:pt idx="11">
                  <c:v>33790.897340123171</c:v>
                </c:pt>
                <c:pt idx="12">
                  <c:v>33776.506631112679</c:v>
                </c:pt>
                <c:pt idx="13">
                  <c:v>33833.42520667427</c:v>
                </c:pt>
                <c:pt idx="14">
                  <c:v>33811.560590756766</c:v>
                </c:pt>
                <c:pt idx="15">
                  <c:v>33800.423136877478</c:v>
                </c:pt>
                <c:pt idx="16">
                  <c:v>33743.051236939551</c:v>
                </c:pt>
                <c:pt idx="17">
                  <c:v>33676.288238726353</c:v>
                </c:pt>
                <c:pt idx="18">
                  <c:v>33708.45947465708</c:v>
                </c:pt>
                <c:pt idx="19">
                  <c:v>33665.491684346831</c:v>
                </c:pt>
                <c:pt idx="20">
                  <c:v>33655.2856593412</c:v>
                </c:pt>
                <c:pt idx="21">
                  <c:v>33636.775641060034</c:v>
                </c:pt>
                <c:pt idx="22">
                  <c:v>33621.584983190987</c:v>
                </c:pt>
                <c:pt idx="23">
                  <c:v>33698.889627647615</c:v>
                </c:pt>
              </c:numCache>
            </c:numRef>
          </c:val>
          <c:extLst>
            <c:ext xmlns:c16="http://schemas.microsoft.com/office/drawing/2014/chart" uri="{C3380CC4-5D6E-409C-BE32-E72D297353CC}">
              <c16:uniqueId val="{00000000-8ABC-4146-9DBE-5429A26FED23}"/>
            </c:ext>
          </c:extLst>
        </c:ser>
        <c:ser>
          <c:idx val="0"/>
          <c:order val="1"/>
          <c:tx>
            <c:strRef>
              <c:f>'Electricity consumption'!$B$257</c:f>
              <c:strCache>
                <c:ptCount val="1"/>
                <c:pt idx="0">
                  <c:v>Household heat pumps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consumption'!$D$257:$AA$257</c:f>
              <c:numCache>
                <c:formatCode>#,##0</c:formatCode>
                <c:ptCount val="24"/>
                <c:pt idx="0">
                  <c:v>555.95214262364163</c:v>
                </c:pt>
                <c:pt idx="1">
                  <c:v>590.73318739339823</c:v>
                </c:pt>
                <c:pt idx="2">
                  <c:v>627.64799120171187</c:v>
                </c:pt>
                <c:pt idx="3">
                  <c:v>667.27915637249816</c:v>
                </c:pt>
                <c:pt idx="4">
                  <c:v>729.85586149054052</c:v>
                </c:pt>
                <c:pt idx="5">
                  <c:v>797.79824682643994</c:v>
                </c:pt>
                <c:pt idx="6">
                  <c:v>872.40955472291444</c:v>
                </c:pt>
                <c:pt idx="7">
                  <c:v>950.52735163754869</c:v>
                </c:pt>
                <c:pt idx="8">
                  <c:v>1031.9484906713051</c:v>
                </c:pt>
                <c:pt idx="9">
                  <c:v>1116.4913865025433</c:v>
                </c:pt>
                <c:pt idx="10">
                  <c:v>1203.477155912504</c:v>
                </c:pt>
                <c:pt idx="11">
                  <c:v>1293.3096562900068</c:v>
                </c:pt>
                <c:pt idx="12">
                  <c:v>1385.2775004216635</c:v>
                </c:pt>
                <c:pt idx="13">
                  <c:v>1476.431105687376</c:v>
                </c:pt>
                <c:pt idx="14">
                  <c:v>1571.1809973040654</c:v>
                </c:pt>
                <c:pt idx="15">
                  <c:v>1673.6729388779195</c:v>
                </c:pt>
                <c:pt idx="16">
                  <c:v>1777.4924683175464</c:v>
                </c:pt>
                <c:pt idx="17">
                  <c:v>1844.3509632569298</c:v>
                </c:pt>
                <c:pt idx="18">
                  <c:v>1908.3922401531158</c:v>
                </c:pt>
                <c:pt idx="19">
                  <c:v>1972.5364507254938</c:v>
                </c:pt>
                <c:pt idx="20">
                  <c:v>2035.6971985472935</c:v>
                </c:pt>
                <c:pt idx="21">
                  <c:v>2097.7855922248204</c:v>
                </c:pt>
                <c:pt idx="22">
                  <c:v>2158.7091652137665</c:v>
                </c:pt>
                <c:pt idx="23">
                  <c:v>2218.3717572721425</c:v>
                </c:pt>
              </c:numCache>
            </c:numRef>
          </c:val>
          <c:extLst>
            <c:ext xmlns:c16="http://schemas.microsoft.com/office/drawing/2014/chart" uri="{C3380CC4-5D6E-409C-BE32-E72D297353CC}">
              <c16:uniqueId val="{00000001-8ABC-4146-9DBE-5429A26FED23}"/>
            </c:ext>
          </c:extLst>
        </c:ser>
        <c:ser>
          <c:idx val="2"/>
          <c:order val="2"/>
          <c:tx>
            <c:strRef>
              <c:f>'Electricity consumption'!$B$258</c:f>
              <c:strCache>
                <c:ptCount val="1"/>
                <c:pt idx="0">
                  <c:v>Large heat pumps</c:v>
                </c:pt>
              </c:strCache>
            </c:strRef>
          </c:tx>
          <c:spPr>
            <a:solidFill>
              <a:srgbClr val="F9AF3C"/>
            </a:solidFill>
          </c:spPr>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consumption'!$D$258:$AA$258</c:f>
              <c:numCache>
                <c:formatCode>#,##0</c:formatCode>
                <c:ptCount val="24"/>
                <c:pt idx="0">
                  <c:v>115.93161773100002</c:v>
                </c:pt>
                <c:pt idx="1">
                  <c:v>162.713896871</c:v>
                </c:pt>
                <c:pt idx="2">
                  <c:v>291.34799134499997</c:v>
                </c:pt>
                <c:pt idx="3">
                  <c:v>376.34206898800005</c:v>
                </c:pt>
                <c:pt idx="4">
                  <c:v>412.98515655900002</c:v>
                </c:pt>
                <c:pt idx="5">
                  <c:v>433.95020461600006</c:v>
                </c:pt>
                <c:pt idx="6">
                  <c:v>473.72407487199996</c:v>
                </c:pt>
                <c:pt idx="7">
                  <c:v>435.15989326200008</c:v>
                </c:pt>
                <c:pt idx="8">
                  <c:v>430.71176047300003</c:v>
                </c:pt>
                <c:pt idx="9">
                  <c:v>466.20450787700003</c:v>
                </c:pt>
                <c:pt idx="10">
                  <c:v>553.42131863500003</c:v>
                </c:pt>
                <c:pt idx="11">
                  <c:v>745.35808451899993</c:v>
                </c:pt>
                <c:pt idx="12">
                  <c:v>739.54899218000003</c:v>
                </c:pt>
                <c:pt idx="13">
                  <c:v>1060.451160091</c:v>
                </c:pt>
                <c:pt idx="14">
                  <c:v>1081.7850439380002</c:v>
                </c:pt>
                <c:pt idx="15">
                  <c:v>1100.1587721770002</c:v>
                </c:pt>
                <c:pt idx="16">
                  <c:v>1085.4673266140001</c:v>
                </c:pt>
                <c:pt idx="17">
                  <c:v>1090.4530594339999</c:v>
                </c:pt>
                <c:pt idx="18">
                  <c:v>1119.2328863040002</c:v>
                </c:pt>
                <c:pt idx="19">
                  <c:v>1125.7765431820001</c:v>
                </c:pt>
                <c:pt idx="20">
                  <c:v>1136.144482617</c:v>
                </c:pt>
                <c:pt idx="21">
                  <c:v>1142.359480781</c:v>
                </c:pt>
                <c:pt idx="22">
                  <c:v>1151.0732204870001</c:v>
                </c:pt>
                <c:pt idx="23">
                  <c:v>1162.781991741</c:v>
                </c:pt>
              </c:numCache>
            </c:numRef>
          </c:val>
          <c:extLst>
            <c:ext xmlns:c16="http://schemas.microsoft.com/office/drawing/2014/chart" uri="{C3380CC4-5D6E-409C-BE32-E72D297353CC}">
              <c16:uniqueId val="{00000002-8ABC-4146-9DBE-5429A26FED23}"/>
            </c:ext>
          </c:extLst>
        </c:ser>
        <c:ser>
          <c:idx val="3"/>
          <c:order val="3"/>
          <c:tx>
            <c:strRef>
              <c:f>'Electricity consumption'!$B$259</c:f>
              <c:strCache>
                <c:ptCount val="1"/>
                <c:pt idx="0">
                  <c:v>Electric boilers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consumption'!$D$259:$AA$259</c:f>
              <c:numCache>
                <c:formatCode>#,##0</c:formatCode>
                <c:ptCount val="24"/>
                <c:pt idx="0">
                  <c:v>216.33916818900002</c:v>
                </c:pt>
                <c:pt idx="1">
                  <c:v>190.62791218699999</c:v>
                </c:pt>
                <c:pt idx="2">
                  <c:v>226.14769657800002</c:v>
                </c:pt>
                <c:pt idx="3">
                  <c:v>409.28908454899999</c:v>
                </c:pt>
                <c:pt idx="4">
                  <c:v>421.12751960100007</c:v>
                </c:pt>
                <c:pt idx="5">
                  <c:v>418.72623232000001</c:v>
                </c:pt>
                <c:pt idx="6">
                  <c:v>429.75586804300008</c:v>
                </c:pt>
                <c:pt idx="7">
                  <c:v>426.81684797100002</c:v>
                </c:pt>
                <c:pt idx="8">
                  <c:v>394.31625010099998</c:v>
                </c:pt>
                <c:pt idx="9">
                  <c:v>411.02847158700007</c:v>
                </c:pt>
                <c:pt idx="10">
                  <c:v>485.44584663700005</c:v>
                </c:pt>
                <c:pt idx="11">
                  <c:v>475.00459453799999</c:v>
                </c:pt>
                <c:pt idx="12">
                  <c:v>411.26108517899996</c:v>
                </c:pt>
                <c:pt idx="13">
                  <c:v>433.53269127099998</c:v>
                </c:pt>
                <c:pt idx="14">
                  <c:v>443.19629225799997</c:v>
                </c:pt>
                <c:pt idx="15">
                  <c:v>443.21412519399996</c:v>
                </c:pt>
                <c:pt idx="16">
                  <c:v>417.59691720599994</c:v>
                </c:pt>
                <c:pt idx="17">
                  <c:v>456.88285669099997</c:v>
                </c:pt>
                <c:pt idx="18">
                  <c:v>456.05811408700004</c:v>
                </c:pt>
                <c:pt idx="19">
                  <c:v>453.61644316600001</c:v>
                </c:pt>
                <c:pt idx="20">
                  <c:v>441.03931472000011</c:v>
                </c:pt>
                <c:pt idx="21">
                  <c:v>439.48420243500004</c:v>
                </c:pt>
                <c:pt idx="22">
                  <c:v>436.28342850900003</c:v>
                </c:pt>
                <c:pt idx="23">
                  <c:v>446.51578897400009</c:v>
                </c:pt>
              </c:numCache>
            </c:numRef>
          </c:val>
          <c:extLst>
            <c:ext xmlns:c16="http://schemas.microsoft.com/office/drawing/2014/chart" uri="{C3380CC4-5D6E-409C-BE32-E72D297353CC}">
              <c16:uniqueId val="{00000003-8ABC-4146-9DBE-5429A26FED23}"/>
            </c:ext>
          </c:extLst>
        </c:ser>
        <c:ser>
          <c:idx val="4"/>
          <c:order val="4"/>
          <c:tx>
            <c:strRef>
              <c:f>'Electricity consumption'!$B$260</c:f>
              <c:strCache>
                <c:ptCount val="1"/>
                <c:pt idx="0">
                  <c:v>Road and sea transport</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consumption'!$D$260:$AA$260</c:f>
              <c:numCache>
                <c:formatCode>#,##0</c:formatCode>
                <c:ptCount val="24"/>
                <c:pt idx="0">
                  <c:v>156.71111651788999</c:v>
                </c:pt>
                <c:pt idx="1">
                  <c:v>162.19135063821389</c:v>
                </c:pt>
                <c:pt idx="2">
                  <c:v>179.1635215255194</c:v>
                </c:pt>
                <c:pt idx="3">
                  <c:v>222.40100708600283</c:v>
                </c:pt>
                <c:pt idx="4">
                  <c:v>327.71438536936478</c:v>
                </c:pt>
                <c:pt idx="5">
                  <c:v>495.82028722702842</c:v>
                </c:pt>
                <c:pt idx="6">
                  <c:v>708.94599829693936</c:v>
                </c:pt>
                <c:pt idx="7">
                  <c:v>948.78540168308109</c:v>
                </c:pt>
                <c:pt idx="8">
                  <c:v>1209.268174363538</c:v>
                </c:pt>
                <c:pt idx="9">
                  <c:v>1526.0162294266704</c:v>
                </c:pt>
                <c:pt idx="10">
                  <c:v>1887.8532847071783</c:v>
                </c:pt>
                <c:pt idx="11">
                  <c:v>2297.9753414981815</c:v>
                </c:pt>
                <c:pt idx="12">
                  <c:v>2763.6878292432157</c:v>
                </c:pt>
                <c:pt idx="13">
                  <c:v>3277.7716655920613</c:v>
                </c:pt>
                <c:pt idx="14">
                  <c:v>3845.3025842264724</c:v>
                </c:pt>
                <c:pt idx="15">
                  <c:v>4457.2824815884896</c:v>
                </c:pt>
                <c:pt idx="16">
                  <c:v>5168.820278035002</c:v>
                </c:pt>
                <c:pt idx="17">
                  <c:v>5916.5549275167359</c:v>
                </c:pt>
                <c:pt idx="18">
                  <c:v>6669.6983644023821</c:v>
                </c:pt>
                <c:pt idx="19">
                  <c:v>7416.1367030667043</c:v>
                </c:pt>
                <c:pt idx="20">
                  <c:v>8109.3315209889624</c:v>
                </c:pt>
                <c:pt idx="21">
                  <c:v>8736.1048499531826</c:v>
                </c:pt>
                <c:pt idx="22">
                  <c:v>9315.2373961797439</c:v>
                </c:pt>
                <c:pt idx="23">
                  <c:v>9849.1501309119813</c:v>
                </c:pt>
              </c:numCache>
            </c:numRef>
          </c:val>
          <c:extLst>
            <c:ext xmlns:c16="http://schemas.microsoft.com/office/drawing/2014/chart" uri="{C3380CC4-5D6E-409C-BE32-E72D297353CC}">
              <c16:uniqueId val="{00000004-8ABC-4146-9DBE-5429A26FED23}"/>
            </c:ext>
          </c:extLst>
        </c:ser>
        <c:ser>
          <c:idx val="5"/>
          <c:order val="5"/>
          <c:tx>
            <c:strRef>
              <c:f>'Electricity consumption'!$B$261</c:f>
              <c:strCache>
                <c:ptCount val="1"/>
                <c:pt idx="0">
                  <c:v>Rail transport</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consumption'!$D$261:$AA$261</c:f>
              <c:numCache>
                <c:formatCode>#,##0</c:formatCode>
                <c:ptCount val="24"/>
                <c:pt idx="0">
                  <c:v>206.16800000000001</c:v>
                </c:pt>
                <c:pt idx="1">
                  <c:v>239.61209404000002</c:v>
                </c:pt>
                <c:pt idx="2">
                  <c:v>273.05618808000003</c:v>
                </c:pt>
                <c:pt idx="3">
                  <c:v>336.66608764</c:v>
                </c:pt>
                <c:pt idx="4">
                  <c:v>508.94508512000004</c:v>
                </c:pt>
                <c:pt idx="5">
                  <c:v>712.86902444000009</c:v>
                </c:pt>
                <c:pt idx="6">
                  <c:v>899.52294692000009</c:v>
                </c:pt>
                <c:pt idx="7">
                  <c:v>1127.7273599599998</c:v>
                </c:pt>
                <c:pt idx="8">
                  <c:v>1329.5137494800003</c:v>
                </c:pt>
                <c:pt idx="9">
                  <c:v>1445.93714228</c:v>
                </c:pt>
                <c:pt idx="10">
                  <c:v>1530.7155932400001</c:v>
                </c:pt>
                <c:pt idx="11">
                  <c:v>1599.3199670000004</c:v>
                </c:pt>
                <c:pt idx="12">
                  <c:v>1626.3738502000001</c:v>
                </c:pt>
                <c:pt idx="13">
                  <c:v>1649.6799513999999</c:v>
                </c:pt>
                <c:pt idx="14">
                  <c:v>1649.6799513999999</c:v>
                </c:pt>
                <c:pt idx="15">
                  <c:v>1649.6799513999999</c:v>
                </c:pt>
                <c:pt idx="16">
                  <c:v>1649.6799513999999</c:v>
                </c:pt>
                <c:pt idx="17">
                  <c:v>1649.6799513999999</c:v>
                </c:pt>
                <c:pt idx="18">
                  <c:v>1649.6799513999999</c:v>
                </c:pt>
                <c:pt idx="19">
                  <c:v>1649.6799513999999</c:v>
                </c:pt>
                <c:pt idx="20">
                  <c:v>1649.6799513999999</c:v>
                </c:pt>
                <c:pt idx="21">
                  <c:v>1649.6799513999999</c:v>
                </c:pt>
                <c:pt idx="22">
                  <c:v>1649.6799513999999</c:v>
                </c:pt>
                <c:pt idx="23">
                  <c:v>1649.6799513999999</c:v>
                </c:pt>
              </c:numCache>
            </c:numRef>
          </c:val>
          <c:extLst>
            <c:ext xmlns:c16="http://schemas.microsoft.com/office/drawing/2014/chart" uri="{C3380CC4-5D6E-409C-BE32-E72D297353CC}">
              <c16:uniqueId val="{00000005-8ABC-4146-9DBE-5429A26FED23}"/>
            </c:ext>
          </c:extLst>
        </c:ser>
        <c:ser>
          <c:idx val="6"/>
          <c:order val="6"/>
          <c:tx>
            <c:strRef>
              <c:f>'Electricity consumption'!$B$262</c:f>
              <c:strCache>
                <c:ptCount val="1"/>
                <c:pt idx="0">
                  <c:v>Large data centres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consumption'!$D$262:$AA$262</c:f>
              <c:numCache>
                <c:formatCode>#,##0</c:formatCode>
                <c:ptCount val="24"/>
                <c:pt idx="0">
                  <c:v>0</c:v>
                </c:pt>
                <c:pt idx="1">
                  <c:v>453.03800000000007</c:v>
                </c:pt>
                <c:pt idx="2">
                  <c:v>906.07600000000014</c:v>
                </c:pt>
                <c:pt idx="3">
                  <c:v>1546.5780000000002</c:v>
                </c:pt>
                <c:pt idx="4">
                  <c:v>2187.0800000000004</c:v>
                </c:pt>
                <c:pt idx="5">
                  <c:v>2827.5819999999999</c:v>
                </c:pt>
                <c:pt idx="6">
                  <c:v>3468.0839999999998</c:v>
                </c:pt>
                <c:pt idx="7">
                  <c:v>3655.5479999999998</c:v>
                </c:pt>
                <c:pt idx="8">
                  <c:v>3843.0120000000006</c:v>
                </c:pt>
                <c:pt idx="9">
                  <c:v>3843.0120000000006</c:v>
                </c:pt>
                <c:pt idx="10">
                  <c:v>3843.0120000000006</c:v>
                </c:pt>
                <c:pt idx="11">
                  <c:v>3843.0120000000006</c:v>
                </c:pt>
                <c:pt idx="12">
                  <c:v>3843.0120000000006</c:v>
                </c:pt>
                <c:pt idx="13">
                  <c:v>3843.0120000000006</c:v>
                </c:pt>
                <c:pt idx="14">
                  <c:v>3843.0120000000006</c:v>
                </c:pt>
                <c:pt idx="15">
                  <c:v>3843.0120000000006</c:v>
                </c:pt>
                <c:pt idx="16">
                  <c:v>3843.0120000000006</c:v>
                </c:pt>
                <c:pt idx="17">
                  <c:v>3843.0120000000006</c:v>
                </c:pt>
                <c:pt idx="18">
                  <c:v>3843.0120000000006</c:v>
                </c:pt>
                <c:pt idx="19">
                  <c:v>3843.0120000000006</c:v>
                </c:pt>
                <c:pt idx="20">
                  <c:v>3843.0120000000006</c:v>
                </c:pt>
                <c:pt idx="21">
                  <c:v>3843.0120000000006</c:v>
                </c:pt>
                <c:pt idx="22">
                  <c:v>3843.0120000000006</c:v>
                </c:pt>
                <c:pt idx="23">
                  <c:v>3843.0120000000006</c:v>
                </c:pt>
              </c:numCache>
            </c:numRef>
          </c:val>
          <c:extLst>
            <c:ext xmlns:c16="http://schemas.microsoft.com/office/drawing/2014/chart" uri="{C3380CC4-5D6E-409C-BE32-E72D297353CC}">
              <c16:uniqueId val="{00000006-8ABC-4146-9DBE-5429A26FED23}"/>
            </c:ext>
          </c:extLst>
        </c:ser>
        <c:dLbls>
          <c:showLegendKey val="0"/>
          <c:showVal val="0"/>
          <c:showCatName val="0"/>
          <c:showSerName val="0"/>
          <c:showPercent val="0"/>
          <c:showBubbleSize val="0"/>
        </c:dLbls>
        <c:axId val="113900160"/>
        <c:axId val="113906048"/>
      </c:areaChart>
      <c:lineChart>
        <c:grouping val="standard"/>
        <c:varyColors val="0"/>
        <c:ser>
          <c:idx val="7"/>
          <c:order val="7"/>
          <c:tx>
            <c:strRef>
              <c:f>'Electricity consumption'!$B$305</c:f>
              <c:strCache>
                <c:ptCount val="1"/>
                <c:pt idx="0">
                  <c:v>Denmark - AF2016</c:v>
                </c:pt>
              </c:strCache>
            </c:strRef>
          </c:tx>
          <c:spPr>
            <a:ln>
              <a:solidFill>
                <a:schemeClr val="accent3"/>
              </a:solidFill>
              <a:prstDash val="sysDash"/>
            </a:ln>
          </c:spPr>
          <c:marker>
            <c:symbol val="none"/>
          </c:marker>
          <c:val>
            <c:numRef>
              <c:f>'Electricity consumption'!$D$305:$AA$305</c:f>
              <c:numCache>
                <c:formatCode>#,##0</c:formatCode>
                <c:ptCount val="24"/>
                <c:pt idx="0">
                  <c:v>34798.042217861206</c:v>
                </c:pt>
                <c:pt idx="1">
                  <c:v>36044.688751633817</c:v>
                </c:pt>
                <c:pt idx="2">
                  <c:v>37137.135754940435</c:v>
                </c:pt>
                <c:pt idx="3">
                  <c:v>38005.302726728209</c:v>
                </c:pt>
                <c:pt idx="4">
                  <c:v>38739.590520906015</c:v>
                </c:pt>
                <c:pt idx="5">
                  <c:v>39684.271348421069</c:v>
                </c:pt>
                <c:pt idx="6">
                  <c:v>40702.371753068699</c:v>
                </c:pt>
                <c:pt idx="7">
                  <c:v>41125.105036182562</c:v>
                </c:pt>
                <c:pt idx="8">
                  <c:v>41474.804147898103</c:v>
                </c:pt>
                <c:pt idx="9">
                  <c:v>42031.677493168638</c:v>
                </c:pt>
                <c:pt idx="10">
                  <c:v>42428.845285096584</c:v>
                </c:pt>
                <c:pt idx="11">
                  <c:v>42731.676663413411</c:v>
                </c:pt>
                <c:pt idx="12">
                  <c:v>42980.136119432573</c:v>
                </c:pt>
                <c:pt idx="13">
                  <c:v>43561.083796919353</c:v>
                </c:pt>
                <c:pt idx="14">
                  <c:v>43840.181712917867</c:v>
                </c:pt>
                <c:pt idx="15">
                  <c:v>44150.363190362325</c:v>
                </c:pt>
                <c:pt idx="16">
                  <c:v>44336.766104564565</c:v>
                </c:pt>
                <c:pt idx="17">
                  <c:v>44522.730311005595</c:v>
                </c:pt>
                <c:pt idx="18">
                  <c:v>44743.643356986344</c:v>
                </c:pt>
                <c:pt idx="19">
                  <c:v>45028.991163387989</c:v>
                </c:pt>
                <c:pt idx="20">
                  <c:v>45379.502712074376</c:v>
                </c:pt>
                <c:pt idx="21">
                  <c:v>45694.097094188473</c:v>
                </c:pt>
                <c:pt idx="22">
                  <c:v>46052.384840011509</c:v>
                </c:pt>
                <c:pt idx="23">
                  <c:v>46569.942965550872</c:v>
                </c:pt>
              </c:numCache>
            </c:numRef>
          </c:val>
          <c:smooth val="0"/>
          <c:extLst>
            <c:ext xmlns:c16="http://schemas.microsoft.com/office/drawing/2014/chart" uri="{C3380CC4-5D6E-409C-BE32-E72D297353CC}">
              <c16:uniqueId val="{00000007-8ABC-4146-9DBE-5429A26FED23}"/>
            </c:ext>
          </c:extLst>
        </c:ser>
        <c:dLbls>
          <c:showLegendKey val="0"/>
          <c:showVal val="0"/>
          <c:showCatName val="0"/>
          <c:showSerName val="0"/>
          <c:showPercent val="0"/>
          <c:showBubbleSize val="0"/>
        </c:dLbls>
        <c:marker val="1"/>
        <c:smooth val="0"/>
        <c:axId val="113900160"/>
        <c:axId val="113906048"/>
      </c:lineChart>
      <c:catAx>
        <c:axId val="1139001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13906048"/>
        <c:crosses val="autoZero"/>
        <c:auto val="1"/>
        <c:lblAlgn val="ctr"/>
        <c:lblOffset val="100"/>
        <c:tickLblSkip val="1"/>
        <c:noMultiLvlLbl val="0"/>
      </c:catAx>
      <c:valAx>
        <c:axId val="113906048"/>
        <c:scaling>
          <c:orientation val="minMax"/>
          <c:min val="30000"/>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390016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Fossil fuel prices at local plant</a:t>
            </a:r>
          </a:p>
        </c:rich>
      </c:tx>
      <c:overlay val="0"/>
    </c:title>
    <c:autoTitleDeleted val="0"/>
    <c:plotArea>
      <c:layout/>
      <c:lineChart>
        <c:grouping val="standard"/>
        <c:varyColors val="0"/>
        <c:ser>
          <c:idx val="0"/>
          <c:order val="0"/>
          <c:tx>
            <c:strRef>
              <c:f>'Fuel and CO2 emission prices'!$B$22</c:f>
              <c:strCache>
                <c:ptCount val="1"/>
                <c:pt idx="0">
                  <c:v>Gas oil</c:v>
                </c:pt>
              </c:strCache>
            </c:strRef>
          </c:tx>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prices'!$E$22:$AB$22</c:f>
              <c:numCache>
                <c:formatCode>0.0</c:formatCode>
                <c:ptCount val="24"/>
                <c:pt idx="0">
                  <c:v>100.0345416448861</c:v>
                </c:pt>
                <c:pt idx="1">
                  <c:v>97.856728502610622</c:v>
                </c:pt>
                <c:pt idx="2">
                  <c:v>95.104457142663193</c:v>
                </c:pt>
                <c:pt idx="3">
                  <c:v>96.433939372254571</c:v>
                </c:pt>
                <c:pt idx="4">
                  <c:v>100.52237132738409</c:v>
                </c:pt>
                <c:pt idx="5">
                  <c:v>105.65571458853432</c:v>
                </c:pt>
                <c:pt idx="6">
                  <c:v>111.39598331089809</c:v>
                </c:pt>
                <c:pt idx="7">
                  <c:v>117.6595597626827</c:v>
                </c:pt>
                <c:pt idx="8">
                  <c:v>124.43410815703328</c:v>
                </c:pt>
                <c:pt idx="9">
                  <c:v>131.86032740919188</c:v>
                </c:pt>
                <c:pt idx="10">
                  <c:v>139.78100713283649</c:v>
                </c:pt>
                <c:pt idx="11">
                  <c:v>148.16738325363212</c:v>
                </c:pt>
                <c:pt idx="12">
                  <c:v>157.0111344787129</c:v>
                </c:pt>
                <c:pt idx="13">
                  <c:v>166.28978987970015</c:v>
                </c:pt>
                <c:pt idx="14">
                  <c:v>168.29381812940778</c:v>
                </c:pt>
                <c:pt idx="15">
                  <c:v>170.18441660485556</c:v>
                </c:pt>
                <c:pt idx="16">
                  <c:v>171.96045454328973</c:v>
                </c:pt>
                <c:pt idx="17">
                  <c:v>173.62992579899776</c:v>
                </c:pt>
                <c:pt idx="18">
                  <c:v>175.1854112661855</c:v>
                </c:pt>
                <c:pt idx="19">
                  <c:v>176.6501207920233</c:v>
                </c:pt>
                <c:pt idx="20">
                  <c:v>178.01626077434872</c:v>
                </c:pt>
                <c:pt idx="21">
                  <c:v>179.28415797637061</c:v>
                </c:pt>
                <c:pt idx="22">
                  <c:v>180.46389802291333</c:v>
                </c:pt>
                <c:pt idx="23">
                  <c:v>181.54414695175933</c:v>
                </c:pt>
              </c:numCache>
            </c:numRef>
          </c:val>
          <c:smooth val="0"/>
          <c:extLst>
            <c:ext xmlns:c16="http://schemas.microsoft.com/office/drawing/2014/chart" uri="{C3380CC4-5D6E-409C-BE32-E72D297353CC}">
              <c16:uniqueId val="{00000000-0AFB-BF43-9929-D7860252C7C8}"/>
            </c:ext>
          </c:extLst>
        </c:ser>
        <c:ser>
          <c:idx val="1"/>
          <c:order val="1"/>
          <c:tx>
            <c:strRef>
              <c:f>'Fuel and CO2 emission prices'!$B$23</c:f>
              <c:strCache>
                <c:ptCount val="1"/>
                <c:pt idx="0">
                  <c:v>Natural gas</c:v>
                </c:pt>
              </c:strCache>
            </c:strRef>
          </c:tx>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prices'!$E$23:$AB$23</c:f>
              <c:numCache>
                <c:formatCode>0.0</c:formatCode>
                <c:ptCount val="24"/>
                <c:pt idx="0">
                  <c:v>35.478008483266088</c:v>
                </c:pt>
                <c:pt idx="1">
                  <c:v>36.342814816049163</c:v>
                </c:pt>
                <c:pt idx="2">
                  <c:v>36.209811673948536</c:v>
                </c:pt>
                <c:pt idx="3">
                  <c:v>37.059963613905147</c:v>
                </c:pt>
                <c:pt idx="4">
                  <c:v>38.819150131007838</c:v>
                </c:pt>
                <c:pt idx="5">
                  <c:v>41.621418858803551</c:v>
                </c:pt>
                <c:pt idx="6">
                  <c:v>44.848456672195418</c:v>
                </c:pt>
                <c:pt idx="7">
                  <c:v>48.46369933815059</c:v>
                </c:pt>
                <c:pt idx="8">
                  <c:v>52.396592899620053</c:v>
                </c:pt>
                <c:pt idx="9">
                  <c:v>56.724100982825156</c:v>
                </c:pt>
                <c:pt idx="10">
                  <c:v>61.356314429051501</c:v>
                </c:pt>
                <c:pt idx="11">
                  <c:v>66.275372668697599</c:v>
                </c:pt>
                <c:pt idx="12">
                  <c:v>71.47514286016893</c:v>
                </c:pt>
                <c:pt idx="13">
                  <c:v>76.941658244437306</c:v>
                </c:pt>
                <c:pt idx="14">
                  <c:v>78.779833599721215</c:v>
                </c:pt>
                <c:pt idx="15">
                  <c:v>80.553799561588434</c:v>
                </c:pt>
                <c:pt idx="16">
                  <c:v>82.262907552174823</c:v>
                </c:pt>
                <c:pt idx="17">
                  <c:v>83.911689943815887</c:v>
                </c:pt>
                <c:pt idx="18">
                  <c:v>85.495929485595582</c:v>
                </c:pt>
                <c:pt idx="19">
                  <c:v>86.323400585974255</c:v>
                </c:pt>
                <c:pt idx="20">
                  <c:v>87.095069575758529</c:v>
                </c:pt>
                <c:pt idx="21">
                  <c:v>87.811117368426309</c:v>
                </c:pt>
                <c:pt idx="22">
                  <c:v>88.477263996561888</c:v>
                </c:pt>
                <c:pt idx="23">
                  <c:v>89.087072766641825</c:v>
                </c:pt>
              </c:numCache>
            </c:numRef>
          </c:val>
          <c:smooth val="0"/>
          <c:extLst>
            <c:ext xmlns:c16="http://schemas.microsoft.com/office/drawing/2014/chart" uri="{C3380CC4-5D6E-409C-BE32-E72D297353CC}">
              <c16:uniqueId val="{00000001-0AFB-BF43-9929-D7860252C7C8}"/>
            </c:ext>
          </c:extLst>
        </c:ser>
        <c:ser>
          <c:idx val="2"/>
          <c:order val="2"/>
          <c:tx>
            <c:strRef>
              <c:f>'Fuel and CO2 emission prices'!$B$24</c:f>
              <c:strCache>
                <c:ptCount val="1"/>
                <c:pt idx="0">
                  <c:v>Natural gas (excl. sunk costs)</c:v>
                </c:pt>
              </c:strCache>
            </c:strRef>
          </c:tx>
          <c:marker>
            <c:symbol val="none"/>
          </c:marker>
          <c:cat>
            <c:numRef>
              <c:f>'Fuel and CO2 emission prices'!$E$13:$AB$13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prices'!$E$24:$AB$24</c:f>
              <c:numCache>
                <c:formatCode>0.0</c:formatCode>
                <c:ptCount val="24"/>
                <c:pt idx="0">
                  <c:v>28.606983041440699</c:v>
                </c:pt>
                <c:pt idx="1">
                  <c:v>29.471789374223775</c:v>
                </c:pt>
                <c:pt idx="2">
                  <c:v>29.338786232123155</c:v>
                </c:pt>
                <c:pt idx="3">
                  <c:v>30.188938172079759</c:v>
                </c:pt>
                <c:pt idx="4">
                  <c:v>31.94812468918245</c:v>
                </c:pt>
                <c:pt idx="5">
                  <c:v>34.750393416978163</c:v>
                </c:pt>
                <c:pt idx="6">
                  <c:v>37.97743123037003</c:v>
                </c:pt>
                <c:pt idx="7">
                  <c:v>41.592673896325202</c:v>
                </c:pt>
                <c:pt idx="8">
                  <c:v>45.525567457794665</c:v>
                </c:pt>
                <c:pt idx="9">
                  <c:v>49.853075540999768</c:v>
                </c:pt>
                <c:pt idx="10">
                  <c:v>54.485288987226113</c:v>
                </c:pt>
                <c:pt idx="11">
                  <c:v>59.404347226872211</c:v>
                </c:pt>
                <c:pt idx="12">
                  <c:v>64.604117418343549</c:v>
                </c:pt>
                <c:pt idx="13">
                  <c:v>70.070632802611925</c:v>
                </c:pt>
                <c:pt idx="14">
                  <c:v>71.908808157895834</c:v>
                </c:pt>
                <c:pt idx="15">
                  <c:v>73.682774119763053</c:v>
                </c:pt>
                <c:pt idx="16">
                  <c:v>75.391882110349442</c:v>
                </c:pt>
                <c:pt idx="17">
                  <c:v>77.040664501990506</c:v>
                </c:pt>
                <c:pt idx="18">
                  <c:v>78.624904043770201</c:v>
                </c:pt>
                <c:pt idx="19">
                  <c:v>79.452375144148874</c:v>
                </c:pt>
                <c:pt idx="20">
                  <c:v>80.224044133933148</c:v>
                </c:pt>
                <c:pt idx="21">
                  <c:v>80.940091926600928</c:v>
                </c:pt>
                <c:pt idx="22">
                  <c:v>81.606238554736507</c:v>
                </c:pt>
                <c:pt idx="23">
                  <c:v>82.216047324816444</c:v>
                </c:pt>
              </c:numCache>
            </c:numRef>
          </c:val>
          <c:smooth val="0"/>
          <c:extLst>
            <c:ext xmlns:c16="http://schemas.microsoft.com/office/drawing/2014/chart" uri="{C3380CC4-5D6E-409C-BE32-E72D297353CC}">
              <c16:uniqueId val="{00000002-0AFB-BF43-9929-D7860252C7C8}"/>
            </c:ext>
          </c:extLst>
        </c:ser>
        <c:ser>
          <c:idx val="3"/>
          <c:order val="3"/>
          <c:tx>
            <c:strRef>
              <c:f>'Fuel and CO2 emission prices'!$D$81</c:f>
              <c:strCache>
                <c:ptCount val="1"/>
                <c:pt idx="0">
                  <c:v>Natural gas - AF2016</c:v>
                </c:pt>
              </c:strCache>
            </c:strRef>
          </c:tx>
          <c:spPr>
            <a:ln>
              <a:solidFill>
                <a:schemeClr val="accent2"/>
              </a:solidFill>
              <a:prstDash val="sysDash"/>
            </a:ln>
          </c:spPr>
          <c:marker>
            <c:symbol val="none"/>
          </c:marker>
          <c:val>
            <c:numRef>
              <c:f>'Fuel and CO2 emission prices'!$E$81:$AB$81</c:f>
              <c:numCache>
                <c:formatCode>###0.0</c:formatCode>
                <c:ptCount val="24"/>
                <c:pt idx="0">
                  <c:v>32.744269860927652</c:v>
                </c:pt>
                <c:pt idx="1">
                  <c:v>33.013029364673017</c:v>
                </c:pt>
                <c:pt idx="2">
                  <c:v>34.102470897412843</c:v>
                </c:pt>
                <c:pt idx="3">
                  <c:v>34.597156644420672</c:v>
                </c:pt>
                <c:pt idx="4">
                  <c:v>36.332572206140789</c:v>
                </c:pt>
                <c:pt idx="5">
                  <c:v>38.455152775305621</c:v>
                </c:pt>
                <c:pt idx="6">
                  <c:v>40.935657303848217</c:v>
                </c:pt>
                <c:pt idx="7">
                  <c:v>43.754745565259221</c:v>
                </c:pt>
                <c:pt idx="8">
                  <c:v>46.885375239205068</c:v>
                </c:pt>
                <c:pt idx="9">
                  <c:v>50.302508060785392</c:v>
                </c:pt>
                <c:pt idx="10">
                  <c:v>53.984152592926108</c:v>
                </c:pt>
                <c:pt idx="11">
                  <c:v>57.900550432064875</c:v>
                </c:pt>
                <c:pt idx="12">
                  <c:v>62.040900809867452</c:v>
                </c:pt>
                <c:pt idx="13">
                  <c:v>66.418509183706178</c:v>
                </c:pt>
                <c:pt idx="14">
                  <c:v>67.411693917135054</c:v>
                </c:pt>
                <c:pt idx="15">
                  <c:v>68.333168460543561</c:v>
                </c:pt>
                <c:pt idx="16">
                  <c:v>69.191820282138806</c:v>
                </c:pt>
                <c:pt idx="17">
                  <c:v>69.995582526574395</c:v>
                </c:pt>
                <c:pt idx="18">
                  <c:v>70.749279860448439</c:v>
                </c:pt>
                <c:pt idx="19">
                  <c:v>71.45016882773416</c:v>
                </c:pt>
                <c:pt idx="20">
                  <c:v>72.10489262353444</c:v>
                </c:pt>
                <c:pt idx="21">
                  <c:v>72.71061562747623</c:v>
                </c:pt>
                <c:pt idx="22">
                  <c:v>73.272099216530705</c:v>
                </c:pt>
                <c:pt idx="23">
                  <c:v>73.791932969984217</c:v>
                </c:pt>
              </c:numCache>
            </c:numRef>
          </c:val>
          <c:smooth val="0"/>
          <c:extLst>
            <c:ext xmlns:c16="http://schemas.microsoft.com/office/drawing/2014/chart" uri="{C3380CC4-5D6E-409C-BE32-E72D297353CC}">
              <c16:uniqueId val="{00000003-0AFB-BF43-9929-D7860252C7C8}"/>
            </c:ext>
          </c:extLst>
        </c:ser>
        <c:dLbls>
          <c:showLegendKey val="0"/>
          <c:showVal val="0"/>
          <c:showCatName val="0"/>
          <c:showSerName val="0"/>
          <c:showPercent val="0"/>
          <c:showBubbleSize val="0"/>
        </c:dLbls>
        <c:smooth val="0"/>
        <c:axId val="99257344"/>
        <c:axId val="99263232"/>
      </c:lineChart>
      <c:catAx>
        <c:axId val="99257344"/>
        <c:scaling>
          <c:orientation val="minMax"/>
        </c:scaling>
        <c:delete val="0"/>
        <c:axPos val="b"/>
        <c:numFmt formatCode="General" sourceLinked="1"/>
        <c:majorTickMark val="out"/>
        <c:minorTickMark val="none"/>
        <c:tickLblPos val="nextTo"/>
        <c:crossAx val="99263232"/>
        <c:crosses val="autoZero"/>
        <c:auto val="1"/>
        <c:lblAlgn val="ctr"/>
        <c:lblOffset val="100"/>
        <c:noMultiLvlLbl val="0"/>
      </c:catAx>
      <c:valAx>
        <c:axId val="99263232"/>
        <c:scaling>
          <c:orientation val="minMax"/>
        </c:scaling>
        <c:delete val="0"/>
        <c:axPos val="l"/>
        <c:majorGridlines/>
        <c:title>
          <c:tx>
            <c:strRef>
              <c:f>'Fuel and CO2 emission prices'!$E$92</c:f>
              <c:strCache>
                <c:ptCount val="1"/>
                <c:pt idx="0">
                  <c:v>DKK/GJ (2017 prices)</c:v>
                </c:pt>
              </c:strCache>
            </c:strRef>
          </c:tx>
          <c:overlay val="0"/>
          <c:txPr>
            <a:bodyPr rot="-5400000" vert="horz"/>
            <a:lstStyle/>
            <a:p>
              <a:pPr>
                <a:defRPr/>
              </a:pPr>
              <a:endParaRPr lang="en-US"/>
            </a:p>
          </c:txPr>
        </c:title>
        <c:numFmt formatCode="0" sourceLinked="0"/>
        <c:majorTickMark val="out"/>
        <c:minorTickMark val="none"/>
        <c:tickLblPos val="nextTo"/>
        <c:crossAx val="9925734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Total gross</a:t>
            </a:r>
            <a:r>
              <a:rPr lang="da-DK" sz="1200" baseline="0"/>
              <a:t> electricity consumption, Western De</a:t>
            </a:r>
            <a:r>
              <a:rPr lang="da-DK" sz="1200"/>
              <a:t>nmark</a:t>
            </a:r>
            <a:r>
              <a:rPr lang="da-DK" sz="1200" baseline="0"/>
              <a:t> (DK1)</a:t>
            </a:r>
            <a:endParaRPr lang="da-DK" sz="1200"/>
          </a:p>
        </c:rich>
      </c:tx>
      <c:layout>
        <c:manualLayout>
          <c:xMode val="edge"/>
          <c:yMode val="edge"/>
          <c:x val="0.26952527761668355"/>
          <c:y val="1.1974738017247395E-2"/>
        </c:manualLayout>
      </c:layout>
      <c:overlay val="0"/>
    </c:title>
    <c:autoTitleDeleted val="0"/>
    <c:plotArea>
      <c:layout/>
      <c:areaChart>
        <c:grouping val="stacked"/>
        <c:varyColors val="0"/>
        <c:ser>
          <c:idx val="1"/>
          <c:order val="0"/>
          <c:tx>
            <c:strRef>
              <c:f>'Electricity consumption'!$B$236</c:f>
              <c:strCache>
                <c:ptCount val="1"/>
                <c:pt idx="0">
                  <c:v>Traditional consumption</c:v>
                </c:pt>
              </c:strCache>
            </c:strRef>
          </c:tx>
          <c:spPr>
            <a:ln>
              <a:solidFill>
                <a:schemeClr val="accent1"/>
              </a:solidFill>
              <a:prstDash val="dash"/>
            </a:ln>
          </c:spPr>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consumption'!$D$236:$AA$236</c:f>
              <c:numCache>
                <c:formatCode>#,##0</c:formatCode>
                <c:ptCount val="24"/>
                <c:pt idx="0">
                  <c:v>19775.196404154121</c:v>
                </c:pt>
                <c:pt idx="1">
                  <c:v>19896.403775383173</c:v>
                </c:pt>
                <c:pt idx="2">
                  <c:v>20040.588424005011</c:v>
                </c:pt>
                <c:pt idx="3">
                  <c:v>20045.304211589162</c:v>
                </c:pt>
                <c:pt idx="4">
                  <c:v>20011.014878571255</c:v>
                </c:pt>
                <c:pt idx="5">
                  <c:v>20050.021173781148</c:v>
                </c:pt>
                <c:pt idx="6">
                  <c:v>20069.86984182553</c:v>
                </c:pt>
                <c:pt idx="7">
                  <c:v>20092.013244089565</c:v>
                </c:pt>
                <c:pt idx="8">
                  <c:v>20106.873736636746</c:v>
                </c:pt>
                <c:pt idx="9">
                  <c:v>20103.232249668716</c:v>
                </c:pt>
                <c:pt idx="10">
                  <c:v>20112.558706291646</c:v>
                </c:pt>
                <c:pt idx="11">
                  <c:v>20099.361910610616</c:v>
                </c:pt>
                <c:pt idx="12">
                  <c:v>20090.802088548455</c:v>
                </c:pt>
                <c:pt idx="13">
                  <c:v>20124.658160440646</c:v>
                </c:pt>
                <c:pt idx="14">
                  <c:v>20111.652739958943</c:v>
                </c:pt>
                <c:pt idx="15">
                  <c:v>20105.028005669428</c:v>
                </c:pt>
                <c:pt idx="16">
                  <c:v>20070.902289245128</c:v>
                </c:pt>
                <c:pt idx="17">
                  <c:v>20031.190598554655</c:v>
                </c:pt>
                <c:pt idx="18">
                  <c:v>20050.326560159185</c:v>
                </c:pt>
                <c:pt idx="19">
                  <c:v>20024.768636696779</c:v>
                </c:pt>
                <c:pt idx="20">
                  <c:v>20018.697931080646</c:v>
                </c:pt>
                <c:pt idx="21">
                  <c:v>20007.687878501682</c:v>
                </c:pt>
                <c:pt idx="22">
                  <c:v>19998.652234165365</c:v>
                </c:pt>
                <c:pt idx="23">
                  <c:v>20044.634263309646</c:v>
                </c:pt>
              </c:numCache>
            </c:numRef>
          </c:val>
          <c:extLst>
            <c:ext xmlns:c16="http://schemas.microsoft.com/office/drawing/2014/chart" uri="{C3380CC4-5D6E-409C-BE32-E72D297353CC}">
              <c16:uniqueId val="{00000000-193D-564B-BABD-3B64F659A0ED}"/>
            </c:ext>
          </c:extLst>
        </c:ser>
        <c:ser>
          <c:idx val="0"/>
          <c:order val="1"/>
          <c:tx>
            <c:strRef>
              <c:f>'Electricity consumption'!$B$237</c:f>
              <c:strCache>
                <c:ptCount val="1"/>
                <c:pt idx="0">
                  <c:v>Household heat pumps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consumption'!$D$237:$AA$237</c:f>
              <c:numCache>
                <c:formatCode>#,##0</c:formatCode>
                <c:ptCount val="24"/>
                <c:pt idx="0">
                  <c:v>330.66333201784863</c:v>
                </c:pt>
                <c:pt idx="1">
                  <c:v>351.29272432320107</c:v>
                </c:pt>
                <c:pt idx="2">
                  <c:v>373.15615844034767</c:v>
                </c:pt>
                <c:pt idx="3">
                  <c:v>396.73165893376824</c:v>
                </c:pt>
                <c:pt idx="4">
                  <c:v>433.98692219689474</c:v>
                </c:pt>
                <c:pt idx="5">
                  <c:v>474.43297953501946</c:v>
                </c:pt>
                <c:pt idx="6">
                  <c:v>519.00920796043476</c:v>
                </c:pt>
                <c:pt idx="7">
                  <c:v>565.4497954953855</c:v>
                </c:pt>
                <c:pt idx="8">
                  <c:v>613.8193365608721</c:v>
                </c:pt>
                <c:pt idx="9">
                  <c:v>664.10679247478822</c:v>
                </c:pt>
                <c:pt idx="10">
                  <c:v>715.84730835531002</c:v>
                </c:pt>
                <c:pt idx="11">
                  <c:v>769.28110498546232</c:v>
                </c:pt>
                <c:pt idx="12">
                  <c:v>823.98503796287685</c:v>
                </c:pt>
                <c:pt idx="13">
                  <c:v>878.20464874299762</c:v>
                </c:pt>
                <c:pt idx="14">
                  <c:v>934.56338770828927</c:v>
                </c:pt>
                <c:pt idx="15">
                  <c:v>995.52722083408173</c:v>
                </c:pt>
                <c:pt idx="16">
                  <c:v>1057.280724287765</c:v>
                </c:pt>
                <c:pt idx="17">
                  <c:v>1097.0492179462556</c:v>
                </c:pt>
                <c:pt idx="18">
                  <c:v>1135.1419856108084</c:v>
                </c:pt>
                <c:pt idx="19">
                  <c:v>1173.2959798592472</c:v>
                </c:pt>
                <c:pt idx="20">
                  <c:v>1210.8649948586735</c:v>
                </c:pt>
                <c:pt idx="21">
                  <c:v>1247.7961565976454</c:v>
                </c:pt>
                <c:pt idx="22">
                  <c:v>1284.0344645084072</c:v>
                </c:pt>
                <c:pt idx="23">
                  <c:v>1319.5227209532138</c:v>
                </c:pt>
              </c:numCache>
            </c:numRef>
          </c:val>
          <c:extLst>
            <c:ext xmlns:c16="http://schemas.microsoft.com/office/drawing/2014/chart" uri="{C3380CC4-5D6E-409C-BE32-E72D297353CC}">
              <c16:uniqueId val="{00000001-193D-564B-BABD-3B64F659A0ED}"/>
            </c:ext>
          </c:extLst>
        </c:ser>
        <c:ser>
          <c:idx val="2"/>
          <c:order val="2"/>
          <c:tx>
            <c:strRef>
              <c:f>'Electricity consumption'!$B$238</c:f>
              <c:strCache>
                <c:ptCount val="1"/>
                <c:pt idx="0">
                  <c:v>Large heat pumps</c:v>
                </c:pt>
              </c:strCache>
            </c:strRef>
          </c:tx>
          <c:spPr>
            <a:solidFill>
              <a:srgbClr val="F9AF3C"/>
            </a:solidFill>
          </c:spPr>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consumption'!$D$238:$AA$238</c:f>
              <c:numCache>
                <c:formatCode>#,##0</c:formatCode>
                <c:ptCount val="24"/>
                <c:pt idx="0">
                  <c:v>96.325313739000009</c:v>
                </c:pt>
                <c:pt idx="1">
                  <c:v>116.58995214700001</c:v>
                </c:pt>
                <c:pt idx="2">
                  <c:v>223.94334489899998</c:v>
                </c:pt>
                <c:pt idx="3">
                  <c:v>304.24419632800004</c:v>
                </c:pt>
                <c:pt idx="4">
                  <c:v>334.38659783700001</c:v>
                </c:pt>
                <c:pt idx="5">
                  <c:v>348.68733134200005</c:v>
                </c:pt>
                <c:pt idx="6">
                  <c:v>387.07826708599998</c:v>
                </c:pt>
                <c:pt idx="7">
                  <c:v>352.80617907000004</c:v>
                </c:pt>
                <c:pt idx="8">
                  <c:v>350.88195345100002</c:v>
                </c:pt>
                <c:pt idx="9">
                  <c:v>378.04765016300001</c:v>
                </c:pt>
                <c:pt idx="10">
                  <c:v>460.983013755</c:v>
                </c:pt>
                <c:pt idx="11">
                  <c:v>647.56643863699992</c:v>
                </c:pt>
                <c:pt idx="12">
                  <c:v>641.96872026200003</c:v>
                </c:pt>
                <c:pt idx="13">
                  <c:v>826.65652383500003</c:v>
                </c:pt>
                <c:pt idx="14">
                  <c:v>841.96541283800013</c:v>
                </c:pt>
                <c:pt idx="15">
                  <c:v>853.84317328700013</c:v>
                </c:pt>
                <c:pt idx="16">
                  <c:v>835.75870535399997</c:v>
                </c:pt>
                <c:pt idx="17">
                  <c:v>842.91851619399995</c:v>
                </c:pt>
                <c:pt idx="18">
                  <c:v>857.70657488600011</c:v>
                </c:pt>
                <c:pt idx="19">
                  <c:v>858.14560166400008</c:v>
                </c:pt>
                <c:pt idx="20">
                  <c:v>860.60176151899987</c:v>
                </c:pt>
                <c:pt idx="21">
                  <c:v>864.58558402099993</c:v>
                </c:pt>
                <c:pt idx="22">
                  <c:v>871.77146198700007</c:v>
                </c:pt>
                <c:pt idx="23">
                  <c:v>885.00259877500002</c:v>
                </c:pt>
              </c:numCache>
            </c:numRef>
          </c:val>
          <c:extLst>
            <c:ext xmlns:c16="http://schemas.microsoft.com/office/drawing/2014/chart" uri="{C3380CC4-5D6E-409C-BE32-E72D297353CC}">
              <c16:uniqueId val="{00000002-193D-564B-BABD-3B64F659A0ED}"/>
            </c:ext>
          </c:extLst>
        </c:ser>
        <c:ser>
          <c:idx val="3"/>
          <c:order val="3"/>
          <c:tx>
            <c:strRef>
              <c:f>'Electricity consumption'!$B$239</c:f>
              <c:strCache>
                <c:ptCount val="1"/>
                <c:pt idx="0">
                  <c:v>Electric boilers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consumption'!$D$239:$AA$239</c:f>
              <c:numCache>
                <c:formatCode>#,##0</c:formatCode>
                <c:ptCount val="24"/>
                <c:pt idx="0">
                  <c:v>94.545482373000013</c:v>
                </c:pt>
                <c:pt idx="1">
                  <c:v>105.129100827</c:v>
                </c:pt>
                <c:pt idx="2">
                  <c:v>125.16228914000001</c:v>
                </c:pt>
                <c:pt idx="3">
                  <c:v>78.975171290999995</c:v>
                </c:pt>
                <c:pt idx="4">
                  <c:v>88.239289071000016</c:v>
                </c:pt>
                <c:pt idx="5">
                  <c:v>74.980529697999998</c:v>
                </c:pt>
                <c:pt idx="6">
                  <c:v>96.525194018999997</c:v>
                </c:pt>
                <c:pt idx="7">
                  <c:v>88.475306461000017</c:v>
                </c:pt>
                <c:pt idx="8">
                  <c:v>57.387623189000003</c:v>
                </c:pt>
                <c:pt idx="9">
                  <c:v>79.823061547000009</c:v>
                </c:pt>
                <c:pt idx="10">
                  <c:v>155.939269129</c:v>
                </c:pt>
                <c:pt idx="11">
                  <c:v>157.68365407000002</c:v>
                </c:pt>
                <c:pt idx="12">
                  <c:v>95.414861866999999</c:v>
                </c:pt>
                <c:pt idx="13">
                  <c:v>118.63755507899999</c:v>
                </c:pt>
                <c:pt idx="14">
                  <c:v>118.005692794</c:v>
                </c:pt>
                <c:pt idx="15">
                  <c:v>127.18927895</c:v>
                </c:pt>
                <c:pt idx="16">
                  <c:v>110.19816365999999</c:v>
                </c:pt>
                <c:pt idx="17">
                  <c:v>113.60982153100002</c:v>
                </c:pt>
                <c:pt idx="18">
                  <c:v>117.31463361500002</c:v>
                </c:pt>
                <c:pt idx="19">
                  <c:v>108.71410469000001</c:v>
                </c:pt>
                <c:pt idx="20">
                  <c:v>113.14797432800002</c:v>
                </c:pt>
                <c:pt idx="21">
                  <c:v>110.89510591300002</c:v>
                </c:pt>
                <c:pt idx="22">
                  <c:v>108.666999117</c:v>
                </c:pt>
                <c:pt idx="23">
                  <c:v>96.917350623999994</c:v>
                </c:pt>
              </c:numCache>
            </c:numRef>
          </c:val>
          <c:extLst>
            <c:ext xmlns:c16="http://schemas.microsoft.com/office/drawing/2014/chart" uri="{C3380CC4-5D6E-409C-BE32-E72D297353CC}">
              <c16:uniqueId val="{00000003-193D-564B-BABD-3B64F659A0ED}"/>
            </c:ext>
          </c:extLst>
        </c:ser>
        <c:ser>
          <c:idx val="4"/>
          <c:order val="4"/>
          <c:tx>
            <c:strRef>
              <c:f>'Electricity consumption'!$B$240</c:f>
              <c:strCache>
                <c:ptCount val="1"/>
                <c:pt idx="0">
                  <c:v>Road and sea transport</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consumption'!$D$240:$AA$240</c:f>
              <c:numCache>
                <c:formatCode>#,##0</c:formatCode>
                <c:ptCount val="24"/>
                <c:pt idx="0">
                  <c:v>12.581530629841257</c:v>
                </c:pt>
                <c:pt idx="1">
                  <c:v>14.258747598053009</c:v>
                </c:pt>
                <c:pt idx="2">
                  <c:v>21.033723655686803</c:v>
                </c:pt>
                <c:pt idx="3">
                  <c:v>45.922590117091275</c:v>
                </c:pt>
                <c:pt idx="4">
                  <c:v>101.28683648050414</c:v>
                </c:pt>
                <c:pt idx="5">
                  <c:v>192.73908400207625</c:v>
                </c:pt>
                <c:pt idx="6">
                  <c:v>312.2572733541424</c:v>
                </c:pt>
                <c:pt idx="7">
                  <c:v>448.47365828329634</c:v>
                </c:pt>
                <c:pt idx="8">
                  <c:v>596.21030144792451</c:v>
                </c:pt>
                <c:pt idx="9">
                  <c:v>776.98110988119583</c:v>
                </c:pt>
                <c:pt idx="10">
                  <c:v>985.87021928583533</c:v>
                </c:pt>
                <c:pt idx="11">
                  <c:v>1223.3266822954943</c:v>
                </c:pt>
                <c:pt idx="12">
                  <c:v>1492.5774447905526</c:v>
                </c:pt>
                <c:pt idx="13">
                  <c:v>1789.1381400861933</c:v>
                </c:pt>
                <c:pt idx="14">
                  <c:v>2115.4663338319292</c:v>
                </c:pt>
                <c:pt idx="15">
                  <c:v>2466.1256624520151</c:v>
                </c:pt>
                <c:pt idx="16">
                  <c:v>2872.8059407184523</c:v>
                </c:pt>
                <c:pt idx="17">
                  <c:v>3300.0247388950602</c:v>
                </c:pt>
                <c:pt idx="18">
                  <c:v>3730.9993794282263</c:v>
                </c:pt>
                <c:pt idx="19">
                  <c:v>4157.0163469047347</c:v>
                </c:pt>
                <c:pt idx="20">
                  <c:v>4553.8766384067858</c:v>
                </c:pt>
                <c:pt idx="21">
                  <c:v>4913.2165919388608</c:v>
                </c:pt>
                <c:pt idx="22">
                  <c:v>5243.5423487395083</c:v>
                </c:pt>
                <c:pt idx="23">
                  <c:v>5547.4460439262493</c:v>
                </c:pt>
              </c:numCache>
            </c:numRef>
          </c:val>
          <c:extLst>
            <c:ext xmlns:c16="http://schemas.microsoft.com/office/drawing/2014/chart" uri="{C3380CC4-5D6E-409C-BE32-E72D297353CC}">
              <c16:uniqueId val="{00000004-193D-564B-BABD-3B64F659A0ED}"/>
            </c:ext>
          </c:extLst>
        </c:ser>
        <c:ser>
          <c:idx val="5"/>
          <c:order val="5"/>
          <c:tx>
            <c:strRef>
              <c:f>'Electricity consumption'!$B$241</c:f>
              <c:strCache>
                <c:ptCount val="1"/>
                <c:pt idx="0">
                  <c:v>Rail transport</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consumption'!$D$241:$AA$241</c:f>
              <c:numCache>
                <c:formatCode>#,##0</c:formatCode>
                <c:ptCount val="24"/>
                <c:pt idx="0">
                  <c:v>79.180000000000007</c:v>
                </c:pt>
                <c:pt idx="1">
                  <c:v>91.292815160000004</c:v>
                </c:pt>
                <c:pt idx="2">
                  <c:v>103.40563032000001</c:v>
                </c:pt>
                <c:pt idx="3">
                  <c:v>124.5479358</c:v>
                </c:pt>
                <c:pt idx="4">
                  <c:v>177.17800440000002</c:v>
                </c:pt>
                <c:pt idx="5">
                  <c:v>261.45301484000004</c:v>
                </c:pt>
                <c:pt idx="6">
                  <c:v>349.78928732000008</c:v>
                </c:pt>
                <c:pt idx="7">
                  <c:v>438.12555979999996</c:v>
                </c:pt>
                <c:pt idx="8">
                  <c:v>521.18012396000017</c:v>
                </c:pt>
                <c:pt idx="9">
                  <c:v>576.34550620000005</c:v>
                </c:pt>
                <c:pt idx="10">
                  <c:v>599.86594660000014</c:v>
                </c:pt>
                <c:pt idx="11">
                  <c:v>607.21230980000018</c:v>
                </c:pt>
                <c:pt idx="12">
                  <c:v>614.558673</c:v>
                </c:pt>
                <c:pt idx="13">
                  <c:v>618.1572541999999</c:v>
                </c:pt>
                <c:pt idx="14">
                  <c:v>618.1572541999999</c:v>
                </c:pt>
                <c:pt idx="15">
                  <c:v>618.1572541999999</c:v>
                </c:pt>
                <c:pt idx="16">
                  <c:v>618.1572541999999</c:v>
                </c:pt>
                <c:pt idx="17">
                  <c:v>618.1572541999999</c:v>
                </c:pt>
                <c:pt idx="18">
                  <c:v>618.1572541999999</c:v>
                </c:pt>
                <c:pt idx="19">
                  <c:v>618.1572541999999</c:v>
                </c:pt>
                <c:pt idx="20">
                  <c:v>618.1572541999999</c:v>
                </c:pt>
                <c:pt idx="21">
                  <c:v>618.1572541999999</c:v>
                </c:pt>
                <c:pt idx="22">
                  <c:v>618.1572541999999</c:v>
                </c:pt>
                <c:pt idx="23">
                  <c:v>618.1572541999999</c:v>
                </c:pt>
              </c:numCache>
            </c:numRef>
          </c:val>
          <c:extLst>
            <c:ext xmlns:c16="http://schemas.microsoft.com/office/drawing/2014/chart" uri="{C3380CC4-5D6E-409C-BE32-E72D297353CC}">
              <c16:uniqueId val="{00000005-193D-564B-BABD-3B64F659A0ED}"/>
            </c:ext>
          </c:extLst>
        </c:ser>
        <c:ser>
          <c:idx val="6"/>
          <c:order val="6"/>
          <c:tx>
            <c:strRef>
              <c:f>'Electricity consumption'!$B$242</c:f>
              <c:strCache>
                <c:ptCount val="1"/>
                <c:pt idx="0">
                  <c:v>Large data centres</c:v>
                </c:pt>
              </c:strCache>
            </c:strRef>
          </c:tx>
          <c:cat>
            <c:numRef>
              <c:f>'Electricity consumption'!$D$234:$AA$234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consumption'!$D$242:$AA$242</c:f>
              <c:numCache>
                <c:formatCode>#,##0</c:formatCode>
                <c:ptCount val="24"/>
                <c:pt idx="0">
                  <c:v>0</c:v>
                </c:pt>
                <c:pt idx="1">
                  <c:v>453.03800000000007</c:v>
                </c:pt>
                <c:pt idx="2">
                  <c:v>906.07600000000014</c:v>
                </c:pt>
                <c:pt idx="3">
                  <c:v>1546.5780000000002</c:v>
                </c:pt>
                <c:pt idx="4">
                  <c:v>2187.0800000000004</c:v>
                </c:pt>
                <c:pt idx="5">
                  <c:v>2827.5819999999999</c:v>
                </c:pt>
                <c:pt idx="6">
                  <c:v>3468.0839999999998</c:v>
                </c:pt>
                <c:pt idx="7">
                  <c:v>3655.5479999999998</c:v>
                </c:pt>
                <c:pt idx="8">
                  <c:v>3843.0120000000006</c:v>
                </c:pt>
                <c:pt idx="9">
                  <c:v>3843.0120000000006</c:v>
                </c:pt>
                <c:pt idx="10">
                  <c:v>3843.0120000000006</c:v>
                </c:pt>
                <c:pt idx="11">
                  <c:v>3843.0120000000006</c:v>
                </c:pt>
                <c:pt idx="12">
                  <c:v>3843.0120000000006</c:v>
                </c:pt>
                <c:pt idx="13">
                  <c:v>3843.0120000000006</c:v>
                </c:pt>
                <c:pt idx="14">
                  <c:v>3843.0120000000006</c:v>
                </c:pt>
                <c:pt idx="15">
                  <c:v>3843.0120000000006</c:v>
                </c:pt>
                <c:pt idx="16">
                  <c:v>3843.0120000000006</c:v>
                </c:pt>
                <c:pt idx="17">
                  <c:v>3843.0120000000006</c:v>
                </c:pt>
                <c:pt idx="18">
                  <c:v>3843.0120000000006</c:v>
                </c:pt>
                <c:pt idx="19">
                  <c:v>3843.0120000000006</c:v>
                </c:pt>
                <c:pt idx="20">
                  <c:v>3843.0120000000006</c:v>
                </c:pt>
                <c:pt idx="21">
                  <c:v>3843.0120000000006</c:v>
                </c:pt>
                <c:pt idx="22">
                  <c:v>3843.0120000000006</c:v>
                </c:pt>
                <c:pt idx="23">
                  <c:v>3843.0120000000006</c:v>
                </c:pt>
              </c:numCache>
            </c:numRef>
          </c:val>
          <c:extLst>
            <c:ext xmlns:c16="http://schemas.microsoft.com/office/drawing/2014/chart" uri="{C3380CC4-5D6E-409C-BE32-E72D297353CC}">
              <c16:uniqueId val="{00000006-193D-564B-BABD-3B64F659A0ED}"/>
            </c:ext>
          </c:extLst>
        </c:ser>
        <c:dLbls>
          <c:showLegendKey val="0"/>
          <c:showVal val="0"/>
          <c:showCatName val="0"/>
          <c:showSerName val="0"/>
          <c:showPercent val="0"/>
          <c:showBubbleSize val="0"/>
        </c:dLbls>
        <c:axId val="113966080"/>
        <c:axId val="113971968"/>
      </c:areaChart>
      <c:lineChart>
        <c:grouping val="standard"/>
        <c:varyColors val="0"/>
        <c:ser>
          <c:idx val="7"/>
          <c:order val="7"/>
          <c:tx>
            <c:strRef>
              <c:f>'Electricity consumption'!$B$303</c:f>
              <c:strCache>
                <c:ptCount val="1"/>
                <c:pt idx="0">
                  <c:v>Western Denmark (DK1) - AF2016</c:v>
                </c:pt>
              </c:strCache>
            </c:strRef>
          </c:tx>
          <c:spPr>
            <a:ln>
              <a:solidFill>
                <a:schemeClr val="accent3"/>
              </a:solidFill>
              <a:prstDash val="sysDash"/>
            </a:ln>
          </c:spPr>
          <c:marker>
            <c:symbol val="none"/>
          </c:marker>
          <c:val>
            <c:numRef>
              <c:f>'Electricity consumption'!$D$303:$AA$303</c:f>
              <c:numCache>
                <c:formatCode>#,##0</c:formatCode>
                <c:ptCount val="24"/>
                <c:pt idx="0">
                  <c:v>20933.862806790206</c:v>
                </c:pt>
                <c:pt idx="1">
                  <c:v>21854.360572354442</c:v>
                </c:pt>
                <c:pt idx="2">
                  <c:v>22771.292381971278</c:v>
                </c:pt>
                <c:pt idx="3">
                  <c:v>23476.313585555192</c:v>
                </c:pt>
                <c:pt idx="4">
                  <c:v>24094.191731641462</c:v>
                </c:pt>
                <c:pt idx="5">
                  <c:v>24835.397218514867</c:v>
                </c:pt>
                <c:pt idx="6">
                  <c:v>25688.754858408673</c:v>
                </c:pt>
                <c:pt idx="7">
                  <c:v>25889.037921391635</c:v>
                </c:pt>
                <c:pt idx="8">
                  <c:v>26108.654376148032</c:v>
                </c:pt>
                <c:pt idx="9">
                  <c:v>26490.286601021988</c:v>
                </c:pt>
                <c:pt idx="10">
                  <c:v>26753.352213875824</c:v>
                </c:pt>
                <c:pt idx="11">
                  <c:v>26916.009091345779</c:v>
                </c:pt>
                <c:pt idx="12">
                  <c:v>27078.921519131789</c:v>
                </c:pt>
                <c:pt idx="13">
                  <c:v>27551.12799875336</c:v>
                </c:pt>
                <c:pt idx="14">
                  <c:v>27734.096742788326</c:v>
                </c:pt>
                <c:pt idx="15">
                  <c:v>27937.242133019427</c:v>
                </c:pt>
                <c:pt idx="16">
                  <c:v>28056.563700949253</c:v>
                </c:pt>
                <c:pt idx="17">
                  <c:v>28180.725705216799</c:v>
                </c:pt>
                <c:pt idx="18">
                  <c:v>28309.630954703465</c:v>
                </c:pt>
                <c:pt idx="19">
                  <c:v>28482.078338873325</c:v>
                </c:pt>
                <c:pt idx="20">
                  <c:v>28723.439007095083</c:v>
                </c:pt>
                <c:pt idx="21">
                  <c:v>28926.713450398922</c:v>
                </c:pt>
                <c:pt idx="22">
                  <c:v>29100.885905864401</c:v>
                </c:pt>
                <c:pt idx="23">
                  <c:v>29463.864145676747</c:v>
                </c:pt>
              </c:numCache>
            </c:numRef>
          </c:val>
          <c:smooth val="0"/>
          <c:extLst>
            <c:ext xmlns:c16="http://schemas.microsoft.com/office/drawing/2014/chart" uri="{C3380CC4-5D6E-409C-BE32-E72D297353CC}">
              <c16:uniqueId val="{00000007-193D-564B-BABD-3B64F659A0ED}"/>
            </c:ext>
          </c:extLst>
        </c:ser>
        <c:dLbls>
          <c:showLegendKey val="0"/>
          <c:showVal val="0"/>
          <c:showCatName val="0"/>
          <c:showSerName val="0"/>
          <c:showPercent val="0"/>
          <c:showBubbleSize val="0"/>
        </c:dLbls>
        <c:marker val="1"/>
        <c:smooth val="0"/>
        <c:axId val="113966080"/>
        <c:axId val="113971968"/>
      </c:lineChart>
      <c:catAx>
        <c:axId val="113966080"/>
        <c:scaling>
          <c:orientation val="minMax"/>
        </c:scaling>
        <c:delete val="0"/>
        <c:axPos val="b"/>
        <c:numFmt formatCode="General" sourceLinked="1"/>
        <c:majorTickMark val="out"/>
        <c:minorTickMark val="none"/>
        <c:tickLblPos val="nextTo"/>
        <c:crossAx val="113971968"/>
        <c:crosses val="autoZero"/>
        <c:auto val="1"/>
        <c:lblAlgn val="ctr"/>
        <c:lblOffset val="100"/>
        <c:noMultiLvlLbl val="0"/>
      </c:catAx>
      <c:valAx>
        <c:axId val="113971968"/>
        <c:scaling>
          <c:orientation val="minMax"/>
          <c:min val="10000"/>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396608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Electricity</a:t>
            </a:r>
            <a:r>
              <a:rPr lang="en-US" sz="1200" baseline="0"/>
              <a:t> capacity for large heat pumps</a:t>
            </a:r>
            <a:endParaRPr lang="en-US" sz="1200"/>
          </a:p>
        </c:rich>
      </c:tx>
      <c:overlay val="0"/>
    </c:title>
    <c:autoTitleDeleted val="0"/>
    <c:plotArea>
      <c:layout/>
      <c:areaChart>
        <c:grouping val="stacked"/>
        <c:varyColors val="0"/>
        <c:ser>
          <c:idx val="0"/>
          <c:order val="0"/>
          <c:tx>
            <c:strRef>
              <c:f>'Electricity consumption'!$B$62</c:f>
              <c:strCache>
                <c:ptCount val="1"/>
                <c:pt idx="0">
                  <c:v>Central</c:v>
                </c:pt>
              </c:strCache>
            </c:strRef>
          </c:tx>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consumption'!$D$62:$AA$62</c:f>
              <c:numCache>
                <c:formatCode>#,##0</c:formatCode>
                <c:ptCount val="24"/>
                <c:pt idx="0">
                  <c:v>0</c:v>
                </c:pt>
                <c:pt idx="1">
                  <c:v>0.7</c:v>
                </c:pt>
                <c:pt idx="2">
                  <c:v>0.7</c:v>
                </c:pt>
                <c:pt idx="3">
                  <c:v>0.7</c:v>
                </c:pt>
                <c:pt idx="4">
                  <c:v>0.7</c:v>
                </c:pt>
                <c:pt idx="5">
                  <c:v>0.7</c:v>
                </c:pt>
                <c:pt idx="6">
                  <c:v>15.7</c:v>
                </c:pt>
                <c:pt idx="7">
                  <c:v>15.7</c:v>
                </c:pt>
                <c:pt idx="8">
                  <c:v>15.7</c:v>
                </c:pt>
                <c:pt idx="9">
                  <c:v>15.7</c:v>
                </c:pt>
                <c:pt idx="10">
                  <c:v>35.700000000000003</c:v>
                </c:pt>
                <c:pt idx="11">
                  <c:v>75.7</c:v>
                </c:pt>
                <c:pt idx="12">
                  <c:v>75.7</c:v>
                </c:pt>
                <c:pt idx="13">
                  <c:v>180.7</c:v>
                </c:pt>
                <c:pt idx="14">
                  <c:v>180.7</c:v>
                </c:pt>
                <c:pt idx="15">
                  <c:v>180.7</c:v>
                </c:pt>
                <c:pt idx="16">
                  <c:v>180.7</c:v>
                </c:pt>
                <c:pt idx="17">
                  <c:v>180.7</c:v>
                </c:pt>
                <c:pt idx="18">
                  <c:v>180.7</c:v>
                </c:pt>
                <c:pt idx="19">
                  <c:v>180.7</c:v>
                </c:pt>
                <c:pt idx="20">
                  <c:v>180.7</c:v>
                </c:pt>
                <c:pt idx="21">
                  <c:v>180.7</c:v>
                </c:pt>
                <c:pt idx="22">
                  <c:v>180.7</c:v>
                </c:pt>
                <c:pt idx="23">
                  <c:v>180.7</c:v>
                </c:pt>
              </c:numCache>
            </c:numRef>
          </c:val>
          <c:extLst>
            <c:ext xmlns:c16="http://schemas.microsoft.com/office/drawing/2014/chart" uri="{C3380CC4-5D6E-409C-BE32-E72D297353CC}">
              <c16:uniqueId val="{00000000-FC2A-D941-9A8E-B6FC65FFC15C}"/>
            </c:ext>
          </c:extLst>
        </c:ser>
        <c:ser>
          <c:idx val="1"/>
          <c:order val="1"/>
          <c:tx>
            <c:strRef>
              <c:f>'Electricity consumption'!$B$63</c:f>
              <c:strCache>
                <c:ptCount val="1"/>
                <c:pt idx="0">
                  <c:v>Local</c:v>
                </c:pt>
              </c:strCache>
            </c:strRef>
          </c:tx>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consumption'!$D$63:$AA$63</c:f>
              <c:numCache>
                <c:formatCode>#,##0</c:formatCode>
                <c:ptCount val="24"/>
                <c:pt idx="0">
                  <c:v>14.440478376972656</c:v>
                </c:pt>
                <c:pt idx="1">
                  <c:v>20.354764091258371</c:v>
                </c:pt>
                <c:pt idx="2">
                  <c:v>42.177382045629187</c:v>
                </c:pt>
                <c:pt idx="3">
                  <c:v>64</c:v>
                </c:pt>
                <c:pt idx="4">
                  <c:v>78</c:v>
                </c:pt>
                <c:pt idx="5">
                  <c:v>85</c:v>
                </c:pt>
                <c:pt idx="6">
                  <c:v>92</c:v>
                </c:pt>
                <c:pt idx="7">
                  <c:v>99.999999999999986</c:v>
                </c:pt>
                <c:pt idx="8">
                  <c:v>105</c:v>
                </c:pt>
                <c:pt idx="9">
                  <c:v>110</c:v>
                </c:pt>
                <c:pt idx="10">
                  <c:v>113</c:v>
                </c:pt>
                <c:pt idx="11">
                  <c:v>115.99999999999999</c:v>
                </c:pt>
                <c:pt idx="12">
                  <c:v>118</c:v>
                </c:pt>
                <c:pt idx="13">
                  <c:v>122</c:v>
                </c:pt>
                <c:pt idx="14">
                  <c:v>125</c:v>
                </c:pt>
                <c:pt idx="15">
                  <c:v>128</c:v>
                </c:pt>
                <c:pt idx="16">
                  <c:v>132</c:v>
                </c:pt>
                <c:pt idx="17">
                  <c:v>134</c:v>
                </c:pt>
                <c:pt idx="18">
                  <c:v>137</c:v>
                </c:pt>
                <c:pt idx="19">
                  <c:v>141</c:v>
                </c:pt>
                <c:pt idx="20">
                  <c:v>144</c:v>
                </c:pt>
                <c:pt idx="21">
                  <c:v>147</c:v>
                </c:pt>
                <c:pt idx="22">
                  <c:v>149</c:v>
                </c:pt>
                <c:pt idx="23">
                  <c:v>153</c:v>
                </c:pt>
              </c:numCache>
            </c:numRef>
          </c:val>
          <c:extLst>
            <c:ext xmlns:c16="http://schemas.microsoft.com/office/drawing/2014/chart" uri="{C3380CC4-5D6E-409C-BE32-E72D297353CC}">
              <c16:uniqueId val="{00000001-FC2A-D941-9A8E-B6FC65FFC15C}"/>
            </c:ext>
          </c:extLst>
        </c:ser>
        <c:dLbls>
          <c:showLegendKey val="0"/>
          <c:showVal val="0"/>
          <c:showCatName val="0"/>
          <c:showSerName val="0"/>
          <c:showPercent val="0"/>
          <c:showBubbleSize val="0"/>
        </c:dLbls>
        <c:axId val="114017408"/>
        <c:axId val="114018944"/>
      </c:areaChart>
      <c:lineChart>
        <c:grouping val="stacked"/>
        <c:varyColors val="0"/>
        <c:ser>
          <c:idx val="2"/>
          <c:order val="2"/>
          <c:tx>
            <c:v>Central, AF2016</c:v>
          </c:tx>
          <c:spPr>
            <a:ln>
              <a:solidFill>
                <a:schemeClr val="accent3">
                  <a:lumMod val="40000"/>
                  <a:lumOff val="60000"/>
                </a:schemeClr>
              </a:solidFill>
              <a:prstDash val="sysDash"/>
            </a:ln>
          </c:spPr>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consumption'!$D$310:$AA$310</c:f>
              <c:numCache>
                <c:formatCode>#,##0</c:formatCode>
                <c:ptCount val="24"/>
                <c:pt idx="0">
                  <c:v>4</c:v>
                </c:pt>
                <c:pt idx="1">
                  <c:v>6</c:v>
                </c:pt>
                <c:pt idx="2">
                  <c:v>8</c:v>
                </c:pt>
                <c:pt idx="3">
                  <c:v>10</c:v>
                </c:pt>
                <c:pt idx="4">
                  <c:v>18</c:v>
                </c:pt>
                <c:pt idx="5">
                  <c:v>26</c:v>
                </c:pt>
                <c:pt idx="6">
                  <c:v>34</c:v>
                </c:pt>
                <c:pt idx="7">
                  <c:v>42</c:v>
                </c:pt>
                <c:pt idx="8">
                  <c:v>50</c:v>
                </c:pt>
                <c:pt idx="9">
                  <c:v>60</c:v>
                </c:pt>
                <c:pt idx="10">
                  <c:v>70</c:v>
                </c:pt>
                <c:pt idx="11">
                  <c:v>80</c:v>
                </c:pt>
                <c:pt idx="12">
                  <c:v>90</c:v>
                </c:pt>
                <c:pt idx="13">
                  <c:v>100</c:v>
                </c:pt>
                <c:pt idx="14">
                  <c:v>110</c:v>
                </c:pt>
                <c:pt idx="15">
                  <c:v>120</c:v>
                </c:pt>
                <c:pt idx="16">
                  <c:v>130</c:v>
                </c:pt>
                <c:pt idx="17">
                  <c:v>140</c:v>
                </c:pt>
                <c:pt idx="18">
                  <c:v>150</c:v>
                </c:pt>
                <c:pt idx="19">
                  <c:v>170</c:v>
                </c:pt>
                <c:pt idx="20">
                  <c:v>190</c:v>
                </c:pt>
                <c:pt idx="21">
                  <c:v>210</c:v>
                </c:pt>
                <c:pt idx="22">
                  <c:v>230</c:v>
                </c:pt>
                <c:pt idx="23">
                  <c:v>250</c:v>
                </c:pt>
              </c:numCache>
            </c:numRef>
          </c:val>
          <c:smooth val="0"/>
          <c:extLst>
            <c:ext xmlns:c16="http://schemas.microsoft.com/office/drawing/2014/chart" uri="{C3380CC4-5D6E-409C-BE32-E72D297353CC}">
              <c16:uniqueId val="{00000002-FC2A-D941-9A8E-B6FC65FFC15C}"/>
            </c:ext>
          </c:extLst>
        </c:ser>
        <c:ser>
          <c:idx val="3"/>
          <c:order val="3"/>
          <c:tx>
            <c:v>Local, AF2016</c:v>
          </c:tx>
          <c:spPr>
            <a:ln>
              <a:solidFill>
                <a:schemeClr val="accent3">
                  <a:lumMod val="75000"/>
                </a:schemeClr>
              </a:solidFill>
              <a:prstDash val="sysDash"/>
            </a:ln>
          </c:spPr>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consumption'!$D$311:$AA$311</c:f>
              <c:numCache>
                <c:formatCode>#,##0</c:formatCode>
                <c:ptCount val="24"/>
                <c:pt idx="0">
                  <c:v>10.00946069349048</c:v>
                </c:pt>
                <c:pt idx="1">
                  <c:v>14.879844635869336</c:v>
                </c:pt>
                <c:pt idx="2">
                  <c:v>20</c:v>
                </c:pt>
                <c:pt idx="3">
                  <c:v>25</c:v>
                </c:pt>
                <c:pt idx="4">
                  <c:v>30</c:v>
                </c:pt>
                <c:pt idx="5">
                  <c:v>35</c:v>
                </c:pt>
                <c:pt idx="6">
                  <c:v>40</c:v>
                </c:pt>
                <c:pt idx="7">
                  <c:v>45</c:v>
                </c:pt>
                <c:pt idx="8">
                  <c:v>50</c:v>
                </c:pt>
                <c:pt idx="9">
                  <c:v>75</c:v>
                </c:pt>
                <c:pt idx="10">
                  <c:v>100</c:v>
                </c:pt>
                <c:pt idx="11">
                  <c:v>125</c:v>
                </c:pt>
                <c:pt idx="12">
                  <c:v>150</c:v>
                </c:pt>
                <c:pt idx="13">
                  <c:v>175</c:v>
                </c:pt>
                <c:pt idx="14">
                  <c:v>200</c:v>
                </c:pt>
                <c:pt idx="15">
                  <c:v>225</c:v>
                </c:pt>
                <c:pt idx="16">
                  <c:v>250</c:v>
                </c:pt>
                <c:pt idx="17">
                  <c:v>275</c:v>
                </c:pt>
                <c:pt idx="18">
                  <c:v>300</c:v>
                </c:pt>
                <c:pt idx="19">
                  <c:v>320</c:v>
                </c:pt>
                <c:pt idx="20">
                  <c:v>340</c:v>
                </c:pt>
                <c:pt idx="21">
                  <c:v>360</c:v>
                </c:pt>
                <c:pt idx="22">
                  <c:v>380</c:v>
                </c:pt>
                <c:pt idx="23">
                  <c:v>399.99999999999994</c:v>
                </c:pt>
              </c:numCache>
            </c:numRef>
          </c:val>
          <c:smooth val="0"/>
          <c:extLst>
            <c:ext xmlns:c16="http://schemas.microsoft.com/office/drawing/2014/chart" uri="{C3380CC4-5D6E-409C-BE32-E72D297353CC}">
              <c16:uniqueId val="{00000003-FC2A-D941-9A8E-B6FC65FFC15C}"/>
            </c:ext>
          </c:extLst>
        </c:ser>
        <c:dLbls>
          <c:showLegendKey val="0"/>
          <c:showVal val="0"/>
          <c:showCatName val="0"/>
          <c:showSerName val="0"/>
          <c:showPercent val="0"/>
          <c:showBubbleSize val="0"/>
        </c:dLbls>
        <c:marker val="1"/>
        <c:smooth val="0"/>
        <c:axId val="114017408"/>
        <c:axId val="114018944"/>
      </c:lineChart>
      <c:catAx>
        <c:axId val="114017408"/>
        <c:scaling>
          <c:orientation val="minMax"/>
        </c:scaling>
        <c:delete val="0"/>
        <c:axPos val="b"/>
        <c:numFmt formatCode="General" sourceLinked="1"/>
        <c:majorTickMark val="out"/>
        <c:minorTickMark val="none"/>
        <c:tickLblPos val="nextTo"/>
        <c:crossAx val="114018944"/>
        <c:crosses val="autoZero"/>
        <c:auto val="1"/>
        <c:lblAlgn val="ctr"/>
        <c:lblOffset val="100"/>
        <c:noMultiLvlLbl val="0"/>
      </c:catAx>
      <c:valAx>
        <c:axId val="114018944"/>
        <c:scaling>
          <c:orientation val="minMax"/>
        </c:scaling>
        <c:delete val="0"/>
        <c:axPos val="l"/>
        <c:title>
          <c:tx>
            <c:rich>
              <a:bodyPr rot="-5400000" vert="horz"/>
              <a:lstStyle/>
              <a:p>
                <a:pPr>
                  <a:defRPr/>
                </a:pPr>
                <a:r>
                  <a:rPr lang="en-US"/>
                  <a:t>MWe</a:t>
                </a:r>
              </a:p>
            </c:rich>
          </c:tx>
          <c:overlay val="0"/>
        </c:title>
        <c:numFmt formatCode="#,##0" sourceLinked="1"/>
        <c:majorTickMark val="out"/>
        <c:minorTickMark val="none"/>
        <c:tickLblPos val="nextTo"/>
        <c:crossAx val="114017408"/>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capacity for electric boilers</a:t>
            </a:r>
            <a:endParaRPr lang="da-DK" sz="1200"/>
          </a:p>
        </c:rich>
      </c:tx>
      <c:overlay val="0"/>
    </c:title>
    <c:autoTitleDeleted val="0"/>
    <c:plotArea>
      <c:layout/>
      <c:areaChart>
        <c:grouping val="stacked"/>
        <c:varyColors val="0"/>
        <c:ser>
          <c:idx val="0"/>
          <c:order val="0"/>
          <c:tx>
            <c:v>Western Denmark</c:v>
          </c:tx>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consumption'!$D$90:$AA$90</c:f>
              <c:numCache>
                <c:formatCode>#,##0</c:formatCode>
                <c:ptCount val="24"/>
                <c:pt idx="0">
                  <c:v>455.4</c:v>
                </c:pt>
                <c:pt idx="1">
                  <c:v>505.4</c:v>
                </c:pt>
                <c:pt idx="2">
                  <c:v>505.4</c:v>
                </c:pt>
                <c:pt idx="3">
                  <c:v>505.4</c:v>
                </c:pt>
                <c:pt idx="4">
                  <c:v>505.4</c:v>
                </c:pt>
                <c:pt idx="5">
                  <c:v>505.4</c:v>
                </c:pt>
                <c:pt idx="6">
                  <c:v>505.4</c:v>
                </c:pt>
                <c:pt idx="7">
                  <c:v>505.4</c:v>
                </c:pt>
                <c:pt idx="8">
                  <c:v>505.4</c:v>
                </c:pt>
                <c:pt idx="9">
                  <c:v>505.4</c:v>
                </c:pt>
                <c:pt idx="10">
                  <c:v>505.4</c:v>
                </c:pt>
                <c:pt idx="11">
                  <c:v>505.4</c:v>
                </c:pt>
                <c:pt idx="12">
                  <c:v>505.4</c:v>
                </c:pt>
                <c:pt idx="13">
                  <c:v>505.4</c:v>
                </c:pt>
                <c:pt idx="14">
                  <c:v>505.4</c:v>
                </c:pt>
                <c:pt idx="15">
                  <c:v>505.4</c:v>
                </c:pt>
                <c:pt idx="16">
                  <c:v>505.4</c:v>
                </c:pt>
                <c:pt idx="17">
                  <c:v>505.4</c:v>
                </c:pt>
                <c:pt idx="18">
                  <c:v>505.4</c:v>
                </c:pt>
                <c:pt idx="19">
                  <c:v>505.4</c:v>
                </c:pt>
                <c:pt idx="20">
                  <c:v>505.4</c:v>
                </c:pt>
                <c:pt idx="21">
                  <c:v>505.4</c:v>
                </c:pt>
                <c:pt idx="22">
                  <c:v>505.4</c:v>
                </c:pt>
                <c:pt idx="23">
                  <c:v>505.4</c:v>
                </c:pt>
              </c:numCache>
            </c:numRef>
          </c:val>
          <c:extLst>
            <c:ext xmlns:c16="http://schemas.microsoft.com/office/drawing/2014/chart" uri="{C3380CC4-5D6E-409C-BE32-E72D297353CC}">
              <c16:uniqueId val="{00000000-E7F5-7A44-BD1E-3D87E5B2B255}"/>
            </c:ext>
          </c:extLst>
        </c:ser>
        <c:ser>
          <c:idx val="1"/>
          <c:order val="1"/>
          <c:tx>
            <c:v>Eastern Denmark</c:v>
          </c:tx>
          <c:val>
            <c:numRef>
              <c:f>'Electricity consumption'!$D$91:$AA$91</c:f>
              <c:numCache>
                <c:formatCode>#,##0</c:formatCode>
                <c:ptCount val="24"/>
                <c:pt idx="0">
                  <c:v>134.5</c:v>
                </c:pt>
                <c:pt idx="1">
                  <c:v>134.5</c:v>
                </c:pt>
                <c:pt idx="2">
                  <c:v>254.5</c:v>
                </c:pt>
                <c:pt idx="3">
                  <c:v>254.5</c:v>
                </c:pt>
                <c:pt idx="4">
                  <c:v>254.5</c:v>
                </c:pt>
                <c:pt idx="5">
                  <c:v>254.5</c:v>
                </c:pt>
                <c:pt idx="6">
                  <c:v>254.5</c:v>
                </c:pt>
                <c:pt idx="7">
                  <c:v>254.5</c:v>
                </c:pt>
                <c:pt idx="8">
                  <c:v>254.5</c:v>
                </c:pt>
                <c:pt idx="9">
                  <c:v>254.5</c:v>
                </c:pt>
                <c:pt idx="10">
                  <c:v>254.5</c:v>
                </c:pt>
                <c:pt idx="11">
                  <c:v>254.5</c:v>
                </c:pt>
                <c:pt idx="12">
                  <c:v>254.5</c:v>
                </c:pt>
                <c:pt idx="13">
                  <c:v>254.5</c:v>
                </c:pt>
                <c:pt idx="14">
                  <c:v>254.5</c:v>
                </c:pt>
                <c:pt idx="15">
                  <c:v>254.5</c:v>
                </c:pt>
                <c:pt idx="16">
                  <c:v>254.5</c:v>
                </c:pt>
                <c:pt idx="17">
                  <c:v>254.5</c:v>
                </c:pt>
                <c:pt idx="18">
                  <c:v>254.5</c:v>
                </c:pt>
                <c:pt idx="19">
                  <c:v>254.5</c:v>
                </c:pt>
                <c:pt idx="20">
                  <c:v>254.5</c:v>
                </c:pt>
                <c:pt idx="21">
                  <c:v>254.5</c:v>
                </c:pt>
                <c:pt idx="22">
                  <c:v>254.5</c:v>
                </c:pt>
                <c:pt idx="23">
                  <c:v>254.5</c:v>
                </c:pt>
              </c:numCache>
            </c:numRef>
          </c:val>
          <c:extLst>
            <c:ext xmlns:c16="http://schemas.microsoft.com/office/drawing/2014/chart" uri="{C3380CC4-5D6E-409C-BE32-E72D297353CC}">
              <c16:uniqueId val="{00000001-E7F5-7A44-BD1E-3D87E5B2B255}"/>
            </c:ext>
          </c:extLst>
        </c:ser>
        <c:dLbls>
          <c:showLegendKey val="0"/>
          <c:showVal val="0"/>
          <c:showCatName val="0"/>
          <c:showSerName val="0"/>
          <c:showPercent val="0"/>
          <c:showBubbleSize val="0"/>
        </c:dLbls>
        <c:axId val="114043136"/>
        <c:axId val="114061312"/>
      </c:areaChart>
      <c:lineChart>
        <c:grouping val="standard"/>
        <c:varyColors val="0"/>
        <c:ser>
          <c:idx val="2"/>
          <c:order val="2"/>
          <c:tx>
            <c:v>Consumption, Western Denmark</c:v>
          </c:tx>
          <c:marker>
            <c:symbol val="none"/>
          </c:marke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consumption'!$D$207:$AA$207</c:f>
              <c:numCache>
                <c:formatCode>#,##0</c:formatCode>
                <c:ptCount val="24"/>
                <c:pt idx="0">
                  <c:v>88.360263900000007</c:v>
                </c:pt>
                <c:pt idx="1">
                  <c:v>98.251496099999997</c:v>
                </c:pt>
                <c:pt idx="2">
                  <c:v>116.974102</c:v>
                </c:pt>
                <c:pt idx="3">
                  <c:v>73.808571299999997</c:v>
                </c:pt>
                <c:pt idx="4">
                  <c:v>82.466625300000004</c:v>
                </c:pt>
                <c:pt idx="5">
                  <c:v>70.075261399999988</c:v>
                </c:pt>
                <c:pt idx="6">
                  <c:v>90.210461699999996</c:v>
                </c:pt>
                <c:pt idx="7">
                  <c:v>82.68720230000001</c:v>
                </c:pt>
                <c:pt idx="8">
                  <c:v>53.633292699999998</c:v>
                </c:pt>
                <c:pt idx="9">
                  <c:v>74.600992099999999</c:v>
                </c:pt>
                <c:pt idx="10">
                  <c:v>145.7376347</c:v>
                </c:pt>
                <c:pt idx="11">
                  <c:v>147.36790100000002</c:v>
                </c:pt>
                <c:pt idx="12">
                  <c:v>89.172768099999999</c:v>
                </c:pt>
                <c:pt idx="13">
                  <c:v>110.87621969999999</c:v>
                </c:pt>
                <c:pt idx="14">
                  <c:v>110.28569419999999</c:v>
                </c:pt>
                <c:pt idx="15">
                  <c:v>118.86848499999999</c:v>
                </c:pt>
                <c:pt idx="16">
                  <c:v>102.98893799999999</c:v>
                </c:pt>
                <c:pt idx="17">
                  <c:v>106.17740330000001</c:v>
                </c:pt>
                <c:pt idx="18">
                  <c:v>109.63984450000001</c:v>
                </c:pt>
                <c:pt idx="19">
                  <c:v>101.601967</c:v>
                </c:pt>
                <c:pt idx="20">
                  <c:v>105.74577040000001</c:v>
                </c:pt>
                <c:pt idx="21">
                  <c:v>103.64028590000001</c:v>
                </c:pt>
                <c:pt idx="22">
                  <c:v>101.5579431</c:v>
                </c:pt>
                <c:pt idx="23">
                  <c:v>90.576963199999994</c:v>
                </c:pt>
              </c:numCache>
            </c:numRef>
          </c:val>
          <c:smooth val="0"/>
          <c:extLst>
            <c:ext xmlns:c16="http://schemas.microsoft.com/office/drawing/2014/chart" uri="{C3380CC4-5D6E-409C-BE32-E72D297353CC}">
              <c16:uniqueId val="{00000002-E7F5-7A44-BD1E-3D87E5B2B255}"/>
            </c:ext>
          </c:extLst>
        </c:ser>
        <c:ser>
          <c:idx val="3"/>
          <c:order val="3"/>
          <c:tx>
            <c:v>Consumption, Eastern Denmark</c:v>
          </c:tx>
          <c:marker>
            <c:symbol val="none"/>
          </c:marke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consumption'!$D$217:$AA$217</c:f>
              <c:numCache>
                <c:formatCode>#,##0</c:formatCode>
                <c:ptCount val="24"/>
                <c:pt idx="0">
                  <c:v>114.8997036</c:v>
                </c:pt>
                <c:pt idx="1">
                  <c:v>80.659255999999999</c:v>
                </c:pt>
                <c:pt idx="2">
                  <c:v>95.269252300000005</c:v>
                </c:pt>
                <c:pt idx="3">
                  <c:v>311.6168993</c:v>
                </c:pt>
                <c:pt idx="4">
                  <c:v>314.0455005</c:v>
                </c:pt>
                <c:pt idx="5">
                  <c:v>324.28839870000002</c:v>
                </c:pt>
                <c:pt idx="6">
                  <c:v>314.36856040000004</c:v>
                </c:pt>
                <c:pt idx="7">
                  <c:v>319.1901335</c:v>
                </c:pt>
                <c:pt idx="8">
                  <c:v>317.85719519999998</c:v>
                </c:pt>
                <c:pt idx="9">
                  <c:v>312.45793400000002</c:v>
                </c:pt>
                <c:pt idx="10">
                  <c:v>310.85526180000005</c:v>
                </c:pt>
                <c:pt idx="11">
                  <c:v>299.35937779999995</c:v>
                </c:pt>
                <c:pt idx="12">
                  <c:v>297.96813519999995</c:v>
                </c:pt>
                <c:pt idx="13">
                  <c:v>297.07088319999997</c:v>
                </c:pt>
                <c:pt idx="14">
                  <c:v>306.7835844</c:v>
                </c:pt>
                <c:pt idx="15">
                  <c:v>298.13664739999996</c:v>
                </c:pt>
                <c:pt idx="16">
                  <c:v>289.99882409999998</c:v>
                </c:pt>
                <c:pt idx="17">
                  <c:v>323.84248599999995</c:v>
                </c:pt>
                <c:pt idx="18">
                  <c:v>319.56932119999999</c:v>
                </c:pt>
                <c:pt idx="19">
                  <c:v>325.37956459999998</c:v>
                </c:pt>
                <c:pt idx="20">
                  <c:v>309.33145320000006</c:v>
                </c:pt>
                <c:pt idx="21">
                  <c:v>309.98971370000004</c:v>
                </c:pt>
                <c:pt idx="22">
                  <c:v>309.07210320000002</c:v>
                </c:pt>
                <c:pt idx="23">
                  <c:v>329.80984750000005</c:v>
                </c:pt>
              </c:numCache>
            </c:numRef>
          </c:val>
          <c:smooth val="0"/>
          <c:extLst>
            <c:ext xmlns:c16="http://schemas.microsoft.com/office/drawing/2014/chart" uri="{C3380CC4-5D6E-409C-BE32-E72D297353CC}">
              <c16:uniqueId val="{00000003-E7F5-7A44-BD1E-3D87E5B2B255}"/>
            </c:ext>
          </c:extLst>
        </c:ser>
        <c:dLbls>
          <c:showLegendKey val="0"/>
          <c:showVal val="0"/>
          <c:showCatName val="0"/>
          <c:showSerName val="0"/>
          <c:showPercent val="0"/>
          <c:showBubbleSize val="0"/>
        </c:dLbls>
        <c:marker val="1"/>
        <c:smooth val="0"/>
        <c:axId val="114065408"/>
        <c:axId val="114063232"/>
      </c:lineChart>
      <c:catAx>
        <c:axId val="114043136"/>
        <c:scaling>
          <c:orientation val="minMax"/>
        </c:scaling>
        <c:delete val="0"/>
        <c:axPos val="b"/>
        <c:numFmt formatCode="General" sourceLinked="1"/>
        <c:majorTickMark val="out"/>
        <c:minorTickMark val="none"/>
        <c:tickLblPos val="nextTo"/>
        <c:crossAx val="114061312"/>
        <c:crosses val="autoZero"/>
        <c:auto val="1"/>
        <c:lblAlgn val="ctr"/>
        <c:lblOffset val="100"/>
        <c:tickLblSkip val="1"/>
        <c:noMultiLvlLbl val="0"/>
      </c:catAx>
      <c:valAx>
        <c:axId val="114061312"/>
        <c:scaling>
          <c:orientation val="minMax"/>
        </c:scaling>
        <c:delete val="0"/>
        <c:axPos val="l"/>
        <c:title>
          <c:tx>
            <c:rich>
              <a:bodyPr rot="-5400000" vert="horz"/>
              <a:lstStyle/>
              <a:p>
                <a:pPr>
                  <a:defRPr/>
                </a:pPr>
                <a:r>
                  <a:rPr lang="da-DK"/>
                  <a:t>MWe</a:t>
                </a:r>
              </a:p>
            </c:rich>
          </c:tx>
          <c:overlay val="0"/>
        </c:title>
        <c:numFmt formatCode="#,##0" sourceLinked="1"/>
        <c:majorTickMark val="out"/>
        <c:minorTickMark val="none"/>
        <c:tickLblPos val="nextTo"/>
        <c:crossAx val="114043136"/>
        <c:crosses val="autoZero"/>
        <c:crossBetween val="between"/>
      </c:valAx>
      <c:valAx>
        <c:axId val="114063232"/>
        <c:scaling>
          <c:orientation val="minMax"/>
        </c:scaling>
        <c:delete val="0"/>
        <c:axPos val="r"/>
        <c:title>
          <c:tx>
            <c:rich>
              <a:bodyPr rot="-5400000" vert="horz"/>
              <a:lstStyle/>
              <a:p>
                <a:pPr>
                  <a:defRPr/>
                </a:pPr>
                <a:r>
                  <a:rPr lang="en-US"/>
                  <a:t>GWh</a:t>
                </a:r>
              </a:p>
            </c:rich>
          </c:tx>
          <c:overlay val="0"/>
        </c:title>
        <c:numFmt formatCode="#,##0" sourceLinked="1"/>
        <c:majorTickMark val="out"/>
        <c:minorTickMark val="none"/>
        <c:tickLblPos val="nextTo"/>
        <c:crossAx val="114065408"/>
        <c:crosses val="max"/>
        <c:crossBetween val="between"/>
      </c:valAx>
      <c:catAx>
        <c:axId val="114065408"/>
        <c:scaling>
          <c:orientation val="minMax"/>
        </c:scaling>
        <c:delete val="1"/>
        <c:axPos val="b"/>
        <c:numFmt formatCode="General" sourceLinked="1"/>
        <c:majorTickMark val="out"/>
        <c:minorTickMark val="none"/>
        <c:tickLblPos val="nextTo"/>
        <c:crossAx val="11406323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consumption for electric boilers</a:t>
            </a:r>
            <a:endParaRPr lang="da-DK" sz="1200"/>
          </a:p>
        </c:rich>
      </c:tx>
      <c:overlay val="0"/>
    </c:title>
    <c:autoTitleDeleted val="0"/>
    <c:plotArea>
      <c:layout/>
      <c:areaChart>
        <c:grouping val="stacked"/>
        <c:varyColors val="0"/>
        <c:ser>
          <c:idx val="2"/>
          <c:order val="0"/>
          <c:tx>
            <c:v>Western Denmark</c:v>
          </c:tx>
          <c:spPr>
            <a:solidFill>
              <a:schemeClr val="accent1"/>
            </a:solidFill>
          </c:spP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consumption'!$D$207:$AA$207</c:f>
              <c:numCache>
                <c:formatCode>#,##0</c:formatCode>
                <c:ptCount val="24"/>
                <c:pt idx="0">
                  <c:v>88.360263900000007</c:v>
                </c:pt>
                <c:pt idx="1">
                  <c:v>98.251496099999997</c:v>
                </c:pt>
                <c:pt idx="2">
                  <c:v>116.974102</c:v>
                </c:pt>
                <c:pt idx="3">
                  <c:v>73.808571299999997</c:v>
                </c:pt>
                <c:pt idx="4">
                  <c:v>82.466625300000004</c:v>
                </c:pt>
                <c:pt idx="5">
                  <c:v>70.075261399999988</c:v>
                </c:pt>
                <c:pt idx="6">
                  <c:v>90.210461699999996</c:v>
                </c:pt>
                <c:pt idx="7">
                  <c:v>82.68720230000001</c:v>
                </c:pt>
                <c:pt idx="8">
                  <c:v>53.633292699999998</c:v>
                </c:pt>
                <c:pt idx="9">
                  <c:v>74.600992099999999</c:v>
                </c:pt>
                <c:pt idx="10">
                  <c:v>145.7376347</c:v>
                </c:pt>
                <c:pt idx="11">
                  <c:v>147.36790100000002</c:v>
                </c:pt>
                <c:pt idx="12">
                  <c:v>89.172768099999999</c:v>
                </c:pt>
                <c:pt idx="13">
                  <c:v>110.87621969999999</c:v>
                </c:pt>
                <c:pt idx="14">
                  <c:v>110.28569419999999</c:v>
                </c:pt>
                <c:pt idx="15">
                  <c:v>118.86848499999999</c:v>
                </c:pt>
                <c:pt idx="16">
                  <c:v>102.98893799999999</c:v>
                </c:pt>
                <c:pt idx="17">
                  <c:v>106.17740330000001</c:v>
                </c:pt>
                <c:pt idx="18">
                  <c:v>109.63984450000001</c:v>
                </c:pt>
                <c:pt idx="19">
                  <c:v>101.601967</c:v>
                </c:pt>
                <c:pt idx="20">
                  <c:v>105.74577040000001</c:v>
                </c:pt>
                <c:pt idx="21">
                  <c:v>103.64028590000001</c:v>
                </c:pt>
                <c:pt idx="22">
                  <c:v>101.5579431</c:v>
                </c:pt>
                <c:pt idx="23">
                  <c:v>90.576963199999994</c:v>
                </c:pt>
              </c:numCache>
            </c:numRef>
          </c:val>
          <c:extLst>
            <c:ext xmlns:c16="http://schemas.microsoft.com/office/drawing/2014/chart" uri="{C3380CC4-5D6E-409C-BE32-E72D297353CC}">
              <c16:uniqueId val="{00000000-AB91-2740-8327-C25FC44F1684}"/>
            </c:ext>
          </c:extLst>
        </c:ser>
        <c:ser>
          <c:idx val="3"/>
          <c:order val="1"/>
          <c:tx>
            <c:v>Eastern Denmark</c:v>
          </c:tx>
          <c:spPr>
            <a:solidFill>
              <a:schemeClr val="accent2"/>
            </a:solidFill>
          </c:spP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consumption'!$D$217:$AA$217</c:f>
              <c:numCache>
                <c:formatCode>#,##0</c:formatCode>
                <c:ptCount val="24"/>
                <c:pt idx="0">
                  <c:v>114.8997036</c:v>
                </c:pt>
                <c:pt idx="1">
                  <c:v>80.659255999999999</c:v>
                </c:pt>
                <c:pt idx="2">
                  <c:v>95.269252300000005</c:v>
                </c:pt>
                <c:pt idx="3">
                  <c:v>311.6168993</c:v>
                </c:pt>
                <c:pt idx="4">
                  <c:v>314.0455005</c:v>
                </c:pt>
                <c:pt idx="5">
                  <c:v>324.28839870000002</c:v>
                </c:pt>
                <c:pt idx="6">
                  <c:v>314.36856040000004</c:v>
                </c:pt>
                <c:pt idx="7">
                  <c:v>319.1901335</c:v>
                </c:pt>
                <c:pt idx="8">
                  <c:v>317.85719519999998</c:v>
                </c:pt>
                <c:pt idx="9">
                  <c:v>312.45793400000002</c:v>
                </c:pt>
                <c:pt idx="10">
                  <c:v>310.85526180000005</c:v>
                </c:pt>
                <c:pt idx="11">
                  <c:v>299.35937779999995</c:v>
                </c:pt>
                <c:pt idx="12">
                  <c:v>297.96813519999995</c:v>
                </c:pt>
                <c:pt idx="13">
                  <c:v>297.07088319999997</c:v>
                </c:pt>
                <c:pt idx="14">
                  <c:v>306.7835844</c:v>
                </c:pt>
                <c:pt idx="15">
                  <c:v>298.13664739999996</c:v>
                </c:pt>
                <c:pt idx="16">
                  <c:v>289.99882409999998</c:v>
                </c:pt>
                <c:pt idx="17">
                  <c:v>323.84248599999995</c:v>
                </c:pt>
                <c:pt idx="18">
                  <c:v>319.56932119999999</c:v>
                </c:pt>
                <c:pt idx="19">
                  <c:v>325.37956459999998</c:v>
                </c:pt>
                <c:pt idx="20">
                  <c:v>309.33145320000006</c:v>
                </c:pt>
                <c:pt idx="21">
                  <c:v>309.98971370000004</c:v>
                </c:pt>
                <c:pt idx="22">
                  <c:v>309.07210320000002</c:v>
                </c:pt>
                <c:pt idx="23">
                  <c:v>329.80984750000005</c:v>
                </c:pt>
              </c:numCache>
            </c:numRef>
          </c:val>
          <c:extLst>
            <c:ext xmlns:c16="http://schemas.microsoft.com/office/drawing/2014/chart" uri="{C3380CC4-5D6E-409C-BE32-E72D297353CC}">
              <c16:uniqueId val="{00000001-AB91-2740-8327-C25FC44F1684}"/>
            </c:ext>
          </c:extLst>
        </c:ser>
        <c:dLbls>
          <c:showLegendKey val="0"/>
          <c:showVal val="0"/>
          <c:showCatName val="0"/>
          <c:showSerName val="0"/>
          <c:showPercent val="0"/>
          <c:showBubbleSize val="0"/>
        </c:dLbls>
        <c:axId val="114695552"/>
        <c:axId val="114701440"/>
      </c:areaChart>
      <c:lineChart>
        <c:grouping val="standard"/>
        <c:varyColors val="0"/>
        <c:ser>
          <c:idx val="1"/>
          <c:order val="2"/>
          <c:tx>
            <c:v>Denmark, AF2016</c:v>
          </c:tx>
          <c:spPr>
            <a:ln>
              <a:solidFill>
                <a:schemeClr val="accent3"/>
              </a:solidFill>
              <a:prstDash val="sysDash"/>
            </a:ln>
          </c:spPr>
          <c:marker>
            <c:symbol val="none"/>
          </c:marke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consumption'!$D$295:$AA$295</c:f>
              <c:numCache>
                <c:formatCode>#,##0</c:formatCode>
                <c:ptCount val="24"/>
                <c:pt idx="0">
                  <c:v>768.21481265888804</c:v>
                </c:pt>
                <c:pt idx="1">
                  <c:v>939.22082980861501</c:v>
                </c:pt>
                <c:pt idx="2">
                  <c:v>887.18602113055294</c:v>
                </c:pt>
                <c:pt idx="3">
                  <c:v>773.94326351586301</c:v>
                </c:pt>
                <c:pt idx="4">
                  <c:v>647.94517189446401</c:v>
                </c:pt>
                <c:pt idx="5">
                  <c:v>560.37819170708099</c:v>
                </c:pt>
                <c:pt idx="6">
                  <c:v>565.79148776350598</c:v>
                </c:pt>
                <c:pt idx="7">
                  <c:v>522.08330879224002</c:v>
                </c:pt>
                <c:pt idx="8">
                  <c:v>497.60360385133401</c:v>
                </c:pt>
                <c:pt idx="9">
                  <c:v>646.00727271076698</c:v>
                </c:pt>
                <c:pt idx="10">
                  <c:v>659.09429259308706</c:v>
                </c:pt>
                <c:pt idx="11">
                  <c:v>636.68710771772601</c:v>
                </c:pt>
                <c:pt idx="12">
                  <c:v>585.13516282876901</c:v>
                </c:pt>
                <c:pt idx="13">
                  <c:v>797.35726850929302</c:v>
                </c:pt>
                <c:pt idx="14">
                  <c:v>785.80778462086494</c:v>
                </c:pt>
                <c:pt idx="15">
                  <c:v>775.63570059422796</c:v>
                </c:pt>
                <c:pt idx="16">
                  <c:v>735.908375462501</c:v>
                </c:pt>
                <c:pt idx="17">
                  <c:v>729.53079350122789</c:v>
                </c:pt>
                <c:pt idx="18">
                  <c:v>691.67259728797899</c:v>
                </c:pt>
                <c:pt idx="19">
                  <c:v>664.520813505815</c:v>
                </c:pt>
                <c:pt idx="20">
                  <c:v>611.86996896961102</c:v>
                </c:pt>
                <c:pt idx="21">
                  <c:v>590.84144308784903</c:v>
                </c:pt>
                <c:pt idx="22">
                  <c:v>543.51719905547907</c:v>
                </c:pt>
                <c:pt idx="23">
                  <c:v>551.23667060412697</c:v>
                </c:pt>
              </c:numCache>
            </c:numRef>
          </c:val>
          <c:smooth val="0"/>
          <c:extLst>
            <c:ext xmlns:c16="http://schemas.microsoft.com/office/drawing/2014/chart" uri="{C3380CC4-5D6E-409C-BE32-E72D297353CC}">
              <c16:uniqueId val="{00000002-AB91-2740-8327-C25FC44F1684}"/>
            </c:ext>
          </c:extLst>
        </c:ser>
        <c:dLbls>
          <c:showLegendKey val="0"/>
          <c:showVal val="0"/>
          <c:showCatName val="0"/>
          <c:showSerName val="0"/>
          <c:showPercent val="0"/>
          <c:showBubbleSize val="0"/>
        </c:dLbls>
        <c:marker val="1"/>
        <c:smooth val="0"/>
        <c:axId val="114695552"/>
        <c:axId val="114701440"/>
      </c:lineChart>
      <c:lineChart>
        <c:grouping val="standard"/>
        <c:varyColors val="0"/>
        <c:ser>
          <c:idx val="5"/>
          <c:order val="3"/>
          <c:tx>
            <c:v> </c:v>
          </c:tx>
          <c:spPr>
            <a:ln>
              <a:noFill/>
            </a:ln>
          </c:spPr>
          <c:marker>
            <c:symbol val="none"/>
          </c:marker>
          <c:val>
            <c:numLit>
              <c:formatCode>General</c:formatCode>
              <c:ptCount val="1"/>
              <c:pt idx="0">
                <c:v>1</c:v>
              </c:pt>
            </c:numLit>
          </c:val>
          <c:smooth val="0"/>
          <c:extLst>
            <c:ext xmlns:c16="http://schemas.microsoft.com/office/drawing/2014/chart" uri="{C3380CC4-5D6E-409C-BE32-E72D297353CC}">
              <c16:uniqueId val="{00000003-AB91-2740-8327-C25FC44F1684}"/>
            </c:ext>
          </c:extLst>
        </c:ser>
        <c:dLbls>
          <c:showLegendKey val="0"/>
          <c:showVal val="0"/>
          <c:showCatName val="0"/>
          <c:showSerName val="0"/>
          <c:showPercent val="0"/>
          <c:showBubbleSize val="0"/>
        </c:dLbls>
        <c:marker val="1"/>
        <c:smooth val="0"/>
        <c:axId val="114705152"/>
        <c:axId val="114703360"/>
      </c:lineChart>
      <c:catAx>
        <c:axId val="114695552"/>
        <c:scaling>
          <c:orientation val="minMax"/>
        </c:scaling>
        <c:delete val="0"/>
        <c:axPos val="b"/>
        <c:numFmt formatCode="General" sourceLinked="1"/>
        <c:majorTickMark val="out"/>
        <c:minorTickMark val="none"/>
        <c:tickLblPos val="nextTo"/>
        <c:crossAx val="114701440"/>
        <c:crosses val="autoZero"/>
        <c:auto val="1"/>
        <c:lblAlgn val="ctr"/>
        <c:lblOffset val="100"/>
        <c:tickLblSkip val="1"/>
        <c:noMultiLvlLbl val="0"/>
      </c:catAx>
      <c:valAx>
        <c:axId val="114701440"/>
        <c:scaling>
          <c:orientation val="minMax"/>
        </c:scaling>
        <c:delete val="0"/>
        <c:axPos val="l"/>
        <c:title>
          <c:tx>
            <c:rich>
              <a:bodyPr rot="-5400000" vert="horz"/>
              <a:lstStyle/>
              <a:p>
                <a:pPr>
                  <a:defRPr/>
                </a:pPr>
                <a:r>
                  <a:rPr lang="da-DK"/>
                  <a:t>GWh</a:t>
                </a:r>
              </a:p>
            </c:rich>
          </c:tx>
          <c:overlay val="0"/>
        </c:title>
        <c:numFmt formatCode="#,##0" sourceLinked="1"/>
        <c:majorTickMark val="out"/>
        <c:minorTickMark val="none"/>
        <c:tickLblPos val="nextTo"/>
        <c:crossAx val="114695552"/>
        <c:crosses val="autoZero"/>
        <c:crossBetween val="midCat"/>
      </c:valAx>
      <c:valAx>
        <c:axId val="114703360"/>
        <c:scaling>
          <c:orientation val="minMax"/>
        </c:scaling>
        <c:delete val="1"/>
        <c:axPos val="r"/>
        <c:numFmt formatCode="General" sourceLinked="1"/>
        <c:majorTickMark val="out"/>
        <c:minorTickMark val="none"/>
        <c:tickLblPos val="nextTo"/>
        <c:crossAx val="114705152"/>
        <c:crosses val="max"/>
        <c:crossBetween val="between"/>
      </c:valAx>
      <c:catAx>
        <c:axId val="114705152"/>
        <c:scaling>
          <c:orientation val="minMax"/>
        </c:scaling>
        <c:delete val="1"/>
        <c:axPos val="b"/>
        <c:numFmt formatCode="General" sourceLinked="1"/>
        <c:majorTickMark val="out"/>
        <c:minorTickMark val="none"/>
        <c:tickLblPos val="nextTo"/>
        <c:crossAx val="11470336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Electricity consumption for large heat pumps</a:t>
            </a:r>
          </a:p>
        </c:rich>
      </c:tx>
      <c:overlay val="0"/>
    </c:title>
    <c:autoTitleDeleted val="0"/>
    <c:plotArea>
      <c:layout/>
      <c:areaChart>
        <c:grouping val="stacked"/>
        <c:varyColors val="0"/>
        <c:ser>
          <c:idx val="0"/>
          <c:order val="0"/>
          <c:tx>
            <c:v>Western Denmark</c:v>
          </c:tx>
          <c:cat>
            <c:numRef>
              <c:f>'Electricity consumption'!$D$74:$AA$74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consumption'!$D$75:$AA$75</c:f>
              <c:numCache>
                <c:formatCode>#,##0</c:formatCode>
                <c:ptCount val="24"/>
                <c:pt idx="0">
                  <c:v>90.023657700000001</c:v>
                </c:pt>
                <c:pt idx="1">
                  <c:v>108.9625721</c:v>
                </c:pt>
                <c:pt idx="2">
                  <c:v>209.29284569999996</c:v>
                </c:pt>
                <c:pt idx="3">
                  <c:v>284.34037040000004</c:v>
                </c:pt>
                <c:pt idx="4">
                  <c:v>312.5108391</c:v>
                </c:pt>
                <c:pt idx="5">
                  <c:v>325.87601060000003</c:v>
                </c:pt>
                <c:pt idx="6">
                  <c:v>361.75538979999999</c:v>
                </c:pt>
                <c:pt idx="7">
                  <c:v>329.72540100000003</c:v>
                </c:pt>
                <c:pt idx="8">
                  <c:v>327.9270593</c:v>
                </c:pt>
                <c:pt idx="9">
                  <c:v>353.31556089999998</c:v>
                </c:pt>
                <c:pt idx="10">
                  <c:v>430.82524649999999</c:v>
                </c:pt>
                <c:pt idx="11">
                  <c:v>605.20227909999994</c:v>
                </c:pt>
                <c:pt idx="12">
                  <c:v>599.97076660000005</c:v>
                </c:pt>
                <c:pt idx="13">
                  <c:v>772.57619049999994</c:v>
                </c:pt>
                <c:pt idx="14">
                  <c:v>786.88356340000007</c:v>
                </c:pt>
                <c:pt idx="15">
                  <c:v>797.98427410000011</c:v>
                </c:pt>
                <c:pt idx="16">
                  <c:v>781.08290219999992</c:v>
                </c:pt>
                <c:pt idx="17">
                  <c:v>787.77431419999994</c:v>
                </c:pt>
                <c:pt idx="18">
                  <c:v>801.59492980000005</c:v>
                </c:pt>
                <c:pt idx="19">
                  <c:v>802.00523520000002</c:v>
                </c:pt>
                <c:pt idx="20">
                  <c:v>804.30071169999985</c:v>
                </c:pt>
                <c:pt idx="21">
                  <c:v>808.0239102999999</c:v>
                </c:pt>
                <c:pt idx="22">
                  <c:v>814.73968409999998</c:v>
                </c:pt>
                <c:pt idx="23">
                  <c:v>827.10523249999994</c:v>
                </c:pt>
              </c:numCache>
            </c:numRef>
          </c:val>
          <c:extLst>
            <c:ext xmlns:c16="http://schemas.microsoft.com/office/drawing/2014/chart" uri="{C3380CC4-5D6E-409C-BE32-E72D297353CC}">
              <c16:uniqueId val="{00000000-9C08-3E4E-BF79-81C7107353F2}"/>
            </c:ext>
          </c:extLst>
        </c:ser>
        <c:ser>
          <c:idx val="1"/>
          <c:order val="1"/>
          <c:tx>
            <c:v>Eastern Denmark</c:v>
          </c:tx>
          <c:cat>
            <c:numRef>
              <c:f>'Electricity consumption'!$D$74:$AA$74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consumption'!$D$76:$AA$76</c:f>
              <c:numCache>
                <c:formatCode>#,##0</c:formatCode>
                <c:ptCount val="24"/>
                <c:pt idx="0">
                  <c:v>18.496513200000003</c:v>
                </c:pt>
                <c:pt idx="1">
                  <c:v>43.513155399999995</c:v>
                </c:pt>
                <c:pt idx="2">
                  <c:v>63.589289100000002</c:v>
                </c:pt>
                <c:pt idx="3">
                  <c:v>68.016861000000006</c:v>
                </c:pt>
                <c:pt idx="4">
                  <c:v>74.149583699999994</c:v>
                </c:pt>
                <c:pt idx="5">
                  <c:v>80.436672899999991</c:v>
                </c:pt>
                <c:pt idx="6">
                  <c:v>81.741328100000004</c:v>
                </c:pt>
                <c:pt idx="7">
                  <c:v>77.692183200000017</c:v>
                </c:pt>
                <c:pt idx="8">
                  <c:v>75.311138700000015</c:v>
                </c:pt>
                <c:pt idx="9">
                  <c:v>83.166846899999996</c:v>
                </c:pt>
                <c:pt idx="10">
                  <c:v>87.205947999999992</c:v>
                </c:pt>
                <c:pt idx="11">
                  <c:v>92.256269700000004</c:v>
                </c:pt>
                <c:pt idx="12">
                  <c:v>92.056860300000011</c:v>
                </c:pt>
                <c:pt idx="13">
                  <c:v>220.56097759999997</c:v>
                </c:pt>
                <c:pt idx="14">
                  <c:v>226.24493499999997</c:v>
                </c:pt>
                <c:pt idx="15">
                  <c:v>232.37320649999995</c:v>
                </c:pt>
                <c:pt idx="16">
                  <c:v>235.57417100000001</c:v>
                </c:pt>
                <c:pt idx="17">
                  <c:v>233.52315400000001</c:v>
                </c:pt>
                <c:pt idx="18">
                  <c:v>246.72293530000002</c:v>
                </c:pt>
                <c:pt idx="19">
                  <c:v>252.48202029999999</c:v>
                </c:pt>
                <c:pt idx="20">
                  <c:v>259.94596330000002</c:v>
                </c:pt>
                <c:pt idx="21">
                  <c:v>262.05084599999998</c:v>
                </c:pt>
                <c:pt idx="22">
                  <c:v>263.49222499999991</c:v>
                </c:pt>
                <c:pt idx="23">
                  <c:v>262.05603109999998</c:v>
                </c:pt>
              </c:numCache>
            </c:numRef>
          </c:val>
          <c:extLst>
            <c:ext xmlns:c16="http://schemas.microsoft.com/office/drawing/2014/chart" uri="{C3380CC4-5D6E-409C-BE32-E72D297353CC}">
              <c16:uniqueId val="{00000001-9C08-3E4E-BF79-81C7107353F2}"/>
            </c:ext>
          </c:extLst>
        </c:ser>
        <c:dLbls>
          <c:showLegendKey val="0"/>
          <c:showVal val="0"/>
          <c:showCatName val="0"/>
          <c:showSerName val="0"/>
          <c:showPercent val="0"/>
          <c:showBubbleSize val="0"/>
        </c:dLbls>
        <c:axId val="114743936"/>
        <c:axId val="114426240"/>
      </c:areaChart>
      <c:lineChart>
        <c:grouping val="standard"/>
        <c:varyColors val="0"/>
        <c:ser>
          <c:idx val="2"/>
          <c:order val="2"/>
          <c:tx>
            <c:v>Denmark, AF2016</c:v>
          </c:tx>
          <c:spPr>
            <a:ln>
              <a:prstDash val="sysDash"/>
            </a:ln>
          </c:spPr>
          <c:marker>
            <c:symbol val="none"/>
          </c:marker>
          <c:cat>
            <c:numRef>
              <c:f>'Electricity consumption'!$D$74:$AA$74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consumption'!$D$294:$AA$294</c:f>
              <c:numCache>
                <c:formatCode>#,##0</c:formatCode>
                <c:ptCount val="24"/>
                <c:pt idx="0">
                  <c:v>93.966118803649579</c:v>
                </c:pt>
                <c:pt idx="1">
                  <c:v>130.93361171728191</c:v>
                </c:pt>
                <c:pt idx="2">
                  <c:v>185.2785658357835</c:v>
                </c:pt>
                <c:pt idx="3">
                  <c:v>206.01383924291181</c:v>
                </c:pt>
                <c:pt idx="4">
                  <c:v>240.23118053419907</c:v>
                </c:pt>
                <c:pt idx="5">
                  <c:v>274.24330975510281</c:v>
                </c:pt>
                <c:pt idx="6">
                  <c:v>321.901066411496</c:v>
                </c:pt>
                <c:pt idx="7">
                  <c:v>376.40841445127728</c:v>
                </c:pt>
                <c:pt idx="8">
                  <c:v>455.89860310348547</c:v>
                </c:pt>
                <c:pt idx="9">
                  <c:v>594.32333433939687</c:v>
                </c:pt>
                <c:pt idx="10">
                  <c:v>734.31743987197478</c:v>
                </c:pt>
                <c:pt idx="11">
                  <c:v>869.4799035057672</c:v>
                </c:pt>
                <c:pt idx="12">
                  <c:v>1012.0264541436929</c:v>
                </c:pt>
                <c:pt idx="13">
                  <c:v>1139.4537701319555</c:v>
                </c:pt>
                <c:pt idx="14">
                  <c:v>1236.2063948647951</c:v>
                </c:pt>
                <c:pt idx="15">
                  <c:v>1343.452982942661</c:v>
                </c:pt>
                <c:pt idx="16">
                  <c:v>1406.1266795417844</c:v>
                </c:pt>
                <c:pt idx="17">
                  <c:v>1478.4338378104867</c:v>
                </c:pt>
                <c:pt idx="18">
                  <c:v>1525.4582423907391</c:v>
                </c:pt>
                <c:pt idx="19">
                  <c:v>1590.210383134297</c:v>
                </c:pt>
                <c:pt idx="20">
                  <c:v>1711.6753646369934</c:v>
                </c:pt>
                <c:pt idx="21">
                  <c:v>1776.7258381221955</c:v>
                </c:pt>
                <c:pt idx="22">
                  <c:v>1907.5435962754923</c:v>
                </c:pt>
                <c:pt idx="23">
                  <c:v>2046.7653584127488</c:v>
                </c:pt>
              </c:numCache>
            </c:numRef>
          </c:val>
          <c:smooth val="0"/>
          <c:extLst>
            <c:ext xmlns:c16="http://schemas.microsoft.com/office/drawing/2014/chart" uri="{C3380CC4-5D6E-409C-BE32-E72D297353CC}">
              <c16:uniqueId val="{00000002-9C08-3E4E-BF79-81C7107353F2}"/>
            </c:ext>
          </c:extLst>
        </c:ser>
        <c:dLbls>
          <c:showLegendKey val="0"/>
          <c:showVal val="0"/>
          <c:showCatName val="0"/>
          <c:showSerName val="0"/>
          <c:showPercent val="0"/>
          <c:showBubbleSize val="0"/>
        </c:dLbls>
        <c:marker val="1"/>
        <c:smooth val="0"/>
        <c:axId val="114743936"/>
        <c:axId val="114426240"/>
      </c:lineChart>
      <c:catAx>
        <c:axId val="1147439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14426240"/>
        <c:crosses val="autoZero"/>
        <c:auto val="1"/>
        <c:lblAlgn val="ctr"/>
        <c:lblOffset val="100"/>
        <c:tickLblSkip val="1"/>
        <c:noMultiLvlLbl val="0"/>
      </c:catAx>
      <c:valAx>
        <c:axId val="114426240"/>
        <c:scaling>
          <c:orientation val="minMax"/>
        </c:scaling>
        <c:delete val="0"/>
        <c:axPos val="l"/>
        <c:title>
          <c:tx>
            <c:rich>
              <a:bodyPr rot="-5400000" vert="horz"/>
              <a:lstStyle/>
              <a:p>
                <a:pPr>
                  <a:defRPr/>
                </a:pPr>
                <a:r>
                  <a:rPr lang="en-US"/>
                  <a:t>GWh</a:t>
                </a:r>
              </a:p>
            </c:rich>
          </c:tx>
          <c:overlay val="0"/>
        </c:title>
        <c:numFmt formatCode="#,##0" sourceLinked="1"/>
        <c:majorTickMark val="out"/>
        <c:minorTickMark val="none"/>
        <c:tickLblPos val="nextTo"/>
        <c:crossAx val="11474393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capacity for electric boilers</a:t>
            </a:r>
            <a:endParaRPr lang="da-DK" sz="1200"/>
          </a:p>
        </c:rich>
      </c:tx>
      <c:overlay val="0"/>
    </c:title>
    <c:autoTitleDeleted val="0"/>
    <c:plotArea>
      <c:layout/>
      <c:areaChart>
        <c:grouping val="stacked"/>
        <c:varyColors val="0"/>
        <c:ser>
          <c:idx val="0"/>
          <c:order val="0"/>
          <c:tx>
            <c:v>Western Denmark</c:v>
          </c:tx>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consumption'!$D$90:$AA$90</c:f>
              <c:numCache>
                <c:formatCode>#,##0</c:formatCode>
                <c:ptCount val="24"/>
                <c:pt idx="0">
                  <c:v>455.4</c:v>
                </c:pt>
                <c:pt idx="1">
                  <c:v>505.4</c:v>
                </c:pt>
                <c:pt idx="2">
                  <c:v>505.4</c:v>
                </c:pt>
                <c:pt idx="3">
                  <c:v>505.4</c:v>
                </c:pt>
                <c:pt idx="4">
                  <c:v>505.4</c:v>
                </c:pt>
                <c:pt idx="5">
                  <c:v>505.4</c:v>
                </c:pt>
                <c:pt idx="6">
                  <c:v>505.4</c:v>
                </c:pt>
                <c:pt idx="7">
                  <c:v>505.4</c:v>
                </c:pt>
                <c:pt idx="8">
                  <c:v>505.4</c:v>
                </c:pt>
                <c:pt idx="9">
                  <c:v>505.4</c:v>
                </c:pt>
                <c:pt idx="10">
                  <c:v>505.4</c:v>
                </c:pt>
                <c:pt idx="11">
                  <c:v>505.4</c:v>
                </c:pt>
                <c:pt idx="12">
                  <c:v>505.4</c:v>
                </c:pt>
                <c:pt idx="13">
                  <c:v>505.4</c:v>
                </c:pt>
                <c:pt idx="14">
                  <c:v>505.4</c:v>
                </c:pt>
                <c:pt idx="15">
                  <c:v>505.4</c:v>
                </c:pt>
                <c:pt idx="16">
                  <c:v>505.4</c:v>
                </c:pt>
                <c:pt idx="17">
                  <c:v>505.4</c:v>
                </c:pt>
                <c:pt idx="18">
                  <c:v>505.4</c:v>
                </c:pt>
                <c:pt idx="19">
                  <c:v>505.4</c:v>
                </c:pt>
                <c:pt idx="20">
                  <c:v>505.4</c:v>
                </c:pt>
                <c:pt idx="21">
                  <c:v>505.4</c:v>
                </c:pt>
                <c:pt idx="22">
                  <c:v>505.4</c:v>
                </c:pt>
                <c:pt idx="23">
                  <c:v>505.4</c:v>
                </c:pt>
              </c:numCache>
            </c:numRef>
          </c:val>
          <c:extLst>
            <c:ext xmlns:c16="http://schemas.microsoft.com/office/drawing/2014/chart" uri="{C3380CC4-5D6E-409C-BE32-E72D297353CC}">
              <c16:uniqueId val="{00000000-9D80-5B4F-B9E2-E4128AB4DDA2}"/>
            </c:ext>
          </c:extLst>
        </c:ser>
        <c:ser>
          <c:idx val="1"/>
          <c:order val="1"/>
          <c:tx>
            <c:v>Eastern Denmark</c:v>
          </c:tx>
          <c:val>
            <c:numRef>
              <c:f>'Electricity consumption'!$D$91:$AA$91</c:f>
              <c:numCache>
                <c:formatCode>#,##0</c:formatCode>
                <c:ptCount val="24"/>
                <c:pt idx="0">
                  <c:v>134.5</c:v>
                </c:pt>
                <c:pt idx="1">
                  <c:v>134.5</c:v>
                </c:pt>
                <c:pt idx="2">
                  <c:v>254.5</c:v>
                </c:pt>
                <c:pt idx="3">
                  <c:v>254.5</c:v>
                </c:pt>
                <c:pt idx="4">
                  <c:v>254.5</c:v>
                </c:pt>
                <c:pt idx="5">
                  <c:v>254.5</c:v>
                </c:pt>
                <c:pt idx="6">
                  <c:v>254.5</c:v>
                </c:pt>
                <c:pt idx="7">
                  <c:v>254.5</c:v>
                </c:pt>
                <c:pt idx="8">
                  <c:v>254.5</c:v>
                </c:pt>
                <c:pt idx="9">
                  <c:v>254.5</c:v>
                </c:pt>
                <c:pt idx="10">
                  <c:v>254.5</c:v>
                </c:pt>
                <c:pt idx="11">
                  <c:v>254.5</c:v>
                </c:pt>
                <c:pt idx="12">
                  <c:v>254.5</c:v>
                </c:pt>
                <c:pt idx="13">
                  <c:v>254.5</c:v>
                </c:pt>
                <c:pt idx="14">
                  <c:v>254.5</c:v>
                </c:pt>
                <c:pt idx="15">
                  <c:v>254.5</c:v>
                </c:pt>
                <c:pt idx="16">
                  <c:v>254.5</c:v>
                </c:pt>
                <c:pt idx="17">
                  <c:v>254.5</c:v>
                </c:pt>
                <c:pt idx="18">
                  <c:v>254.5</c:v>
                </c:pt>
                <c:pt idx="19">
                  <c:v>254.5</c:v>
                </c:pt>
                <c:pt idx="20">
                  <c:v>254.5</c:v>
                </c:pt>
                <c:pt idx="21">
                  <c:v>254.5</c:v>
                </c:pt>
                <c:pt idx="22">
                  <c:v>254.5</c:v>
                </c:pt>
                <c:pt idx="23">
                  <c:v>254.5</c:v>
                </c:pt>
              </c:numCache>
            </c:numRef>
          </c:val>
          <c:extLst>
            <c:ext xmlns:c16="http://schemas.microsoft.com/office/drawing/2014/chart" uri="{C3380CC4-5D6E-409C-BE32-E72D297353CC}">
              <c16:uniqueId val="{00000001-9D80-5B4F-B9E2-E4128AB4DDA2}"/>
            </c:ext>
          </c:extLst>
        </c:ser>
        <c:dLbls>
          <c:showLegendKey val="0"/>
          <c:showVal val="0"/>
          <c:showCatName val="0"/>
          <c:showSerName val="0"/>
          <c:showPercent val="0"/>
          <c:showBubbleSize val="0"/>
        </c:dLbls>
        <c:axId val="114458624"/>
        <c:axId val="114460160"/>
      </c:areaChart>
      <c:lineChart>
        <c:grouping val="standard"/>
        <c:varyColors val="0"/>
        <c:ser>
          <c:idx val="2"/>
          <c:order val="2"/>
          <c:tx>
            <c:v>Denmark, AF2016</c:v>
          </c:tx>
          <c:spPr>
            <a:ln>
              <a:prstDash val="sysDash"/>
            </a:ln>
          </c:spPr>
          <c:marker>
            <c:symbol val="none"/>
          </c:marker>
          <c:cat>
            <c:numRef>
              <c:f>'Electricity consumption'!$D$89:$AA$89</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consumption'!$D$313:$AA$313</c:f>
              <c:numCache>
                <c:formatCode>#,##0</c:formatCode>
                <c:ptCount val="24"/>
                <c:pt idx="0">
                  <c:v>666.9</c:v>
                </c:pt>
                <c:pt idx="1">
                  <c:v>666.9</c:v>
                </c:pt>
                <c:pt idx="2">
                  <c:v>666.9</c:v>
                </c:pt>
                <c:pt idx="3">
                  <c:v>666.9</c:v>
                </c:pt>
                <c:pt idx="4">
                  <c:v>666.9</c:v>
                </c:pt>
                <c:pt idx="5">
                  <c:v>666.9</c:v>
                </c:pt>
                <c:pt idx="6">
                  <c:v>666.9</c:v>
                </c:pt>
                <c:pt idx="7">
                  <c:v>666.9</c:v>
                </c:pt>
                <c:pt idx="8">
                  <c:v>666.9</c:v>
                </c:pt>
                <c:pt idx="9">
                  <c:v>666.9</c:v>
                </c:pt>
                <c:pt idx="10">
                  <c:v>666.9</c:v>
                </c:pt>
                <c:pt idx="11">
                  <c:v>666.9</c:v>
                </c:pt>
                <c:pt idx="12">
                  <c:v>666.9</c:v>
                </c:pt>
                <c:pt idx="13">
                  <c:v>666.9</c:v>
                </c:pt>
                <c:pt idx="14">
                  <c:v>666.9</c:v>
                </c:pt>
                <c:pt idx="15">
                  <c:v>666.9</c:v>
                </c:pt>
                <c:pt idx="16">
                  <c:v>666.9</c:v>
                </c:pt>
                <c:pt idx="17">
                  <c:v>666.9</c:v>
                </c:pt>
                <c:pt idx="18">
                  <c:v>666.9</c:v>
                </c:pt>
                <c:pt idx="19">
                  <c:v>666.9</c:v>
                </c:pt>
                <c:pt idx="20">
                  <c:v>666.9</c:v>
                </c:pt>
                <c:pt idx="21">
                  <c:v>666.9</c:v>
                </c:pt>
                <c:pt idx="22">
                  <c:v>666.9</c:v>
                </c:pt>
                <c:pt idx="23">
                  <c:v>666.9</c:v>
                </c:pt>
              </c:numCache>
            </c:numRef>
          </c:val>
          <c:smooth val="0"/>
          <c:extLst>
            <c:ext xmlns:c16="http://schemas.microsoft.com/office/drawing/2014/chart" uri="{C3380CC4-5D6E-409C-BE32-E72D297353CC}">
              <c16:uniqueId val="{00000002-9D80-5B4F-B9E2-E4128AB4DDA2}"/>
            </c:ext>
          </c:extLst>
        </c:ser>
        <c:dLbls>
          <c:showLegendKey val="0"/>
          <c:showVal val="0"/>
          <c:showCatName val="0"/>
          <c:showSerName val="0"/>
          <c:showPercent val="0"/>
          <c:showBubbleSize val="0"/>
        </c:dLbls>
        <c:marker val="1"/>
        <c:smooth val="0"/>
        <c:axId val="114458624"/>
        <c:axId val="114460160"/>
      </c:lineChart>
      <c:catAx>
        <c:axId val="114458624"/>
        <c:scaling>
          <c:orientation val="minMax"/>
        </c:scaling>
        <c:delete val="0"/>
        <c:axPos val="b"/>
        <c:numFmt formatCode="General" sourceLinked="1"/>
        <c:majorTickMark val="out"/>
        <c:minorTickMark val="none"/>
        <c:tickLblPos val="nextTo"/>
        <c:crossAx val="114460160"/>
        <c:crosses val="autoZero"/>
        <c:auto val="1"/>
        <c:lblAlgn val="ctr"/>
        <c:lblOffset val="100"/>
        <c:tickLblSkip val="1"/>
        <c:noMultiLvlLbl val="0"/>
      </c:catAx>
      <c:valAx>
        <c:axId val="114460160"/>
        <c:scaling>
          <c:orientation val="minMax"/>
        </c:scaling>
        <c:delete val="0"/>
        <c:axPos val="l"/>
        <c:title>
          <c:tx>
            <c:rich>
              <a:bodyPr rot="-5400000" vert="horz"/>
              <a:lstStyle/>
              <a:p>
                <a:pPr>
                  <a:defRPr/>
                </a:pPr>
                <a:r>
                  <a:rPr lang="da-DK"/>
                  <a:t>MWe</a:t>
                </a:r>
              </a:p>
            </c:rich>
          </c:tx>
          <c:overlay val="0"/>
        </c:title>
        <c:numFmt formatCode="#,##0" sourceLinked="1"/>
        <c:majorTickMark val="out"/>
        <c:minorTickMark val="none"/>
        <c:tickLblPos val="nextTo"/>
        <c:crossAx val="11445862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capacity for large local heat pumps</a:t>
            </a:r>
          </a:p>
        </c:rich>
      </c:tx>
      <c:overlay val="0"/>
    </c:title>
    <c:autoTitleDeleted val="0"/>
    <c:plotArea>
      <c:layout/>
      <c:lineChart>
        <c:grouping val="standard"/>
        <c:varyColors val="0"/>
        <c:ser>
          <c:idx val="0"/>
          <c:order val="0"/>
          <c:tx>
            <c:v>Western Denmark</c:v>
          </c:tx>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consumption'!$D$53:$AA$53</c:f>
              <c:numCache>
                <c:formatCode>#,##0</c:formatCode>
                <c:ptCount val="24"/>
                <c:pt idx="0">
                  <c:v>11.116668853163132</c:v>
                </c:pt>
                <c:pt idx="1">
                  <c:v>13.116668853163132</c:v>
                </c:pt>
                <c:pt idx="2">
                  <c:v>30.558334426581567</c:v>
                </c:pt>
                <c:pt idx="3">
                  <c:v>48</c:v>
                </c:pt>
                <c:pt idx="4">
                  <c:v>58.066666666666677</c:v>
                </c:pt>
                <c:pt idx="5">
                  <c:v>62.805555555555557</c:v>
                </c:pt>
                <c:pt idx="6">
                  <c:v>67.466666666666669</c:v>
                </c:pt>
                <c:pt idx="7">
                  <c:v>72.777777777777771</c:v>
                </c:pt>
                <c:pt idx="8">
                  <c:v>75.833333333333343</c:v>
                </c:pt>
                <c:pt idx="9">
                  <c:v>78.833333333333343</c:v>
                </c:pt>
                <c:pt idx="10">
                  <c:v>80.355555555555569</c:v>
                </c:pt>
                <c:pt idx="11">
                  <c:v>81.844444444444449</c:v>
                </c:pt>
                <c:pt idx="12">
                  <c:v>82.600000000000023</c:v>
                </c:pt>
                <c:pt idx="13">
                  <c:v>84.722222222222243</c:v>
                </c:pt>
                <c:pt idx="14">
                  <c:v>86.111111111111143</c:v>
                </c:pt>
                <c:pt idx="15">
                  <c:v>87.466666666666697</c:v>
                </c:pt>
                <c:pt idx="16">
                  <c:v>89.466666666666697</c:v>
                </c:pt>
                <c:pt idx="17">
                  <c:v>90.077777777777811</c:v>
                </c:pt>
                <c:pt idx="18">
                  <c:v>91.333333333333329</c:v>
                </c:pt>
                <c:pt idx="19">
                  <c:v>94</c:v>
                </c:pt>
                <c:pt idx="20">
                  <c:v>96</c:v>
                </c:pt>
                <c:pt idx="21">
                  <c:v>98</c:v>
                </c:pt>
                <c:pt idx="22">
                  <c:v>99.333333333333329</c:v>
                </c:pt>
                <c:pt idx="23">
                  <c:v>102</c:v>
                </c:pt>
              </c:numCache>
            </c:numRef>
          </c:val>
          <c:smooth val="0"/>
          <c:extLst>
            <c:ext xmlns:c16="http://schemas.microsoft.com/office/drawing/2014/chart" uri="{C3380CC4-5D6E-409C-BE32-E72D297353CC}">
              <c16:uniqueId val="{00000000-3F40-FD41-8B34-A8387E1484A1}"/>
            </c:ext>
          </c:extLst>
        </c:ser>
        <c:ser>
          <c:idx val="1"/>
          <c:order val="1"/>
          <c:tx>
            <c:v>Eastern Denmark</c:v>
          </c:tx>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consumption'!$D$58:$AA$58</c:f>
              <c:numCache>
                <c:formatCode>#,##0</c:formatCode>
                <c:ptCount val="24"/>
                <c:pt idx="0">
                  <c:v>3.3238095238095235</c:v>
                </c:pt>
                <c:pt idx="1">
                  <c:v>7.238095238095239</c:v>
                </c:pt>
                <c:pt idx="2">
                  <c:v>11.61904761904762</c:v>
                </c:pt>
                <c:pt idx="3">
                  <c:v>16</c:v>
                </c:pt>
                <c:pt idx="4">
                  <c:v>19.93333333333333</c:v>
                </c:pt>
                <c:pt idx="5">
                  <c:v>22.194444444444443</c:v>
                </c:pt>
                <c:pt idx="6">
                  <c:v>24.533333333333328</c:v>
                </c:pt>
                <c:pt idx="7">
                  <c:v>27.222222222222214</c:v>
                </c:pt>
                <c:pt idx="8">
                  <c:v>29.166666666666657</c:v>
                </c:pt>
                <c:pt idx="9">
                  <c:v>31.166666666666654</c:v>
                </c:pt>
                <c:pt idx="10">
                  <c:v>32.644444444444431</c:v>
                </c:pt>
                <c:pt idx="11">
                  <c:v>34.155555555555537</c:v>
                </c:pt>
                <c:pt idx="12">
                  <c:v>35.399999999999977</c:v>
                </c:pt>
                <c:pt idx="13">
                  <c:v>37.277777777777757</c:v>
                </c:pt>
                <c:pt idx="14">
                  <c:v>38.888888888888864</c:v>
                </c:pt>
                <c:pt idx="15">
                  <c:v>40.533333333333303</c:v>
                </c:pt>
                <c:pt idx="16">
                  <c:v>42.533333333333303</c:v>
                </c:pt>
                <c:pt idx="17">
                  <c:v>43.922222222222189</c:v>
                </c:pt>
                <c:pt idx="18">
                  <c:v>45.666666666666664</c:v>
                </c:pt>
                <c:pt idx="19">
                  <c:v>47</c:v>
                </c:pt>
                <c:pt idx="20">
                  <c:v>48</c:v>
                </c:pt>
                <c:pt idx="21">
                  <c:v>49</c:v>
                </c:pt>
                <c:pt idx="22">
                  <c:v>49.666666666666664</c:v>
                </c:pt>
                <c:pt idx="23">
                  <c:v>51</c:v>
                </c:pt>
              </c:numCache>
            </c:numRef>
          </c:val>
          <c:smooth val="0"/>
          <c:extLst>
            <c:ext xmlns:c16="http://schemas.microsoft.com/office/drawing/2014/chart" uri="{C3380CC4-5D6E-409C-BE32-E72D297353CC}">
              <c16:uniqueId val="{00000001-3F40-FD41-8B34-A8387E1484A1}"/>
            </c:ext>
          </c:extLst>
        </c:ser>
        <c:ser>
          <c:idx val="2"/>
          <c:order val="2"/>
          <c:tx>
            <c:v>Total</c:v>
          </c:tx>
          <c:marker>
            <c:symbol val="none"/>
          </c:marker>
          <c:val>
            <c:numRef>
              <c:f>'Electricity consumption'!$D$63:$AA$63</c:f>
              <c:numCache>
                <c:formatCode>#,##0</c:formatCode>
                <c:ptCount val="24"/>
                <c:pt idx="0">
                  <c:v>14.440478376972656</c:v>
                </c:pt>
                <c:pt idx="1">
                  <c:v>20.354764091258371</c:v>
                </c:pt>
                <c:pt idx="2">
                  <c:v>42.177382045629187</c:v>
                </c:pt>
                <c:pt idx="3">
                  <c:v>64</c:v>
                </c:pt>
                <c:pt idx="4">
                  <c:v>78</c:v>
                </c:pt>
                <c:pt idx="5">
                  <c:v>85</c:v>
                </c:pt>
                <c:pt idx="6">
                  <c:v>92</c:v>
                </c:pt>
                <c:pt idx="7">
                  <c:v>99.999999999999986</c:v>
                </c:pt>
                <c:pt idx="8">
                  <c:v>105</c:v>
                </c:pt>
                <c:pt idx="9">
                  <c:v>110</c:v>
                </c:pt>
                <c:pt idx="10">
                  <c:v>113</c:v>
                </c:pt>
                <c:pt idx="11">
                  <c:v>115.99999999999999</c:v>
                </c:pt>
                <c:pt idx="12">
                  <c:v>118</c:v>
                </c:pt>
                <c:pt idx="13">
                  <c:v>122</c:v>
                </c:pt>
                <c:pt idx="14">
                  <c:v>125</c:v>
                </c:pt>
                <c:pt idx="15">
                  <c:v>128</c:v>
                </c:pt>
                <c:pt idx="16">
                  <c:v>132</c:v>
                </c:pt>
                <c:pt idx="17">
                  <c:v>134</c:v>
                </c:pt>
                <c:pt idx="18">
                  <c:v>137</c:v>
                </c:pt>
                <c:pt idx="19">
                  <c:v>141</c:v>
                </c:pt>
                <c:pt idx="20">
                  <c:v>144</c:v>
                </c:pt>
                <c:pt idx="21">
                  <c:v>147</c:v>
                </c:pt>
                <c:pt idx="22">
                  <c:v>149</c:v>
                </c:pt>
                <c:pt idx="23">
                  <c:v>153</c:v>
                </c:pt>
              </c:numCache>
            </c:numRef>
          </c:val>
          <c:smooth val="0"/>
          <c:extLst>
            <c:ext xmlns:c16="http://schemas.microsoft.com/office/drawing/2014/chart" uri="{C3380CC4-5D6E-409C-BE32-E72D297353CC}">
              <c16:uniqueId val="{00000002-3F40-FD41-8B34-A8387E1484A1}"/>
            </c:ext>
          </c:extLst>
        </c:ser>
        <c:dLbls>
          <c:showLegendKey val="0"/>
          <c:showVal val="0"/>
          <c:showCatName val="0"/>
          <c:showSerName val="0"/>
          <c:showPercent val="0"/>
          <c:showBubbleSize val="0"/>
        </c:dLbls>
        <c:smooth val="0"/>
        <c:axId val="114564480"/>
        <c:axId val="114578560"/>
      </c:lineChart>
      <c:catAx>
        <c:axId val="114564480"/>
        <c:scaling>
          <c:orientation val="minMax"/>
        </c:scaling>
        <c:delete val="0"/>
        <c:axPos val="b"/>
        <c:numFmt formatCode="General" sourceLinked="1"/>
        <c:majorTickMark val="out"/>
        <c:minorTickMark val="none"/>
        <c:tickLblPos val="nextTo"/>
        <c:crossAx val="114578560"/>
        <c:crosses val="autoZero"/>
        <c:auto val="1"/>
        <c:lblAlgn val="ctr"/>
        <c:lblOffset val="100"/>
        <c:noMultiLvlLbl val="0"/>
      </c:catAx>
      <c:valAx>
        <c:axId val="114578560"/>
        <c:scaling>
          <c:orientation val="minMax"/>
        </c:scaling>
        <c:delete val="0"/>
        <c:axPos val="l"/>
        <c:majorGridlines/>
        <c:title>
          <c:tx>
            <c:rich>
              <a:bodyPr rot="-5400000" vert="horz"/>
              <a:lstStyle/>
              <a:p>
                <a:pPr>
                  <a:defRPr/>
                </a:pPr>
                <a:r>
                  <a:rPr lang="da-DK"/>
                  <a:t>MWe</a:t>
                </a:r>
              </a:p>
            </c:rich>
          </c:tx>
          <c:overlay val="0"/>
        </c:title>
        <c:numFmt formatCode="#,##0" sourceLinked="1"/>
        <c:majorTickMark val="out"/>
        <c:minorTickMark val="none"/>
        <c:tickLblPos val="nextTo"/>
        <c:crossAx val="1145644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Maximum power in Western Denmark </a:t>
            </a:r>
            <a:r>
              <a:rPr lang="da-DK" sz="1200" baseline="0"/>
              <a:t>(DK1)</a:t>
            </a:r>
            <a:endParaRPr lang="da-DK" sz="1200"/>
          </a:p>
        </c:rich>
      </c:tx>
      <c:overlay val="0"/>
    </c:title>
    <c:autoTitleDeleted val="0"/>
    <c:plotArea>
      <c:layout/>
      <c:barChart>
        <c:barDir val="col"/>
        <c:grouping val="stacked"/>
        <c:varyColors val="0"/>
        <c:ser>
          <c:idx val="0"/>
          <c:order val="0"/>
          <c:tx>
            <c:strRef>
              <c:f>'Power consumption'!$B$45</c:f>
              <c:strCache>
                <c:ptCount val="1"/>
                <c:pt idx="0">
                  <c:v>Traditional consumption</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consumption'!$D$45:$AA$45</c:f>
              <c:numCache>
                <c:formatCode>#,##0</c:formatCode>
                <c:ptCount val="24"/>
                <c:pt idx="0">
                  <c:v>3627.8238007620866</c:v>
                </c:pt>
                <c:pt idx="1">
                  <c:v>3650.0596854120213</c:v>
                </c:pt>
                <c:pt idx="2">
                  <c:v>3676.510825986531</c:v>
                </c:pt>
                <c:pt idx="3">
                  <c:v>3677.3759524857815</c:v>
                </c:pt>
                <c:pt idx="4">
                  <c:v>3671.0854633350145</c:v>
                </c:pt>
                <c:pt idx="5">
                  <c:v>3678.2412944706425</c:v>
                </c:pt>
                <c:pt idx="6">
                  <c:v>3681.8825968816623</c:v>
                </c:pt>
                <c:pt idx="7">
                  <c:v>3685.9448757142727</c:v>
                </c:pt>
                <c:pt idx="8">
                  <c:v>3688.6710811815615</c:v>
                </c:pt>
                <c:pt idx="9">
                  <c:v>3688.0030386082894</c:v>
                </c:pt>
                <c:pt idx="10">
                  <c:v>3689.7140072693305</c:v>
                </c:pt>
                <c:pt idx="11">
                  <c:v>3687.2930123782066</c:v>
                </c:pt>
                <c:pt idx="12">
                  <c:v>3685.7226853092488</c:v>
                </c:pt>
                <c:pt idx="13">
                  <c:v>3691.9336913038596</c:v>
                </c:pt>
                <c:pt idx="14">
                  <c:v>3689.547804812612</c:v>
                </c:pt>
                <c:pt idx="15">
                  <c:v>3688.3324758602184</c:v>
                </c:pt>
                <c:pt idx="16">
                  <c:v>3682.072002703243</c:v>
                </c:pt>
                <c:pt idx="17">
                  <c:v>3674.786764483048</c:v>
                </c:pt>
                <c:pt idx="18">
                  <c:v>3678.2973185903538</c:v>
                </c:pt>
                <c:pt idx="19">
                  <c:v>3673.6086347896967</c:v>
                </c:pt>
                <c:pt idx="20">
                  <c:v>3672.4949441910535</c:v>
                </c:pt>
                <c:pt idx="21">
                  <c:v>3670.4751144013876</c:v>
                </c:pt>
                <c:pt idx="22">
                  <c:v>3668.8174961958048</c:v>
                </c:pt>
                <c:pt idx="23">
                  <c:v>3677.2530483050073</c:v>
                </c:pt>
              </c:numCache>
            </c:numRef>
          </c:val>
          <c:extLst>
            <c:ext xmlns:c16="http://schemas.microsoft.com/office/drawing/2014/chart" uri="{C3380CC4-5D6E-409C-BE32-E72D297353CC}">
              <c16:uniqueId val="{00000000-5936-2D45-A558-87C6FBC13DF3}"/>
            </c:ext>
          </c:extLst>
        </c:ser>
        <c:ser>
          <c:idx val="1"/>
          <c:order val="1"/>
          <c:tx>
            <c:strRef>
              <c:f>'Power consumption'!$B$46</c:f>
              <c:strCache>
                <c:ptCount val="1"/>
                <c:pt idx="0">
                  <c:v>Household heat pumps</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consumption'!$D$46:$AA$46</c:f>
              <c:numCache>
                <c:formatCode>#,##0</c:formatCode>
                <c:ptCount val="24"/>
                <c:pt idx="0">
                  <c:v>60.661258751475827</c:v>
                </c:pt>
                <c:pt idx="1">
                  <c:v>64.445787555695162</c:v>
                </c:pt>
                <c:pt idx="2">
                  <c:v>68.456705325387517</c:v>
                </c:pt>
                <c:pt idx="3">
                  <c:v>72.78170721446827</c:v>
                </c:pt>
                <c:pt idx="4">
                  <c:v>79.616305870653349</c:v>
                </c:pt>
                <c:pt idx="5">
                  <c:v>87.036266029805731</c:v>
                </c:pt>
                <c:pt idx="6">
                  <c:v>95.213919445979045</c:v>
                </c:pt>
                <c:pt idx="7">
                  <c:v>103.73359557649158</c:v>
                </c:pt>
                <c:pt idx="8">
                  <c:v>112.60714447699452</c:v>
                </c:pt>
                <c:pt idx="9">
                  <c:v>121.83254106551871</c:v>
                </c:pt>
                <c:pt idx="10">
                  <c:v>131.32450620906766</c:v>
                </c:pt>
                <c:pt idx="11">
                  <c:v>141.12710918798049</c:v>
                </c:pt>
                <c:pt idx="12">
                  <c:v>151.16272279175078</c:v>
                </c:pt>
                <c:pt idx="13">
                  <c:v>161.10948592047797</c:v>
                </c:pt>
                <c:pt idx="14">
                  <c:v>171.44867904000989</c:v>
                </c:pt>
                <c:pt idx="15">
                  <c:v>182.63269159186393</c:v>
                </c:pt>
                <c:pt idx="16">
                  <c:v>193.96157172185616</c:v>
                </c:pt>
                <c:pt idx="17">
                  <c:v>201.25723063042818</c:v>
                </c:pt>
                <c:pt idx="18">
                  <c:v>208.2454721804001</c:v>
                </c:pt>
                <c:pt idx="19">
                  <c:v>215.24494594540147</c:v>
                </c:pt>
                <c:pt idx="20">
                  <c:v>222.13710337335377</c:v>
                </c:pt>
                <c:pt idx="21">
                  <c:v>228.91224455568315</c:v>
                </c:pt>
                <c:pt idx="22">
                  <c:v>235.56027946017542</c:v>
                </c:pt>
                <c:pt idx="23">
                  <c:v>242.07071499501404</c:v>
                </c:pt>
              </c:numCache>
            </c:numRef>
          </c:val>
          <c:extLst>
            <c:ext xmlns:c16="http://schemas.microsoft.com/office/drawing/2014/chart" uri="{C3380CC4-5D6E-409C-BE32-E72D297353CC}">
              <c16:uniqueId val="{00000001-5936-2D45-A558-87C6FBC13DF3}"/>
            </c:ext>
          </c:extLst>
        </c:ser>
        <c:ser>
          <c:idx val="2"/>
          <c:order val="2"/>
          <c:tx>
            <c:strRef>
              <c:f>'Power consumption'!$B$47</c:f>
              <c:strCache>
                <c:ptCount val="1"/>
                <c:pt idx="0">
                  <c:v>Large heat pumps and electric boilers</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consumption'!$D$47:$AA$47</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5936-2D45-A558-87C6FBC13DF3}"/>
            </c:ext>
          </c:extLst>
        </c:ser>
        <c:ser>
          <c:idx val="3"/>
          <c:order val="3"/>
          <c:tx>
            <c:strRef>
              <c:f>'Power consumption'!$B$48</c:f>
              <c:strCache>
                <c:ptCount val="1"/>
                <c:pt idx="0">
                  <c:v>Road and sea transport</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consumption'!$D$48:$AA$48</c:f>
              <c:numCache>
                <c:formatCode>#,##0</c:formatCode>
                <c:ptCount val="24"/>
                <c:pt idx="0">
                  <c:v>0.57703063140458999</c:v>
                </c:pt>
                <c:pt idx="1">
                  <c:v>0.65395335206897798</c:v>
                </c:pt>
                <c:pt idx="2">
                  <c:v>0.96467617485613932</c:v>
                </c:pt>
                <c:pt idx="3">
                  <c:v>2.1061619568090419</c:v>
                </c:pt>
                <c:pt idx="4">
                  <c:v>4.6453495148432653</c:v>
                </c:pt>
                <c:pt idx="5">
                  <c:v>8.8396522339081738</c:v>
                </c:pt>
                <c:pt idx="6">
                  <c:v>14.321151925414803</c:v>
                </c:pt>
                <c:pt idx="7">
                  <c:v>20.568486126302261</c:v>
                </c:pt>
                <c:pt idx="8">
                  <c:v>27.344177494464166</c:v>
                </c:pt>
                <c:pt idx="9">
                  <c:v>35.634925003544055</c:v>
                </c:pt>
                <c:pt idx="10">
                  <c:v>45.21527084854101</c:v>
                </c:pt>
                <c:pt idx="11">
                  <c:v>56.105810069307744</c:v>
                </c:pt>
                <c:pt idx="12">
                  <c:v>68.454541083019947</c:v>
                </c:pt>
                <c:pt idx="13">
                  <c:v>82.055795993161738</c:v>
                </c:pt>
                <c:pt idx="14">
                  <c:v>97.022286893370861</c:v>
                </c:pt>
                <c:pt idx="15">
                  <c:v>113.10468415922013</c:v>
                </c:pt>
                <c:pt idx="16">
                  <c:v>131.75638756892181</c:v>
                </c:pt>
                <c:pt idx="17">
                  <c:v>151.35005547090654</c:v>
                </c:pt>
                <c:pt idx="18">
                  <c:v>171.11597873276938</c:v>
                </c:pt>
                <c:pt idx="19">
                  <c:v>190.65452670156608</c:v>
                </c:pt>
                <c:pt idx="20">
                  <c:v>208.85585302045507</c:v>
                </c:pt>
                <c:pt idx="21">
                  <c:v>225.33637247201611</c:v>
                </c:pt>
                <c:pt idx="22">
                  <c:v>240.48620484326884</c:v>
                </c:pt>
                <c:pt idx="23">
                  <c:v>254.42423402899163</c:v>
                </c:pt>
              </c:numCache>
            </c:numRef>
          </c:val>
          <c:extLst>
            <c:ext xmlns:c16="http://schemas.microsoft.com/office/drawing/2014/chart" uri="{C3380CC4-5D6E-409C-BE32-E72D297353CC}">
              <c16:uniqueId val="{00000003-5936-2D45-A558-87C6FBC13DF3}"/>
            </c:ext>
          </c:extLst>
        </c:ser>
        <c:ser>
          <c:idx val="4"/>
          <c:order val="4"/>
          <c:tx>
            <c:strRef>
              <c:f>'Power consumption'!$B$49</c:f>
              <c:strCache>
                <c:ptCount val="1"/>
                <c:pt idx="0">
                  <c:v>Rail transport</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consumption'!$D$49:$AA$49</c:f>
              <c:numCache>
                <c:formatCode>#,##0</c:formatCode>
                <c:ptCount val="24"/>
                <c:pt idx="0">
                  <c:v>39.590000000000003</c:v>
                </c:pt>
                <c:pt idx="1">
                  <c:v>45.646407580000002</c:v>
                </c:pt>
                <c:pt idx="2">
                  <c:v>51.702815160000007</c:v>
                </c:pt>
                <c:pt idx="3">
                  <c:v>62.273967900000002</c:v>
                </c:pt>
                <c:pt idx="4">
                  <c:v>88.58900220000001</c:v>
                </c:pt>
                <c:pt idx="5">
                  <c:v>130.72650742000002</c:v>
                </c:pt>
                <c:pt idx="6">
                  <c:v>174.89464366000004</c:v>
                </c:pt>
                <c:pt idx="7">
                  <c:v>219.06277989999998</c:v>
                </c:pt>
                <c:pt idx="8">
                  <c:v>260.59006198000009</c:v>
                </c:pt>
                <c:pt idx="9">
                  <c:v>288.17275310000002</c:v>
                </c:pt>
                <c:pt idx="10">
                  <c:v>299.93297330000007</c:v>
                </c:pt>
                <c:pt idx="11">
                  <c:v>303.60615490000009</c:v>
                </c:pt>
                <c:pt idx="12">
                  <c:v>307.2793365</c:v>
                </c:pt>
                <c:pt idx="13">
                  <c:v>309.07862709999995</c:v>
                </c:pt>
                <c:pt idx="14">
                  <c:v>309.07862709999995</c:v>
                </c:pt>
                <c:pt idx="15">
                  <c:v>309.07862709999995</c:v>
                </c:pt>
                <c:pt idx="16">
                  <c:v>309.07862709999995</c:v>
                </c:pt>
                <c:pt idx="17">
                  <c:v>309.07862709999995</c:v>
                </c:pt>
                <c:pt idx="18">
                  <c:v>309.07862709999995</c:v>
                </c:pt>
                <c:pt idx="19">
                  <c:v>309.07862709999995</c:v>
                </c:pt>
                <c:pt idx="20">
                  <c:v>309.07862709999995</c:v>
                </c:pt>
                <c:pt idx="21">
                  <c:v>309.07862709999995</c:v>
                </c:pt>
                <c:pt idx="22">
                  <c:v>309.07862709999995</c:v>
                </c:pt>
                <c:pt idx="23">
                  <c:v>309.07862709999995</c:v>
                </c:pt>
              </c:numCache>
            </c:numRef>
          </c:val>
          <c:extLst>
            <c:ext xmlns:c16="http://schemas.microsoft.com/office/drawing/2014/chart" uri="{C3380CC4-5D6E-409C-BE32-E72D297353CC}">
              <c16:uniqueId val="{00000004-5936-2D45-A558-87C6FBC13DF3}"/>
            </c:ext>
          </c:extLst>
        </c:ser>
        <c:ser>
          <c:idx val="5"/>
          <c:order val="5"/>
          <c:tx>
            <c:strRef>
              <c:f>'Power consumption'!$B$50</c:f>
              <c:strCache>
                <c:ptCount val="1"/>
                <c:pt idx="0">
                  <c:v>Large data centres</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consumption'!$D$50:$AA$50</c:f>
              <c:numCache>
                <c:formatCode>#,##0</c:formatCode>
                <c:ptCount val="24"/>
                <c:pt idx="0">
                  <c:v>0</c:v>
                </c:pt>
                <c:pt idx="1">
                  <c:v>51.716666666666676</c:v>
                </c:pt>
                <c:pt idx="2">
                  <c:v>103.43333333333335</c:v>
                </c:pt>
                <c:pt idx="3">
                  <c:v>176.55000000000004</c:v>
                </c:pt>
                <c:pt idx="4">
                  <c:v>249.66666666666671</c:v>
                </c:pt>
                <c:pt idx="5">
                  <c:v>322.78333333333336</c:v>
                </c:pt>
                <c:pt idx="6">
                  <c:v>395.9</c:v>
                </c:pt>
                <c:pt idx="7">
                  <c:v>417.3</c:v>
                </c:pt>
                <c:pt idx="8">
                  <c:v>438.70000000000005</c:v>
                </c:pt>
                <c:pt idx="9">
                  <c:v>438.70000000000005</c:v>
                </c:pt>
                <c:pt idx="10">
                  <c:v>438.70000000000005</c:v>
                </c:pt>
                <c:pt idx="11">
                  <c:v>438.70000000000005</c:v>
                </c:pt>
                <c:pt idx="12">
                  <c:v>438.70000000000005</c:v>
                </c:pt>
                <c:pt idx="13">
                  <c:v>438.70000000000005</c:v>
                </c:pt>
                <c:pt idx="14">
                  <c:v>438.70000000000005</c:v>
                </c:pt>
                <c:pt idx="15">
                  <c:v>438.70000000000005</c:v>
                </c:pt>
                <c:pt idx="16">
                  <c:v>438.70000000000005</c:v>
                </c:pt>
                <c:pt idx="17">
                  <c:v>438.70000000000005</c:v>
                </c:pt>
                <c:pt idx="18">
                  <c:v>438.70000000000005</c:v>
                </c:pt>
                <c:pt idx="19">
                  <c:v>438.70000000000005</c:v>
                </c:pt>
                <c:pt idx="20">
                  <c:v>438.70000000000005</c:v>
                </c:pt>
                <c:pt idx="21">
                  <c:v>438.70000000000005</c:v>
                </c:pt>
                <c:pt idx="22">
                  <c:v>438.70000000000005</c:v>
                </c:pt>
                <c:pt idx="23">
                  <c:v>438.70000000000005</c:v>
                </c:pt>
              </c:numCache>
            </c:numRef>
          </c:val>
          <c:extLst>
            <c:ext xmlns:c16="http://schemas.microsoft.com/office/drawing/2014/chart" uri="{C3380CC4-5D6E-409C-BE32-E72D297353CC}">
              <c16:uniqueId val="{00000005-5936-2D45-A558-87C6FBC13DF3}"/>
            </c:ext>
          </c:extLst>
        </c:ser>
        <c:dLbls>
          <c:showLegendKey val="0"/>
          <c:showVal val="0"/>
          <c:showCatName val="0"/>
          <c:showSerName val="0"/>
          <c:showPercent val="0"/>
          <c:showBubbleSize val="0"/>
        </c:dLbls>
        <c:gapWidth val="55"/>
        <c:overlap val="100"/>
        <c:axId val="106521728"/>
        <c:axId val="106523264"/>
      </c:barChart>
      <c:catAx>
        <c:axId val="106521728"/>
        <c:scaling>
          <c:orientation val="minMax"/>
        </c:scaling>
        <c:delete val="0"/>
        <c:axPos val="b"/>
        <c:numFmt formatCode="General" sourceLinked="1"/>
        <c:majorTickMark val="none"/>
        <c:minorTickMark val="none"/>
        <c:tickLblPos val="nextTo"/>
        <c:crossAx val="106523264"/>
        <c:crosses val="autoZero"/>
        <c:auto val="1"/>
        <c:lblAlgn val="ctr"/>
        <c:lblOffset val="100"/>
        <c:noMultiLvlLbl val="0"/>
      </c:catAx>
      <c:valAx>
        <c:axId val="106523264"/>
        <c:scaling>
          <c:orientation val="minMax"/>
          <c:max val="5500"/>
          <c:min val="3000"/>
        </c:scaling>
        <c:delete val="0"/>
        <c:axPos val="l"/>
        <c:majorGridlines/>
        <c:title>
          <c:tx>
            <c:rich>
              <a:bodyPr rot="-5400000" vert="horz"/>
              <a:lstStyle/>
              <a:p>
                <a:pPr>
                  <a:defRPr/>
                </a:pPr>
                <a:r>
                  <a:rPr lang="da-DK"/>
                  <a:t>MWh/h</a:t>
                </a:r>
              </a:p>
            </c:rich>
          </c:tx>
          <c:overlay val="0"/>
        </c:title>
        <c:numFmt formatCode="#,##0" sourceLinked="1"/>
        <c:majorTickMark val="none"/>
        <c:minorTickMark val="none"/>
        <c:tickLblPos val="nextTo"/>
        <c:crossAx val="106521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Minimum power in Western Denmark </a:t>
            </a:r>
            <a:r>
              <a:rPr lang="da-DK" sz="1200" baseline="0"/>
              <a:t>(DK1)</a:t>
            </a:r>
            <a:endParaRPr lang="da-DK" sz="1200"/>
          </a:p>
        </c:rich>
      </c:tx>
      <c:overlay val="0"/>
    </c:title>
    <c:autoTitleDeleted val="0"/>
    <c:plotArea>
      <c:layout/>
      <c:barChart>
        <c:barDir val="col"/>
        <c:grouping val="stacked"/>
        <c:varyColors val="0"/>
        <c:ser>
          <c:idx val="0"/>
          <c:order val="0"/>
          <c:tx>
            <c:strRef>
              <c:f>'Power consumption'!$B$67</c:f>
              <c:strCache>
                <c:ptCount val="1"/>
                <c:pt idx="0">
                  <c:v>Traditional consumption</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consumption'!$D$67:$AA$67</c:f>
              <c:numCache>
                <c:formatCode>#,##0</c:formatCode>
                <c:ptCount val="24"/>
                <c:pt idx="0">
                  <c:v>1145.9814603554514</c:v>
                </c:pt>
                <c:pt idx="1">
                  <c:v>1153.0054816318082</c:v>
                </c:pt>
                <c:pt idx="2">
                  <c:v>1161.3610463913967</c:v>
                </c:pt>
                <c:pt idx="3">
                  <c:v>1161.6343283872852</c:v>
                </c:pt>
                <c:pt idx="4">
                  <c:v>1159.6472462302543</c:v>
                </c:pt>
                <c:pt idx="5">
                  <c:v>1161.9076784522219</c:v>
                </c:pt>
                <c:pt idx="6">
                  <c:v>1163.0579176269302</c:v>
                </c:pt>
                <c:pt idx="7">
                  <c:v>1164.3411376741631</c:v>
                </c:pt>
                <c:pt idx="8">
                  <c:v>1165.2023098518132</c:v>
                </c:pt>
                <c:pt idx="9">
                  <c:v>1164.9912840562558</c:v>
                </c:pt>
                <c:pt idx="10">
                  <c:v>1165.5317563813976</c:v>
                </c:pt>
                <c:pt idx="11">
                  <c:v>1164.7669961799068</c:v>
                </c:pt>
                <c:pt idx="12">
                  <c:v>1164.2709506698295</c:v>
                </c:pt>
                <c:pt idx="13">
                  <c:v>1166.2329251511935</c:v>
                </c:pt>
                <c:pt idx="14">
                  <c:v>1165.4792552279443</c:v>
                </c:pt>
                <c:pt idx="15">
                  <c:v>1165.0953489182214</c:v>
                </c:pt>
                <c:pt idx="16">
                  <c:v>1163.1177484158375</c:v>
                </c:pt>
                <c:pt idx="17">
                  <c:v>1160.8164382108428</c:v>
                </c:pt>
                <c:pt idx="18">
                  <c:v>1161.9253757291704</c:v>
                </c:pt>
                <c:pt idx="19">
                  <c:v>1160.4442826540619</c:v>
                </c:pt>
                <c:pt idx="20">
                  <c:v>1160.0924825533104</c:v>
                </c:pt>
                <c:pt idx="21">
                  <c:v>1159.4544450908668</c:v>
                </c:pt>
                <c:pt idx="22">
                  <c:v>1158.9308254675691</c:v>
                </c:pt>
                <c:pt idx="23">
                  <c:v>1161.5955045853855</c:v>
                </c:pt>
              </c:numCache>
            </c:numRef>
          </c:val>
          <c:extLst>
            <c:ext xmlns:c16="http://schemas.microsoft.com/office/drawing/2014/chart" uri="{C3380CC4-5D6E-409C-BE32-E72D297353CC}">
              <c16:uniqueId val="{00000000-2163-CA4E-837F-C9B587020DCD}"/>
            </c:ext>
          </c:extLst>
        </c:ser>
        <c:ser>
          <c:idx val="1"/>
          <c:order val="1"/>
          <c:tx>
            <c:strRef>
              <c:f>'Power consumption'!$B$68</c:f>
              <c:strCache>
                <c:ptCount val="1"/>
                <c:pt idx="0">
                  <c:v>Household heat pumps</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consumption'!$D$68:$AA$68</c:f>
              <c:numCache>
                <c:formatCode>#,##0</c:formatCode>
                <c:ptCount val="24"/>
                <c:pt idx="0">
                  <c:v>19.16208771672235</c:v>
                </c:pt>
                <c:pt idx="1">
                  <c:v>20.35757021091225</c:v>
                </c:pt>
                <c:pt idx="2">
                  <c:v>21.624565979039719</c:v>
                </c:pt>
                <c:pt idx="3">
                  <c:v>22.990776758032808</c:v>
                </c:pt>
                <c:pt idx="4">
                  <c:v>25.149735896928441</c:v>
                </c:pt>
                <c:pt idx="5">
                  <c:v>27.493602977016089</c:v>
                </c:pt>
                <c:pt idx="6">
                  <c:v>30.076815315547634</c:v>
                </c:pt>
                <c:pt idx="7">
                  <c:v>32.768068096829154</c:v>
                </c:pt>
                <c:pt idx="8">
                  <c:v>35.571104596396111</c:v>
                </c:pt>
                <c:pt idx="9">
                  <c:v>38.485285117692186</c:v>
                </c:pt>
                <c:pt idx="10">
                  <c:v>41.483671112778893</c:v>
                </c:pt>
                <c:pt idx="11">
                  <c:v>44.580183483280294</c:v>
                </c:pt>
                <c:pt idx="12">
                  <c:v>47.750300822164228</c:v>
                </c:pt>
                <c:pt idx="13">
                  <c:v>50.89235147348694</c:v>
                </c:pt>
                <c:pt idx="14">
                  <c:v>54.158365558164718</c:v>
                </c:pt>
                <c:pt idx="15">
                  <c:v>57.691246905410686</c:v>
                </c:pt>
                <c:pt idx="16">
                  <c:v>61.26989000071017</c:v>
                </c:pt>
                <c:pt idx="17">
                  <c:v>63.574491963061348</c:v>
                </c:pt>
                <c:pt idx="18">
                  <c:v>65.781984855927632</c:v>
                </c:pt>
                <c:pt idx="19">
                  <c:v>67.993025856665014</c:v>
                </c:pt>
                <c:pt idx="20">
                  <c:v>70.17016704875526</c:v>
                </c:pt>
                <c:pt idx="21">
                  <c:v>72.310344359629383</c:v>
                </c:pt>
                <c:pt idx="22">
                  <c:v>74.410370481830711</c:v>
                </c:pt>
                <c:pt idx="23">
                  <c:v>76.466930786715722</c:v>
                </c:pt>
              </c:numCache>
            </c:numRef>
          </c:val>
          <c:extLst>
            <c:ext xmlns:c16="http://schemas.microsoft.com/office/drawing/2014/chart" uri="{C3380CC4-5D6E-409C-BE32-E72D297353CC}">
              <c16:uniqueId val="{00000001-2163-CA4E-837F-C9B587020DCD}"/>
            </c:ext>
          </c:extLst>
        </c:ser>
        <c:ser>
          <c:idx val="2"/>
          <c:order val="2"/>
          <c:tx>
            <c:strRef>
              <c:f>'Power consumption'!$B$69</c:f>
              <c:strCache>
                <c:ptCount val="1"/>
                <c:pt idx="0">
                  <c:v>Large heat pumps and electric boilers</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consumption'!$D$69:$AA$69</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2163-CA4E-837F-C9B587020DCD}"/>
            </c:ext>
          </c:extLst>
        </c:ser>
        <c:ser>
          <c:idx val="3"/>
          <c:order val="3"/>
          <c:tx>
            <c:strRef>
              <c:f>'Power consumption'!$B$70</c:f>
              <c:strCache>
                <c:ptCount val="1"/>
                <c:pt idx="0">
                  <c:v>Road and sea transport</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consumption'!$D$70:$AA$70</c:f>
              <c:numCache>
                <c:formatCode>#,##0</c:formatCode>
                <c:ptCount val="24"/>
                <c:pt idx="0">
                  <c:v>0.18227632927154563</c:v>
                </c:pt>
                <c:pt idx="1">
                  <c:v>0.20657519729897625</c:v>
                </c:pt>
                <c:pt idx="2">
                  <c:v>0.3047284191143792</c:v>
                </c:pt>
                <c:pt idx="3">
                  <c:v>0.66530864991350969</c:v>
                </c:pt>
                <c:pt idx="4">
                  <c:v>1.4674043485141928</c:v>
                </c:pt>
                <c:pt idx="5">
                  <c:v>2.7923289918105776</c:v>
                </c:pt>
                <c:pt idx="6">
                  <c:v>4.5238620999210504</c:v>
                </c:pt>
                <c:pt idx="7">
                  <c:v>6.4973121802026848</c:v>
                </c:pt>
                <c:pt idx="8">
                  <c:v>8.6376632874898878</c:v>
                </c:pt>
                <c:pt idx="9">
                  <c:v>11.256600551173376</c:v>
                </c:pt>
                <c:pt idx="10">
                  <c:v>14.282904838568367</c:v>
                </c:pt>
                <c:pt idx="11">
                  <c:v>17.723081849825324</c:v>
                </c:pt>
                <c:pt idx="12">
                  <c:v>21.623882323557769</c:v>
                </c:pt>
                <c:pt idx="13">
                  <c:v>25.920338496902449</c:v>
                </c:pt>
                <c:pt idx="14">
                  <c:v>30.648054626504798</c:v>
                </c:pt>
                <c:pt idx="15">
                  <c:v>35.72827078828832</c:v>
                </c:pt>
                <c:pt idx="16">
                  <c:v>41.620096710781198</c:v>
                </c:pt>
                <c:pt idx="17">
                  <c:v>47.809476732853746</c:v>
                </c:pt>
                <c:pt idx="18">
                  <c:v>54.05326994027056</c:v>
                </c:pt>
                <c:pt idx="19">
                  <c:v>60.225238305934596</c:v>
                </c:pt>
                <c:pt idx="20">
                  <c:v>65.974796074132968</c:v>
                </c:pt>
                <c:pt idx="21">
                  <c:v>71.180773758205959</c:v>
                </c:pt>
                <c:pt idx="22">
                  <c:v>75.966405028749307</c:v>
                </c:pt>
                <c:pt idx="23">
                  <c:v>80.369243732596004</c:v>
                </c:pt>
              </c:numCache>
            </c:numRef>
          </c:val>
          <c:extLst>
            <c:ext xmlns:c16="http://schemas.microsoft.com/office/drawing/2014/chart" uri="{C3380CC4-5D6E-409C-BE32-E72D297353CC}">
              <c16:uniqueId val="{00000003-2163-CA4E-837F-C9B587020DCD}"/>
            </c:ext>
          </c:extLst>
        </c:ser>
        <c:ser>
          <c:idx val="4"/>
          <c:order val="4"/>
          <c:tx>
            <c:strRef>
              <c:f>'Power consumption'!$B$71</c:f>
              <c:strCache>
                <c:ptCount val="1"/>
                <c:pt idx="0">
                  <c:v>Rail transport</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consumption'!$D$71:$AA$71</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2163-CA4E-837F-C9B587020DCD}"/>
            </c:ext>
          </c:extLst>
        </c:ser>
        <c:ser>
          <c:idx val="5"/>
          <c:order val="5"/>
          <c:tx>
            <c:strRef>
              <c:f>'Power consumption'!$B$72</c:f>
              <c:strCache>
                <c:ptCount val="1"/>
                <c:pt idx="0">
                  <c:v>Large data centres</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consumption'!$D$72:$AA$72</c:f>
              <c:numCache>
                <c:formatCode>#,##0</c:formatCode>
                <c:ptCount val="24"/>
                <c:pt idx="0">
                  <c:v>0</c:v>
                </c:pt>
                <c:pt idx="1">
                  <c:v>51.716666666666676</c:v>
                </c:pt>
                <c:pt idx="2">
                  <c:v>103.43333333333335</c:v>
                </c:pt>
                <c:pt idx="3">
                  <c:v>176.55000000000004</c:v>
                </c:pt>
                <c:pt idx="4">
                  <c:v>249.66666666666671</c:v>
                </c:pt>
                <c:pt idx="5">
                  <c:v>322.78333333333336</c:v>
                </c:pt>
                <c:pt idx="6">
                  <c:v>395.9</c:v>
                </c:pt>
                <c:pt idx="7">
                  <c:v>417.3</c:v>
                </c:pt>
                <c:pt idx="8">
                  <c:v>438.70000000000005</c:v>
                </c:pt>
                <c:pt idx="9">
                  <c:v>438.70000000000005</c:v>
                </c:pt>
                <c:pt idx="10">
                  <c:v>438.70000000000005</c:v>
                </c:pt>
                <c:pt idx="11">
                  <c:v>438.70000000000005</c:v>
                </c:pt>
                <c:pt idx="12">
                  <c:v>438.70000000000005</c:v>
                </c:pt>
                <c:pt idx="13">
                  <c:v>438.70000000000005</c:v>
                </c:pt>
                <c:pt idx="14">
                  <c:v>438.70000000000005</c:v>
                </c:pt>
                <c:pt idx="15">
                  <c:v>438.70000000000005</c:v>
                </c:pt>
                <c:pt idx="16">
                  <c:v>438.70000000000005</c:v>
                </c:pt>
                <c:pt idx="17">
                  <c:v>438.70000000000005</c:v>
                </c:pt>
                <c:pt idx="18">
                  <c:v>438.70000000000005</c:v>
                </c:pt>
                <c:pt idx="19">
                  <c:v>438.70000000000005</c:v>
                </c:pt>
                <c:pt idx="20">
                  <c:v>438.70000000000005</c:v>
                </c:pt>
                <c:pt idx="21">
                  <c:v>438.70000000000005</c:v>
                </c:pt>
                <c:pt idx="22">
                  <c:v>438.70000000000005</c:v>
                </c:pt>
                <c:pt idx="23">
                  <c:v>438.70000000000005</c:v>
                </c:pt>
              </c:numCache>
            </c:numRef>
          </c:val>
          <c:extLst>
            <c:ext xmlns:c16="http://schemas.microsoft.com/office/drawing/2014/chart" uri="{C3380CC4-5D6E-409C-BE32-E72D297353CC}">
              <c16:uniqueId val="{00000005-2163-CA4E-837F-C9B587020DCD}"/>
            </c:ext>
          </c:extLst>
        </c:ser>
        <c:dLbls>
          <c:showLegendKey val="0"/>
          <c:showVal val="0"/>
          <c:showCatName val="0"/>
          <c:showSerName val="0"/>
          <c:showPercent val="0"/>
          <c:showBubbleSize val="0"/>
        </c:dLbls>
        <c:gapWidth val="55"/>
        <c:overlap val="100"/>
        <c:axId val="106573184"/>
        <c:axId val="106587264"/>
      </c:barChart>
      <c:catAx>
        <c:axId val="106573184"/>
        <c:scaling>
          <c:orientation val="minMax"/>
        </c:scaling>
        <c:delete val="0"/>
        <c:axPos val="b"/>
        <c:numFmt formatCode="General" sourceLinked="1"/>
        <c:majorTickMark val="out"/>
        <c:minorTickMark val="none"/>
        <c:tickLblPos val="nextTo"/>
        <c:crossAx val="106587264"/>
        <c:crosses val="autoZero"/>
        <c:auto val="1"/>
        <c:lblAlgn val="ctr"/>
        <c:lblOffset val="100"/>
        <c:noMultiLvlLbl val="0"/>
      </c:catAx>
      <c:valAx>
        <c:axId val="106587264"/>
        <c:scaling>
          <c:orientation val="minMax"/>
          <c:min val="1000"/>
        </c:scaling>
        <c:delete val="0"/>
        <c:axPos val="l"/>
        <c:majorGridlines/>
        <c:title>
          <c:tx>
            <c:rich>
              <a:bodyPr rot="-5400000" vert="horz"/>
              <a:lstStyle/>
              <a:p>
                <a:pPr>
                  <a:defRPr/>
                </a:pPr>
                <a:r>
                  <a:rPr lang="da-DK"/>
                  <a:t>MWh/h</a:t>
                </a:r>
              </a:p>
            </c:rich>
          </c:tx>
          <c:overlay val="0"/>
        </c:title>
        <c:numFmt formatCode="#,##0" sourceLinked="1"/>
        <c:majorTickMark val="out"/>
        <c:minorTickMark val="none"/>
        <c:tickLblPos val="nextTo"/>
        <c:crossAx val="106573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Maximum power in Eastern</a:t>
            </a:r>
            <a:r>
              <a:rPr lang="da-DK" sz="1200" baseline="0"/>
              <a:t> Denmark (DK2)</a:t>
            </a:r>
            <a:endParaRPr lang="da-DK" sz="1200"/>
          </a:p>
        </c:rich>
      </c:tx>
      <c:overlay val="0"/>
    </c:title>
    <c:autoTitleDeleted val="0"/>
    <c:plotArea>
      <c:layout/>
      <c:barChart>
        <c:barDir val="col"/>
        <c:grouping val="stacked"/>
        <c:varyColors val="0"/>
        <c:ser>
          <c:idx val="0"/>
          <c:order val="0"/>
          <c:tx>
            <c:strRef>
              <c:f>'Power consumption'!$B$54</c:f>
              <c:strCache>
                <c:ptCount val="1"/>
                <c:pt idx="0">
                  <c:v>Traditional consumption</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consumption'!$D$54:$AA$54</c:f>
              <c:numCache>
                <c:formatCode>#,##0</c:formatCode>
                <c:ptCount val="24"/>
                <c:pt idx="0">
                  <c:v>2579.834611343872</c:v>
                </c:pt>
                <c:pt idx="1">
                  <c:v>2596.6920567921661</c:v>
                </c:pt>
                <c:pt idx="2">
                  <c:v>2617.0449365544805</c:v>
                </c:pt>
                <c:pt idx="3">
                  <c:v>2617.44032713976</c:v>
                </c:pt>
                <c:pt idx="4">
                  <c:v>2612.2174240433633</c:v>
                </c:pt>
                <c:pt idx="5">
                  <c:v>2616.6811764566423</c:v>
                </c:pt>
                <c:pt idx="6">
                  <c:v>2616.7000298284238</c:v>
                </c:pt>
                <c:pt idx="7">
                  <c:v>2619.9625670792034</c:v>
                </c:pt>
                <c:pt idx="8">
                  <c:v>2622.5991135657587</c:v>
                </c:pt>
                <c:pt idx="9">
                  <c:v>2622.1241436316209</c:v>
                </c:pt>
                <c:pt idx="10">
                  <c:v>2623.3406210011203</c:v>
                </c:pt>
                <c:pt idx="11">
                  <c:v>2621.619323841338</c:v>
                </c:pt>
                <c:pt idx="12">
                  <c:v>2620.5028408889634</c:v>
                </c:pt>
                <c:pt idx="13">
                  <c:v>2624.9187886537065</c:v>
                </c:pt>
                <c:pt idx="14">
                  <c:v>2623.2224531281736</c:v>
                </c:pt>
                <c:pt idx="15">
                  <c:v>2622.3583694072099</c:v>
                </c:pt>
                <c:pt idx="16">
                  <c:v>2617.9072511072486</c:v>
                </c:pt>
                <c:pt idx="17">
                  <c:v>2612.727537633778</c:v>
                </c:pt>
                <c:pt idx="18">
                  <c:v>2615.2234978013607</c:v>
                </c:pt>
                <c:pt idx="19">
                  <c:v>2611.8899021218422</c:v>
                </c:pt>
                <c:pt idx="20">
                  <c:v>2611.0980820022087</c:v>
                </c:pt>
                <c:pt idx="21">
                  <c:v>2609.6620082240515</c:v>
                </c:pt>
                <c:pt idx="22">
                  <c:v>2608.4834623627057</c:v>
                </c:pt>
                <c:pt idx="23">
                  <c:v>2614.481034658294</c:v>
                </c:pt>
              </c:numCache>
            </c:numRef>
          </c:val>
          <c:extLst>
            <c:ext xmlns:c16="http://schemas.microsoft.com/office/drawing/2014/chart" uri="{C3380CC4-5D6E-409C-BE32-E72D297353CC}">
              <c16:uniqueId val="{00000000-72E7-C74D-A733-9CE2D86CBFB2}"/>
            </c:ext>
          </c:extLst>
        </c:ser>
        <c:ser>
          <c:idx val="1"/>
          <c:order val="1"/>
          <c:tx>
            <c:strRef>
              <c:f>'Power consumption'!$B$55</c:f>
              <c:strCache>
                <c:ptCount val="1"/>
                <c:pt idx="0">
                  <c:v>Household heat pumps</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consumption'!$D$55:$AA$55</c:f>
              <c:numCache>
                <c:formatCode>#,##0</c:formatCode>
                <c:ptCount val="24"/>
                <c:pt idx="0">
                  <c:v>43.137711060241955</c:v>
                </c:pt>
                <c:pt idx="1">
                  <c:v>45.84743238813612</c:v>
                </c:pt>
                <c:pt idx="2">
                  <c:v>48.729429212801108</c:v>
                </c:pt>
                <c:pt idx="3">
                  <c:v>51.803725809555957</c:v>
                </c:pt>
                <c:pt idx="4">
                  <c:v>56.652209138261448</c:v>
                </c:pt>
                <c:pt idx="5">
                  <c:v>61.917133966068874</c:v>
                </c:pt>
                <c:pt idx="6">
                  <c:v>67.668172272898303</c:v>
                </c:pt>
                <c:pt idx="7">
                  <c:v>73.733641311245819</c:v>
                </c:pt>
                <c:pt idx="8">
                  <c:v>80.062274674796626</c:v>
                </c:pt>
                <c:pt idx="9">
                  <c:v>86.621416539949337</c:v>
                </c:pt>
                <c:pt idx="10">
                  <c:v>93.370085321632786</c:v>
                </c:pt>
                <c:pt idx="11">
                  <c:v>100.33961372829651</c:v>
                </c:pt>
                <c:pt idx="12">
                  <c:v>107.47480978185891</c:v>
                </c:pt>
                <c:pt idx="13">
                  <c:v>114.54683425629172</c:v>
                </c:pt>
                <c:pt idx="14">
                  <c:v>121.89787155766692</c:v>
                </c:pt>
                <c:pt idx="15">
                  <c:v>129.8495649342434</c:v>
                </c:pt>
                <c:pt idx="16">
                  <c:v>137.90425735130037</c:v>
                </c:pt>
                <c:pt idx="17">
                  <c:v>143.0913798041839</c:v>
                </c:pt>
                <c:pt idx="18">
                  <c:v>148.05993235088295</c:v>
                </c:pt>
                <c:pt idx="19">
                  <c:v>153.03647086231868</c:v>
                </c:pt>
                <c:pt idx="20">
                  <c:v>157.93670879714517</c:v>
                </c:pt>
                <c:pt idx="21">
                  <c:v>162.75374964139638</c:v>
                </c:pt>
                <c:pt idx="22">
                  <c:v>167.48041950806578</c:v>
                </c:pt>
                <c:pt idx="23">
                  <c:v>172.10925793979865</c:v>
                </c:pt>
              </c:numCache>
            </c:numRef>
          </c:val>
          <c:extLst>
            <c:ext xmlns:c16="http://schemas.microsoft.com/office/drawing/2014/chart" uri="{C3380CC4-5D6E-409C-BE32-E72D297353CC}">
              <c16:uniqueId val="{00000001-72E7-C74D-A733-9CE2D86CBFB2}"/>
            </c:ext>
          </c:extLst>
        </c:ser>
        <c:ser>
          <c:idx val="2"/>
          <c:order val="2"/>
          <c:tx>
            <c:strRef>
              <c:f>'Power consumption'!$B$56</c:f>
              <c:strCache>
                <c:ptCount val="1"/>
                <c:pt idx="0">
                  <c:v>Large heat pumps and electric boilers</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consumption'!$D$56:$AA$56</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72E7-C74D-A733-9CE2D86CBFB2}"/>
            </c:ext>
          </c:extLst>
        </c:ser>
        <c:ser>
          <c:idx val="3"/>
          <c:order val="3"/>
          <c:tx>
            <c:strRef>
              <c:f>'Power consumption'!$B$57</c:f>
              <c:strCache>
                <c:ptCount val="1"/>
                <c:pt idx="0">
                  <c:v>Road and sea transport</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consumption'!$D$57:$AA$57</c:f>
              <c:numCache>
                <c:formatCode>#,##0</c:formatCode>
                <c:ptCount val="24"/>
                <c:pt idx="0">
                  <c:v>6.8993888495311477</c:v>
                </c:pt>
                <c:pt idx="1">
                  <c:v>7.0814367890446812</c:v>
                </c:pt>
                <c:pt idx="2">
                  <c:v>7.569569824818343</c:v>
                </c:pt>
                <c:pt idx="3">
                  <c:v>8.4479061999385117</c:v>
                </c:pt>
                <c:pt idx="4">
                  <c:v>10.838938420623141</c:v>
                </c:pt>
                <c:pt idx="5">
                  <c:v>14.508298633820687</c:v>
                </c:pt>
                <c:pt idx="6">
                  <c:v>18.989229371205788</c:v>
                </c:pt>
                <c:pt idx="7">
                  <c:v>23.949595375810986</c:v>
                </c:pt>
                <c:pt idx="8">
                  <c:v>29.346678729769369</c:v>
                </c:pt>
                <c:pt idx="9">
                  <c:v>35.855820440040553</c:v>
                </c:pt>
                <c:pt idx="10">
                  <c:v>43.177338404813675</c:v>
                </c:pt>
                <c:pt idx="11">
                  <c:v>51.442727256745862</c:v>
                </c:pt>
                <c:pt idx="12">
                  <c:v>60.847221331974673</c:v>
                </c:pt>
                <c:pt idx="13">
                  <c:v>71.259911583254421</c:v>
                </c:pt>
                <c:pt idx="14">
                  <c:v>82.80612799898789</c:v>
                </c:pt>
                <c:pt idx="15">
                  <c:v>95.315372419711096</c:v>
                </c:pt>
                <c:pt idx="16">
                  <c:v>109.90870208667549</c:v>
                </c:pt>
                <c:pt idx="17">
                  <c:v>125.25158590173214</c:v>
                </c:pt>
                <c:pt idx="18">
                  <c:v>140.67359511327382</c:v>
                </c:pt>
                <c:pt idx="19">
                  <c:v>156.01195622701377</c:v>
                </c:pt>
                <c:pt idx="20">
                  <c:v>170.19729586229678</c:v>
                </c:pt>
                <c:pt idx="21">
                  <c:v>182.99915633445687</c:v>
                </c:pt>
                <c:pt idx="22">
                  <c:v>194.90937433776239</c:v>
                </c:pt>
                <c:pt idx="23">
                  <c:v>205.91975636969428</c:v>
                </c:pt>
              </c:numCache>
            </c:numRef>
          </c:val>
          <c:extLst>
            <c:ext xmlns:c16="http://schemas.microsoft.com/office/drawing/2014/chart" uri="{C3380CC4-5D6E-409C-BE32-E72D297353CC}">
              <c16:uniqueId val="{00000003-72E7-C74D-A733-9CE2D86CBFB2}"/>
            </c:ext>
          </c:extLst>
        </c:ser>
        <c:ser>
          <c:idx val="4"/>
          <c:order val="4"/>
          <c:tx>
            <c:strRef>
              <c:f>'Power consumption'!$B$58</c:f>
              <c:strCache>
                <c:ptCount val="1"/>
                <c:pt idx="0">
                  <c:v>Rail transport</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consumption'!$D$58:$AA$58</c:f>
              <c:numCache>
                <c:formatCode>#,##0</c:formatCode>
                <c:ptCount val="24"/>
                <c:pt idx="0">
                  <c:v>63.494000000000007</c:v>
                </c:pt>
                <c:pt idx="1">
                  <c:v>74.159639440000007</c:v>
                </c:pt>
                <c:pt idx="2">
                  <c:v>84.825278880000013</c:v>
                </c:pt>
                <c:pt idx="3">
                  <c:v>106.05907592000001</c:v>
                </c:pt>
                <c:pt idx="4">
                  <c:v>165.88354036000001</c:v>
                </c:pt>
                <c:pt idx="5">
                  <c:v>225.70800480000003</c:v>
                </c:pt>
                <c:pt idx="6">
                  <c:v>274.8668298</c:v>
                </c:pt>
                <c:pt idx="7">
                  <c:v>344.80090007999991</c:v>
                </c:pt>
                <c:pt idx="8">
                  <c:v>404.16681276000008</c:v>
                </c:pt>
                <c:pt idx="9">
                  <c:v>434.79581804000003</c:v>
                </c:pt>
                <c:pt idx="10">
                  <c:v>465.42482331999997</c:v>
                </c:pt>
                <c:pt idx="11">
                  <c:v>496.05382860000003</c:v>
                </c:pt>
                <c:pt idx="12">
                  <c:v>505.90758860000005</c:v>
                </c:pt>
                <c:pt idx="13">
                  <c:v>515.76134860000002</c:v>
                </c:pt>
                <c:pt idx="14">
                  <c:v>515.76134860000002</c:v>
                </c:pt>
                <c:pt idx="15">
                  <c:v>515.76134860000002</c:v>
                </c:pt>
                <c:pt idx="16">
                  <c:v>515.76134860000002</c:v>
                </c:pt>
                <c:pt idx="17">
                  <c:v>515.76134860000002</c:v>
                </c:pt>
                <c:pt idx="18">
                  <c:v>515.76134860000002</c:v>
                </c:pt>
                <c:pt idx="19">
                  <c:v>515.76134860000002</c:v>
                </c:pt>
                <c:pt idx="20">
                  <c:v>515.76134860000002</c:v>
                </c:pt>
                <c:pt idx="21">
                  <c:v>515.76134860000002</c:v>
                </c:pt>
                <c:pt idx="22">
                  <c:v>515.76134860000002</c:v>
                </c:pt>
                <c:pt idx="23">
                  <c:v>515.76134860000002</c:v>
                </c:pt>
              </c:numCache>
            </c:numRef>
          </c:val>
          <c:extLst>
            <c:ext xmlns:c16="http://schemas.microsoft.com/office/drawing/2014/chart" uri="{C3380CC4-5D6E-409C-BE32-E72D297353CC}">
              <c16:uniqueId val="{00000004-72E7-C74D-A733-9CE2D86CBFB2}"/>
            </c:ext>
          </c:extLst>
        </c:ser>
        <c:ser>
          <c:idx val="5"/>
          <c:order val="5"/>
          <c:tx>
            <c:strRef>
              <c:f>'Power consumption'!$B$59</c:f>
              <c:strCache>
                <c:ptCount val="1"/>
                <c:pt idx="0">
                  <c:v>Large data centres</c:v>
                </c:pt>
              </c:strCache>
            </c:strRef>
          </c:tx>
          <c:invertIfNegative val="0"/>
          <c:cat>
            <c:numRef>
              <c:f>'Power consumption'!$D$43:$AA$43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consumption'!$D$59:$AA$59</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72E7-C74D-A733-9CE2D86CBFB2}"/>
            </c:ext>
          </c:extLst>
        </c:ser>
        <c:dLbls>
          <c:showLegendKey val="0"/>
          <c:showVal val="0"/>
          <c:showCatName val="0"/>
          <c:showSerName val="0"/>
          <c:showPercent val="0"/>
          <c:showBubbleSize val="0"/>
        </c:dLbls>
        <c:gapWidth val="55"/>
        <c:overlap val="100"/>
        <c:axId val="116078080"/>
        <c:axId val="116079616"/>
      </c:barChart>
      <c:catAx>
        <c:axId val="116078080"/>
        <c:scaling>
          <c:orientation val="minMax"/>
        </c:scaling>
        <c:delete val="0"/>
        <c:axPos val="b"/>
        <c:numFmt formatCode="General" sourceLinked="1"/>
        <c:majorTickMark val="out"/>
        <c:minorTickMark val="none"/>
        <c:tickLblPos val="nextTo"/>
        <c:crossAx val="116079616"/>
        <c:crosses val="autoZero"/>
        <c:auto val="1"/>
        <c:lblAlgn val="ctr"/>
        <c:lblOffset val="100"/>
        <c:noMultiLvlLbl val="0"/>
      </c:catAx>
      <c:valAx>
        <c:axId val="116079616"/>
        <c:scaling>
          <c:orientation val="minMax"/>
          <c:max val="4000"/>
          <c:min val="2000"/>
        </c:scaling>
        <c:delete val="0"/>
        <c:axPos val="l"/>
        <c:majorGridlines/>
        <c:title>
          <c:tx>
            <c:rich>
              <a:bodyPr rot="-5400000" vert="horz"/>
              <a:lstStyle/>
              <a:p>
                <a:pPr>
                  <a:defRPr/>
                </a:pPr>
                <a:r>
                  <a:rPr lang="da-DK"/>
                  <a:t>MWh/h</a:t>
                </a:r>
              </a:p>
            </c:rich>
          </c:tx>
          <c:overlay val="0"/>
        </c:title>
        <c:numFmt formatCode="#,##0" sourceLinked="1"/>
        <c:majorTickMark val="out"/>
        <c:minorTickMark val="none"/>
        <c:tickLblPos val="nextTo"/>
        <c:crossAx val="116078080"/>
        <c:crosses val="autoZero"/>
        <c:crossBetween val="between"/>
        <c:majorUnit val="500"/>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Biomass prices to local plant</a:t>
            </a:r>
          </a:p>
        </c:rich>
      </c:tx>
      <c:overlay val="0"/>
    </c:title>
    <c:autoTitleDeleted val="0"/>
    <c:plotArea>
      <c:layout/>
      <c:lineChart>
        <c:grouping val="standard"/>
        <c:varyColors val="0"/>
        <c:ser>
          <c:idx val="0"/>
          <c:order val="0"/>
          <c:tx>
            <c:strRef>
              <c:f>'Fuel and CO2 emission prices'!$B$43</c:f>
              <c:strCache>
                <c:ptCount val="1"/>
                <c:pt idx="0">
                  <c:v>Straw</c:v>
                </c:pt>
              </c:strCache>
            </c:strRef>
          </c:tx>
          <c:marker>
            <c:symbol val="none"/>
          </c:marker>
          <c:cat>
            <c:numRef>
              <c:f>'Fuel and CO2 emission prices'!$E$36:$AB$36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prices'!$E$43:$AB$43</c:f>
              <c:numCache>
                <c:formatCode>###0.0</c:formatCode>
                <c:ptCount val="24"/>
                <c:pt idx="0">
                  <c:v>40.53688402793945</c:v>
                </c:pt>
                <c:pt idx="1">
                  <c:v>40.594758553383791</c:v>
                </c:pt>
                <c:pt idx="2">
                  <c:v>40.637776522048824</c:v>
                </c:pt>
                <c:pt idx="3">
                  <c:v>40.835029832506557</c:v>
                </c:pt>
                <c:pt idx="4">
                  <c:v>41.204580910626824</c:v>
                </c:pt>
                <c:pt idx="5">
                  <c:v>41.620262002017363</c:v>
                </c:pt>
                <c:pt idx="6">
                  <c:v>42.063914512180403</c:v>
                </c:pt>
                <c:pt idx="7">
                  <c:v>42.53288998561915</c:v>
                </c:pt>
                <c:pt idx="8">
                  <c:v>43.030853695968666</c:v>
                </c:pt>
                <c:pt idx="9">
                  <c:v>43.503562774425049</c:v>
                </c:pt>
                <c:pt idx="10">
                  <c:v>43.998025127021307</c:v>
                </c:pt>
                <c:pt idx="11">
                  <c:v>44.512499271918408</c:v>
                </c:pt>
                <c:pt idx="12">
                  <c:v>44.911996744328526</c:v>
                </c:pt>
                <c:pt idx="13">
                  <c:v>45.258503547630681</c:v>
                </c:pt>
                <c:pt idx="14">
                  <c:v>45.41291645324992</c:v>
                </c:pt>
                <c:pt idx="15">
                  <c:v>45.565306402499779</c:v>
                </c:pt>
                <c:pt idx="16">
                  <c:v>45.715738358262747</c:v>
                </c:pt>
                <c:pt idx="17">
                  <c:v>45.864275564461643</c:v>
                </c:pt>
                <c:pt idx="18">
                  <c:v>46.010979586149105</c:v>
                </c:pt>
                <c:pt idx="19">
                  <c:v>46.150087168781575</c:v>
                </c:pt>
                <c:pt idx="20">
                  <c:v>46.287472593652801</c:v>
                </c:pt>
                <c:pt idx="21">
                  <c:v>46.423191368938703</c:v>
                </c:pt>
                <c:pt idx="22">
                  <c:v>46.557297556451353</c:v>
                </c:pt>
                <c:pt idx="23">
                  <c:v>46.689843804035313</c:v>
                </c:pt>
              </c:numCache>
            </c:numRef>
          </c:val>
          <c:smooth val="0"/>
          <c:extLst>
            <c:ext xmlns:c16="http://schemas.microsoft.com/office/drawing/2014/chart" uri="{C3380CC4-5D6E-409C-BE32-E72D297353CC}">
              <c16:uniqueId val="{00000000-2D78-FD45-BF97-4F194F86AF3F}"/>
            </c:ext>
          </c:extLst>
        </c:ser>
        <c:ser>
          <c:idx val="2"/>
          <c:order val="1"/>
          <c:tx>
            <c:strRef>
              <c:f>'Fuel and CO2 emission prices'!$B$45</c:f>
              <c:strCache>
                <c:ptCount val="1"/>
                <c:pt idx="0">
                  <c:v>Wood pellets</c:v>
                </c:pt>
              </c:strCache>
            </c:strRef>
          </c:tx>
          <c:marker>
            <c:symbol val="none"/>
          </c:marker>
          <c:cat>
            <c:numRef>
              <c:f>'Fuel and CO2 emission prices'!$E$36:$AB$36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prices'!$E$45:$AB$45</c:f>
              <c:numCache>
                <c:formatCode>###0.0</c:formatCode>
                <c:ptCount val="24"/>
                <c:pt idx="0">
                  <c:v>69.240137863397123</c:v>
                </c:pt>
                <c:pt idx="1">
                  <c:v>69.158155986136265</c:v>
                </c:pt>
                <c:pt idx="2">
                  <c:v>69.042991932860161</c:v>
                </c:pt>
                <c:pt idx="3">
                  <c:v>69.239976268477804</c:v>
                </c:pt>
                <c:pt idx="4">
                  <c:v>69.666660395521902</c:v>
                </c:pt>
                <c:pt idx="5">
                  <c:v>70.181990197202424</c:v>
                </c:pt>
                <c:pt idx="6">
                  <c:v>70.747464708298224</c:v>
                </c:pt>
                <c:pt idx="7">
                  <c:v>71.356602031297157</c:v>
                </c:pt>
                <c:pt idx="8">
                  <c:v>72.015488795967926</c:v>
                </c:pt>
                <c:pt idx="9">
                  <c:v>72.703793477706142</c:v>
                </c:pt>
                <c:pt idx="10">
                  <c:v>73.434168026370841</c:v>
                </c:pt>
                <c:pt idx="11">
                  <c:v>74.203258101668965</c:v>
                </c:pt>
                <c:pt idx="12">
                  <c:v>75.008111971314818</c:v>
                </c:pt>
                <c:pt idx="13">
                  <c:v>75.846287405368955</c:v>
                </c:pt>
                <c:pt idx="14">
                  <c:v>76.067535009649561</c:v>
                </c:pt>
                <c:pt idx="15">
                  <c:v>76.278862012054162</c:v>
                </c:pt>
                <c:pt idx="16">
                  <c:v>76.480446699733179</c:v>
                </c:pt>
                <c:pt idx="17">
                  <c:v>76.672466795608486</c:v>
                </c:pt>
                <c:pt idx="18">
                  <c:v>76.855099319702077</c:v>
                </c:pt>
                <c:pt idx="19">
                  <c:v>77.02570952259417</c:v>
                </c:pt>
                <c:pt idx="20">
                  <c:v>77.187404352110804</c:v>
                </c:pt>
                <c:pt idx="21">
                  <c:v>77.340368246615697</c:v>
                </c:pt>
                <c:pt idx="22">
                  <c:v>77.484783794319824</c:v>
                </c:pt>
                <c:pt idx="23">
                  <c:v>77.620831664554572</c:v>
                </c:pt>
              </c:numCache>
            </c:numRef>
          </c:val>
          <c:smooth val="0"/>
          <c:extLst>
            <c:ext xmlns:c16="http://schemas.microsoft.com/office/drawing/2014/chart" uri="{C3380CC4-5D6E-409C-BE32-E72D297353CC}">
              <c16:uniqueId val="{00000001-2D78-FD45-BF97-4F194F86AF3F}"/>
            </c:ext>
          </c:extLst>
        </c:ser>
        <c:ser>
          <c:idx val="1"/>
          <c:order val="2"/>
          <c:tx>
            <c:strRef>
              <c:f>'Fuel and CO2 emission prices'!$B$44</c:f>
              <c:strCache>
                <c:ptCount val="1"/>
                <c:pt idx="0">
                  <c:v>Wood chips</c:v>
                </c:pt>
              </c:strCache>
            </c:strRef>
          </c:tx>
          <c:marker>
            <c:symbol val="none"/>
          </c:marker>
          <c:cat>
            <c:numRef>
              <c:f>'Fuel and CO2 emission prices'!$E$36:$AB$36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prices'!$E$44:$AB$44</c:f>
              <c:numCache>
                <c:formatCode>###0.0</c:formatCode>
                <c:ptCount val="24"/>
                <c:pt idx="0">
                  <c:v>48.644415817336991</c:v>
                </c:pt>
                <c:pt idx="1">
                  <c:v>48.794213213943621</c:v>
                </c:pt>
                <c:pt idx="2">
                  <c:v>48.936557490464551</c:v>
                </c:pt>
                <c:pt idx="3">
                  <c:v>49.156838077765478</c:v>
                </c:pt>
                <c:pt idx="4">
                  <c:v>49.479288189733396</c:v>
                </c:pt>
                <c:pt idx="5">
                  <c:v>49.823465244345137</c:v>
                </c:pt>
                <c:pt idx="6">
                  <c:v>50.179812284129561</c:v>
                </c:pt>
                <c:pt idx="7">
                  <c:v>50.54668889899331</c:v>
                </c:pt>
                <c:pt idx="8">
                  <c:v>50.925547008361285</c:v>
                </c:pt>
                <c:pt idx="9">
                  <c:v>51.297769346896793</c:v>
                </c:pt>
                <c:pt idx="10">
                  <c:v>51.679393045830466</c:v>
                </c:pt>
                <c:pt idx="11">
                  <c:v>52.069499978593313</c:v>
                </c:pt>
                <c:pt idx="12">
                  <c:v>52.467285916271642</c:v>
                </c:pt>
                <c:pt idx="13">
                  <c:v>52.872083583680705</c:v>
                </c:pt>
                <c:pt idx="14">
                  <c:v>53.05247249211439</c:v>
                </c:pt>
                <c:pt idx="15">
                  <c:v>53.230498133761422</c:v>
                </c:pt>
                <c:pt idx="16">
                  <c:v>53.406236399839663</c:v>
                </c:pt>
                <c:pt idx="17">
                  <c:v>53.579761173436502</c:v>
                </c:pt>
                <c:pt idx="18">
                  <c:v>53.75114437634241</c:v>
                </c:pt>
                <c:pt idx="19">
                  <c:v>53.913653234557913</c:v>
                </c:pt>
                <c:pt idx="20">
                  <c:v>54.074150226229911</c:v>
                </c:pt>
                <c:pt idx="21">
                  <c:v>54.232700197358298</c:v>
                </c:pt>
                <c:pt idx="22">
                  <c:v>54.3893663042656</c:v>
                </c:pt>
                <c:pt idx="23">
                  <c:v>54.544210051443123</c:v>
                </c:pt>
              </c:numCache>
            </c:numRef>
          </c:val>
          <c:smooth val="0"/>
          <c:extLst>
            <c:ext xmlns:c16="http://schemas.microsoft.com/office/drawing/2014/chart" uri="{C3380CC4-5D6E-409C-BE32-E72D297353CC}">
              <c16:uniqueId val="{00000002-2D78-FD45-BF97-4F194F86AF3F}"/>
            </c:ext>
          </c:extLst>
        </c:ser>
        <c:ser>
          <c:idx val="3"/>
          <c:order val="3"/>
          <c:tx>
            <c:strRef>
              <c:f>'Fuel and CO2 emission prices'!$D$83</c:f>
              <c:strCache>
                <c:ptCount val="1"/>
                <c:pt idx="0">
                  <c:v>Straw - AF2016</c:v>
                </c:pt>
              </c:strCache>
            </c:strRef>
          </c:tx>
          <c:spPr>
            <a:ln>
              <a:solidFill>
                <a:schemeClr val="accent1"/>
              </a:solidFill>
              <a:prstDash val="dash"/>
            </a:ln>
          </c:spPr>
          <c:marker>
            <c:symbol val="none"/>
          </c:marker>
          <c:val>
            <c:numRef>
              <c:f>'Fuel and CO2 emission prices'!$E$83:$AB$83</c:f>
              <c:numCache>
                <c:formatCode>###0.0</c:formatCode>
                <c:ptCount val="24"/>
                <c:pt idx="0">
                  <c:v>41.085788502639531</c:v>
                </c:pt>
                <c:pt idx="1">
                  <c:v>41.381615160488209</c:v>
                </c:pt>
                <c:pt idx="2">
                  <c:v>41.677441818336888</c:v>
                </c:pt>
                <c:pt idx="3">
                  <c:v>41.973268476185559</c:v>
                </c:pt>
                <c:pt idx="4">
                  <c:v>42.520826228710071</c:v>
                </c:pt>
                <c:pt idx="5">
                  <c:v>43.068383981234575</c:v>
                </c:pt>
                <c:pt idx="6">
                  <c:v>43.615941733759072</c:v>
                </c:pt>
                <c:pt idx="7">
                  <c:v>44.163499486283577</c:v>
                </c:pt>
                <c:pt idx="8">
                  <c:v>44.679108317156796</c:v>
                </c:pt>
                <c:pt idx="9">
                  <c:v>45.005075730463432</c:v>
                </c:pt>
                <c:pt idx="10">
                  <c:v>45.331043143770081</c:v>
                </c:pt>
                <c:pt idx="11">
                  <c:v>45.657010557076731</c:v>
                </c:pt>
                <c:pt idx="12">
                  <c:v>45.982977970383374</c:v>
                </c:pt>
                <c:pt idx="13">
                  <c:v>46.598805997172029</c:v>
                </c:pt>
                <c:pt idx="14">
                  <c:v>46.989235001185087</c:v>
                </c:pt>
                <c:pt idx="15">
                  <c:v>47.379664005198151</c:v>
                </c:pt>
                <c:pt idx="16">
                  <c:v>47.770093009211216</c:v>
                </c:pt>
                <c:pt idx="17">
                  <c:v>48.160522013224274</c:v>
                </c:pt>
                <c:pt idx="18">
                  <c:v>48.550951017237331</c:v>
                </c:pt>
                <c:pt idx="19">
                  <c:v>48.916173804966746</c:v>
                </c:pt>
                <c:pt idx="20">
                  <c:v>49.281396592696161</c:v>
                </c:pt>
                <c:pt idx="21">
                  <c:v>49.64661938042557</c:v>
                </c:pt>
                <c:pt idx="22">
                  <c:v>50.011842168154971</c:v>
                </c:pt>
                <c:pt idx="23">
                  <c:v>50.377064955884379</c:v>
                </c:pt>
              </c:numCache>
            </c:numRef>
          </c:val>
          <c:smooth val="0"/>
          <c:extLst>
            <c:ext xmlns:c16="http://schemas.microsoft.com/office/drawing/2014/chart" uri="{C3380CC4-5D6E-409C-BE32-E72D297353CC}">
              <c16:uniqueId val="{00000003-2D78-FD45-BF97-4F194F86AF3F}"/>
            </c:ext>
          </c:extLst>
        </c:ser>
        <c:ser>
          <c:idx val="4"/>
          <c:order val="4"/>
          <c:tx>
            <c:strRef>
              <c:f>'Fuel and CO2 emission prices'!$D$85</c:f>
              <c:strCache>
                <c:ptCount val="1"/>
                <c:pt idx="0">
                  <c:v>Wood pellets - AF2016</c:v>
                </c:pt>
              </c:strCache>
            </c:strRef>
          </c:tx>
          <c:spPr>
            <a:ln>
              <a:solidFill>
                <a:schemeClr val="accent3"/>
              </a:solidFill>
              <a:prstDash val="dash"/>
            </a:ln>
          </c:spPr>
          <c:marker>
            <c:symbol val="none"/>
          </c:marker>
          <c:val>
            <c:numRef>
              <c:f>'Fuel and CO2 emission prices'!$E$85:$AB$85</c:f>
              <c:numCache>
                <c:formatCode>###0.0</c:formatCode>
                <c:ptCount val="24"/>
                <c:pt idx="0">
                  <c:v>71.039259633773085</c:v>
                </c:pt>
                <c:pt idx="1">
                  <c:v>71.163492013904701</c:v>
                </c:pt>
                <c:pt idx="2">
                  <c:v>71.287724394036317</c:v>
                </c:pt>
                <c:pt idx="3">
                  <c:v>71.411956774167933</c:v>
                </c:pt>
                <c:pt idx="4">
                  <c:v>71.970460455668515</c:v>
                </c:pt>
                <c:pt idx="5">
                  <c:v>72.528964137169083</c:v>
                </c:pt>
                <c:pt idx="6">
                  <c:v>73.087467818669651</c:v>
                </c:pt>
                <c:pt idx="7">
                  <c:v>73.645971500170219</c:v>
                </c:pt>
                <c:pt idx="8">
                  <c:v>74.204475181670816</c:v>
                </c:pt>
                <c:pt idx="9">
                  <c:v>74.982169196799774</c:v>
                </c:pt>
                <c:pt idx="10">
                  <c:v>75.759863211928717</c:v>
                </c:pt>
                <c:pt idx="11">
                  <c:v>76.537557227057661</c:v>
                </c:pt>
                <c:pt idx="12">
                  <c:v>77.315251242186619</c:v>
                </c:pt>
                <c:pt idx="13">
                  <c:v>78.092945257315549</c:v>
                </c:pt>
                <c:pt idx="14">
                  <c:v>78.458541275136909</c:v>
                </c:pt>
                <c:pt idx="15">
                  <c:v>78.824137292958284</c:v>
                </c:pt>
                <c:pt idx="16">
                  <c:v>79.189733310779658</c:v>
                </c:pt>
                <c:pt idx="17">
                  <c:v>79.555329328601019</c:v>
                </c:pt>
                <c:pt idx="18">
                  <c:v>79.920925346422408</c:v>
                </c:pt>
                <c:pt idx="19">
                  <c:v>80.243021668090492</c:v>
                </c:pt>
                <c:pt idx="20">
                  <c:v>80.565117989758562</c:v>
                </c:pt>
                <c:pt idx="21">
                  <c:v>80.887214311426632</c:v>
                </c:pt>
                <c:pt idx="22">
                  <c:v>81.209310633094702</c:v>
                </c:pt>
                <c:pt idx="23">
                  <c:v>81.531406954762744</c:v>
                </c:pt>
              </c:numCache>
            </c:numRef>
          </c:val>
          <c:smooth val="0"/>
          <c:extLst>
            <c:ext xmlns:c16="http://schemas.microsoft.com/office/drawing/2014/chart" uri="{C3380CC4-5D6E-409C-BE32-E72D297353CC}">
              <c16:uniqueId val="{00000004-2D78-FD45-BF97-4F194F86AF3F}"/>
            </c:ext>
          </c:extLst>
        </c:ser>
        <c:dLbls>
          <c:showLegendKey val="0"/>
          <c:showVal val="0"/>
          <c:showCatName val="0"/>
          <c:showSerName val="0"/>
          <c:showPercent val="0"/>
          <c:showBubbleSize val="0"/>
        </c:dLbls>
        <c:smooth val="0"/>
        <c:axId val="104026880"/>
        <c:axId val="104028416"/>
      </c:lineChart>
      <c:catAx>
        <c:axId val="104026880"/>
        <c:scaling>
          <c:orientation val="minMax"/>
        </c:scaling>
        <c:delete val="0"/>
        <c:axPos val="b"/>
        <c:numFmt formatCode="General" sourceLinked="1"/>
        <c:majorTickMark val="out"/>
        <c:minorTickMark val="none"/>
        <c:tickLblPos val="nextTo"/>
        <c:crossAx val="104028416"/>
        <c:crosses val="autoZero"/>
        <c:auto val="1"/>
        <c:lblAlgn val="ctr"/>
        <c:lblOffset val="100"/>
        <c:noMultiLvlLbl val="0"/>
      </c:catAx>
      <c:valAx>
        <c:axId val="104028416"/>
        <c:scaling>
          <c:orientation val="minMax"/>
        </c:scaling>
        <c:delete val="0"/>
        <c:axPos val="l"/>
        <c:majorGridlines/>
        <c:title>
          <c:tx>
            <c:strRef>
              <c:f>'Fuel and CO2 emission prices'!$E$92</c:f>
              <c:strCache>
                <c:ptCount val="1"/>
                <c:pt idx="0">
                  <c:v>DKK/GJ (2017 prices)</c:v>
                </c:pt>
              </c:strCache>
            </c:strRef>
          </c:tx>
          <c:overlay val="0"/>
          <c:txPr>
            <a:bodyPr rot="-5400000" vert="horz"/>
            <a:lstStyle/>
            <a:p>
              <a:pPr>
                <a:defRPr/>
              </a:pPr>
              <a:endParaRPr lang="en-US"/>
            </a:p>
          </c:txPr>
        </c:title>
        <c:numFmt formatCode="#,##0" sourceLinked="0"/>
        <c:majorTickMark val="out"/>
        <c:minorTickMark val="none"/>
        <c:tickLblPos val="nextTo"/>
        <c:crossAx val="10402688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Minimum power in Eastern Denmark </a:t>
            </a:r>
            <a:r>
              <a:rPr lang="da-DK" sz="1200" baseline="0"/>
              <a:t>(DK2)</a:t>
            </a:r>
            <a:endParaRPr lang="da-DK" sz="1200"/>
          </a:p>
        </c:rich>
      </c:tx>
      <c:overlay val="0"/>
    </c:title>
    <c:autoTitleDeleted val="0"/>
    <c:plotArea>
      <c:layout/>
      <c:barChart>
        <c:barDir val="col"/>
        <c:grouping val="stacked"/>
        <c:varyColors val="0"/>
        <c:ser>
          <c:idx val="0"/>
          <c:order val="0"/>
          <c:tx>
            <c:strRef>
              <c:f>'Power consumption'!$B$76</c:f>
              <c:strCache>
                <c:ptCount val="1"/>
                <c:pt idx="0">
                  <c:v>Traditional consumption</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consumption'!$D$76:$AA$76</c:f>
              <c:numCache>
                <c:formatCode>#,##0</c:formatCode>
                <c:ptCount val="24"/>
                <c:pt idx="0">
                  <c:v>832.42002684528018</c:v>
                </c:pt>
                <c:pt idx="1">
                  <c:v>837.8593193995041</c:v>
                </c:pt>
                <c:pt idx="2">
                  <c:v>844.4264631395049</c:v>
                </c:pt>
                <c:pt idx="3">
                  <c:v>844.55404148897173</c:v>
                </c:pt>
                <c:pt idx="4">
                  <c:v>842.86879813399253</c:v>
                </c:pt>
                <c:pt idx="5">
                  <c:v>844.30909081297045</c:v>
                </c:pt>
                <c:pt idx="6">
                  <c:v>844.31517411930929</c:v>
                </c:pt>
                <c:pt idx="7">
                  <c:v>845.36787778253472</c:v>
                </c:pt>
                <c:pt idx="8">
                  <c:v>846.21859669585842</c:v>
                </c:pt>
                <c:pt idx="9">
                  <c:v>846.06534094698713</c:v>
                </c:pt>
                <c:pt idx="10">
                  <c:v>846.45785452910695</c:v>
                </c:pt>
                <c:pt idx="11">
                  <c:v>845.90245372098752</c:v>
                </c:pt>
                <c:pt idx="12">
                  <c:v>845.54220474801025</c:v>
                </c:pt>
                <c:pt idx="13">
                  <c:v>846.96707258283629</c:v>
                </c:pt>
                <c:pt idx="14">
                  <c:v>846.41972599810026</c:v>
                </c:pt>
                <c:pt idx="15">
                  <c:v>846.14091719731971</c:v>
                </c:pt>
                <c:pt idx="16">
                  <c:v>844.70470109321241</c:v>
                </c:pt>
                <c:pt idx="17">
                  <c:v>843.03339347927556</c:v>
                </c:pt>
                <c:pt idx="18">
                  <c:v>843.83875023376208</c:v>
                </c:pt>
                <c:pt idx="19">
                  <c:v>842.76311856619918</c:v>
                </c:pt>
                <c:pt idx="20">
                  <c:v>842.50762663569185</c:v>
                </c:pt>
                <c:pt idx="21">
                  <c:v>842.04425717483207</c:v>
                </c:pt>
                <c:pt idx="22">
                  <c:v>841.66398272885567</c:v>
                </c:pt>
                <c:pt idx="23">
                  <c:v>843.59918402794176</c:v>
                </c:pt>
              </c:numCache>
            </c:numRef>
          </c:val>
          <c:extLst>
            <c:ext xmlns:c16="http://schemas.microsoft.com/office/drawing/2014/chart" uri="{C3380CC4-5D6E-409C-BE32-E72D297353CC}">
              <c16:uniqueId val="{00000000-2399-234A-ADA9-F42232D61A98}"/>
            </c:ext>
          </c:extLst>
        </c:ser>
        <c:ser>
          <c:idx val="1"/>
          <c:order val="1"/>
          <c:tx>
            <c:strRef>
              <c:f>'Power consumption'!$B$77</c:f>
              <c:strCache>
                <c:ptCount val="1"/>
                <c:pt idx="0">
                  <c:v>Household heat pumps</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consumption'!$D$77:$AA$77</c:f>
              <c:numCache>
                <c:formatCode>#,##0</c:formatCode>
                <c:ptCount val="24"/>
                <c:pt idx="0">
                  <c:v>13.918990946518546</c:v>
                </c:pt>
                <c:pt idx="1">
                  <c:v>14.793320754557636</c:v>
                </c:pt>
                <c:pt idx="2">
                  <c:v>15.723237681637682</c:v>
                </c:pt>
                <c:pt idx="3">
                  <c:v>16.715202842639982</c:v>
                </c:pt>
                <c:pt idx="4">
                  <c:v>18.279634378248197</c:v>
                </c:pt>
                <c:pt idx="5">
                  <c:v>19.978436637598794</c:v>
                </c:pt>
                <c:pt idx="6">
                  <c:v>21.834090267761322</c:v>
                </c:pt>
                <c:pt idx="7">
                  <c:v>23.79119940860673</c:v>
                </c:pt>
                <c:pt idx="8">
                  <c:v>25.833222231006449</c:v>
                </c:pt>
                <c:pt idx="9">
                  <c:v>27.949621872853353</c:v>
                </c:pt>
                <c:pt idx="10">
                  <c:v>30.127175047664238</c:v>
                </c:pt>
                <c:pt idx="11">
                  <c:v>32.375991695779454</c:v>
                </c:pt>
                <c:pt idx="12">
                  <c:v>34.678263346968286</c:v>
                </c:pt>
                <c:pt idx="13">
                  <c:v>36.960151797093104</c:v>
                </c:pt>
                <c:pt idx="14">
                  <c:v>39.332067671407174</c:v>
                </c:pt>
                <c:pt idx="15">
                  <c:v>41.897793700854947</c:v>
                </c:pt>
                <c:pt idx="16">
                  <c:v>44.496753823552254</c:v>
                </c:pt>
                <c:pt idx="17">
                  <c:v>46.17045204920317</c:v>
                </c:pt>
                <c:pt idx="18">
                  <c:v>47.773625611616517</c:v>
                </c:pt>
                <c:pt idx="19">
                  <c:v>49.379375958197052</c:v>
                </c:pt>
                <c:pt idx="20">
                  <c:v>50.960506847487551</c:v>
                </c:pt>
                <c:pt idx="21">
                  <c:v>52.514793021979045</c:v>
                </c:pt>
                <c:pt idx="22">
                  <c:v>54.039919725838615</c:v>
                </c:pt>
                <c:pt idx="23">
                  <c:v>55.53347973726833</c:v>
                </c:pt>
              </c:numCache>
            </c:numRef>
          </c:val>
          <c:extLst>
            <c:ext xmlns:c16="http://schemas.microsoft.com/office/drawing/2014/chart" uri="{C3380CC4-5D6E-409C-BE32-E72D297353CC}">
              <c16:uniqueId val="{00000001-2399-234A-ADA9-F42232D61A98}"/>
            </c:ext>
          </c:extLst>
        </c:ser>
        <c:ser>
          <c:idx val="2"/>
          <c:order val="2"/>
          <c:tx>
            <c:strRef>
              <c:f>'Power consumption'!$B$78</c:f>
              <c:strCache>
                <c:ptCount val="1"/>
                <c:pt idx="0">
                  <c:v>Large heat pumps and electric boilers</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consumption'!$D$78:$AA$78</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2399-234A-ADA9-F42232D61A98}"/>
            </c:ext>
          </c:extLst>
        </c:ser>
        <c:ser>
          <c:idx val="3"/>
          <c:order val="3"/>
          <c:tx>
            <c:strRef>
              <c:f>'Power consumption'!$B$79</c:f>
              <c:strCache>
                <c:ptCount val="1"/>
                <c:pt idx="0">
                  <c:v>Road and sea transport</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consumption'!$D$79:$AA$79</c:f>
              <c:numCache>
                <c:formatCode>#,##0</c:formatCode>
                <c:ptCount val="24"/>
                <c:pt idx="0">
                  <c:v>2.2261851306627118</c:v>
                </c:pt>
                <c:pt idx="1">
                  <c:v>2.2849254661984246</c:v>
                </c:pt>
                <c:pt idx="2">
                  <c:v>2.4424284754828509</c:v>
                </c:pt>
                <c:pt idx="3">
                  <c:v>2.7258360961658892</c:v>
                </c:pt>
                <c:pt idx="4">
                  <c:v>3.4973363685393308</c:v>
                </c:pt>
                <c:pt idx="5">
                  <c:v>4.681307198973224</c:v>
                </c:pt>
                <c:pt idx="6">
                  <c:v>6.127142706530404</c:v>
                </c:pt>
                <c:pt idx="7">
                  <c:v>7.7276747656630489</c:v>
                </c:pt>
                <c:pt idx="8">
                  <c:v>9.4691198376198003</c:v>
                </c:pt>
                <c:pt idx="9">
                  <c:v>11.569386224224012</c:v>
                </c:pt>
                <c:pt idx="10">
                  <c:v>13.931777268202561</c:v>
                </c:pt>
                <c:pt idx="11">
                  <c:v>16.598721567561359</c:v>
                </c:pt>
                <c:pt idx="12">
                  <c:v>19.63321423470574</c:v>
                </c:pt>
                <c:pt idx="13">
                  <c:v>22.993015619022675</c:v>
                </c:pt>
                <c:pt idx="14">
                  <c:v>26.718565209094884</c:v>
                </c:pt>
                <c:pt idx="15">
                  <c:v>30.754849368833455</c:v>
                </c:pt>
                <c:pt idx="16">
                  <c:v>35.463593030043803</c:v>
                </c:pt>
                <c:pt idx="17">
                  <c:v>40.414190909867003</c:v>
                </c:pt>
                <c:pt idx="18">
                  <c:v>45.390319714958274</c:v>
                </c:pt>
                <c:pt idx="19">
                  <c:v>50.339458281407303</c:v>
                </c:pt>
                <c:pt idx="20">
                  <c:v>54.916558204049508</c:v>
                </c:pt>
                <c:pt idx="21">
                  <c:v>59.047259060238851</c:v>
                </c:pt>
                <c:pt idx="22">
                  <c:v>62.890258896914503</c:v>
                </c:pt>
                <c:pt idx="23">
                  <c:v>66.4429139649164</c:v>
                </c:pt>
              </c:numCache>
            </c:numRef>
          </c:val>
          <c:extLst>
            <c:ext xmlns:c16="http://schemas.microsoft.com/office/drawing/2014/chart" uri="{C3380CC4-5D6E-409C-BE32-E72D297353CC}">
              <c16:uniqueId val="{00000003-2399-234A-ADA9-F42232D61A98}"/>
            </c:ext>
          </c:extLst>
        </c:ser>
        <c:ser>
          <c:idx val="4"/>
          <c:order val="4"/>
          <c:tx>
            <c:strRef>
              <c:f>'Power consumption'!$B$80</c:f>
              <c:strCache>
                <c:ptCount val="1"/>
                <c:pt idx="0">
                  <c:v>Rail transport</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consumption'!$D$80:$AA$80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2399-234A-ADA9-F42232D61A98}"/>
            </c:ext>
          </c:extLst>
        </c:ser>
        <c:ser>
          <c:idx val="5"/>
          <c:order val="5"/>
          <c:tx>
            <c:strRef>
              <c:f>'Power consumption'!$B$81</c:f>
              <c:strCache>
                <c:ptCount val="1"/>
                <c:pt idx="0">
                  <c:v>Large data centres</c:v>
                </c:pt>
              </c:strCache>
            </c:strRef>
          </c:tx>
          <c:invertIfNegative val="0"/>
          <c:cat>
            <c:numRef>
              <c:f>'Power consumption'!$D$65:$AA$65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'Power consumption'!$D$81:$AA$81</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2399-234A-ADA9-F42232D61A98}"/>
            </c:ext>
          </c:extLst>
        </c:ser>
        <c:dLbls>
          <c:showLegendKey val="0"/>
          <c:showVal val="0"/>
          <c:showCatName val="0"/>
          <c:showSerName val="0"/>
          <c:showPercent val="0"/>
          <c:showBubbleSize val="0"/>
        </c:dLbls>
        <c:gapWidth val="55"/>
        <c:overlap val="100"/>
        <c:axId val="116108672"/>
        <c:axId val="116126848"/>
      </c:barChart>
      <c:catAx>
        <c:axId val="116108672"/>
        <c:scaling>
          <c:orientation val="minMax"/>
        </c:scaling>
        <c:delete val="0"/>
        <c:axPos val="b"/>
        <c:numFmt formatCode="General" sourceLinked="1"/>
        <c:majorTickMark val="out"/>
        <c:minorTickMark val="none"/>
        <c:tickLblPos val="nextTo"/>
        <c:crossAx val="116126848"/>
        <c:crosses val="autoZero"/>
        <c:auto val="1"/>
        <c:lblAlgn val="ctr"/>
        <c:lblOffset val="100"/>
        <c:noMultiLvlLbl val="0"/>
      </c:catAx>
      <c:valAx>
        <c:axId val="116126848"/>
        <c:scaling>
          <c:orientation val="minMax"/>
        </c:scaling>
        <c:delete val="0"/>
        <c:axPos val="l"/>
        <c:majorGridlines/>
        <c:title>
          <c:tx>
            <c:rich>
              <a:bodyPr rot="-5400000" vert="horz"/>
              <a:lstStyle/>
              <a:p>
                <a:pPr>
                  <a:defRPr/>
                </a:pPr>
                <a:r>
                  <a:rPr lang="da-DK"/>
                  <a:t>MWh/h</a:t>
                </a:r>
              </a:p>
            </c:rich>
          </c:tx>
          <c:overlay val="0"/>
        </c:title>
        <c:numFmt formatCode="#,##0" sourceLinked="1"/>
        <c:majorTickMark val="out"/>
        <c:minorTickMark val="none"/>
        <c:tickLblPos val="nextTo"/>
        <c:crossAx val="1161086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a:t>
            </a:r>
            <a:r>
              <a:rPr lang="da-DK" sz="1200" baseline="0"/>
              <a:t> capacity - solar cells</a:t>
            </a:r>
            <a:endParaRPr lang="da-DK" sz="1200"/>
          </a:p>
        </c:rich>
      </c:tx>
      <c:overlay val="0"/>
    </c:title>
    <c:autoTitleDeleted val="0"/>
    <c:plotArea>
      <c:layout/>
      <c:areaChart>
        <c:grouping val="stacked"/>
        <c:varyColors val="0"/>
        <c:ser>
          <c:idx val="0"/>
          <c:order val="0"/>
          <c:tx>
            <c:strRef>
              <c:f>'Solar cells'!$B$29</c:f>
              <c:strCache>
                <c:ptCount val="1"/>
                <c:pt idx="0">
                  <c:v>Household units without battery</c:v>
                </c:pt>
              </c:strCache>
            </c:strRef>
          </c:tx>
          <c:cat>
            <c:numRef>
              <c:f>'Solar cells'!$D$6:$AA$6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cells'!$D$29:$AA$29</c:f>
              <c:numCache>
                <c:formatCode>#,##0</c:formatCode>
                <c:ptCount val="24"/>
                <c:pt idx="0">
                  <c:v>460.52354923505061</c:v>
                </c:pt>
                <c:pt idx="1">
                  <c:v>463.92961866149943</c:v>
                </c:pt>
                <c:pt idx="2">
                  <c:v>469.42023532915084</c:v>
                </c:pt>
                <c:pt idx="3">
                  <c:v>470.01440634154358</c:v>
                </c:pt>
                <c:pt idx="4">
                  <c:v>470.51986031459109</c:v>
                </c:pt>
                <c:pt idx="5">
                  <c:v>471.1718156533704</c:v>
                </c:pt>
                <c:pt idx="6">
                  <c:v>472.06128240140362</c:v>
                </c:pt>
                <c:pt idx="7">
                  <c:v>473.20189438173605</c:v>
                </c:pt>
                <c:pt idx="8">
                  <c:v>474.85968545911913</c:v>
                </c:pt>
                <c:pt idx="9">
                  <c:v>477.10171364859252</c:v>
                </c:pt>
                <c:pt idx="10">
                  <c:v>480.15415501403032</c:v>
                </c:pt>
                <c:pt idx="11">
                  <c:v>484.37313225362408</c:v>
                </c:pt>
                <c:pt idx="12">
                  <c:v>489.59603565260994</c:v>
                </c:pt>
                <c:pt idx="13">
                  <c:v>498.1917130794929</c:v>
                </c:pt>
                <c:pt idx="14">
                  <c:v>511.25007544027727</c:v>
                </c:pt>
                <c:pt idx="15">
                  <c:v>527.1407928002784</c:v>
                </c:pt>
                <c:pt idx="16">
                  <c:v>547.95527880312954</c:v>
                </c:pt>
                <c:pt idx="17">
                  <c:v>575.8810713986079</c:v>
                </c:pt>
                <c:pt idx="18">
                  <c:v>611.73665684471189</c:v>
                </c:pt>
                <c:pt idx="19">
                  <c:v>654.46581744236198</c:v>
                </c:pt>
                <c:pt idx="20">
                  <c:v>706.4437504157205</c:v>
                </c:pt>
                <c:pt idx="21">
                  <c:v>767.06657927617925</c:v>
                </c:pt>
                <c:pt idx="22">
                  <c:v>837.74458180653676</c:v>
                </c:pt>
                <c:pt idx="23">
                  <c:v>919.79505323556202</c:v>
                </c:pt>
              </c:numCache>
            </c:numRef>
          </c:val>
          <c:extLst>
            <c:ext xmlns:c16="http://schemas.microsoft.com/office/drawing/2014/chart" uri="{C3380CC4-5D6E-409C-BE32-E72D297353CC}">
              <c16:uniqueId val="{00000000-F487-4B48-B069-77EEFBFB4D73}"/>
            </c:ext>
          </c:extLst>
        </c:ser>
        <c:ser>
          <c:idx val="1"/>
          <c:order val="1"/>
          <c:tx>
            <c:strRef>
              <c:f>'Solar cells'!$B$30</c:f>
              <c:strCache>
                <c:ptCount val="1"/>
                <c:pt idx="0">
                  <c:v>Household units with battery</c:v>
                </c:pt>
              </c:strCache>
            </c:strRef>
          </c:tx>
          <c:spPr>
            <a:ln w="25400">
              <a:noFill/>
            </a:ln>
          </c:spPr>
          <c:cat>
            <c:numRef>
              <c:f>'Solar cells'!$D$6:$AA$6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cells'!$D$30:$AA$30</c:f>
              <c:numCache>
                <c:formatCode>#,##0</c:formatCode>
                <c:ptCount val="24"/>
                <c:pt idx="0">
                  <c:v>4.0498507643307606</c:v>
                </c:pt>
                <c:pt idx="1">
                  <c:v>5.2011775252588626</c:v>
                </c:pt>
                <c:pt idx="2">
                  <c:v>7.2419109060132349</c:v>
                </c:pt>
                <c:pt idx="3">
                  <c:v>10.297743136850125</c:v>
                </c:pt>
                <c:pt idx="4">
                  <c:v>15.107700876742721</c:v>
                </c:pt>
                <c:pt idx="5">
                  <c:v>22.009256055765945</c:v>
                </c:pt>
                <c:pt idx="6">
                  <c:v>31.260247569639208</c:v>
                </c:pt>
                <c:pt idx="7">
                  <c:v>43.651249733864326</c:v>
                </c:pt>
                <c:pt idx="8">
                  <c:v>62.276044407970964</c:v>
                </c:pt>
                <c:pt idx="9">
                  <c:v>87.200122598927635</c:v>
                </c:pt>
                <c:pt idx="10">
                  <c:v>119.68215857834863</c:v>
                </c:pt>
                <c:pt idx="11">
                  <c:v>160.93959070021396</c:v>
                </c:pt>
                <c:pt idx="12">
                  <c:v>211.07280911870194</c:v>
                </c:pt>
                <c:pt idx="13">
                  <c:v>269.61958810736479</c:v>
                </c:pt>
                <c:pt idx="14">
                  <c:v>337.13440212992452</c:v>
                </c:pt>
                <c:pt idx="15">
                  <c:v>399.86583603131652</c:v>
                </c:pt>
                <c:pt idx="16">
                  <c:v>457.10428923755472</c:v>
                </c:pt>
                <c:pt idx="17">
                  <c:v>508.13883442616748</c:v>
                </c:pt>
                <c:pt idx="18">
                  <c:v>552.3894322825555</c:v>
                </c:pt>
                <c:pt idx="19">
                  <c:v>589.56325360843664</c:v>
                </c:pt>
                <c:pt idx="20">
                  <c:v>618.67189506733837</c:v>
                </c:pt>
                <c:pt idx="21">
                  <c:v>638.75845158284312</c:v>
                </c:pt>
                <c:pt idx="22">
                  <c:v>649.92961582262387</c:v>
                </c:pt>
                <c:pt idx="23">
                  <c:v>652.02352692586567</c:v>
                </c:pt>
              </c:numCache>
            </c:numRef>
          </c:val>
          <c:extLst>
            <c:ext xmlns:c16="http://schemas.microsoft.com/office/drawing/2014/chart" uri="{C3380CC4-5D6E-409C-BE32-E72D297353CC}">
              <c16:uniqueId val="{00000001-F487-4B48-B069-77EEFBFB4D73}"/>
            </c:ext>
          </c:extLst>
        </c:ser>
        <c:ser>
          <c:idx val="2"/>
          <c:order val="2"/>
          <c:tx>
            <c:strRef>
              <c:f>'Solar cells'!$B$31</c:f>
              <c:strCache>
                <c:ptCount val="1"/>
                <c:pt idx="0">
                  <c:v>Commercial units without battery</c:v>
                </c:pt>
              </c:strCache>
            </c:strRef>
          </c:tx>
          <c:spPr>
            <a:solidFill>
              <a:srgbClr val="84CCD8"/>
            </a:solidFill>
            <a:ln w="25400">
              <a:noFill/>
            </a:ln>
          </c:spPr>
          <c:cat>
            <c:numRef>
              <c:f>'Solar cells'!$D$6:$AA$6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cells'!$D$31:$AA$31</c:f>
              <c:numCache>
                <c:formatCode>#,##0</c:formatCode>
                <c:ptCount val="24"/>
                <c:pt idx="0">
                  <c:v>132.5819268553762</c:v>
                </c:pt>
                <c:pt idx="1">
                  <c:v>137.96838662123557</c:v>
                </c:pt>
                <c:pt idx="2">
                  <c:v>145.79590515979393</c:v>
                </c:pt>
                <c:pt idx="3">
                  <c:v>156.66595050921742</c:v>
                </c:pt>
                <c:pt idx="4">
                  <c:v>171.98344923874643</c:v>
                </c:pt>
                <c:pt idx="5">
                  <c:v>189.90231025488845</c:v>
                </c:pt>
                <c:pt idx="6">
                  <c:v>210.15731321260731</c:v>
                </c:pt>
                <c:pt idx="7">
                  <c:v>232.37812031565656</c:v>
                </c:pt>
                <c:pt idx="8">
                  <c:v>256.77547266374404</c:v>
                </c:pt>
                <c:pt idx="9">
                  <c:v>286.38582517765707</c:v>
                </c:pt>
                <c:pt idx="10">
                  <c:v>319.26908947560247</c:v>
                </c:pt>
                <c:pt idx="11">
                  <c:v>353.30894346008404</c:v>
                </c:pt>
                <c:pt idx="12">
                  <c:v>385.32738174311027</c:v>
                </c:pt>
                <c:pt idx="13">
                  <c:v>416.63786392109483</c:v>
                </c:pt>
                <c:pt idx="14">
                  <c:v>446.46053590216002</c:v>
                </c:pt>
                <c:pt idx="15">
                  <c:v>473.69427877401245</c:v>
                </c:pt>
                <c:pt idx="16">
                  <c:v>497.95593659541572</c:v>
                </c:pt>
                <c:pt idx="17">
                  <c:v>519.89286809438215</c:v>
                </c:pt>
                <c:pt idx="18">
                  <c:v>539.91665897024768</c:v>
                </c:pt>
                <c:pt idx="19">
                  <c:v>557.57173063338928</c:v>
                </c:pt>
                <c:pt idx="20">
                  <c:v>574.12981535743199</c:v>
                </c:pt>
                <c:pt idx="21">
                  <c:v>589.52618291844897</c:v>
                </c:pt>
                <c:pt idx="22">
                  <c:v>604.80934231005835</c:v>
                </c:pt>
                <c:pt idx="23">
                  <c:v>619.64449968853239</c:v>
                </c:pt>
              </c:numCache>
            </c:numRef>
          </c:val>
          <c:extLst>
            <c:ext xmlns:c16="http://schemas.microsoft.com/office/drawing/2014/chart" uri="{C3380CC4-5D6E-409C-BE32-E72D297353CC}">
              <c16:uniqueId val="{00000002-F487-4B48-B069-77EEFBFB4D73}"/>
            </c:ext>
          </c:extLst>
        </c:ser>
        <c:ser>
          <c:idx val="3"/>
          <c:order val="3"/>
          <c:tx>
            <c:strRef>
              <c:f>'Solar cells'!$B$32</c:f>
              <c:strCache>
                <c:ptCount val="1"/>
                <c:pt idx="0">
                  <c:v>Commercial units with battery</c:v>
                </c:pt>
              </c:strCache>
            </c:strRef>
          </c:tx>
          <c:spPr>
            <a:solidFill>
              <a:schemeClr val="bg2"/>
            </a:solidFill>
            <a:ln w="25400">
              <a:noFill/>
            </a:ln>
          </c:spPr>
          <c:cat>
            <c:numRef>
              <c:f>'Solar cells'!$D$6:$AA$6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cells'!$D$32:$AA$32</c:f>
              <c:numCache>
                <c:formatCode>#,##0</c:formatCode>
                <c:ptCount val="24"/>
                <c:pt idx="0">
                  <c:v>3.1220731446248622</c:v>
                </c:pt>
                <c:pt idx="1">
                  <c:v>4.6858840443904866</c:v>
                </c:pt>
                <c:pt idx="2">
                  <c:v>6.958389426552591</c:v>
                </c:pt>
                <c:pt idx="3">
                  <c:v>10.114209044127152</c:v>
                </c:pt>
                <c:pt idx="4">
                  <c:v>15.391505119506208</c:v>
                </c:pt>
                <c:pt idx="5">
                  <c:v>21.56447682257707</c:v>
                </c:pt>
                <c:pt idx="6">
                  <c:v>28.538321015320548</c:v>
                </c:pt>
                <c:pt idx="7">
                  <c:v>36.173477875368363</c:v>
                </c:pt>
                <c:pt idx="8">
                  <c:v>44.530796514644976</c:v>
                </c:pt>
                <c:pt idx="9">
                  <c:v>53.063888334758225</c:v>
                </c:pt>
                <c:pt idx="10">
                  <c:v>62.523922111957148</c:v>
                </c:pt>
                <c:pt idx="11">
                  <c:v>72.282443372801168</c:v>
                </c:pt>
                <c:pt idx="12">
                  <c:v>83.11079865282754</c:v>
                </c:pt>
                <c:pt idx="13">
                  <c:v>93.591014403338221</c:v>
                </c:pt>
                <c:pt idx="14">
                  <c:v>103.40199869393176</c:v>
                </c:pt>
                <c:pt idx="15">
                  <c:v>112.20362128785095</c:v>
                </c:pt>
                <c:pt idx="16">
                  <c:v>119.86436325698418</c:v>
                </c:pt>
                <c:pt idx="17">
                  <c:v>126.38555140501106</c:v>
                </c:pt>
                <c:pt idx="18">
                  <c:v>131.79188900719862</c:v>
                </c:pt>
                <c:pt idx="19">
                  <c:v>136.55371661638742</c:v>
                </c:pt>
                <c:pt idx="20">
                  <c:v>140.17568537244432</c:v>
                </c:pt>
                <c:pt idx="21">
                  <c:v>142.63002178621159</c:v>
                </c:pt>
                <c:pt idx="22">
                  <c:v>143.94970325062812</c:v>
                </c:pt>
                <c:pt idx="23">
                  <c:v>144.21736140076419</c:v>
                </c:pt>
              </c:numCache>
            </c:numRef>
          </c:val>
          <c:extLst>
            <c:ext xmlns:c16="http://schemas.microsoft.com/office/drawing/2014/chart" uri="{C3380CC4-5D6E-409C-BE32-E72D297353CC}">
              <c16:uniqueId val="{00000003-F487-4B48-B069-77EEFBFB4D73}"/>
            </c:ext>
          </c:extLst>
        </c:ser>
        <c:ser>
          <c:idx val="4"/>
          <c:order val="4"/>
          <c:tx>
            <c:strRef>
              <c:f>'Solar cells'!$B$33</c:f>
              <c:strCache>
                <c:ptCount val="1"/>
                <c:pt idx="0">
                  <c:v>Field system</c:v>
                </c:pt>
              </c:strCache>
            </c:strRef>
          </c:tx>
          <c:spPr>
            <a:ln w="25400">
              <a:noFill/>
            </a:ln>
          </c:spPr>
          <c:cat>
            <c:numRef>
              <c:f>'Solar cells'!$D$6:$AA$6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cells'!$D$33:$AA$33</c:f>
              <c:numCache>
                <c:formatCode>#,##0</c:formatCode>
                <c:ptCount val="24"/>
                <c:pt idx="0">
                  <c:v>251.92750000000103</c:v>
                </c:pt>
                <c:pt idx="1">
                  <c:v>302.22750000000104</c:v>
                </c:pt>
                <c:pt idx="2">
                  <c:v>303.22750000000104</c:v>
                </c:pt>
                <c:pt idx="3">
                  <c:v>304.82750000000107</c:v>
                </c:pt>
                <c:pt idx="4">
                  <c:v>307.14250000000106</c:v>
                </c:pt>
                <c:pt idx="5">
                  <c:v>309.89250000000106</c:v>
                </c:pt>
                <c:pt idx="6">
                  <c:v>313.18250000000103</c:v>
                </c:pt>
                <c:pt idx="7">
                  <c:v>317.34250000000105</c:v>
                </c:pt>
                <c:pt idx="8">
                  <c:v>323.19250000000108</c:v>
                </c:pt>
                <c:pt idx="9">
                  <c:v>335.99250000000109</c:v>
                </c:pt>
                <c:pt idx="10">
                  <c:v>355.7925000000011</c:v>
                </c:pt>
                <c:pt idx="11">
                  <c:v>397.29250000000104</c:v>
                </c:pt>
                <c:pt idx="12">
                  <c:v>458.29250000000098</c:v>
                </c:pt>
                <c:pt idx="13">
                  <c:v>554.54250000000104</c:v>
                </c:pt>
                <c:pt idx="14">
                  <c:v>702.54250000000116</c:v>
                </c:pt>
                <c:pt idx="15">
                  <c:v>883.54250000000116</c:v>
                </c:pt>
                <c:pt idx="16">
                  <c:v>1097.5425000000014</c:v>
                </c:pt>
                <c:pt idx="17">
                  <c:v>1334.0425000000014</c:v>
                </c:pt>
                <c:pt idx="18">
                  <c:v>1614.0425000000014</c:v>
                </c:pt>
                <c:pt idx="19">
                  <c:v>1944.0425000000012</c:v>
                </c:pt>
                <c:pt idx="20">
                  <c:v>2329.0425000000014</c:v>
                </c:pt>
                <c:pt idx="21">
                  <c:v>2744.0425000000014</c:v>
                </c:pt>
                <c:pt idx="22">
                  <c:v>3214.0425000000014</c:v>
                </c:pt>
                <c:pt idx="23">
                  <c:v>3714.0425000000014</c:v>
                </c:pt>
              </c:numCache>
            </c:numRef>
          </c:val>
          <c:extLst>
            <c:ext xmlns:c16="http://schemas.microsoft.com/office/drawing/2014/chart" uri="{C3380CC4-5D6E-409C-BE32-E72D297353CC}">
              <c16:uniqueId val="{00000004-F487-4B48-B069-77EEFBFB4D73}"/>
            </c:ext>
          </c:extLst>
        </c:ser>
        <c:dLbls>
          <c:showLegendKey val="0"/>
          <c:showVal val="0"/>
          <c:showCatName val="0"/>
          <c:showSerName val="0"/>
          <c:showPercent val="0"/>
          <c:showBubbleSize val="0"/>
        </c:dLbls>
        <c:axId val="115937280"/>
        <c:axId val="115938816"/>
      </c:areaChart>
      <c:lineChart>
        <c:grouping val="standard"/>
        <c:varyColors val="0"/>
        <c:ser>
          <c:idx val="5"/>
          <c:order val="5"/>
          <c:tx>
            <c:strRef>
              <c:f>'Solar cells'!$B$79</c:f>
              <c:strCache>
                <c:ptCount val="1"/>
                <c:pt idx="0">
                  <c:v>Denmark - AF2016</c:v>
                </c:pt>
              </c:strCache>
            </c:strRef>
          </c:tx>
          <c:spPr>
            <a:ln>
              <a:solidFill>
                <a:schemeClr val="accent3"/>
              </a:solidFill>
              <a:prstDash val="sysDash"/>
            </a:ln>
          </c:spPr>
          <c:marker>
            <c:symbol val="none"/>
          </c:marker>
          <c:val>
            <c:numRef>
              <c:f>'Solar cells'!$D$79:$AA$79</c:f>
              <c:numCache>
                <c:formatCode>#,##0</c:formatCode>
                <c:ptCount val="24"/>
                <c:pt idx="0">
                  <c:v>827.79525813524117</c:v>
                </c:pt>
                <c:pt idx="1">
                  <c:v>887.48013755214367</c:v>
                </c:pt>
                <c:pt idx="2">
                  <c:v>971.01891576095079</c:v>
                </c:pt>
                <c:pt idx="3">
                  <c:v>1083.0379108101947</c:v>
                </c:pt>
                <c:pt idx="4">
                  <c:v>1225.5337484011766</c:v>
                </c:pt>
                <c:pt idx="5">
                  <c:v>1376.9704178151885</c:v>
                </c:pt>
                <c:pt idx="6">
                  <c:v>1535.149621371846</c:v>
                </c:pt>
                <c:pt idx="7">
                  <c:v>1703.6670145380879</c:v>
                </c:pt>
                <c:pt idx="8">
                  <c:v>1881.1969564097108</c:v>
                </c:pt>
                <c:pt idx="9">
                  <c:v>2069.7761839377144</c:v>
                </c:pt>
                <c:pt idx="10">
                  <c:v>2270.0897733654137</c:v>
                </c:pt>
                <c:pt idx="11">
                  <c:v>2483.2030816309593</c:v>
                </c:pt>
                <c:pt idx="12">
                  <c:v>2705.6152465791993</c:v>
                </c:pt>
                <c:pt idx="13">
                  <c:v>2938.7731714792399</c:v>
                </c:pt>
                <c:pt idx="14">
                  <c:v>3184.2611106492914</c:v>
                </c:pt>
                <c:pt idx="15">
                  <c:v>3425.4611370069952</c:v>
                </c:pt>
                <c:pt idx="16">
                  <c:v>3661.3259585173369</c:v>
                </c:pt>
                <c:pt idx="17">
                  <c:v>3893.8199669485116</c:v>
                </c:pt>
                <c:pt idx="18">
                  <c:v>4123.0414679467276</c:v>
                </c:pt>
                <c:pt idx="19">
                  <c:v>4349.1514011659165</c:v>
                </c:pt>
                <c:pt idx="20">
                  <c:v>4573.3064492535159</c:v>
                </c:pt>
                <c:pt idx="21">
                  <c:v>4795.296453707143</c:v>
                </c:pt>
                <c:pt idx="22">
                  <c:v>5014.5609789632717</c:v>
                </c:pt>
                <c:pt idx="23">
                  <c:v>5230.9816177959628</c:v>
                </c:pt>
              </c:numCache>
            </c:numRef>
          </c:val>
          <c:smooth val="0"/>
          <c:extLst>
            <c:ext xmlns:c16="http://schemas.microsoft.com/office/drawing/2014/chart" uri="{C3380CC4-5D6E-409C-BE32-E72D297353CC}">
              <c16:uniqueId val="{00000005-F487-4B48-B069-77EEFBFB4D73}"/>
            </c:ext>
          </c:extLst>
        </c:ser>
        <c:dLbls>
          <c:showLegendKey val="0"/>
          <c:showVal val="0"/>
          <c:showCatName val="0"/>
          <c:showSerName val="0"/>
          <c:showPercent val="0"/>
          <c:showBubbleSize val="0"/>
        </c:dLbls>
        <c:marker val="1"/>
        <c:smooth val="0"/>
        <c:axId val="115937280"/>
        <c:axId val="115938816"/>
      </c:lineChart>
      <c:catAx>
        <c:axId val="115937280"/>
        <c:scaling>
          <c:orientation val="minMax"/>
        </c:scaling>
        <c:delete val="0"/>
        <c:axPos val="b"/>
        <c:numFmt formatCode="General" sourceLinked="1"/>
        <c:majorTickMark val="out"/>
        <c:minorTickMark val="none"/>
        <c:tickLblPos val="nextTo"/>
        <c:crossAx val="115938816"/>
        <c:crosses val="autoZero"/>
        <c:auto val="1"/>
        <c:lblAlgn val="ctr"/>
        <c:lblOffset val="100"/>
        <c:noMultiLvlLbl val="0"/>
      </c:catAx>
      <c:valAx>
        <c:axId val="115938816"/>
        <c:scaling>
          <c:orientation val="minMax"/>
        </c:scaling>
        <c:delete val="0"/>
        <c:axPos val="l"/>
        <c:majorGridlines/>
        <c:title>
          <c:tx>
            <c:rich>
              <a:bodyPr rot="-5400000" vert="horz"/>
              <a:lstStyle/>
              <a:p>
                <a:pPr>
                  <a:defRPr/>
                </a:pPr>
                <a:r>
                  <a:rPr lang="da-DK"/>
                  <a:t>MW</a:t>
                </a:r>
                <a:r>
                  <a:rPr lang="da-DK" baseline="0"/>
                  <a:t> (beginning of year)</a:t>
                </a:r>
                <a:endParaRPr lang="da-DK"/>
              </a:p>
            </c:rich>
          </c:tx>
          <c:overlay val="0"/>
        </c:title>
        <c:numFmt formatCode="#,##0" sourceLinked="1"/>
        <c:majorTickMark val="out"/>
        <c:minorTickMark val="none"/>
        <c:tickLblPos val="nextTo"/>
        <c:crossAx val="115937280"/>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 production - solar cells</a:t>
            </a:r>
          </a:p>
        </c:rich>
      </c:tx>
      <c:overlay val="0"/>
    </c:title>
    <c:autoTitleDeleted val="0"/>
    <c:plotArea>
      <c:layout/>
      <c:areaChart>
        <c:grouping val="stacked"/>
        <c:varyColors val="0"/>
        <c:ser>
          <c:idx val="0"/>
          <c:order val="0"/>
          <c:tx>
            <c:strRef>
              <c:f>'Solar cells'!$B$66</c:f>
              <c:strCache>
                <c:ptCount val="1"/>
                <c:pt idx="0">
                  <c:v>Household units without battery</c:v>
                </c:pt>
              </c:strCache>
            </c:strRef>
          </c:tx>
          <c:cat>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cells'!$D$66:$AA$66</c:f>
              <c:numCache>
                <c:formatCode>#,##0</c:formatCode>
                <c:ptCount val="24"/>
                <c:pt idx="0">
                  <c:v>371.57278355781006</c:v>
                </c:pt>
                <c:pt idx="1">
                  <c:v>377.52293940955144</c:v>
                </c:pt>
                <c:pt idx="2">
                  <c:v>387.41363375039862</c:v>
                </c:pt>
                <c:pt idx="3">
                  <c:v>389.59832253867449</c:v>
                </c:pt>
                <c:pt idx="4">
                  <c:v>392.7165226322889</c:v>
                </c:pt>
                <c:pt idx="5">
                  <c:v>397.55726491467863</c:v>
                </c:pt>
                <c:pt idx="6">
                  <c:v>404.08517923199707</c:v>
                </c:pt>
                <c:pt idx="7">
                  <c:v>412.70891564947146</c:v>
                </c:pt>
                <c:pt idx="8">
                  <c:v>425.35417057047368</c:v>
                </c:pt>
                <c:pt idx="9">
                  <c:v>441.59047281888934</c:v>
                </c:pt>
                <c:pt idx="10">
                  <c:v>461.77753131268946</c:v>
                </c:pt>
                <c:pt idx="11">
                  <c:v>486.20939575984704</c:v>
                </c:pt>
                <c:pt idx="12">
                  <c:v>513.83960766310133</c:v>
                </c:pt>
                <c:pt idx="13">
                  <c:v>546.62856717903344</c:v>
                </c:pt>
                <c:pt idx="14">
                  <c:v>585.75669637116027</c:v>
                </c:pt>
                <c:pt idx="15">
                  <c:v>625.28512830201748</c:v>
                </c:pt>
                <c:pt idx="16">
                  <c:v>668.74281135664785</c:v>
                </c:pt>
                <c:pt idx="17">
                  <c:v>719.69409204838507</c:v>
                </c:pt>
                <c:pt idx="18">
                  <c:v>780.17393857537365</c:v>
                </c:pt>
                <c:pt idx="19">
                  <c:v>849.52073302573092</c:v>
                </c:pt>
                <c:pt idx="20">
                  <c:v>931.16532658612459</c:v>
                </c:pt>
                <c:pt idx="21">
                  <c:v>1024.5272899908364</c:v>
                </c:pt>
                <c:pt idx="22">
                  <c:v>1132.0676317953942</c:v>
                </c:pt>
                <c:pt idx="23">
                  <c:v>1255.892882030588</c:v>
                </c:pt>
              </c:numCache>
            </c:numRef>
          </c:val>
          <c:extLst>
            <c:ext xmlns:c16="http://schemas.microsoft.com/office/drawing/2014/chart" uri="{C3380CC4-5D6E-409C-BE32-E72D297353CC}">
              <c16:uniqueId val="{00000000-097F-1145-84F5-45479BC1E579}"/>
            </c:ext>
          </c:extLst>
        </c:ser>
        <c:ser>
          <c:idx val="1"/>
          <c:order val="1"/>
          <c:tx>
            <c:strRef>
              <c:f>'Solar cells'!$B$67</c:f>
              <c:strCache>
                <c:ptCount val="1"/>
                <c:pt idx="0">
                  <c:v>Household units with battery</c:v>
                </c:pt>
              </c:strCache>
            </c:strRef>
          </c:tx>
          <c:spPr>
            <a:ln w="25400">
              <a:noFill/>
            </a:ln>
          </c:spPr>
          <c:cat>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cells'!$D$67:$AA$67</c:f>
              <c:numCache>
                <c:formatCode>#,##0</c:formatCode>
                <c:ptCount val="24"/>
                <c:pt idx="0">
                  <c:v>3.267616442189909</c:v>
                </c:pt>
                <c:pt idx="1">
                  <c:v>4.2324605904485537</c:v>
                </c:pt>
                <c:pt idx="2">
                  <c:v>5.976766249601428</c:v>
                </c:pt>
                <c:pt idx="3">
                  <c:v>8.5358733645614784</c:v>
                </c:pt>
                <c:pt idx="4">
                  <c:v>12.609550103403354</c:v>
                </c:pt>
                <c:pt idx="5">
                  <c:v>18.570592190884046</c:v>
                </c:pt>
                <c:pt idx="6">
                  <c:v>26.758819697636572</c:v>
                </c:pt>
                <c:pt idx="7">
                  <c:v>38.070980184779991</c:v>
                </c:pt>
                <c:pt idx="8">
                  <c:v>55.783584133808212</c:v>
                </c:pt>
                <c:pt idx="9">
                  <c:v>80.709715070710402</c:v>
                </c:pt>
                <c:pt idx="10">
                  <c:v>115.10164215671264</c:v>
                </c:pt>
                <c:pt idx="11">
                  <c:v>161.54971433720078</c:v>
                </c:pt>
                <c:pt idx="12">
                  <c:v>221.52460708006618</c:v>
                </c:pt>
                <c:pt idx="13">
                  <c:v>295.83344174778216</c:v>
                </c:pt>
                <c:pt idx="14">
                  <c:v>386.26641463989324</c:v>
                </c:pt>
                <c:pt idx="15">
                  <c:v>474.31381521096955</c:v>
                </c:pt>
                <c:pt idx="16">
                  <c:v>557.86524793701619</c:v>
                </c:pt>
                <c:pt idx="17">
                  <c:v>635.03479318863629</c:v>
                </c:pt>
                <c:pt idx="18">
                  <c:v>704.48588324615355</c:v>
                </c:pt>
                <c:pt idx="19">
                  <c:v>765.27481500526642</c:v>
                </c:pt>
                <c:pt idx="20">
                  <c:v>815.47301803013465</c:v>
                </c:pt>
                <c:pt idx="21">
                  <c:v>853.15340680914983</c:v>
                </c:pt>
                <c:pt idx="22">
                  <c:v>878.26802702965222</c:v>
                </c:pt>
                <c:pt idx="23">
                  <c:v>890.27626698157383</c:v>
                </c:pt>
              </c:numCache>
            </c:numRef>
          </c:val>
          <c:extLst>
            <c:ext xmlns:c16="http://schemas.microsoft.com/office/drawing/2014/chart" uri="{C3380CC4-5D6E-409C-BE32-E72D297353CC}">
              <c16:uniqueId val="{00000001-097F-1145-84F5-45479BC1E579}"/>
            </c:ext>
          </c:extLst>
        </c:ser>
        <c:ser>
          <c:idx val="2"/>
          <c:order val="2"/>
          <c:tx>
            <c:strRef>
              <c:f>'Solar cells'!$B$68</c:f>
              <c:strCache>
                <c:ptCount val="1"/>
                <c:pt idx="0">
                  <c:v>Commercial units without battery</c:v>
                </c:pt>
              </c:strCache>
            </c:strRef>
          </c:tx>
          <c:spPr>
            <a:solidFill>
              <a:srgbClr val="84CCD8"/>
            </a:solidFill>
            <a:ln w="25400">
              <a:noFill/>
            </a:ln>
          </c:spPr>
          <c:cat>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cells'!$D$68:$AA$68</c:f>
              <c:numCache>
                <c:formatCode>#,##0</c:formatCode>
                <c:ptCount val="24"/>
                <c:pt idx="0">
                  <c:v>138.06021238567814</c:v>
                </c:pt>
                <c:pt idx="1">
                  <c:v>143.77329675093682</c:v>
                </c:pt>
                <c:pt idx="2">
                  <c:v>152.23020268469566</c:v>
                </c:pt>
                <c:pt idx="3">
                  <c:v>164.17901803577385</c:v>
                </c:pt>
                <c:pt idx="4">
                  <c:v>181.32829324899276</c:v>
                </c:pt>
                <c:pt idx="5">
                  <c:v>201.41643399955376</c:v>
                </c:pt>
                <c:pt idx="6">
                  <c:v>224.15977163258248</c:v>
                </c:pt>
                <c:pt idx="7">
                  <c:v>249.15726915199866</c:v>
                </c:pt>
                <c:pt idx="8">
                  <c:v>276.66153248997682</c:v>
                </c:pt>
                <c:pt idx="9">
                  <c:v>310.06323210711423</c:v>
                </c:pt>
                <c:pt idx="10">
                  <c:v>347.25586526212993</c:v>
                </c:pt>
                <c:pt idx="11">
                  <c:v>385.86275496014156</c:v>
                </c:pt>
                <c:pt idx="12">
                  <c:v>422.33491898235013</c:v>
                </c:pt>
                <c:pt idx="13">
                  <c:v>458.09799200056682</c:v>
                </c:pt>
                <c:pt idx="14">
                  <c:v>492.25566565533194</c:v>
                </c:pt>
                <c:pt idx="15">
                  <c:v>523.48397509873598</c:v>
                </c:pt>
                <c:pt idx="16">
                  <c:v>551.3375472182222</c:v>
                </c:pt>
                <c:pt idx="17">
                  <c:v>576.54641008684973</c:v>
                </c:pt>
                <c:pt idx="18">
                  <c:v>599.57451959100911</c:v>
                </c:pt>
                <c:pt idx="19">
                  <c:v>619.90975697067688</c:v>
                </c:pt>
                <c:pt idx="20">
                  <c:v>638.98405275888751</c:v>
                </c:pt>
                <c:pt idx="21">
                  <c:v>656.71809669392883</c:v>
                </c:pt>
                <c:pt idx="22">
                  <c:v>674.31211489397776</c:v>
                </c:pt>
                <c:pt idx="23">
                  <c:v>691.38236092491888</c:v>
                </c:pt>
              </c:numCache>
            </c:numRef>
          </c:val>
          <c:extLst>
            <c:ext xmlns:c16="http://schemas.microsoft.com/office/drawing/2014/chart" uri="{C3380CC4-5D6E-409C-BE32-E72D297353CC}">
              <c16:uniqueId val="{00000002-097F-1145-84F5-45479BC1E579}"/>
            </c:ext>
          </c:extLst>
        </c:ser>
        <c:ser>
          <c:idx val="3"/>
          <c:order val="3"/>
          <c:tx>
            <c:strRef>
              <c:f>'Solar cells'!$B$69</c:f>
              <c:strCache>
                <c:ptCount val="1"/>
                <c:pt idx="0">
                  <c:v>Commercial units with battery</c:v>
                </c:pt>
              </c:strCache>
            </c:strRef>
          </c:tx>
          <c:spPr>
            <a:solidFill>
              <a:schemeClr val="bg2"/>
            </a:solidFill>
            <a:ln w="25400">
              <a:noFill/>
            </a:ln>
          </c:spPr>
          <c:cat>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cells'!$D$69:$AA$69</c:f>
              <c:numCache>
                <c:formatCode>#,##0</c:formatCode>
                <c:ptCount val="24"/>
                <c:pt idx="0">
                  <c:v>3.2510772143228364</c:v>
                </c:pt>
                <c:pt idx="1">
                  <c:v>4.8830388884966442</c:v>
                </c:pt>
                <c:pt idx="2">
                  <c:v>7.2654786264550069</c:v>
                </c:pt>
                <c:pt idx="3">
                  <c:v>10.599245743417878</c:v>
                </c:pt>
                <c:pt idx="4">
                  <c:v>16.227813584427317</c:v>
                </c:pt>
                <c:pt idx="5">
                  <c:v>22.871970419104962</c:v>
                </c:pt>
                <c:pt idx="6">
                  <c:v>30.439785433970897</c:v>
                </c:pt>
                <c:pt idx="7">
                  <c:v>38.78542846854149</c:v>
                </c:pt>
                <c:pt idx="8">
                  <c:v>47.979498504806138</c:v>
                </c:pt>
                <c:pt idx="9">
                  <c:v>57.451030319114253</c:v>
                </c:pt>
                <c:pt idx="10">
                  <c:v>68.004700073631298</c:v>
                </c:pt>
                <c:pt idx="11">
                  <c:v>78.94253245313206</c:v>
                </c:pt>
                <c:pt idx="12">
                  <c:v>91.092909766275483</c:v>
                </c:pt>
                <c:pt idx="13">
                  <c:v>102.90436726985779</c:v>
                </c:pt>
                <c:pt idx="14">
                  <c:v>114.00832907732681</c:v>
                </c:pt>
                <c:pt idx="15">
                  <c:v>123.99727065367242</c:v>
                </c:pt>
                <c:pt idx="16">
                  <c:v>132.71399973422476</c:v>
                </c:pt>
                <c:pt idx="17">
                  <c:v>140.15798334855731</c:v>
                </c:pt>
                <c:pt idx="18">
                  <c:v>146.35417749137665</c:v>
                </c:pt>
                <c:pt idx="19">
                  <c:v>151.82079117416112</c:v>
                </c:pt>
                <c:pt idx="20">
                  <c:v>156.01006103780935</c:v>
                </c:pt>
                <c:pt idx="21">
                  <c:v>158.88643991205365</c:v>
                </c:pt>
                <c:pt idx="22">
                  <c:v>160.49194687791328</c:v>
                </c:pt>
                <c:pt idx="23">
                  <c:v>160.91378179220834</c:v>
                </c:pt>
              </c:numCache>
            </c:numRef>
          </c:val>
          <c:extLst>
            <c:ext xmlns:c16="http://schemas.microsoft.com/office/drawing/2014/chart" uri="{C3380CC4-5D6E-409C-BE32-E72D297353CC}">
              <c16:uniqueId val="{00000003-097F-1145-84F5-45479BC1E579}"/>
            </c:ext>
          </c:extLst>
        </c:ser>
        <c:ser>
          <c:idx val="4"/>
          <c:order val="4"/>
          <c:tx>
            <c:strRef>
              <c:f>'Solar cells'!$B$70</c:f>
              <c:strCache>
                <c:ptCount val="1"/>
                <c:pt idx="0">
                  <c:v>Field system</c:v>
                </c:pt>
              </c:strCache>
            </c:strRef>
          </c:tx>
          <c:spPr>
            <a:ln w="25400">
              <a:noFill/>
            </a:ln>
          </c:spPr>
          <c:cat>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'Solar cells'!$D$70:$AA$70</c:f>
              <c:numCache>
                <c:formatCode>#,##0</c:formatCode>
                <c:ptCount val="24"/>
                <c:pt idx="0">
                  <c:v>287.34848549999975</c:v>
                </c:pt>
                <c:pt idx="1">
                  <c:v>345.14848549999977</c:v>
                </c:pt>
                <c:pt idx="2">
                  <c:v>346.31748549999969</c:v>
                </c:pt>
                <c:pt idx="3">
                  <c:v>348.20868549999977</c:v>
                </c:pt>
                <c:pt idx="4">
                  <c:v>350.95718549999975</c:v>
                </c:pt>
                <c:pt idx="5">
                  <c:v>354.1939454999997</c:v>
                </c:pt>
                <c:pt idx="6">
                  <c:v>358.07834349999973</c:v>
                </c:pt>
                <c:pt idx="7">
                  <c:v>363.0004554999997</c:v>
                </c:pt>
                <c:pt idx="8">
                  <c:v>369.57184149999978</c:v>
                </c:pt>
                <c:pt idx="9">
                  <c:v>384.38264149999969</c:v>
                </c:pt>
                <c:pt idx="10">
                  <c:v>407.52084149999968</c:v>
                </c:pt>
                <c:pt idx="11">
                  <c:v>455.46864149999959</c:v>
                </c:pt>
                <c:pt idx="12">
                  <c:v>526.54184149999958</c:v>
                </c:pt>
                <c:pt idx="13">
                  <c:v>640.2428414999996</c:v>
                </c:pt>
                <c:pt idx="14">
                  <c:v>815.32884149999961</c:v>
                </c:pt>
                <c:pt idx="15">
                  <c:v>1031.4538414999995</c:v>
                </c:pt>
                <c:pt idx="16">
                  <c:v>1288.7498414999995</c:v>
                </c:pt>
                <c:pt idx="17">
                  <c:v>1576.1978414999994</c:v>
                </c:pt>
                <c:pt idx="18">
                  <c:v>1913.7498414999995</c:v>
                </c:pt>
                <c:pt idx="19">
                  <c:v>2311.5098414999998</c:v>
                </c:pt>
                <c:pt idx="20">
                  <c:v>2778.3848414999993</c:v>
                </c:pt>
                <c:pt idx="21">
                  <c:v>3283.4198414999992</c:v>
                </c:pt>
                <c:pt idx="22">
                  <c:v>3857.9598415</c:v>
                </c:pt>
                <c:pt idx="23">
                  <c:v>4470.9498414999998</c:v>
                </c:pt>
              </c:numCache>
            </c:numRef>
          </c:val>
          <c:extLst>
            <c:ext xmlns:c16="http://schemas.microsoft.com/office/drawing/2014/chart" uri="{C3380CC4-5D6E-409C-BE32-E72D297353CC}">
              <c16:uniqueId val="{00000004-097F-1145-84F5-45479BC1E579}"/>
            </c:ext>
          </c:extLst>
        </c:ser>
        <c:dLbls>
          <c:showLegendKey val="0"/>
          <c:showVal val="0"/>
          <c:showCatName val="0"/>
          <c:showSerName val="0"/>
          <c:showPercent val="0"/>
          <c:showBubbleSize val="0"/>
        </c:dLbls>
        <c:axId val="115985024"/>
        <c:axId val="116261248"/>
      </c:areaChart>
      <c:lineChart>
        <c:grouping val="standard"/>
        <c:varyColors val="0"/>
        <c:ser>
          <c:idx val="5"/>
          <c:order val="5"/>
          <c:tx>
            <c:strRef>
              <c:f>'Solar cells'!$B$87</c:f>
              <c:strCache>
                <c:ptCount val="1"/>
                <c:pt idx="0">
                  <c:v>Denmark - AF2016</c:v>
                </c:pt>
              </c:strCache>
            </c:strRef>
          </c:tx>
          <c:spPr>
            <a:ln>
              <a:solidFill>
                <a:schemeClr val="accent3"/>
              </a:solidFill>
              <a:prstDash val="sysDash"/>
            </a:ln>
          </c:spPr>
          <c:marker>
            <c:symbol val="none"/>
          </c:marker>
          <c:val>
            <c:numRef>
              <c:f>'Solar cells'!$D$87:$AA$87</c:f>
              <c:numCache>
                <c:formatCode>#,##0</c:formatCode>
                <c:ptCount val="24"/>
                <c:pt idx="0">
                  <c:v>784.68097762013826</c:v>
                </c:pt>
                <c:pt idx="1">
                  <c:v>855.6724369853946</c:v>
                </c:pt>
                <c:pt idx="2">
                  <c:v>953.14852759468602</c:v>
                </c:pt>
                <c:pt idx="3">
                  <c:v>1087.5172534846301</c:v>
                </c:pt>
                <c:pt idx="4">
                  <c:v>1262.9255729699871</c:v>
                </c:pt>
                <c:pt idx="5">
                  <c:v>1451.2390955652936</c:v>
                </c:pt>
                <c:pt idx="6">
                  <c:v>1649.4829985454187</c:v>
                </c:pt>
                <c:pt idx="7">
                  <c:v>1862.8664640152797</c:v>
                </c:pt>
                <c:pt idx="8">
                  <c:v>2089.4050232827226</c:v>
                </c:pt>
                <c:pt idx="9">
                  <c:v>2332.3908468084292</c:v>
                </c:pt>
                <c:pt idx="10">
                  <c:v>2593.4231126915379</c:v>
                </c:pt>
                <c:pt idx="11">
                  <c:v>2873.8045279462408</c:v>
                </c:pt>
                <c:pt idx="12">
                  <c:v>3169.3559278115617</c:v>
                </c:pt>
                <c:pt idx="13">
                  <c:v>3481.4225725244587</c:v>
                </c:pt>
                <c:pt idx="14">
                  <c:v>3811.7261120008975</c:v>
                </c:pt>
                <c:pt idx="15">
                  <c:v>4137.6473425710265</c:v>
                </c:pt>
                <c:pt idx="16">
                  <c:v>4457.773637562379</c:v>
                </c:pt>
                <c:pt idx="17">
                  <c:v>4774.7024720521003</c:v>
                </c:pt>
                <c:pt idx="18">
                  <c:v>5088.6374121737072</c:v>
                </c:pt>
                <c:pt idx="19">
                  <c:v>5399.8372446232224</c:v>
                </c:pt>
                <c:pt idx="20">
                  <c:v>5709.4858411525865</c:v>
                </c:pt>
                <c:pt idx="21">
                  <c:v>6017.6318030252114</c:v>
                </c:pt>
                <c:pt idx="22">
                  <c:v>6322.9864853508861</c:v>
                </c:pt>
                <c:pt idx="23">
                  <c:v>6625.5205209925016</c:v>
                </c:pt>
              </c:numCache>
            </c:numRef>
          </c:val>
          <c:smooth val="0"/>
          <c:extLst>
            <c:ext xmlns:c16="http://schemas.microsoft.com/office/drawing/2014/chart" uri="{C3380CC4-5D6E-409C-BE32-E72D297353CC}">
              <c16:uniqueId val="{00000005-097F-1145-84F5-45479BC1E579}"/>
            </c:ext>
          </c:extLst>
        </c:ser>
        <c:dLbls>
          <c:showLegendKey val="0"/>
          <c:showVal val="0"/>
          <c:showCatName val="0"/>
          <c:showSerName val="0"/>
          <c:showPercent val="0"/>
          <c:showBubbleSize val="0"/>
        </c:dLbls>
        <c:marker val="1"/>
        <c:smooth val="0"/>
        <c:axId val="115985024"/>
        <c:axId val="116261248"/>
      </c:lineChart>
      <c:catAx>
        <c:axId val="115985024"/>
        <c:scaling>
          <c:orientation val="minMax"/>
        </c:scaling>
        <c:delete val="0"/>
        <c:axPos val="b"/>
        <c:numFmt formatCode="General" sourceLinked="1"/>
        <c:majorTickMark val="out"/>
        <c:minorTickMark val="none"/>
        <c:tickLblPos val="nextTo"/>
        <c:crossAx val="116261248"/>
        <c:crosses val="autoZero"/>
        <c:auto val="1"/>
        <c:lblAlgn val="ctr"/>
        <c:lblOffset val="100"/>
        <c:noMultiLvlLbl val="0"/>
      </c:catAx>
      <c:valAx>
        <c:axId val="116261248"/>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115985024"/>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Full load hours - solar cells</a:t>
            </a:r>
          </a:p>
        </c:rich>
      </c:tx>
      <c:overlay val="0"/>
    </c:title>
    <c:autoTitleDeleted val="0"/>
    <c:plotArea>
      <c:layout>
        <c:manualLayout>
          <c:layoutTarget val="inner"/>
          <c:xMode val="edge"/>
          <c:yMode val="edge"/>
          <c:x val="0.11630965065111334"/>
          <c:y val="0.10403805514271268"/>
          <c:w val="0.86227981015273358"/>
          <c:h val="0.63935091277890466"/>
        </c:manualLayout>
      </c:layout>
      <c:scatterChart>
        <c:scatterStyle val="lineMarker"/>
        <c:varyColors val="0"/>
        <c:ser>
          <c:idx val="1"/>
          <c:order val="0"/>
          <c:tx>
            <c:strRef>
              <c:f>'Solar cells'!$B$41</c:f>
              <c:strCache>
                <c:ptCount val="1"/>
                <c:pt idx="0">
                  <c:v>Household units</c:v>
                </c:pt>
              </c:strCache>
            </c:strRef>
          </c:tx>
          <c:spPr>
            <a:ln>
              <a:solidFill>
                <a:schemeClr val="accent1"/>
              </a:solidFill>
            </a:ln>
          </c:spPr>
          <c:marker>
            <c:symbol val="none"/>
          </c:marker>
          <c:xVal>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'Solar cells'!$D$41:$AA$41</c:f>
              <c:numCache>
                <c:formatCode>#,##0</c:formatCode>
                <c:ptCount val="24"/>
                <c:pt idx="0">
                  <c:v>806.84860562507265</c:v>
                </c:pt>
                <c:pt idx="1">
                  <c:v>813.75045744817271</c:v>
                </c:pt>
                <c:pt idx="2">
                  <c:v>825.30237214582291</c:v>
                </c:pt>
                <c:pt idx="3">
                  <c:v>828.90719365645703</c:v>
                </c:pt>
                <c:pt idx="4">
                  <c:v>834.64388170505151</c:v>
                </c:pt>
                <c:pt idx="5">
                  <c:v>843.7628306849997</c:v>
                </c:pt>
                <c:pt idx="6">
                  <c:v>856.00152839561827</c:v>
                </c:pt>
                <c:pt idx="7">
                  <c:v>872.16243330703082</c:v>
                </c:pt>
                <c:pt idx="8">
                  <c:v>895.74706717673678</c:v>
                </c:pt>
                <c:pt idx="9">
                  <c:v>925.5688256532676</c:v>
                </c:pt>
                <c:pt idx="10">
                  <c:v>961.72765869160526</c:v>
                </c:pt>
                <c:pt idx="11">
                  <c:v>1003.791010243858</c:v>
                </c:pt>
                <c:pt idx="12">
                  <c:v>1049.517500643517</c:v>
                </c:pt>
                <c:pt idx="13">
                  <c:v>1097.2253307870897</c:v>
                </c:pt>
                <c:pt idx="14">
                  <c:v>1145.7342003650945</c:v>
                </c:pt>
                <c:pt idx="15">
                  <c:v>1186.1823953717878</c:v>
                </c:pt>
                <c:pt idx="16">
                  <c:v>1220.4331945069466</c:v>
                </c:pt>
                <c:pt idx="17">
                  <c:v>1249.7269450105507</c:v>
                </c:pt>
                <c:pt idx="18">
                  <c:v>1275.3427963585632</c:v>
                </c:pt>
                <c:pt idx="19">
                  <c:v>1298.0368269585711</c:v>
                </c:pt>
                <c:pt idx="20">
                  <c:v>1318.1025750998042</c:v>
                </c:pt>
                <c:pt idx="21">
                  <c:v>1335.6432383713063</c:v>
                </c:pt>
                <c:pt idx="22">
                  <c:v>1351.3279063580103</c:v>
                </c:pt>
                <c:pt idx="23">
                  <c:v>1365.4051276017794</c:v>
                </c:pt>
              </c:numCache>
            </c:numRef>
          </c:yVal>
          <c:smooth val="0"/>
          <c:extLst>
            <c:ext xmlns:c16="http://schemas.microsoft.com/office/drawing/2014/chart" uri="{C3380CC4-5D6E-409C-BE32-E72D297353CC}">
              <c16:uniqueId val="{00000000-8081-3C4B-811E-76A26D75CA7F}"/>
            </c:ext>
          </c:extLst>
        </c:ser>
        <c:ser>
          <c:idx val="0"/>
          <c:order val="1"/>
          <c:tx>
            <c:v>Household units, AF2016</c:v>
          </c:tx>
          <c:spPr>
            <a:ln>
              <a:solidFill>
                <a:schemeClr val="accent1">
                  <a:lumMod val="75000"/>
                </a:schemeClr>
              </a:solidFill>
              <a:prstDash val="sysDash"/>
            </a:ln>
          </c:spPr>
          <c:marker>
            <c:symbol val="none"/>
          </c:marker>
          <c:xVal>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'Solar cells'!$D$82:$AA$82</c:f>
              <c:numCache>
                <c:formatCode>#,##0</c:formatCode>
                <c:ptCount val="24"/>
                <c:pt idx="0">
                  <c:v>824.14963312807924</c:v>
                </c:pt>
                <c:pt idx="1">
                  <c:v>837.3505048996185</c:v>
                </c:pt>
                <c:pt idx="2">
                  <c:v>851.82827518091142</c:v>
                </c:pt>
                <c:pt idx="3">
                  <c:v>877.03132298302717</c:v>
                </c:pt>
                <c:pt idx="4">
                  <c:v>908.47834519008143</c:v>
                </c:pt>
                <c:pt idx="5">
                  <c:v>942.43083280268331</c:v>
                </c:pt>
                <c:pt idx="6">
                  <c:v>976.22015133408695</c:v>
                </c:pt>
                <c:pt idx="7">
                  <c:v>1011.1032080438183</c:v>
                </c:pt>
                <c:pt idx="8">
                  <c:v>1044.8667070838246</c:v>
                </c:pt>
                <c:pt idx="9">
                  <c:v>1078.052700723855</c:v>
                </c:pt>
                <c:pt idx="10">
                  <c:v>1110.5073284330952</c:v>
                </c:pt>
                <c:pt idx="11">
                  <c:v>1141.1455079211999</c:v>
                </c:pt>
                <c:pt idx="12">
                  <c:v>1169.3213328950744</c:v>
                </c:pt>
                <c:pt idx="13">
                  <c:v>1194.5557922164928</c:v>
                </c:pt>
                <c:pt idx="14">
                  <c:v>1217.003384201319</c:v>
                </c:pt>
                <c:pt idx="15">
                  <c:v>1235.5486360289487</c:v>
                </c:pt>
                <c:pt idx="16">
                  <c:v>1251.1131466350726</c:v>
                </c:pt>
                <c:pt idx="17">
                  <c:v>1264.5241282099182</c:v>
                </c:pt>
                <c:pt idx="18">
                  <c:v>1276.2623679927608</c:v>
                </c:pt>
                <c:pt idx="19">
                  <c:v>1286.7194170051171</c:v>
                </c:pt>
                <c:pt idx="20">
                  <c:v>1296.0024197456764</c:v>
                </c:pt>
                <c:pt idx="21">
                  <c:v>1304.4492090908386</c:v>
                </c:pt>
                <c:pt idx="22">
                  <c:v>1312.0028873083031</c:v>
                </c:pt>
                <c:pt idx="23">
                  <c:v>1318.8912667376201</c:v>
                </c:pt>
              </c:numCache>
            </c:numRef>
          </c:yVal>
          <c:smooth val="0"/>
          <c:extLst>
            <c:ext xmlns:c16="http://schemas.microsoft.com/office/drawing/2014/chart" uri="{C3380CC4-5D6E-409C-BE32-E72D297353CC}">
              <c16:uniqueId val="{00000001-8081-3C4B-811E-76A26D75CA7F}"/>
            </c:ext>
          </c:extLst>
        </c:ser>
        <c:ser>
          <c:idx val="2"/>
          <c:order val="2"/>
          <c:tx>
            <c:strRef>
              <c:f>'Solar cells'!$B$42</c:f>
              <c:strCache>
                <c:ptCount val="1"/>
                <c:pt idx="0">
                  <c:v>Commercial units</c:v>
                </c:pt>
              </c:strCache>
            </c:strRef>
          </c:tx>
          <c:spPr>
            <a:ln>
              <a:solidFill>
                <a:schemeClr val="accent2">
                  <a:lumMod val="20000"/>
                  <a:lumOff val="80000"/>
                </a:schemeClr>
              </a:solidFill>
            </a:ln>
          </c:spPr>
          <c:marker>
            <c:symbol val="none"/>
          </c:marker>
          <c:xVal>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'Solar cells'!$D$42:$AA$42</c:f>
              <c:numCache>
                <c:formatCode>#,##0</c:formatCode>
                <c:ptCount val="24"/>
                <c:pt idx="0">
                  <c:v>1041.3200023580725</c:v>
                </c:pt>
                <c:pt idx="1">
                  <c:v>1042.0742046193341</c:v>
                </c:pt>
                <c:pt idx="2">
                  <c:v>1044.1322238635555</c:v>
                </c:pt>
                <c:pt idx="3">
                  <c:v>1047.9559693866881</c:v>
                </c:pt>
                <c:pt idx="4">
                  <c:v>1054.3357169053743</c:v>
                </c:pt>
                <c:pt idx="5">
                  <c:v>1060.6318255381464</c:v>
                </c:pt>
                <c:pt idx="6">
                  <c:v>1066.6284613460464</c:v>
                </c:pt>
                <c:pt idx="7">
                  <c:v>1072.206233588385</c:v>
                </c:pt>
                <c:pt idx="8">
                  <c:v>1077.4453245862553</c:v>
                </c:pt>
                <c:pt idx="9">
                  <c:v>1082.6766021494573</c:v>
                </c:pt>
                <c:pt idx="10">
                  <c:v>1087.6588956121484</c:v>
                </c:pt>
                <c:pt idx="11">
                  <c:v>1092.1397889938651</c:v>
                </c:pt>
                <c:pt idx="12">
                  <c:v>1096.0418049499322</c:v>
                </c:pt>
                <c:pt idx="13">
                  <c:v>1099.5111862596434</c:v>
                </c:pt>
                <c:pt idx="14">
                  <c:v>1102.5737463237015</c:v>
                </c:pt>
                <c:pt idx="15">
                  <c:v>1105.1093470108744</c:v>
                </c:pt>
                <c:pt idx="16">
                  <c:v>1107.2014744673654</c:v>
                </c:pt>
                <c:pt idx="17">
                  <c:v>1108.9715698546236</c:v>
                </c:pt>
                <c:pt idx="18">
                  <c:v>1110.4945728745313</c:v>
                </c:pt>
                <c:pt idx="19">
                  <c:v>1111.802702526674</c:v>
                </c:pt>
                <c:pt idx="20">
                  <c:v>1112.9609291603845</c:v>
                </c:pt>
                <c:pt idx="21">
                  <c:v>1113.9761315482995</c:v>
                </c:pt>
                <c:pt idx="22">
                  <c:v>1114.9168303493045</c:v>
                </c:pt>
                <c:pt idx="23">
                  <c:v>1115.7726103797354</c:v>
                </c:pt>
              </c:numCache>
            </c:numRef>
          </c:yVal>
          <c:smooth val="0"/>
          <c:extLst>
            <c:ext xmlns:c16="http://schemas.microsoft.com/office/drawing/2014/chart" uri="{C3380CC4-5D6E-409C-BE32-E72D297353CC}">
              <c16:uniqueId val="{00000002-8081-3C4B-811E-76A26D75CA7F}"/>
            </c:ext>
          </c:extLst>
        </c:ser>
        <c:ser>
          <c:idx val="3"/>
          <c:order val="3"/>
          <c:tx>
            <c:v>Commercial units, AF2016</c:v>
          </c:tx>
          <c:spPr>
            <a:ln>
              <a:solidFill>
                <a:schemeClr val="accent2">
                  <a:lumMod val="40000"/>
                  <a:lumOff val="60000"/>
                </a:schemeClr>
              </a:solidFill>
              <a:prstDash val="sysDash"/>
            </a:ln>
          </c:spPr>
          <c:marker>
            <c:symbol val="none"/>
          </c:marker>
          <c:xVal>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'Solar cells'!$D$83:$AA$83</c:f>
              <c:numCache>
                <c:formatCode>#,##0</c:formatCode>
                <c:ptCount val="24"/>
                <c:pt idx="0">
                  <c:v>1042.8304987046595</c:v>
                </c:pt>
                <c:pt idx="1">
                  <c:v>1048.3810236584691</c:v>
                </c:pt>
                <c:pt idx="2">
                  <c:v>1056.0729493769204</c:v>
                </c:pt>
                <c:pt idx="3">
                  <c:v>1065.9908934713003</c:v>
                </c:pt>
                <c:pt idx="4">
                  <c:v>1085.2518558652696</c:v>
                </c:pt>
                <c:pt idx="5">
                  <c:v>1099.3077131508503</c:v>
                </c:pt>
                <c:pt idx="6">
                  <c:v>1110.4541918504281</c:v>
                </c:pt>
                <c:pt idx="7">
                  <c:v>1119.6076774430094</c:v>
                </c:pt>
                <c:pt idx="8">
                  <c:v>1127.5265502320121</c:v>
                </c:pt>
                <c:pt idx="9">
                  <c:v>1134.4785972939733</c:v>
                </c:pt>
                <c:pt idx="10">
                  <c:v>1140.810175759073</c:v>
                </c:pt>
                <c:pt idx="11">
                  <c:v>1146.6960037503936</c:v>
                </c:pt>
                <c:pt idx="12">
                  <c:v>1152.2070264956155</c:v>
                </c:pt>
                <c:pt idx="13">
                  <c:v>1157.5551701576235</c:v>
                </c:pt>
                <c:pt idx="14">
                  <c:v>1162.6535101068373</c:v>
                </c:pt>
                <c:pt idx="15">
                  <c:v>1167.3963503953885</c:v>
                </c:pt>
                <c:pt idx="16">
                  <c:v>1171.8757968940595</c:v>
                </c:pt>
                <c:pt idx="17">
                  <c:v>1176.1264607848273</c:v>
                </c:pt>
                <c:pt idx="18">
                  <c:v>1180.2400767315307</c:v>
                </c:pt>
                <c:pt idx="19">
                  <c:v>1184.2579936932232</c:v>
                </c:pt>
                <c:pt idx="20">
                  <c:v>1188.2057554472767</c:v>
                </c:pt>
                <c:pt idx="21">
                  <c:v>1192.1208365520927</c:v>
                </c:pt>
                <c:pt idx="22">
                  <c:v>1196.0529092471741</c:v>
                </c:pt>
                <c:pt idx="23">
                  <c:v>1199.9621620908069</c:v>
                </c:pt>
              </c:numCache>
            </c:numRef>
          </c:yVal>
          <c:smooth val="0"/>
          <c:extLst>
            <c:ext xmlns:c16="http://schemas.microsoft.com/office/drawing/2014/chart" uri="{C3380CC4-5D6E-409C-BE32-E72D297353CC}">
              <c16:uniqueId val="{00000003-8081-3C4B-811E-76A26D75CA7F}"/>
            </c:ext>
          </c:extLst>
        </c:ser>
        <c:ser>
          <c:idx val="4"/>
          <c:order val="4"/>
          <c:tx>
            <c:strRef>
              <c:f>'Solar cells'!$B$43</c:f>
              <c:strCache>
                <c:ptCount val="1"/>
                <c:pt idx="0">
                  <c:v>Field system</c:v>
                </c:pt>
              </c:strCache>
            </c:strRef>
          </c:tx>
          <c:spPr>
            <a:ln>
              <a:solidFill>
                <a:schemeClr val="bg2"/>
              </a:solidFill>
            </a:ln>
          </c:spPr>
          <c:marker>
            <c:symbol val="none"/>
          </c:marker>
          <c:xVal>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'Solar cells'!$D$43:$AA$43</c:f>
              <c:numCache>
                <c:formatCode>#,##0</c:formatCode>
                <c:ptCount val="24"/>
                <c:pt idx="0">
                  <c:v>1140.5999166426793</c:v>
                </c:pt>
                <c:pt idx="1">
                  <c:v>1142.0154866780772</c:v>
                </c:pt>
                <c:pt idx="2">
                  <c:v>1142.104477661157</c:v>
                </c:pt>
                <c:pt idx="3">
                  <c:v>1142.3138840819761</c:v>
                </c:pt>
                <c:pt idx="4">
                  <c:v>1142.6526302937514</c:v>
                </c:pt>
                <c:pt idx="5">
                  <c:v>1142.9574626685012</c:v>
                </c:pt>
                <c:pt idx="6">
                  <c:v>1143.3536149050428</c:v>
                </c:pt>
                <c:pt idx="7">
                  <c:v>1143.8759557890876</c:v>
                </c:pt>
                <c:pt idx="8">
                  <c:v>1143.5037678782726</c:v>
                </c:pt>
                <c:pt idx="9">
                  <c:v>1144.0214930392747</c:v>
                </c:pt>
                <c:pt idx="10">
                  <c:v>1145.389072282295</c:v>
                </c:pt>
                <c:pt idx="11">
                  <c:v>1146.4315120471654</c:v>
                </c:pt>
                <c:pt idx="12">
                  <c:v>1148.9209216821102</c:v>
                </c:pt>
                <c:pt idx="13">
                  <c:v>1154.5424228079876</c:v>
                </c:pt>
                <c:pt idx="14">
                  <c:v>1160.5402399143088</c:v>
                </c:pt>
                <c:pt idx="15">
                  <c:v>1167.4071609458495</c:v>
                </c:pt>
                <c:pt idx="16">
                  <c:v>1174.2140659701088</c:v>
                </c:pt>
                <c:pt idx="17">
                  <c:v>1181.519960196169</c:v>
                </c:pt>
                <c:pt idx="18">
                  <c:v>1185.6873914410544</c:v>
                </c:pt>
                <c:pt idx="19">
                  <c:v>1189.0222778051398</c:v>
                </c:pt>
                <c:pt idx="20">
                  <c:v>1192.9300738393558</c:v>
                </c:pt>
                <c:pt idx="21">
                  <c:v>1196.5630421176049</c:v>
                </c:pt>
                <c:pt idx="22">
                  <c:v>1200.3449990160361</c:v>
                </c:pt>
                <c:pt idx="23">
                  <c:v>1203.796090513234</c:v>
                </c:pt>
              </c:numCache>
            </c:numRef>
          </c:yVal>
          <c:smooth val="0"/>
          <c:extLst>
            <c:ext xmlns:c16="http://schemas.microsoft.com/office/drawing/2014/chart" uri="{C3380CC4-5D6E-409C-BE32-E72D297353CC}">
              <c16:uniqueId val="{00000004-8081-3C4B-811E-76A26D75CA7F}"/>
            </c:ext>
          </c:extLst>
        </c:ser>
        <c:ser>
          <c:idx val="6"/>
          <c:order val="5"/>
          <c:tx>
            <c:v>Field system, AF2016</c:v>
          </c:tx>
          <c:spPr>
            <a:ln>
              <a:solidFill>
                <a:schemeClr val="bg2">
                  <a:lumMod val="75000"/>
                </a:schemeClr>
              </a:solidFill>
              <a:prstDash val="sysDash"/>
            </a:ln>
          </c:spPr>
          <c:marker>
            <c:symbol val="none"/>
          </c:marker>
          <c:xVal>
            <c:numRef>
              <c:f>'Solar cells'!$D$48:$AA$48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'Solar cells'!$D$84:$AA$84</c:f>
              <c:numCache>
                <c:formatCode>#,##0</c:formatCode>
                <c:ptCount val="24"/>
                <c:pt idx="0">
                  <c:v>1151.2719400355606</c:v>
                </c:pt>
                <c:pt idx="1">
                  <c:v>1152.8248296824379</c:v>
                </c:pt>
                <c:pt idx="2">
                  <c:v>1155.9610434537801</c:v>
                </c:pt>
                <c:pt idx="3">
                  <c:v>1160.4812605958316</c:v>
                </c:pt>
                <c:pt idx="4">
                  <c:v>1167.3578013092729</c:v>
                </c:pt>
                <c:pt idx="5">
                  <c:v>1173.1135565045493</c:v>
                </c:pt>
                <c:pt idx="6">
                  <c:v>1177.7400829879452</c:v>
                </c:pt>
                <c:pt idx="7">
                  <c:v>1181.8284219718553</c:v>
                </c:pt>
                <c:pt idx="8">
                  <c:v>1185.4243911278381</c:v>
                </c:pt>
                <c:pt idx="9">
                  <c:v>1188.6079356914076</c:v>
                </c:pt>
                <c:pt idx="10">
                  <c:v>1191.5486005591501</c:v>
                </c:pt>
                <c:pt idx="11">
                  <c:v>1194.3377435264561</c:v>
                </c:pt>
                <c:pt idx="12">
                  <c:v>1196.9785302281916</c:v>
                </c:pt>
                <c:pt idx="13">
                  <c:v>1199.5351213475653</c:v>
                </c:pt>
                <c:pt idx="14">
                  <c:v>1201.9387388987857</c:v>
                </c:pt>
                <c:pt idx="15">
                  <c:v>1204.1543790668306</c:v>
                </c:pt>
                <c:pt idx="16">
                  <c:v>1206.2217973578445</c:v>
                </c:pt>
                <c:pt idx="17">
                  <c:v>1208.1394335338055</c:v>
                </c:pt>
                <c:pt idx="18">
                  <c:v>1209.979918236455</c:v>
                </c:pt>
                <c:pt idx="19">
                  <c:v>1211.7114190564459</c:v>
                </c:pt>
                <c:pt idx="20">
                  <c:v>1213.3917986045019</c:v>
                </c:pt>
                <c:pt idx="21">
                  <c:v>1215.0279021964734</c:v>
                </c:pt>
                <c:pt idx="22">
                  <c:v>1216.6254543431091</c:v>
                </c:pt>
                <c:pt idx="23">
                  <c:v>1218.1892774270691</c:v>
                </c:pt>
              </c:numCache>
            </c:numRef>
          </c:yVal>
          <c:smooth val="0"/>
          <c:extLst>
            <c:ext xmlns:c16="http://schemas.microsoft.com/office/drawing/2014/chart" uri="{C3380CC4-5D6E-409C-BE32-E72D297353CC}">
              <c16:uniqueId val="{00000005-8081-3C4B-811E-76A26D75CA7F}"/>
            </c:ext>
          </c:extLst>
        </c:ser>
        <c:dLbls>
          <c:showLegendKey val="0"/>
          <c:showVal val="0"/>
          <c:showCatName val="0"/>
          <c:showSerName val="0"/>
          <c:showPercent val="0"/>
          <c:showBubbleSize val="0"/>
        </c:dLbls>
        <c:axId val="116307072"/>
        <c:axId val="116308608"/>
      </c:scatterChart>
      <c:valAx>
        <c:axId val="116307072"/>
        <c:scaling>
          <c:orientation val="minMax"/>
          <c:max val="2040"/>
          <c:min val="2017"/>
        </c:scaling>
        <c:delete val="0"/>
        <c:axPos val="b"/>
        <c:numFmt formatCode="General" sourceLinked="1"/>
        <c:majorTickMark val="out"/>
        <c:minorTickMark val="none"/>
        <c:tickLblPos val="nextTo"/>
        <c:txPr>
          <a:bodyPr rot="-5400000" vert="horz"/>
          <a:lstStyle/>
          <a:p>
            <a:pPr>
              <a:defRPr/>
            </a:pPr>
            <a:endParaRPr lang="en-US"/>
          </a:p>
        </c:txPr>
        <c:crossAx val="116308608"/>
        <c:crosses val="autoZero"/>
        <c:crossBetween val="midCat"/>
        <c:majorUnit val="1"/>
      </c:valAx>
      <c:valAx>
        <c:axId val="116308608"/>
        <c:scaling>
          <c:orientation val="minMax"/>
        </c:scaling>
        <c:delete val="0"/>
        <c:axPos val="l"/>
        <c:title>
          <c:tx>
            <c:rich>
              <a:bodyPr rot="-5400000" vert="horz"/>
              <a:lstStyle/>
              <a:p>
                <a:pPr>
                  <a:defRPr/>
                </a:pPr>
                <a:r>
                  <a:rPr lang="da-DK"/>
                  <a:t>Full-load hours</a:t>
                </a:r>
                <a:r>
                  <a:rPr lang="da-DK" baseline="0"/>
                  <a:t> (average)</a:t>
                </a:r>
                <a:endParaRPr lang="da-DK"/>
              </a:p>
            </c:rich>
          </c:tx>
          <c:overlay val="0"/>
        </c:title>
        <c:numFmt formatCode="#,##0" sourceLinked="1"/>
        <c:majorTickMark val="out"/>
        <c:minorTickMark val="none"/>
        <c:tickLblPos val="nextTo"/>
        <c:crossAx val="116307072"/>
        <c:crosses val="autoZero"/>
        <c:crossBetween val="midCat"/>
      </c:valAx>
    </c:plotArea>
    <c:legend>
      <c:legendPos val="b"/>
      <c:layout>
        <c:manualLayout>
          <c:xMode val="edge"/>
          <c:yMode val="edge"/>
          <c:x val="0.22188016105875039"/>
          <c:y val="0.86927832183986631"/>
          <c:w val="0.6574529826398382"/>
          <c:h val="0.13026508245005911"/>
        </c:manualLayout>
      </c:layout>
      <c:overlay val="0"/>
    </c:legend>
    <c:plotVisOnly val="1"/>
    <c:dispBlanksAs val="zero"/>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Wind power capacities</a:t>
            </a:r>
          </a:p>
        </c:rich>
      </c:tx>
      <c:overlay val="0"/>
    </c:title>
    <c:autoTitleDeleted val="0"/>
    <c:plotArea>
      <c:layout>
        <c:manualLayout>
          <c:layoutTarget val="inner"/>
          <c:xMode val="edge"/>
          <c:yMode val="edge"/>
          <c:x val="8.8407333333333338E-2"/>
          <c:y val="7.2117156862745099E-2"/>
          <c:w val="0.88478155555555571"/>
          <c:h val="0.68534738562091502"/>
        </c:manualLayout>
      </c:layout>
      <c:lineChart>
        <c:grouping val="standard"/>
        <c:varyColors val="0"/>
        <c:ser>
          <c:idx val="8"/>
          <c:order val="0"/>
          <c:tx>
            <c:v>Land-based AF17</c:v>
          </c:tx>
          <c:spPr>
            <a:ln>
              <a:solidFill>
                <a:schemeClr val="bg2"/>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turbines'!$D$216:$AA$216</c:f>
              <c:numCache>
                <c:formatCode>#,##0</c:formatCode>
                <c:ptCount val="24"/>
                <c:pt idx="0">
                  <c:v>3974.0410000000002</c:v>
                </c:pt>
                <c:pt idx="1">
                  <c:v>4118.0842000000002</c:v>
                </c:pt>
                <c:pt idx="2">
                  <c:v>4147.4452999999994</c:v>
                </c:pt>
                <c:pt idx="3">
                  <c:v>4231.8063999999995</c:v>
                </c:pt>
                <c:pt idx="4">
                  <c:v>4298.4142857142861</c:v>
                </c:pt>
                <c:pt idx="5">
                  <c:v>4415.0221714285726</c:v>
                </c:pt>
                <c:pt idx="6">
                  <c:v>4458.5647714285724</c:v>
                </c:pt>
                <c:pt idx="7">
                  <c:v>4552.1073714285722</c:v>
                </c:pt>
                <c:pt idx="8">
                  <c:v>4645.6499714285719</c:v>
                </c:pt>
                <c:pt idx="9">
                  <c:v>4739.1925714285717</c:v>
                </c:pt>
                <c:pt idx="10">
                  <c:v>4814.1925714285717</c:v>
                </c:pt>
                <c:pt idx="11">
                  <c:v>4889.1925714285708</c:v>
                </c:pt>
                <c:pt idx="12">
                  <c:v>4964.1925714285717</c:v>
                </c:pt>
                <c:pt idx="13">
                  <c:v>5039.1925714285717</c:v>
                </c:pt>
                <c:pt idx="14">
                  <c:v>5114.1925714285717</c:v>
                </c:pt>
                <c:pt idx="15">
                  <c:v>5189.1925714285717</c:v>
                </c:pt>
                <c:pt idx="16">
                  <c:v>5264.1925714285717</c:v>
                </c:pt>
                <c:pt idx="17">
                  <c:v>5339.1925714285717</c:v>
                </c:pt>
                <c:pt idx="18">
                  <c:v>5414.1925714285717</c:v>
                </c:pt>
                <c:pt idx="19">
                  <c:v>5489.1925714285708</c:v>
                </c:pt>
                <c:pt idx="20">
                  <c:v>5564.1925714285717</c:v>
                </c:pt>
                <c:pt idx="21">
                  <c:v>5639.1925714285708</c:v>
                </c:pt>
                <c:pt idx="22">
                  <c:v>5714.1925714285708</c:v>
                </c:pt>
                <c:pt idx="23">
                  <c:v>5789.1925714285708</c:v>
                </c:pt>
              </c:numCache>
            </c:numRef>
          </c:val>
          <c:smooth val="0"/>
          <c:extLst>
            <c:ext xmlns:c16="http://schemas.microsoft.com/office/drawing/2014/chart" uri="{C3380CC4-5D6E-409C-BE32-E72D297353CC}">
              <c16:uniqueId val="{00000000-DE85-9349-A313-7B5725FE8BBC}"/>
            </c:ext>
          </c:extLst>
        </c:ser>
        <c:ser>
          <c:idx val="4"/>
          <c:order val="1"/>
          <c:tx>
            <c:v>Land-based AF16</c:v>
          </c:tx>
          <c:spPr>
            <a:ln>
              <a:solidFill>
                <a:schemeClr val="bg2"/>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turbines'!$D$247:$AA$247</c:f>
              <c:numCache>
                <c:formatCode>#,##0</c:formatCode>
                <c:ptCount val="24"/>
                <c:pt idx="0">
                  <c:v>3951.4791000000005</c:v>
                </c:pt>
                <c:pt idx="1">
                  <c:v>4095.8402000000006</c:v>
                </c:pt>
                <c:pt idx="2">
                  <c:v>4220.8401999999996</c:v>
                </c:pt>
                <c:pt idx="3">
                  <c:v>4345.8402000000006</c:v>
                </c:pt>
                <c:pt idx="4">
                  <c:v>4470.8402000000006</c:v>
                </c:pt>
                <c:pt idx="5">
                  <c:v>4595.8401999999996</c:v>
                </c:pt>
                <c:pt idx="6">
                  <c:v>4720.8401999999996</c:v>
                </c:pt>
                <c:pt idx="7">
                  <c:v>4845.8401999999996</c:v>
                </c:pt>
                <c:pt idx="8">
                  <c:v>4970.8402000000006</c:v>
                </c:pt>
                <c:pt idx="9">
                  <c:v>5095.8402000000006</c:v>
                </c:pt>
                <c:pt idx="10">
                  <c:v>5220.8402000000006</c:v>
                </c:pt>
                <c:pt idx="11">
                  <c:v>5345.8402000000006</c:v>
                </c:pt>
                <c:pt idx="12">
                  <c:v>5470.8401999999996</c:v>
                </c:pt>
                <c:pt idx="13">
                  <c:v>5595.8401999999996</c:v>
                </c:pt>
                <c:pt idx="14">
                  <c:v>5720.8401999999996</c:v>
                </c:pt>
                <c:pt idx="15">
                  <c:v>5845.8401999999996</c:v>
                </c:pt>
                <c:pt idx="16">
                  <c:v>5970.8401999999987</c:v>
                </c:pt>
                <c:pt idx="17">
                  <c:v>6095.8401999999987</c:v>
                </c:pt>
                <c:pt idx="18">
                  <c:v>6220.8401999999987</c:v>
                </c:pt>
                <c:pt idx="19">
                  <c:v>6345.8401999999987</c:v>
                </c:pt>
                <c:pt idx="20">
                  <c:v>6470.8401999999987</c:v>
                </c:pt>
                <c:pt idx="21">
                  <c:v>6595.8401999999996</c:v>
                </c:pt>
                <c:pt idx="22">
                  <c:v>6720.8401999999996</c:v>
                </c:pt>
                <c:pt idx="23">
                  <c:v>6845.8401999999996</c:v>
                </c:pt>
              </c:numCache>
            </c:numRef>
          </c:val>
          <c:smooth val="0"/>
          <c:extLst>
            <c:ext xmlns:c16="http://schemas.microsoft.com/office/drawing/2014/chart" uri="{C3380CC4-5D6E-409C-BE32-E72D297353CC}">
              <c16:uniqueId val="{00000001-DE85-9349-A313-7B5725FE8BBC}"/>
            </c:ext>
          </c:extLst>
        </c:ser>
        <c:ser>
          <c:idx val="0"/>
          <c:order val="2"/>
          <c:tx>
            <c:v>Land-based AF15</c:v>
          </c:tx>
          <c:spPr>
            <a:ln>
              <a:solidFill>
                <a:schemeClr val="bg2"/>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turbines'!$D$275:$V$275</c:f>
              <c:numCache>
                <c:formatCode>#,##0</c:formatCode>
                <c:ptCount val="19"/>
                <c:pt idx="0">
                  <c:v>3919.8395</c:v>
                </c:pt>
                <c:pt idx="1">
                  <c:v>3969.8395</c:v>
                </c:pt>
                <c:pt idx="2">
                  <c:v>4019.8395000000005</c:v>
                </c:pt>
                <c:pt idx="3">
                  <c:v>4069.8395</c:v>
                </c:pt>
                <c:pt idx="4">
                  <c:v>4119.8395</c:v>
                </c:pt>
                <c:pt idx="5">
                  <c:v>4169.8395</c:v>
                </c:pt>
                <c:pt idx="6">
                  <c:v>4219.8395</c:v>
                </c:pt>
                <c:pt idx="7">
                  <c:v>4269.8395</c:v>
                </c:pt>
                <c:pt idx="8">
                  <c:v>4319.8395</c:v>
                </c:pt>
                <c:pt idx="9">
                  <c:v>4369.8395</c:v>
                </c:pt>
                <c:pt idx="10">
                  <c:v>4419.8395</c:v>
                </c:pt>
                <c:pt idx="11">
                  <c:v>4469.839500000001</c:v>
                </c:pt>
                <c:pt idx="12">
                  <c:v>4519.8395</c:v>
                </c:pt>
                <c:pt idx="13">
                  <c:v>4569.8395</c:v>
                </c:pt>
                <c:pt idx="14">
                  <c:v>4619.8395</c:v>
                </c:pt>
                <c:pt idx="15">
                  <c:v>4626.1895000000004</c:v>
                </c:pt>
                <c:pt idx="16">
                  <c:v>4632.5394999999999</c:v>
                </c:pt>
                <c:pt idx="17">
                  <c:v>4638.8895000000002</c:v>
                </c:pt>
                <c:pt idx="18">
                  <c:v>4645.2394999999997</c:v>
                </c:pt>
              </c:numCache>
            </c:numRef>
          </c:val>
          <c:smooth val="0"/>
          <c:extLst>
            <c:ext xmlns:c16="http://schemas.microsoft.com/office/drawing/2014/chart" uri="{C3380CC4-5D6E-409C-BE32-E72D297353CC}">
              <c16:uniqueId val="{00000002-DE85-9349-A313-7B5725FE8BBC}"/>
            </c:ext>
          </c:extLst>
        </c:ser>
        <c:ser>
          <c:idx val="9"/>
          <c:order val="3"/>
          <c:tx>
            <c:v>Near-shore AF17</c:v>
          </c:tx>
          <c:spPr>
            <a:ln>
              <a:solidFill>
                <a:schemeClr val="accent1"/>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turbines'!$D$217:$AA$217</c:f>
              <c:numCache>
                <c:formatCode>#,##0</c:formatCode>
                <c:ptCount val="24"/>
                <c:pt idx="0">
                  <c:v>124.6</c:v>
                </c:pt>
                <c:pt idx="1">
                  <c:v>124.6</c:v>
                </c:pt>
                <c:pt idx="2">
                  <c:v>124.6</c:v>
                </c:pt>
                <c:pt idx="3">
                  <c:v>502.6</c:v>
                </c:pt>
                <c:pt idx="4">
                  <c:v>497.6</c:v>
                </c:pt>
                <c:pt idx="5">
                  <c:v>497.6</c:v>
                </c:pt>
                <c:pt idx="6">
                  <c:v>497.6</c:v>
                </c:pt>
                <c:pt idx="7">
                  <c:v>497.6</c:v>
                </c:pt>
                <c:pt idx="8">
                  <c:v>647.6</c:v>
                </c:pt>
                <c:pt idx="9">
                  <c:v>607.6</c:v>
                </c:pt>
                <c:pt idx="10">
                  <c:v>607.6</c:v>
                </c:pt>
                <c:pt idx="11">
                  <c:v>607.6</c:v>
                </c:pt>
                <c:pt idx="12">
                  <c:v>559.79999999999995</c:v>
                </c:pt>
                <c:pt idx="13">
                  <c:v>709.8</c:v>
                </c:pt>
                <c:pt idx="14">
                  <c:v>709.8</c:v>
                </c:pt>
                <c:pt idx="15">
                  <c:v>709.8</c:v>
                </c:pt>
                <c:pt idx="16">
                  <c:v>709.8</c:v>
                </c:pt>
                <c:pt idx="17">
                  <c:v>709.8</c:v>
                </c:pt>
                <c:pt idx="18">
                  <c:v>831.6</c:v>
                </c:pt>
                <c:pt idx="19">
                  <c:v>831.6</c:v>
                </c:pt>
                <c:pt idx="20">
                  <c:v>828</c:v>
                </c:pt>
                <c:pt idx="21">
                  <c:v>828</c:v>
                </c:pt>
                <c:pt idx="22">
                  <c:v>828</c:v>
                </c:pt>
                <c:pt idx="23">
                  <c:v>978</c:v>
                </c:pt>
              </c:numCache>
            </c:numRef>
          </c:val>
          <c:smooth val="0"/>
          <c:extLst>
            <c:ext xmlns:c16="http://schemas.microsoft.com/office/drawing/2014/chart" uri="{C3380CC4-5D6E-409C-BE32-E72D297353CC}">
              <c16:uniqueId val="{00000003-DE85-9349-A313-7B5725FE8BBC}"/>
            </c:ext>
          </c:extLst>
        </c:ser>
        <c:ser>
          <c:idx val="5"/>
          <c:order val="4"/>
          <c:tx>
            <c:v>Near-shore AF16</c:v>
          </c:tx>
          <c:spPr>
            <a:ln>
              <a:solidFill>
                <a:schemeClr val="accent1"/>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turbines'!$D$248:$AA$248</c:f>
              <c:numCache>
                <c:formatCode>#,##0</c:formatCode>
                <c:ptCount val="24"/>
                <c:pt idx="0">
                  <c:v>124.6</c:v>
                </c:pt>
                <c:pt idx="1">
                  <c:v>124.6</c:v>
                </c:pt>
                <c:pt idx="2">
                  <c:v>124.6</c:v>
                </c:pt>
                <c:pt idx="3">
                  <c:v>524.6</c:v>
                </c:pt>
                <c:pt idx="4">
                  <c:v>569.6</c:v>
                </c:pt>
                <c:pt idx="5">
                  <c:v>569.6</c:v>
                </c:pt>
                <c:pt idx="6">
                  <c:v>569.6</c:v>
                </c:pt>
                <c:pt idx="7">
                  <c:v>569.6</c:v>
                </c:pt>
                <c:pt idx="8">
                  <c:v>569.6</c:v>
                </c:pt>
                <c:pt idx="9">
                  <c:v>529.6</c:v>
                </c:pt>
                <c:pt idx="10">
                  <c:v>529.6</c:v>
                </c:pt>
                <c:pt idx="11">
                  <c:v>529.6</c:v>
                </c:pt>
                <c:pt idx="12">
                  <c:v>481.8</c:v>
                </c:pt>
                <c:pt idx="13">
                  <c:v>481.8</c:v>
                </c:pt>
                <c:pt idx="14">
                  <c:v>481.8</c:v>
                </c:pt>
                <c:pt idx="15">
                  <c:v>481.8</c:v>
                </c:pt>
                <c:pt idx="16">
                  <c:v>481.8</c:v>
                </c:pt>
                <c:pt idx="17">
                  <c:v>481.8</c:v>
                </c:pt>
                <c:pt idx="18">
                  <c:v>453.6</c:v>
                </c:pt>
                <c:pt idx="19">
                  <c:v>453.6</c:v>
                </c:pt>
                <c:pt idx="20">
                  <c:v>450</c:v>
                </c:pt>
                <c:pt idx="21">
                  <c:v>450</c:v>
                </c:pt>
                <c:pt idx="22">
                  <c:v>450</c:v>
                </c:pt>
                <c:pt idx="23">
                  <c:v>450</c:v>
                </c:pt>
              </c:numCache>
            </c:numRef>
          </c:val>
          <c:smooth val="0"/>
          <c:extLst>
            <c:ext xmlns:c16="http://schemas.microsoft.com/office/drawing/2014/chart" uri="{C3380CC4-5D6E-409C-BE32-E72D297353CC}">
              <c16:uniqueId val="{00000004-DE85-9349-A313-7B5725FE8BBC}"/>
            </c:ext>
          </c:extLst>
        </c:ser>
        <c:ser>
          <c:idx val="1"/>
          <c:order val="5"/>
          <c:tx>
            <c:v>Near-shore AF15</c:v>
          </c:tx>
          <c:spPr>
            <a:ln>
              <a:solidFill>
                <a:schemeClr val="accent1"/>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turbines'!$D$276:$V$276</c:f>
              <c:numCache>
                <c:formatCode>#,##0</c:formatCode>
                <c:ptCount val="19"/>
                <c:pt idx="0">
                  <c:v>129.55000000000001</c:v>
                </c:pt>
                <c:pt idx="1">
                  <c:v>129.55000000000001</c:v>
                </c:pt>
                <c:pt idx="2">
                  <c:v>129.55000000000001</c:v>
                </c:pt>
                <c:pt idx="3">
                  <c:v>529.54999999999995</c:v>
                </c:pt>
                <c:pt idx="4">
                  <c:v>529.54999999999995</c:v>
                </c:pt>
                <c:pt idx="5">
                  <c:v>529.54999999999995</c:v>
                </c:pt>
                <c:pt idx="6">
                  <c:v>529.54999999999995</c:v>
                </c:pt>
                <c:pt idx="7">
                  <c:v>529.54999999999995</c:v>
                </c:pt>
                <c:pt idx="8">
                  <c:v>529.54999999999995</c:v>
                </c:pt>
                <c:pt idx="9">
                  <c:v>529.54999999999995</c:v>
                </c:pt>
                <c:pt idx="10">
                  <c:v>529.54999999999995</c:v>
                </c:pt>
                <c:pt idx="11">
                  <c:v>529.54999999999995</c:v>
                </c:pt>
                <c:pt idx="12">
                  <c:v>529.54999999999995</c:v>
                </c:pt>
                <c:pt idx="13">
                  <c:v>529.54999999999995</c:v>
                </c:pt>
                <c:pt idx="14">
                  <c:v>529.54999999999995</c:v>
                </c:pt>
                <c:pt idx="15">
                  <c:v>529.54999999999995</c:v>
                </c:pt>
                <c:pt idx="16">
                  <c:v>529.54999999999995</c:v>
                </c:pt>
                <c:pt idx="17">
                  <c:v>529.54999999999995</c:v>
                </c:pt>
                <c:pt idx="18">
                  <c:v>529.54999999999995</c:v>
                </c:pt>
              </c:numCache>
            </c:numRef>
          </c:val>
          <c:smooth val="0"/>
          <c:extLst>
            <c:ext xmlns:c16="http://schemas.microsoft.com/office/drawing/2014/chart" uri="{C3380CC4-5D6E-409C-BE32-E72D297353CC}">
              <c16:uniqueId val="{00000005-DE85-9349-A313-7B5725FE8BBC}"/>
            </c:ext>
          </c:extLst>
        </c:ser>
        <c:ser>
          <c:idx val="10"/>
          <c:order val="6"/>
          <c:tx>
            <c:v>Offshore AF17</c:v>
          </c:tx>
          <c:spPr>
            <a:ln>
              <a:solidFill>
                <a:schemeClr val="accent6"/>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turbines'!$D$218:$AA$218</c:f>
              <c:numCache>
                <c:formatCode>#,##0</c:formatCode>
                <c:ptCount val="24"/>
                <c:pt idx="0">
                  <c:v>1141.5</c:v>
                </c:pt>
                <c:pt idx="1">
                  <c:v>1141.5</c:v>
                </c:pt>
                <c:pt idx="2">
                  <c:v>1548.2000000000003</c:v>
                </c:pt>
                <c:pt idx="3">
                  <c:v>1548.2000000000003</c:v>
                </c:pt>
                <c:pt idx="4">
                  <c:v>1548.2000000000003</c:v>
                </c:pt>
                <c:pt idx="5">
                  <c:v>2148.2000000000003</c:v>
                </c:pt>
                <c:pt idx="6">
                  <c:v>2148.2000000000003</c:v>
                </c:pt>
                <c:pt idx="7">
                  <c:v>2148.2000000000003</c:v>
                </c:pt>
                <c:pt idx="8">
                  <c:v>2148.2000000000003</c:v>
                </c:pt>
                <c:pt idx="9">
                  <c:v>2448.2000000000003</c:v>
                </c:pt>
                <c:pt idx="10">
                  <c:v>2748.2000000000003</c:v>
                </c:pt>
                <c:pt idx="11">
                  <c:v>2588.2000000000003</c:v>
                </c:pt>
                <c:pt idx="12">
                  <c:v>2722.6000000000004</c:v>
                </c:pt>
                <c:pt idx="13">
                  <c:v>3022.6000000000004</c:v>
                </c:pt>
                <c:pt idx="14">
                  <c:v>3022.6000000000004</c:v>
                </c:pt>
                <c:pt idx="15">
                  <c:v>3322.6000000000004</c:v>
                </c:pt>
                <c:pt idx="16">
                  <c:v>3622.6000000000004</c:v>
                </c:pt>
                <c:pt idx="17">
                  <c:v>3622.6000000000004</c:v>
                </c:pt>
                <c:pt idx="18">
                  <c:v>3713.3</c:v>
                </c:pt>
                <c:pt idx="19">
                  <c:v>3806.3</c:v>
                </c:pt>
                <c:pt idx="20">
                  <c:v>3806.3</c:v>
                </c:pt>
                <c:pt idx="21">
                  <c:v>4106.3</c:v>
                </c:pt>
                <c:pt idx="22">
                  <c:v>4006.7</c:v>
                </c:pt>
                <c:pt idx="23">
                  <c:v>4006.7</c:v>
                </c:pt>
              </c:numCache>
            </c:numRef>
          </c:val>
          <c:smooth val="0"/>
          <c:extLst>
            <c:ext xmlns:c16="http://schemas.microsoft.com/office/drawing/2014/chart" uri="{C3380CC4-5D6E-409C-BE32-E72D297353CC}">
              <c16:uniqueId val="{00000006-DE85-9349-A313-7B5725FE8BBC}"/>
            </c:ext>
          </c:extLst>
        </c:ser>
        <c:ser>
          <c:idx val="6"/>
          <c:order val="7"/>
          <c:tx>
            <c:v>Offshore AF16</c:v>
          </c:tx>
          <c:spPr>
            <a:ln>
              <a:solidFill>
                <a:schemeClr val="accent6"/>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turbines'!$D$249:$AA$249</c:f>
              <c:numCache>
                <c:formatCode>#,##0</c:formatCode>
                <c:ptCount val="24"/>
                <c:pt idx="0">
                  <c:v>1141.5</c:v>
                </c:pt>
                <c:pt idx="1">
                  <c:v>1141.5</c:v>
                </c:pt>
                <c:pt idx="2">
                  <c:v>1548.2</c:v>
                </c:pt>
                <c:pt idx="3">
                  <c:v>1748.2</c:v>
                </c:pt>
                <c:pt idx="4">
                  <c:v>1948.2</c:v>
                </c:pt>
                <c:pt idx="5">
                  <c:v>2148.1999999999998</c:v>
                </c:pt>
                <c:pt idx="6">
                  <c:v>2148.1999999999998</c:v>
                </c:pt>
                <c:pt idx="7">
                  <c:v>2148.1999999999998</c:v>
                </c:pt>
                <c:pt idx="8">
                  <c:v>2148.1999999999998</c:v>
                </c:pt>
                <c:pt idx="9">
                  <c:v>2148.1999999999998</c:v>
                </c:pt>
                <c:pt idx="10">
                  <c:v>2348.1999999999998</c:v>
                </c:pt>
                <c:pt idx="11">
                  <c:v>2388.1999999999998</c:v>
                </c:pt>
                <c:pt idx="12">
                  <c:v>2222.6000000000004</c:v>
                </c:pt>
                <c:pt idx="13">
                  <c:v>2422.6000000000004</c:v>
                </c:pt>
                <c:pt idx="14">
                  <c:v>2622.6000000000004</c:v>
                </c:pt>
                <c:pt idx="15">
                  <c:v>2622.6000000000004</c:v>
                </c:pt>
                <c:pt idx="16">
                  <c:v>2822.6000000000004</c:v>
                </c:pt>
                <c:pt idx="17">
                  <c:v>3022.6000000000004</c:v>
                </c:pt>
                <c:pt idx="18">
                  <c:v>2813.3</c:v>
                </c:pt>
                <c:pt idx="19">
                  <c:v>2806.3</c:v>
                </c:pt>
                <c:pt idx="20">
                  <c:v>3006.3</c:v>
                </c:pt>
                <c:pt idx="21">
                  <c:v>3006.3</c:v>
                </c:pt>
                <c:pt idx="22">
                  <c:v>2806.7</c:v>
                </c:pt>
                <c:pt idx="23">
                  <c:v>3006.7</c:v>
                </c:pt>
              </c:numCache>
            </c:numRef>
          </c:val>
          <c:smooth val="0"/>
          <c:extLst>
            <c:ext xmlns:c16="http://schemas.microsoft.com/office/drawing/2014/chart" uri="{C3380CC4-5D6E-409C-BE32-E72D297353CC}">
              <c16:uniqueId val="{00000007-DE85-9349-A313-7B5725FE8BBC}"/>
            </c:ext>
          </c:extLst>
        </c:ser>
        <c:ser>
          <c:idx val="2"/>
          <c:order val="8"/>
          <c:tx>
            <c:v>Offshore AF15</c:v>
          </c:tx>
          <c:spPr>
            <a:ln>
              <a:solidFill>
                <a:schemeClr val="accent6"/>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turbines'!$D$277:$V$277</c:f>
              <c:numCache>
                <c:formatCode>#,##0</c:formatCode>
                <c:ptCount val="19"/>
                <c:pt idx="0">
                  <c:v>1141.5</c:v>
                </c:pt>
                <c:pt idx="1">
                  <c:v>1241.5</c:v>
                </c:pt>
                <c:pt idx="2">
                  <c:v>1391.5</c:v>
                </c:pt>
                <c:pt idx="3">
                  <c:v>1741.5</c:v>
                </c:pt>
                <c:pt idx="4">
                  <c:v>1941.5</c:v>
                </c:pt>
                <c:pt idx="5">
                  <c:v>2141.5</c:v>
                </c:pt>
                <c:pt idx="6">
                  <c:v>2141.5</c:v>
                </c:pt>
                <c:pt idx="7">
                  <c:v>2141.5</c:v>
                </c:pt>
                <c:pt idx="8">
                  <c:v>2141.5</c:v>
                </c:pt>
                <c:pt idx="9">
                  <c:v>2341.5</c:v>
                </c:pt>
                <c:pt idx="10">
                  <c:v>2541.5</c:v>
                </c:pt>
                <c:pt idx="11">
                  <c:v>2541.5</c:v>
                </c:pt>
                <c:pt idx="12">
                  <c:v>2741.5</c:v>
                </c:pt>
                <c:pt idx="13">
                  <c:v>2941.5</c:v>
                </c:pt>
                <c:pt idx="14">
                  <c:v>2941.5</c:v>
                </c:pt>
                <c:pt idx="15">
                  <c:v>2941.5</c:v>
                </c:pt>
                <c:pt idx="16">
                  <c:v>2941.5</c:v>
                </c:pt>
                <c:pt idx="17">
                  <c:v>2941.5</c:v>
                </c:pt>
                <c:pt idx="18">
                  <c:v>2941.5</c:v>
                </c:pt>
              </c:numCache>
            </c:numRef>
          </c:val>
          <c:smooth val="0"/>
          <c:extLst>
            <c:ext xmlns:c16="http://schemas.microsoft.com/office/drawing/2014/chart" uri="{C3380CC4-5D6E-409C-BE32-E72D297353CC}">
              <c16:uniqueId val="{00000008-DE85-9349-A313-7B5725FE8BBC}"/>
            </c:ext>
          </c:extLst>
        </c:ser>
        <c:ser>
          <c:idx val="11"/>
          <c:order val="9"/>
          <c:tx>
            <c:v>Total capacity AF17</c:v>
          </c:tx>
          <c:spPr>
            <a:ln>
              <a:solidFill>
                <a:schemeClr val="accent2"/>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turbines'!$D$219:$AA$219</c:f>
              <c:numCache>
                <c:formatCode>#,##0</c:formatCode>
                <c:ptCount val="24"/>
                <c:pt idx="0">
                  <c:v>5240.1410000000005</c:v>
                </c:pt>
                <c:pt idx="1">
                  <c:v>5384.1842000000006</c:v>
                </c:pt>
                <c:pt idx="2">
                  <c:v>5820.2453000000005</c:v>
                </c:pt>
                <c:pt idx="3">
                  <c:v>6282.6064000000006</c:v>
                </c:pt>
                <c:pt idx="4">
                  <c:v>6344.2142857142862</c:v>
                </c:pt>
                <c:pt idx="5">
                  <c:v>7060.8221714285737</c:v>
                </c:pt>
                <c:pt idx="6">
                  <c:v>7104.3647714285726</c:v>
                </c:pt>
                <c:pt idx="7">
                  <c:v>7197.9073714285732</c:v>
                </c:pt>
                <c:pt idx="8">
                  <c:v>7441.4499714285721</c:v>
                </c:pt>
                <c:pt idx="9">
                  <c:v>7794.9925714285728</c:v>
                </c:pt>
                <c:pt idx="10">
                  <c:v>8169.9925714285728</c:v>
                </c:pt>
                <c:pt idx="11">
                  <c:v>8084.992571428571</c:v>
                </c:pt>
                <c:pt idx="12">
                  <c:v>8246.5925714285731</c:v>
                </c:pt>
                <c:pt idx="13">
                  <c:v>8771.5925714285731</c:v>
                </c:pt>
                <c:pt idx="14">
                  <c:v>8846.5925714285731</c:v>
                </c:pt>
                <c:pt idx="15">
                  <c:v>9221.5925714285731</c:v>
                </c:pt>
                <c:pt idx="16">
                  <c:v>9596.5925714285731</c:v>
                </c:pt>
                <c:pt idx="17">
                  <c:v>9671.5925714285731</c:v>
                </c:pt>
                <c:pt idx="18">
                  <c:v>9959.0925714285731</c:v>
                </c:pt>
                <c:pt idx="19">
                  <c:v>10127.092571428571</c:v>
                </c:pt>
                <c:pt idx="20">
                  <c:v>10198.492571428571</c:v>
                </c:pt>
                <c:pt idx="21">
                  <c:v>10573.492571428571</c:v>
                </c:pt>
                <c:pt idx="22">
                  <c:v>10548.892571428571</c:v>
                </c:pt>
                <c:pt idx="23">
                  <c:v>10773.892571428571</c:v>
                </c:pt>
              </c:numCache>
            </c:numRef>
          </c:val>
          <c:smooth val="0"/>
          <c:extLst>
            <c:ext xmlns:c16="http://schemas.microsoft.com/office/drawing/2014/chart" uri="{C3380CC4-5D6E-409C-BE32-E72D297353CC}">
              <c16:uniqueId val="{00000009-DE85-9349-A313-7B5725FE8BBC}"/>
            </c:ext>
          </c:extLst>
        </c:ser>
        <c:ser>
          <c:idx val="7"/>
          <c:order val="10"/>
          <c:tx>
            <c:v>Total capacity AF16</c:v>
          </c:tx>
          <c:spPr>
            <a:ln>
              <a:solidFill>
                <a:schemeClr val="accent2"/>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turbines'!$D$250:$AA$250</c:f>
              <c:numCache>
                <c:formatCode>#,##0</c:formatCode>
                <c:ptCount val="24"/>
                <c:pt idx="0">
                  <c:v>5217.5791000000008</c:v>
                </c:pt>
                <c:pt idx="1">
                  <c:v>5361.9402000000009</c:v>
                </c:pt>
                <c:pt idx="2">
                  <c:v>5893.6401999999998</c:v>
                </c:pt>
                <c:pt idx="3">
                  <c:v>6618.6402000000007</c:v>
                </c:pt>
                <c:pt idx="4">
                  <c:v>6988.6402000000007</c:v>
                </c:pt>
                <c:pt idx="5">
                  <c:v>7313.6401999999998</c:v>
                </c:pt>
                <c:pt idx="6">
                  <c:v>7438.6401999999998</c:v>
                </c:pt>
                <c:pt idx="7">
                  <c:v>7563.6401999999998</c:v>
                </c:pt>
                <c:pt idx="8">
                  <c:v>7688.6402000000007</c:v>
                </c:pt>
                <c:pt idx="9">
                  <c:v>7773.6402000000007</c:v>
                </c:pt>
                <c:pt idx="10">
                  <c:v>8098.6402000000007</c:v>
                </c:pt>
                <c:pt idx="11">
                  <c:v>8263.6402000000016</c:v>
                </c:pt>
                <c:pt idx="12">
                  <c:v>8175.2402000000002</c:v>
                </c:pt>
                <c:pt idx="13">
                  <c:v>8500.2402000000002</c:v>
                </c:pt>
                <c:pt idx="14">
                  <c:v>8825.2402000000002</c:v>
                </c:pt>
                <c:pt idx="15">
                  <c:v>8950.2402000000002</c:v>
                </c:pt>
                <c:pt idx="16">
                  <c:v>9275.2402000000002</c:v>
                </c:pt>
                <c:pt idx="17">
                  <c:v>9600.2402000000002</c:v>
                </c:pt>
                <c:pt idx="18">
                  <c:v>9487.7402000000002</c:v>
                </c:pt>
                <c:pt idx="19">
                  <c:v>9605.7402000000002</c:v>
                </c:pt>
                <c:pt idx="20">
                  <c:v>9927.140199999998</c:v>
                </c:pt>
                <c:pt idx="21">
                  <c:v>10052.1402</c:v>
                </c:pt>
                <c:pt idx="22">
                  <c:v>9977.5401999999995</c:v>
                </c:pt>
                <c:pt idx="23">
                  <c:v>10302.540199999999</c:v>
                </c:pt>
              </c:numCache>
            </c:numRef>
          </c:val>
          <c:smooth val="0"/>
          <c:extLst>
            <c:ext xmlns:c16="http://schemas.microsoft.com/office/drawing/2014/chart" uri="{C3380CC4-5D6E-409C-BE32-E72D297353CC}">
              <c16:uniqueId val="{0000000A-DE85-9349-A313-7B5725FE8BBC}"/>
            </c:ext>
          </c:extLst>
        </c:ser>
        <c:ser>
          <c:idx val="3"/>
          <c:order val="11"/>
          <c:tx>
            <c:v>Total capacity AF15</c:v>
          </c:tx>
          <c:spPr>
            <a:ln>
              <a:solidFill>
                <a:schemeClr val="accent2"/>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turbines'!$D$278:$V$278</c:f>
              <c:numCache>
                <c:formatCode>#,##0</c:formatCode>
                <c:ptCount val="19"/>
                <c:pt idx="0">
                  <c:v>5190.8895000000002</c:v>
                </c:pt>
                <c:pt idx="1">
                  <c:v>5340.8895000000002</c:v>
                </c:pt>
                <c:pt idx="2">
                  <c:v>5540.8895000000002</c:v>
                </c:pt>
                <c:pt idx="3">
                  <c:v>6340.8895000000002</c:v>
                </c:pt>
                <c:pt idx="4">
                  <c:v>6590.8895000000002</c:v>
                </c:pt>
                <c:pt idx="5">
                  <c:v>6840.8895000000002</c:v>
                </c:pt>
                <c:pt idx="6">
                  <c:v>6890.8895000000002</c:v>
                </c:pt>
                <c:pt idx="7">
                  <c:v>6940.8895000000002</c:v>
                </c:pt>
                <c:pt idx="8">
                  <c:v>6990.8895000000002</c:v>
                </c:pt>
                <c:pt idx="9">
                  <c:v>7240.8895000000002</c:v>
                </c:pt>
                <c:pt idx="10">
                  <c:v>7490.8895000000002</c:v>
                </c:pt>
                <c:pt idx="11">
                  <c:v>7540.8895000000011</c:v>
                </c:pt>
                <c:pt idx="12">
                  <c:v>7790.8895000000002</c:v>
                </c:pt>
                <c:pt idx="13">
                  <c:v>8040.8895000000002</c:v>
                </c:pt>
                <c:pt idx="14">
                  <c:v>8090.8895000000002</c:v>
                </c:pt>
                <c:pt idx="15">
                  <c:v>8097.2395000000006</c:v>
                </c:pt>
                <c:pt idx="16">
                  <c:v>8103.5895</c:v>
                </c:pt>
                <c:pt idx="17">
                  <c:v>8109.9395000000004</c:v>
                </c:pt>
                <c:pt idx="18">
                  <c:v>8116.2894999999999</c:v>
                </c:pt>
              </c:numCache>
            </c:numRef>
          </c:val>
          <c:smooth val="0"/>
          <c:extLst>
            <c:ext xmlns:c16="http://schemas.microsoft.com/office/drawing/2014/chart" uri="{C3380CC4-5D6E-409C-BE32-E72D297353CC}">
              <c16:uniqueId val="{0000000B-DE85-9349-A313-7B5725FE8BBC}"/>
            </c:ext>
          </c:extLst>
        </c:ser>
        <c:dLbls>
          <c:showLegendKey val="0"/>
          <c:showVal val="0"/>
          <c:showCatName val="0"/>
          <c:showSerName val="0"/>
          <c:showPercent val="0"/>
          <c:showBubbleSize val="0"/>
        </c:dLbls>
        <c:smooth val="0"/>
        <c:axId val="126600320"/>
        <c:axId val="126601856"/>
      </c:lineChart>
      <c:catAx>
        <c:axId val="1266003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26601856"/>
        <c:crosses val="autoZero"/>
        <c:auto val="1"/>
        <c:lblAlgn val="ctr"/>
        <c:lblOffset val="100"/>
        <c:noMultiLvlLbl val="0"/>
      </c:catAx>
      <c:valAx>
        <c:axId val="126601856"/>
        <c:scaling>
          <c:orientation val="minMax"/>
        </c:scaling>
        <c:delete val="0"/>
        <c:axPos val="l"/>
        <c:title>
          <c:tx>
            <c:rich>
              <a:bodyPr rot="-5400000" vert="horz"/>
              <a:lstStyle/>
              <a:p>
                <a:pPr>
                  <a:defRPr/>
                </a:pPr>
                <a:r>
                  <a:rPr lang="da-DK"/>
                  <a:t>MW</a:t>
                </a:r>
                <a:r>
                  <a:rPr lang="da-DK" baseline="0"/>
                  <a:t> (primo år)</a:t>
                </a:r>
                <a:endParaRPr lang="da-DK"/>
              </a:p>
            </c:rich>
          </c:tx>
          <c:overlay val="0"/>
        </c:title>
        <c:numFmt formatCode="#,##0" sourceLinked="1"/>
        <c:majorTickMark val="out"/>
        <c:minorTickMark val="none"/>
        <c:tickLblPos val="nextTo"/>
        <c:spPr>
          <a:ln w="9525">
            <a:solidFill>
              <a:schemeClr val="bg1">
                <a:lumMod val="75000"/>
              </a:schemeClr>
            </a:solidFill>
          </a:ln>
        </c:spPr>
        <c:crossAx val="126600320"/>
        <c:crosses val="autoZero"/>
        <c:crossBetween val="midCat"/>
        <c:majorUnit val="1000"/>
      </c:valAx>
    </c:plotArea>
    <c:legend>
      <c:legendPos val="b"/>
      <c:layout>
        <c:manualLayout>
          <c:xMode val="edge"/>
          <c:yMode val="edge"/>
          <c:x val="0.17313222222222222"/>
          <c:y val="0.82828284313725486"/>
          <c:w val="0.6565577777777778"/>
          <c:h val="0.15926617647058824"/>
        </c:manualLayout>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Annual wind</a:t>
            </a:r>
            <a:r>
              <a:rPr lang="da-DK" sz="1200" baseline="0"/>
              <a:t> power production</a:t>
            </a:r>
            <a:endParaRPr lang="da-DK" sz="1200"/>
          </a:p>
        </c:rich>
      </c:tx>
      <c:layout>
        <c:manualLayout>
          <c:xMode val="edge"/>
          <c:yMode val="edge"/>
          <c:x val="0.42514794439513653"/>
          <c:y val="1.2815706607102222E-2"/>
        </c:manualLayout>
      </c:layout>
      <c:overlay val="0"/>
    </c:title>
    <c:autoTitleDeleted val="0"/>
    <c:plotArea>
      <c:layout>
        <c:manualLayout>
          <c:layoutTarget val="inner"/>
          <c:xMode val="edge"/>
          <c:yMode val="edge"/>
          <c:x val="8.8407333333333338E-2"/>
          <c:y val="7.2117156862745099E-2"/>
          <c:w val="0.88478155555555571"/>
          <c:h val="0.68534738562091502"/>
        </c:manualLayout>
      </c:layout>
      <c:lineChart>
        <c:grouping val="standard"/>
        <c:varyColors val="0"/>
        <c:ser>
          <c:idx val="8"/>
          <c:order val="0"/>
          <c:tx>
            <c:v>Land-based AF17</c:v>
          </c:tx>
          <c:spPr>
            <a:ln>
              <a:solidFill>
                <a:schemeClr val="accent5"/>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turbines'!$D$228:$AA$228</c:f>
              <c:numCache>
                <c:formatCode>#,##0</c:formatCode>
                <c:ptCount val="24"/>
                <c:pt idx="0">
                  <c:v>9381.4584500000001</c:v>
                </c:pt>
                <c:pt idx="1">
                  <c:v>9920.0263566666672</c:v>
                </c:pt>
                <c:pt idx="2">
                  <c:v>10088.113635</c:v>
                </c:pt>
                <c:pt idx="3">
                  <c:v>10430.200913333334</c:v>
                </c:pt>
                <c:pt idx="4">
                  <c:v>10760.586495238094</c:v>
                </c:pt>
                <c:pt idx="5">
                  <c:v>11254.47207714286</c:v>
                </c:pt>
                <c:pt idx="6">
                  <c:v>11606.090947142859</c:v>
                </c:pt>
                <c:pt idx="7">
                  <c:v>12121.209817142859</c:v>
                </c:pt>
                <c:pt idx="8">
                  <c:v>12636.328687142857</c:v>
                </c:pt>
                <c:pt idx="9">
                  <c:v>13151.447557142856</c:v>
                </c:pt>
                <c:pt idx="10">
                  <c:v>13658.290753061225</c:v>
                </c:pt>
                <c:pt idx="11">
                  <c:v>14165.133948979594</c:v>
                </c:pt>
                <c:pt idx="12">
                  <c:v>14671.977144897959</c:v>
                </c:pt>
                <c:pt idx="13">
                  <c:v>15178.820340816326</c:v>
                </c:pt>
                <c:pt idx="14">
                  <c:v>15685.663536734693</c:v>
                </c:pt>
                <c:pt idx="15">
                  <c:v>16192.506732653061</c:v>
                </c:pt>
                <c:pt idx="16">
                  <c:v>16699.349928571428</c:v>
                </c:pt>
                <c:pt idx="17">
                  <c:v>17003.48350190476</c:v>
                </c:pt>
                <c:pt idx="18">
                  <c:v>17307.617075238097</c:v>
                </c:pt>
                <c:pt idx="19">
                  <c:v>17611.750648571429</c:v>
                </c:pt>
                <c:pt idx="20">
                  <c:v>17915.884221904758</c:v>
                </c:pt>
                <c:pt idx="21">
                  <c:v>18220.017795238091</c:v>
                </c:pt>
                <c:pt idx="22">
                  <c:v>18524.151368571427</c:v>
                </c:pt>
                <c:pt idx="23">
                  <c:v>18796.277758571428</c:v>
                </c:pt>
              </c:numCache>
            </c:numRef>
          </c:val>
          <c:smooth val="0"/>
          <c:extLst>
            <c:ext xmlns:c16="http://schemas.microsoft.com/office/drawing/2014/chart" uri="{C3380CC4-5D6E-409C-BE32-E72D297353CC}">
              <c16:uniqueId val="{00000000-F986-2941-A9A7-6C7F96B5BAFE}"/>
            </c:ext>
          </c:extLst>
        </c:ser>
        <c:ser>
          <c:idx val="4"/>
          <c:order val="1"/>
          <c:tx>
            <c:v>Land-based AF16</c:v>
          </c:tx>
          <c:spPr>
            <a:ln>
              <a:solidFill>
                <a:schemeClr val="accent5"/>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turbines'!$D$259:$AA$259</c:f>
              <c:numCache>
                <c:formatCode>#,##0</c:formatCode>
                <c:ptCount val="24"/>
                <c:pt idx="0">
                  <c:v>9321.4063783333331</c:v>
                </c:pt>
                <c:pt idx="1">
                  <c:v>9853.2436566666674</c:v>
                </c:pt>
                <c:pt idx="2">
                  <c:v>10322.124303000001</c:v>
                </c:pt>
                <c:pt idx="3">
                  <c:v>10791.004949333334</c:v>
                </c:pt>
                <c:pt idx="4">
                  <c:v>11312.332744952382</c:v>
                </c:pt>
                <c:pt idx="5">
                  <c:v>11833.660540571427</c:v>
                </c:pt>
                <c:pt idx="6">
                  <c:v>12451.645108571429</c:v>
                </c:pt>
                <c:pt idx="7">
                  <c:v>13069.629676571429</c:v>
                </c:pt>
                <c:pt idx="8">
                  <c:v>13687.614244571429</c:v>
                </c:pt>
                <c:pt idx="9">
                  <c:v>14305.598812571428</c:v>
                </c:pt>
                <c:pt idx="10">
                  <c:v>14975.942008489796</c:v>
                </c:pt>
                <c:pt idx="11">
                  <c:v>15646.285204408163</c:v>
                </c:pt>
                <c:pt idx="12">
                  <c:v>16316.628400326532</c:v>
                </c:pt>
                <c:pt idx="13">
                  <c:v>16986.971596244897</c:v>
                </c:pt>
                <c:pt idx="14">
                  <c:v>17657.314792163263</c:v>
                </c:pt>
                <c:pt idx="15">
                  <c:v>18327.657988081628</c:v>
                </c:pt>
                <c:pt idx="16">
                  <c:v>18998.001184000001</c:v>
                </c:pt>
                <c:pt idx="17">
                  <c:v>19466.178017333332</c:v>
                </c:pt>
                <c:pt idx="18">
                  <c:v>19934.354850666663</c:v>
                </c:pt>
                <c:pt idx="19">
                  <c:v>20402.531683999998</c:v>
                </c:pt>
                <c:pt idx="20">
                  <c:v>20870.708517333333</c:v>
                </c:pt>
                <c:pt idx="21">
                  <c:v>21338.885350666664</c:v>
                </c:pt>
                <c:pt idx="22">
                  <c:v>21807.062183999999</c:v>
                </c:pt>
                <c:pt idx="23">
                  <c:v>22244.159728999999</c:v>
                </c:pt>
              </c:numCache>
            </c:numRef>
          </c:val>
          <c:smooth val="0"/>
          <c:extLst>
            <c:ext xmlns:c16="http://schemas.microsoft.com/office/drawing/2014/chart" uri="{C3380CC4-5D6E-409C-BE32-E72D297353CC}">
              <c16:uniqueId val="{00000001-F986-2941-A9A7-6C7F96B5BAFE}"/>
            </c:ext>
          </c:extLst>
        </c:ser>
        <c:ser>
          <c:idx val="0"/>
          <c:order val="2"/>
          <c:tx>
            <c:v>Land-based AF15</c:v>
          </c:tx>
          <c:spPr>
            <a:ln>
              <a:solidFill>
                <a:schemeClr val="accent5"/>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turbines'!$D$287:$V$287</c:f>
              <c:numCache>
                <c:formatCode>#,##0</c:formatCode>
                <c:ptCount val="19"/>
                <c:pt idx="0">
                  <c:v>9322.0846249999995</c:v>
                </c:pt>
                <c:pt idx="1">
                  <c:v>9665.387839285715</c:v>
                </c:pt>
                <c:pt idx="2">
                  <c:v>10008.691053571429</c:v>
                </c:pt>
                <c:pt idx="3">
                  <c:v>10351.994267857142</c:v>
                </c:pt>
                <c:pt idx="4">
                  <c:v>10727.293553571428</c:v>
                </c:pt>
                <c:pt idx="5">
                  <c:v>11102.592839285713</c:v>
                </c:pt>
                <c:pt idx="6">
                  <c:v>11477.892125000002</c:v>
                </c:pt>
                <c:pt idx="7">
                  <c:v>11853.191410714286</c:v>
                </c:pt>
                <c:pt idx="8">
                  <c:v>12228.490696428573</c:v>
                </c:pt>
                <c:pt idx="9">
                  <c:v>12603.789982142856</c:v>
                </c:pt>
                <c:pt idx="10">
                  <c:v>12979.089267857144</c:v>
                </c:pt>
                <c:pt idx="11">
                  <c:v>13354.388553571429</c:v>
                </c:pt>
                <c:pt idx="12">
                  <c:v>13729.687839285714</c:v>
                </c:pt>
                <c:pt idx="13">
                  <c:v>14104.987125</c:v>
                </c:pt>
                <c:pt idx="14">
                  <c:v>14480.286410714287</c:v>
                </c:pt>
                <c:pt idx="15">
                  <c:v>14569.081410714287</c:v>
                </c:pt>
                <c:pt idx="16">
                  <c:v>14657.876410714285</c:v>
                </c:pt>
                <c:pt idx="17">
                  <c:v>14746.671410714287</c:v>
                </c:pt>
                <c:pt idx="18">
                  <c:v>14835.466410714287</c:v>
                </c:pt>
              </c:numCache>
            </c:numRef>
          </c:val>
          <c:smooth val="0"/>
          <c:extLst>
            <c:ext xmlns:c16="http://schemas.microsoft.com/office/drawing/2014/chart" uri="{C3380CC4-5D6E-409C-BE32-E72D297353CC}">
              <c16:uniqueId val="{00000002-F986-2941-A9A7-6C7F96B5BAFE}"/>
            </c:ext>
          </c:extLst>
        </c:ser>
        <c:ser>
          <c:idx val="9"/>
          <c:order val="3"/>
          <c:tx>
            <c:v>Near-shore AF17</c:v>
          </c:tx>
          <c:spPr>
            <a:ln>
              <a:solidFill>
                <a:schemeClr val="accent1"/>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turbines'!$D$229:$AA$229</c:f>
              <c:numCache>
                <c:formatCode>#,##0</c:formatCode>
                <c:ptCount val="24"/>
                <c:pt idx="0">
                  <c:v>382.15999999999997</c:v>
                </c:pt>
                <c:pt idx="1">
                  <c:v>382.15999999999997</c:v>
                </c:pt>
                <c:pt idx="2">
                  <c:v>382.15999999999997</c:v>
                </c:pt>
                <c:pt idx="3">
                  <c:v>2076.16</c:v>
                </c:pt>
                <c:pt idx="4">
                  <c:v>2062.16</c:v>
                </c:pt>
                <c:pt idx="5">
                  <c:v>2062.16</c:v>
                </c:pt>
                <c:pt idx="6">
                  <c:v>2062.16</c:v>
                </c:pt>
                <c:pt idx="7">
                  <c:v>2062.16</c:v>
                </c:pt>
                <c:pt idx="8">
                  <c:v>2674.66</c:v>
                </c:pt>
                <c:pt idx="9">
                  <c:v>2582.66</c:v>
                </c:pt>
                <c:pt idx="10">
                  <c:v>2582.66</c:v>
                </c:pt>
                <c:pt idx="11">
                  <c:v>2582.66</c:v>
                </c:pt>
                <c:pt idx="12">
                  <c:v>2409.88</c:v>
                </c:pt>
                <c:pt idx="13">
                  <c:v>3022.3799999999997</c:v>
                </c:pt>
                <c:pt idx="14">
                  <c:v>3022.3799999999997</c:v>
                </c:pt>
                <c:pt idx="15">
                  <c:v>3022.3799999999997</c:v>
                </c:pt>
                <c:pt idx="16">
                  <c:v>3022.3799999999997</c:v>
                </c:pt>
                <c:pt idx="17">
                  <c:v>3022.3799999999997</c:v>
                </c:pt>
                <c:pt idx="18">
                  <c:v>3543.56</c:v>
                </c:pt>
                <c:pt idx="19">
                  <c:v>3543.56</c:v>
                </c:pt>
                <c:pt idx="20">
                  <c:v>3531.5</c:v>
                </c:pt>
                <c:pt idx="21">
                  <c:v>3531.5</c:v>
                </c:pt>
                <c:pt idx="22">
                  <c:v>3531.5</c:v>
                </c:pt>
                <c:pt idx="23">
                  <c:v>4144</c:v>
                </c:pt>
              </c:numCache>
            </c:numRef>
          </c:val>
          <c:smooth val="0"/>
          <c:extLst>
            <c:ext xmlns:c16="http://schemas.microsoft.com/office/drawing/2014/chart" uri="{C3380CC4-5D6E-409C-BE32-E72D297353CC}">
              <c16:uniqueId val="{00000003-F986-2941-A9A7-6C7F96B5BAFE}"/>
            </c:ext>
          </c:extLst>
        </c:ser>
        <c:ser>
          <c:idx val="5"/>
          <c:order val="4"/>
          <c:tx>
            <c:v>Near-shore AF16</c:v>
          </c:tx>
          <c:spPr>
            <a:ln>
              <a:solidFill>
                <a:schemeClr val="accent1"/>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turbines'!$D$260:$AA$260</c:f>
              <c:numCache>
                <c:formatCode>#,##0</c:formatCode>
                <c:ptCount val="24"/>
                <c:pt idx="0">
                  <c:v>382.16</c:v>
                </c:pt>
                <c:pt idx="1">
                  <c:v>382.16</c:v>
                </c:pt>
                <c:pt idx="2">
                  <c:v>382.16</c:v>
                </c:pt>
                <c:pt idx="3">
                  <c:v>2079.41</c:v>
                </c:pt>
                <c:pt idx="4">
                  <c:v>2271.66</c:v>
                </c:pt>
                <c:pt idx="5">
                  <c:v>2271.66</c:v>
                </c:pt>
                <c:pt idx="6">
                  <c:v>2271.66</c:v>
                </c:pt>
                <c:pt idx="7">
                  <c:v>2271.66</c:v>
                </c:pt>
                <c:pt idx="8">
                  <c:v>2271.66</c:v>
                </c:pt>
                <c:pt idx="9">
                  <c:v>2179.66</c:v>
                </c:pt>
                <c:pt idx="10">
                  <c:v>2179.66</c:v>
                </c:pt>
                <c:pt idx="11">
                  <c:v>2179.66</c:v>
                </c:pt>
                <c:pt idx="12">
                  <c:v>2006.88</c:v>
                </c:pt>
                <c:pt idx="13">
                  <c:v>2006.88</c:v>
                </c:pt>
                <c:pt idx="14">
                  <c:v>2006.88</c:v>
                </c:pt>
                <c:pt idx="15">
                  <c:v>2006.88</c:v>
                </c:pt>
                <c:pt idx="16">
                  <c:v>2006.88</c:v>
                </c:pt>
                <c:pt idx="17">
                  <c:v>2006.88</c:v>
                </c:pt>
                <c:pt idx="18">
                  <c:v>1915.56</c:v>
                </c:pt>
                <c:pt idx="19">
                  <c:v>1915.56</c:v>
                </c:pt>
                <c:pt idx="20">
                  <c:v>1903.5</c:v>
                </c:pt>
                <c:pt idx="21">
                  <c:v>1903.5</c:v>
                </c:pt>
                <c:pt idx="22">
                  <c:v>1903.5</c:v>
                </c:pt>
                <c:pt idx="23">
                  <c:v>1903.5</c:v>
                </c:pt>
              </c:numCache>
            </c:numRef>
          </c:val>
          <c:smooth val="0"/>
          <c:extLst>
            <c:ext xmlns:c16="http://schemas.microsoft.com/office/drawing/2014/chart" uri="{C3380CC4-5D6E-409C-BE32-E72D297353CC}">
              <c16:uniqueId val="{00000004-F986-2941-A9A7-6C7F96B5BAFE}"/>
            </c:ext>
          </c:extLst>
        </c:ser>
        <c:ser>
          <c:idx val="1"/>
          <c:order val="5"/>
          <c:tx>
            <c:v>Near-shore AF15</c:v>
          </c:tx>
          <c:spPr>
            <a:ln>
              <a:solidFill>
                <a:schemeClr val="accent1"/>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turbines'!$D$288:$V$288</c:f>
              <c:numCache>
                <c:formatCode>#,##0</c:formatCode>
                <c:ptCount val="19"/>
                <c:pt idx="0">
                  <c:v>397.04499999999996</c:v>
                </c:pt>
                <c:pt idx="1">
                  <c:v>397.04499999999996</c:v>
                </c:pt>
                <c:pt idx="2">
                  <c:v>397.04499999999996</c:v>
                </c:pt>
                <c:pt idx="3">
                  <c:v>2100.7950000000001</c:v>
                </c:pt>
                <c:pt idx="4">
                  <c:v>2100.7950000000001</c:v>
                </c:pt>
                <c:pt idx="5">
                  <c:v>2100.7950000000001</c:v>
                </c:pt>
                <c:pt idx="6">
                  <c:v>2100.7950000000001</c:v>
                </c:pt>
                <c:pt idx="7">
                  <c:v>2100.7950000000001</c:v>
                </c:pt>
                <c:pt idx="8">
                  <c:v>2148.7950000000001</c:v>
                </c:pt>
                <c:pt idx="9">
                  <c:v>2148.7950000000001</c:v>
                </c:pt>
                <c:pt idx="10">
                  <c:v>2148.7950000000001</c:v>
                </c:pt>
                <c:pt idx="11">
                  <c:v>2173.1549999999997</c:v>
                </c:pt>
                <c:pt idx="12">
                  <c:v>2173.1549999999997</c:v>
                </c:pt>
                <c:pt idx="13">
                  <c:v>2173.1549999999997</c:v>
                </c:pt>
                <c:pt idx="14">
                  <c:v>2173.1549999999997</c:v>
                </c:pt>
                <c:pt idx="15">
                  <c:v>2173.1549999999997</c:v>
                </c:pt>
                <c:pt idx="16">
                  <c:v>2173.1549999999997</c:v>
                </c:pt>
                <c:pt idx="17">
                  <c:v>2181.585</c:v>
                </c:pt>
                <c:pt idx="18">
                  <c:v>2181.585</c:v>
                </c:pt>
              </c:numCache>
            </c:numRef>
          </c:val>
          <c:smooth val="0"/>
          <c:extLst>
            <c:ext xmlns:c16="http://schemas.microsoft.com/office/drawing/2014/chart" uri="{C3380CC4-5D6E-409C-BE32-E72D297353CC}">
              <c16:uniqueId val="{00000005-F986-2941-A9A7-6C7F96B5BAFE}"/>
            </c:ext>
          </c:extLst>
        </c:ser>
        <c:ser>
          <c:idx val="10"/>
          <c:order val="6"/>
          <c:tx>
            <c:v>Offshore AF17</c:v>
          </c:tx>
          <c:spPr>
            <a:ln>
              <a:solidFill>
                <a:schemeClr val="accent6"/>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turbines'!$D$230:$AA$230</c:f>
              <c:numCache>
                <c:formatCode>#,##0</c:formatCode>
                <c:ptCount val="24"/>
                <c:pt idx="0">
                  <c:v>4717.76</c:v>
                </c:pt>
                <c:pt idx="1">
                  <c:v>4717.76</c:v>
                </c:pt>
                <c:pt idx="2">
                  <c:v>6547.9100000000008</c:v>
                </c:pt>
                <c:pt idx="3">
                  <c:v>6547.9100000000008</c:v>
                </c:pt>
                <c:pt idx="4">
                  <c:v>6547.9100000000008</c:v>
                </c:pt>
                <c:pt idx="5">
                  <c:v>9097.91</c:v>
                </c:pt>
                <c:pt idx="6">
                  <c:v>9097.91</c:v>
                </c:pt>
                <c:pt idx="7">
                  <c:v>9097.91</c:v>
                </c:pt>
                <c:pt idx="8">
                  <c:v>9097.91</c:v>
                </c:pt>
                <c:pt idx="9">
                  <c:v>10477.91</c:v>
                </c:pt>
                <c:pt idx="10">
                  <c:v>11857.91</c:v>
                </c:pt>
                <c:pt idx="11">
                  <c:v>11217.91</c:v>
                </c:pt>
                <c:pt idx="12">
                  <c:v>12026.59</c:v>
                </c:pt>
                <c:pt idx="13">
                  <c:v>13406.59</c:v>
                </c:pt>
                <c:pt idx="14">
                  <c:v>13406.59</c:v>
                </c:pt>
                <c:pt idx="15">
                  <c:v>14816.59</c:v>
                </c:pt>
                <c:pt idx="16">
                  <c:v>16226.59</c:v>
                </c:pt>
                <c:pt idx="17">
                  <c:v>16226.59</c:v>
                </c:pt>
                <c:pt idx="18">
                  <c:v>16595.669999999998</c:v>
                </c:pt>
                <c:pt idx="19">
                  <c:v>17078.37</c:v>
                </c:pt>
                <c:pt idx="20">
                  <c:v>17078.37</c:v>
                </c:pt>
                <c:pt idx="21">
                  <c:v>18488.37</c:v>
                </c:pt>
                <c:pt idx="22">
                  <c:v>18120.150000000001</c:v>
                </c:pt>
                <c:pt idx="23">
                  <c:v>18120.150000000001</c:v>
                </c:pt>
              </c:numCache>
            </c:numRef>
          </c:val>
          <c:smooth val="0"/>
          <c:extLst>
            <c:ext xmlns:c16="http://schemas.microsoft.com/office/drawing/2014/chart" uri="{C3380CC4-5D6E-409C-BE32-E72D297353CC}">
              <c16:uniqueId val="{00000006-F986-2941-A9A7-6C7F96B5BAFE}"/>
            </c:ext>
          </c:extLst>
        </c:ser>
        <c:ser>
          <c:idx val="6"/>
          <c:order val="7"/>
          <c:tx>
            <c:v>Offshore AF16</c:v>
          </c:tx>
          <c:spPr>
            <a:ln>
              <a:solidFill>
                <a:schemeClr val="accent6"/>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turbines'!$D$261:$AA$261</c:f>
              <c:numCache>
                <c:formatCode>#,##0</c:formatCode>
                <c:ptCount val="24"/>
                <c:pt idx="0">
                  <c:v>4717.76</c:v>
                </c:pt>
                <c:pt idx="1">
                  <c:v>4717.76</c:v>
                </c:pt>
                <c:pt idx="2">
                  <c:v>6547.91</c:v>
                </c:pt>
                <c:pt idx="3">
                  <c:v>7397.91</c:v>
                </c:pt>
                <c:pt idx="4">
                  <c:v>8247.91</c:v>
                </c:pt>
                <c:pt idx="5">
                  <c:v>9097.91</c:v>
                </c:pt>
                <c:pt idx="6">
                  <c:v>9097.91</c:v>
                </c:pt>
                <c:pt idx="7">
                  <c:v>9097.91</c:v>
                </c:pt>
                <c:pt idx="8">
                  <c:v>9097.91</c:v>
                </c:pt>
                <c:pt idx="9">
                  <c:v>9097.91</c:v>
                </c:pt>
                <c:pt idx="10">
                  <c:v>10017.91</c:v>
                </c:pt>
                <c:pt idx="11">
                  <c:v>10297.91</c:v>
                </c:pt>
                <c:pt idx="12">
                  <c:v>9726.59</c:v>
                </c:pt>
                <c:pt idx="13">
                  <c:v>10646.59</c:v>
                </c:pt>
                <c:pt idx="14">
                  <c:v>11566.59</c:v>
                </c:pt>
                <c:pt idx="15">
                  <c:v>11566.59</c:v>
                </c:pt>
                <c:pt idx="16">
                  <c:v>12506.59</c:v>
                </c:pt>
                <c:pt idx="17">
                  <c:v>13446.59</c:v>
                </c:pt>
                <c:pt idx="18">
                  <c:v>12525.67</c:v>
                </c:pt>
                <c:pt idx="19">
                  <c:v>12578.369999999999</c:v>
                </c:pt>
                <c:pt idx="20">
                  <c:v>13438.369999999999</c:v>
                </c:pt>
                <c:pt idx="21">
                  <c:v>13438.369999999999</c:v>
                </c:pt>
                <c:pt idx="22">
                  <c:v>12600.15</c:v>
                </c:pt>
                <c:pt idx="23">
                  <c:v>13540.15</c:v>
                </c:pt>
              </c:numCache>
            </c:numRef>
          </c:val>
          <c:smooth val="0"/>
          <c:extLst>
            <c:ext xmlns:c16="http://schemas.microsoft.com/office/drawing/2014/chart" uri="{C3380CC4-5D6E-409C-BE32-E72D297353CC}">
              <c16:uniqueId val="{00000007-F986-2941-A9A7-6C7F96B5BAFE}"/>
            </c:ext>
          </c:extLst>
        </c:ser>
        <c:ser>
          <c:idx val="2"/>
          <c:order val="8"/>
          <c:tx>
            <c:v>Offshore AF15</c:v>
          </c:tx>
          <c:spPr>
            <a:ln>
              <a:solidFill>
                <a:schemeClr val="accent6"/>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turbines'!$D$289:$V$289</c:f>
              <c:numCache>
                <c:formatCode>#,##0</c:formatCode>
                <c:ptCount val="19"/>
                <c:pt idx="0">
                  <c:v>4642.4250000000002</c:v>
                </c:pt>
                <c:pt idx="1">
                  <c:v>5092.4250000000002</c:v>
                </c:pt>
                <c:pt idx="2">
                  <c:v>5767.4250000000002</c:v>
                </c:pt>
                <c:pt idx="3">
                  <c:v>7292.4250000000002</c:v>
                </c:pt>
                <c:pt idx="4">
                  <c:v>8142.4250000000002</c:v>
                </c:pt>
                <c:pt idx="5">
                  <c:v>9120.4249999999993</c:v>
                </c:pt>
                <c:pt idx="6">
                  <c:v>9286.0249999999996</c:v>
                </c:pt>
                <c:pt idx="7">
                  <c:v>9286.0249999999996</c:v>
                </c:pt>
                <c:pt idx="8">
                  <c:v>9286.0249999999996</c:v>
                </c:pt>
                <c:pt idx="9">
                  <c:v>10226.025</c:v>
                </c:pt>
                <c:pt idx="10">
                  <c:v>11166.025</c:v>
                </c:pt>
                <c:pt idx="11">
                  <c:v>11166.025</c:v>
                </c:pt>
                <c:pt idx="12">
                  <c:v>12179.279999999999</c:v>
                </c:pt>
                <c:pt idx="13">
                  <c:v>13202.08</c:v>
                </c:pt>
                <c:pt idx="14">
                  <c:v>13202.08</c:v>
                </c:pt>
                <c:pt idx="15">
                  <c:v>13202.08</c:v>
                </c:pt>
                <c:pt idx="16">
                  <c:v>13202.08</c:v>
                </c:pt>
                <c:pt idx="17">
                  <c:v>13202.08</c:v>
                </c:pt>
                <c:pt idx="18">
                  <c:v>13202.08</c:v>
                </c:pt>
              </c:numCache>
            </c:numRef>
          </c:val>
          <c:smooth val="0"/>
          <c:extLst>
            <c:ext xmlns:c16="http://schemas.microsoft.com/office/drawing/2014/chart" uri="{C3380CC4-5D6E-409C-BE32-E72D297353CC}">
              <c16:uniqueId val="{00000008-F986-2941-A9A7-6C7F96B5BAFE}"/>
            </c:ext>
          </c:extLst>
        </c:ser>
        <c:ser>
          <c:idx val="11"/>
          <c:order val="9"/>
          <c:tx>
            <c:v>Total production AF17</c:v>
          </c:tx>
          <c:spPr>
            <a:ln>
              <a:solidFill>
                <a:schemeClr val="accent2"/>
              </a:solidFill>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turbines'!$D$231:$AA$231</c:f>
              <c:numCache>
                <c:formatCode>#,##0</c:formatCode>
                <c:ptCount val="24"/>
                <c:pt idx="0">
                  <c:v>14481.37845</c:v>
                </c:pt>
                <c:pt idx="1">
                  <c:v>15019.946356666667</c:v>
                </c:pt>
                <c:pt idx="2">
                  <c:v>17018.183635000001</c:v>
                </c:pt>
                <c:pt idx="3">
                  <c:v>19054.270913333334</c:v>
                </c:pt>
                <c:pt idx="4">
                  <c:v>19370.656495238094</c:v>
                </c:pt>
                <c:pt idx="5">
                  <c:v>22414.542077142862</c:v>
                </c:pt>
                <c:pt idx="6">
                  <c:v>22766.16094714286</c:v>
                </c:pt>
                <c:pt idx="7">
                  <c:v>23281.279817142859</c:v>
                </c:pt>
                <c:pt idx="8">
                  <c:v>24408.898687142857</c:v>
                </c:pt>
                <c:pt idx="9">
                  <c:v>26212.017557142855</c:v>
                </c:pt>
                <c:pt idx="10">
                  <c:v>28098.860753061224</c:v>
                </c:pt>
                <c:pt idx="11">
                  <c:v>27965.703948979593</c:v>
                </c:pt>
                <c:pt idx="12">
                  <c:v>29108.44714489796</c:v>
                </c:pt>
                <c:pt idx="13">
                  <c:v>31607.790340816326</c:v>
                </c:pt>
                <c:pt idx="14">
                  <c:v>32114.633536734695</c:v>
                </c:pt>
                <c:pt idx="15">
                  <c:v>34031.476732653056</c:v>
                </c:pt>
                <c:pt idx="16">
                  <c:v>35948.319928571429</c:v>
                </c:pt>
                <c:pt idx="17">
                  <c:v>36252.453501904762</c:v>
                </c:pt>
                <c:pt idx="18">
                  <c:v>37446.847075238096</c:v>
                </c:pt>
                <c:pt idx="19">
                  <c:v>38233.680648571433</c:v>
                </c:pt>
                <c:pt idx="20">
                  <c:v>38525.754221904761</c:v>
                </c:pt>
                <c:pt idx="21">
                  <c:v>40239.887795238086</c:v>
                </c:pt>
                <c:pt idx="22">
                  <c:v>40175.801368571425</c:v>
                </c:pt>
                <c:pt idx="23">
                  <c:v>41060.42775857143</c:v>
                </c:pt>
              </c:numCache>
            </c:numRef>
          </c:val>
          <c:smooth val="0"/>
          <c:extLst>
            <c:ext xmlns:c16="http://schemas.microsoft.com/office/drawing/2014/chart" uri="{C3380CC4-5D6E-409C-BE32-E72D297353CC}">
              <c16:uniqueId val="{00000009-F986-2941-A9A7-6C7F96B5BAFE}"/>
            </c:ext>
          </c:extLst>
        </c:ser>
        <c:ser>
          <c:idx val="7"/>
          <c:order val="10"/>
          <c:tx>
            <c:v>Total production AF16</c:v>
          </c:tx>
          <c:spPr>
            <a:ln>
              <a:solidFill>
                <a:schemeClr val="accent2"/>
              </a:solidFill>
              <a:prstDash val="sysDash"/>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turbines'!$D$262:$AA$262</c:f>
              <c:numCache>
                <c:formatCode>#,##0</c:formatCode>
                <c:ptCount val="24"/>
                <c:pt idx="0">
                  <c:v>14421.326378333333</c:v>
                </c:pt>
                <c:pt idx="1">
                  <c:v>14953.163656666668</c:v>
                </c:pt>
                <c:pt idx="2">
                  <c:v>17252.194303</c:v>
                </c:pt>
                <c:pt idx="3">
                  <c:v>20268.324949333335</c:v>
                </c:pt>
                <c:pt idx="4">
                  <c:v>21831.902744952382</c:v>
                </c:pt>
                <c:pt idx="5">
                  <c:v>23203.230540571429</c:v>
                </c:pt>
                <c:pt idx="6">
                  <c:v>23821.215108571429</c:v>
                </c:pt>
                <c:pt idx="7">
                  <c:v>24439.199676571428</c:v>
                </c:pt>
                <c:pt idx="8">
                  <c:v>25057.184244571428</c:v>
                </c:pt>
                <c:pt idx="9">
                  <c:v>25583.168812571428</c:v>
                </c:pt>
                <c:pt idx="10">
                  <c:v>27173.512008489797</c:v>
                </c:pt>
                <c:pt idx="11">
                  <c:v>28123.855204408163</c:v>
                </c:pt>
                <c:pt idx="12">
                  <c:v>28050.098400326533</c:v>
                </c:pt>
                <c:pt idx="13">
                  <c:v>29640.441596244898</c:v>
                </c:pt>
                <c:pt idx="14">
                  <c:v>31230.784792163264</c:v>
                </c:pt>
                <c:pt idx="15">
                  <c:v>31901.127988081629</c:v>
                </c:pt>
                <c:pt idx="16">
                  <c:v>33511.471184000002</c:v>
                </c:pt>
                <c:pt idx="17">
                  <c:v>34919.648017333333</c:v>
                </c:pt>
                <c:pt idx="18">
                  <c:v>34375.584850666666</c:v>
                </c:pt>
                <c:pt idx="19">
                  <c:v>34896.461683999994</c:v>
                </c:pt>
                <c:pt idx="20">
                  <c:v>36212.578517333328</c:v>
                </c:pt>
                <c:pt idx="21">
                  <c:v>36680.755350666659</c:v>
                </c:pt>
                <c:pt idx="22">
                  <c:v>36310.712183999996</c:v>
                </c:pt>
                <c:pt idx="23">
                  <c:v>37687.809729000001</c:v>
                </c:pt>
              </c:numCache>
            </c:numRef>
          </c:val>
          <c:smooth val="0"/>
          <c:extLst>
            <c:ext xmlns:c16="http://schemas.microsoft.com/office/drawing/2014/chart" uri="{C3380CC4-5D6E-409C-BE32-E72D297353CC}">
              <c16:uniqueId val="{0000000A-F986-2941-A9A7-6C7F96B5BAFE}"/>
            </c:ext>
          </c:extLst>
        </c:ser>
        <c:ser>
          <c:idx val="3"/>
          <c:order val="11"/>
          <c:tx>
            <c:v>Total production AF15</c:v>
          </c:tx>
          <c:spPr>
            <a:ln>
              <a:solidFill>
                <a:schemeClr val="accent2"/>
              </a:solidFill>
              <a:prstDash val="sysDot"/>
            </a:ln>
          </c:spPr>
          <c:marker>
            <c:symbol val="none"/>
          </c:marke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turbines'!$D$290:$V$290</c:f>
              <c:numCache>
                <c:formatCode>#,##0</c:formatCode>
                <c:ptCount val="19"/>
                <c:pt idx="0">
                  <c:v>14361.554625000001</c:v>
                </c:pt>
                <c:pt idx="1">
                  <c:v>15154.857839285716</c:v>
                </c:pt>
                <c:pt idx="2">
                  <c:v>16173.161053571428</c:v>
                </c:pt>
                <c:pt idx="3">
                  <c:v>19745.214267857144</c:v>
                </c:pt>
                <c:pt idx="4">
                  <c:v>20970.513553571429</c:v>
                </c:pt>
                <c:pt idx="5">
                  <c:v>22323.812839285711</c:v>
                </c:pt>
                <c:pt idx="6">
                  <c:v>22864.712125000002</c:v>
                </c:pt>
                <c:pt idx="7">
                  <c:v>23240.011410714287</c:v>
                </c:pt>
                <c:pt idx="8">
                  <c:v>23663.310696428573</c:v>
                </c:pt>
                <c:pt idx="9">
                  <c:v>24978.609982142858</c:v>
                </c:pt>
                <c:pt idx="10">
                  <c:v>26293.909267857143</c:v>
                </c:pt>
                <c:pt idx="11">
                  <c:v>26693.568553571429</c:v>
                </c:pt>
                <c:pt idx="12">
                  <c:v>28082.122839285712</c:v>
                </c:pt>
                <c:pt idx="13">
                  <c:v>29480.222125</c:v>
                </c:pt>
                <c:pt idx="14">
                  <c:v>29855.521410714289</c:v>
                </c:pt>
                <c:pt idx="15">
                  <c:v>29944.316410714287</c:v>
                </c:pt>
                <c:pt idx="16">
                  <c:v>30033.111410714286</c:v>
                </c:pt>
                <c:pt idx="17">
                  <c:v>30130.336410714284</c:v>
                </c:pt>
                <c:pt idx="18">
                  <c:v>30219.13141071429</c:v>
                </c:pt>
              </c:numCache>
            </c:numRef>
          </c:val>
          <c:smooth val="0"/>
          <c:extLst>
            <c:ext xmlns:c16="http://schemas.microsoft.com/office/drawing/2014/chart" uri="{C3380CC4-5D6E-409C-BE32-E72D297353CC}">
              <c16:uniqueId val="{0000000B-F986-2941-A9A7-6C7F96B5BAFE}"/>
            </c:ext>
          </c:extLst>
        </c:ser>
        <c:dLbls>
          <c:showLegendKey val="0"/>
          <c:showVal val="0"/>
          <c:showCatName val="0"/>
          <c:showSerName val="0"/>
          <c:showPercent val="0"/>
          <c:showBubbleSize val="0"/>
        </c:dLbls>
        <c:smooth val="0"/>
        <c:axId val="115888128"/>
        <c:axId val="115889664"/>
      </c:lineChart>
      <c:catAx>
        <c:axId val="1158881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15889664"/>
        <c:crosses val="autoZero"/>
        <c:auto val="1"/>
        <c:lblAlgn val="ctr"/>
        <c:lblOffset val="100"/>
        <c:noMultiLvlLbl val="0"/>
      </c:catAx>
      <c:valAx>
        <c:axId val="115889664"/>
        <c:scaling>
          <c:orientation val="minMax"/>
        </c:scaling>
        <c:delete val="0"/>
        <c:axPos val="l"/>
        <c:title>
          <c:tx>
            <c:rich>
              <a:bodyPr rot="-5400000" vert="horz"/>
              <a:lstStyle/>
              <a:p>
                <a:pPr>
                  <a:defRPr/>
                </a:pPr>
                <a:r>
                  <a:rPr lang="da-DK"/>
                  <a:t>GWh</a:t>
                </a:r>
              </a:p>
            </c:rich>
          </c:tx>
          <c:overlay val="0"/>
        </c:title>
        <c:numFmt formatCode="#,##0" sourceLinked="1"/>
        <c:majorTickMark val="out"/>
        <c:minorTickMark val="none"/>
        <c:tickLblPos val="nextTo"/>
        <c:spPr>
          <a:ln w="9525">
            <a:solidFill>
              <a:schemeClr val="bg1">
                <a:lumMod val="75000"/>
              </a:schemeClr>
            </a:solidFill>
          </a:ln>
        </c:spPr>
        <c:crossAx val="115888128"/>
        <c:crosses val="autoZero"/>
        <c:crossBetween val="midCat"/>
        <c:majorUnit val="5000"/>
      </c:valAx>
    </c:plotArea>
    <c:legend>
      <c:legendPos val="b"/>
      <c:layout>
        <c:manualLayout>
          <c:xMode val="edge"/>
          <c:yMode val="edge"/>
          <c:x val="0.17313222222222222"/>
          <c:y val="0.82828284313725486"/>
          <c:w val="0.6565577777777778"/>
          <c:h val="0.15926617647058824"/>
        </c:manualLayout>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Share of wind power in total  electricity consumption</a:t>
            </a:r>
          </a:p>
        </c:rich>
      </c:tx>
      <c:overlay val="0"/>
    </c:title>
    <c:autoTitleDeleted val="0"/>
    <c:plotArea>
      <c:layout/>
      <c:lineChart>
        <c:grouping val="standard"/>
        <c:varyColors val="0"/>
        <c:ser>
          <c:idx val="2"/>
          <c:order val="0"/>
          <c:tx>
            <c:v>AF2017 - Samlet</c:v>
          </c:tx>
          <c:spPr>
            <a:ln>
              <a:solidFill>
                <a:schemeClr val="accent2"/>
              </a:solidFill>
            </a:ln>
          </c:spPr>
          <c:marker>
            <c:symbol val="none"/>
          </c:marker>
          <c:cat>
            <c:numRef>
              <c:f>'Wind turbines'!$D$6:$AA$6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turbines'!$D$238:$AA$238</c:f>
              <c:numCache>
                <c:formatCode>0%</c:formatCode>
                <c:ptCount val="24"/>
                <c:pt idx="0">
                  <c:v>0.41975483082625936</c:v>
                </c:pt>
                <c:pt idx="1">
                  <c:v>0.42601713666638069</c:v>
                </c:pt>
                <c:pt idx="2">
                  <c:v>0.46996402246365571</c:v>
                </c:pt>
                <c:pt idx="3">
                  <c:v>0.51120058791484846</c:v>
                </c:pt>
                <c:pt idx="4">
                  <c:v>0.50653950616912702</c:v>
                </c:pt>
                <c:pt idx="5">
                  <c:v>0.56886072581975289</c:v>
                </c:pt>
                <c:pt idx="6">
                  <c:v>0.56090650408181564</c:v>
                </c:pt>
                <c:pt idx="7">
                  <c:v>0.56344587354575015</c:v>
                </c:pt>
                <c:pt idx="8">
                  <c:v>0.58057957500609902</c:v>
                </c:pt>
                <c:pt idx="9">
                  <c:v>0.61521757055352588</c:v>
                </c:pt>
                <c:pt idx="10">
                  <c:v>0.64867961732991075</c:v>
                </c:pt>
                <c:pt idx="11">
                  <c:v>0.634936588860463</c:v>
                </c:pt>
                <c:pt idx="12">
                  <c:v>0.65345180630953015</c:v>
                </c:pt>
                <c:pt idx="13">
                  <c:v>0.69354411847736952</c:v>
                </c:pt>
                <c:pt idx="14">
                  <c:v>0.6944347563553992</c:v>
                </c:pt>
                <c:pt idx="15">
                  <c:v>0.72457588202943057</c:v>
                </c:pt>
                <c:pt idx="16">
                  <c:v>0.75386870776453407</c:v>
                </c:pt>
                <c:pt idx="17">
                  <c:v>0.74782448350958552</c:v>
                </c:pt>
                <c:pt idx="18">
                  <c:v>0.75873166608049358</c:v>
                </c:pt>
                <c:pt idx="19">
                  <c:v>0.76274767850204395</c:v>
                </c:pt>
                <c:pt idx="20">
                  <c:v>0.75733458289143252</c:v>
                </c:pt>
                <c:pt idx="21">
                  <c:v>0.78067184634374875</c:v>
                </c:pt>
                <c:pt idx="22">
                  <c:v>0.77001158888765131</c:v>
                </c:pt>
                <c:pt idx="23">
                  <c:v>0.77665347900351145</c:v>
                </c:pt>
              </c:numCache>
            </c:numRef>
          </c:val>
          <c:smooth val="0"/>
          <c:extLst>
            <c:ext xmlns:c16="http://schemas.microsoft.com/office/drawing/2014/chart" uri="{C3380CC4-5D6E-409C-BE32-E72D297353CC}">
              <c16:uniqueId val="{00000000-1526-2441-A0F5-CF34E218FEBC}"/>
            </c:ext>
          </c:extLst>
        </c:ser>
        <c:ser>
          <c:idx val="0"/>
          <c:order val="1"/>
          <c:tx>
            <c:v>AF2016 - Samlet</c:v>
          </c:tx>
          <c:spPr>
            <a:ln>
              <a:solidFill>
                <a:schemeClr val="accent2"/>
              </a:solidFill>
              <a:prstDash val="sysDash"/>
            </a:ln>
          </c:spPr>
          <c:marker>
            <c:symbol val="none"/>
          </c:marker>
          <c:cat>
            <c:numRef>
              <c:f>'Wind turbines'!$D$6:$AA$6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turbines'!$D$268:$AA$268</c:f>
              <c:numCache>
                <c:formatCode>0%</c:formatCode>
                <c:ptCount val="24"/>
                <c:pt idx="0">
                  <c:v>0.41442924541689091</c:v>
                </c:pt>
                <c:pt idx="1">
                  <c:v>0.41485068049003132</c:v>
                </c:pt>
                <c:pt idx="2">
                  <c:v>0.46455371294230474</c:v>
                </c:pt>
                <c:pt idx="3">
                  <c:v>0.53330255241143265</c:v>
                </c:pt>
                <c:pt idx="4">
                  <c:v>0.56355533064219365</c:v>
                </c:pt>
                <c:pt idx="5">
                  <c:v>0.58469589467451877</c:v>
                </c:pt>
                <c:pt idx="6">
                  <c:v>0.58525373541101966</c:v>
                </c:pt>
                <c:pt idx="7">
                  <c:v>0.59426473573914051</c:v>
                </c:pt>
                <c:pt idx="8">
                  <c:v>0.60415437177757703</c:v>
                </c:pt>
                <c:pt idx="9">
                  <c:v>0.6086639967374472</c:v>
                </c:pt>
                <c:pt idx="10">
                  <c:v>0.6404490111833111</c:v>
                </c:pt>
                <c:pt idx="11">
                  <c:v>0.65815005168022411</c:v>
                </c:pt>
                <c:pt idx="12">
                  <c:v>0.65262935236829711</c:v>
                </c:pt>
                <c:pt idx="13">
                  <c:v>0.68043397943053652</c:v>
                </c:pt>
                <c:pt idx="14">
                  <c:v>0.71237808722313889</c:v>
                </c:pt>
                <c:pt idx="15">
                  <c:v>0.72255641138293947</c:v>
                </c:pt>
                <c:pt idx="16">
                  <c:v>0.75583932091406913</c:v>
                </c:pt>
                <c:pt idx="17">
                  <c:v>0.7843105706547725</c:v>
                </c:pt>
                <c:pt idx="18">
                  <c:v>0.76827862622633758</c:v>
                </c:pt>
                <c:pt idx="19">
                  <c:v>0.77497764845270356</c:v>
                </c:pt>
                <c:pt idx="20">
                  <c:v>0.79799416814010271</c:v>
                </c:pt>
                <c:pt idx="21">
                  <c:v>0.80274603686899071</c:v>
                </c:pt>
                <c:pt idx="22">
                  <c:v>0.7884654032607733</c:v>
                </c:pt>
                <c:pt idx="23">
                  <c:v>0.80927326359147056</c:v>
                </c:pt>
              </c:numCache>
            </c:numRef>
          </c:val>
          <c:smooth val="0"/>
          <c:extLst>
            <c:ext xmlns:c16="http://schemas.microsoft.com/office/drawing/2014/chart" uri="{C3380CC4-5D6E-409C-BE32-E72D297353CC}">
              <c16:uniqueId val="{00000001-1526-2441-A0F5-CF34E218FEBC}"/>
            </c:ext>
          </c:extLst>
        </c:ser>
        <c:ser>
          <c:idx val="1"/>
          <c:order val="2"/>
          <c:tx>
            <c:v>AF2015 - Samlet</c:v>
          </c:tx>
          <c:spPr>
            <a:ln>
              <a:solidFill>
                <a:schemeClr val="accent2"/>
              </a:solidFill>
              <a:prstDash val="sysDot"/>
            </a:ln>
          </c:spPr>
          <c:marker>
            <c:symbol val="none"/>
          </c:marker>
          <c:cat>
            <c:numRef>
              <c:f>'Wind turbines'!$D$6:$AA$6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turbines'!$D$296:$V$296</c:f>
              <c:numCache>
                <c:formatCode>0%</c:formatCode>
                <c:ptCount val="19"/>
                <c:pt idx="0">
                  <c:v>0.41252467457295533</c:v>
                </c:pt>
                <c:pt idx="1">
                  <c:v>0.4302939030675732</c:v>
                </c:pt>
                <c:pt idx="2">
                  <c:v>0.45485997747438156</c:v>
                </c:pt>
                <c:pt idx="3">
                  <c:v>0.55011925743617562</c:v>
                </c:pt>
                <c:pt idx="4">
                  <c:v>0.57652520422234643</c:v>
                </c:pt>
                <c:pt idx="5">
                  <c:v>0.60336330975891117</c:v>
                </c:pt>
                <c:pt idx="6">
                  <c:v>0.60996561426786422</c:v>
                </c:pt>
                <c:pt idx="7">
                  <c:v>0.61000956453596822</c:v>
                </c:pt>
                <c:pt idx="8">
                  <c:v>0.61081083503411282</c:v>
                </c:pt>
                <c:pt idx="9">
                  <c:v>0.63315214566900491</c:v>
                </c:pt>
                <c:pt idx="10">
                  <c:v>0.65688127491038217</c:v>
                </c:pt>
                <c:pt idx="11">
                  <c:v>0.6611959612799867</c:v>
                </c:pt>
                <c:pt idx="12">
                  <c:v>0.69108436738399992</c:v>
                </c:pt>
                <c:pt idx="13">
                  <c:v>0.71588381676530199</c:v>
                </c:pt>
                <c:pt idx="14">
                  <c:v>0.7205249547691307</c:v>
                </c:pt>
                <c:pt idx="15">
                  <c:v>0.71768375885966873</c:v>
                </c:pt>
                <c:pt idx="16">
                  <c:v>0.7168082260401335</c:v>
                </c:pt>
                <c:pt idx="17">
                  <c:v>0.71480952071705517</c:v>
                </c:pt>
                <c:pt idx="18">
                  <c:v>0.71150053535728663</c:v>
                </c:pt>
              </c:numCache>
            </c:numRef>
          </c:val>
          <c:smooth val="0"/>
          <c:extLst>
            <c:ext xmlns:c16="http://schemas.microsoft.com/office/drawing/2014/chart" uri="{C3380CC4-5D6E-409C-BE32-E72D297353CC}">
              <c16:uniqueId val="{00000002-1526-2441-A0F5-CF34E218FEBC}"/>
            </c:ext>
          </c:extLst>
        </c:ser>
        <c:dLbls>
          <c:showLegendKey val="0"/>
          <c:showVal val="0"/>
          <c:showCatName val="0"/>
          <c:showSerName val="0"/>
          <c:showPercent val="0"/>
          <c:showBubbleSize val="0"/>
        </c:dLbls>
        <c:smooth val="0"/>
        <c:axId val="120846208"/>
        <c:axId val="126239488"/>
      </c:lineChart>
      <c:catAx>
        <c:axId val="1208462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26239488"/>
        <c:crosses val="autoZero"/>
        <c:auto val="1"/>
        <c:lblAlgn val="ctr"/>
        <c:lblOffset val="100"/>
        <c:noMultiLvlLbl val="0"/>
      </c:catAx>
      <c:valAx>
        <c:axId val="126239488"/>
        <c:scaling>
          <c:orientation val="minMax"/>
        </c:scaling>
        <c:delete val="0"/>
        <c:axPos val="l"/>
        <c:numFmt formatCode="0%" sourceLinked="1"/>
        <c:majorTickMark val="out"/>
        <c:minorTickMark val="none"/>
        <c:tickLblPos val="nextTo"/>
        <c:crossAx val="12084620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Wind</a:t>
            </a:r>
            <a:r>
              <a:rPr lang="da-DK" sz="1200" baseline="0"/>
              <a:t> power c</a:t>
            </a:r>
            <a:r>
              <a:rPr lang="da-DK" sz="1200"/>
              <a:t>apacities - Land</a:t>
            </a:r>
            <a:r>
              <a:rPr lang="da-DK" sz="1200" baseline="0"/>
              <a:t> based </a:t>
            </a:r>
            <a:endParaRPr lang="da-DK" sz="1200"/>
          </a:p>
        </c:rich>
      </c:tx>
      <c:overlay val="0"/>
    </c:title>
    <c:autoTitleDeleted val="0"/>
    <c:plotArea>
      <c:layout>
        <c:manualLayout>
          <c:layoutTarget val="inner"/>
          <c:xMode val="edge"/>
          <c:yMode val="edge"/>
          <c:x val="0.16827902862692545"/>
          <c:y val="7.2117156862745099E-2"/>
          <c:w val="0.81401508074202589"/>
          <c:h val="0.67297917842653299"/>
        </c:manualLayout>
      </c:layout>
      <c:areaChart>
        <c:grouping val="stacked"/>
        <c:varyColors val="0"/>
        <c:ser>
          <c:idx val="8"/>
          <c:order val="0"/>
          <c:tx>
            <c:v>Land-based</c:v>
          </c:tx>
          <c:spPr>
            <a:solidFill>
              <a:schemeClr val="accent1"/>
            </a:solidFill>
            <a:ln>
              <a:noFill/>
            </a:ln>
          </c:spP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turbines'!$D$216:$AA$216</c:f>
              <c:numCache>
                <c:formatCode>#,##0</c:formatCode>
                <c:ptCount val="24"/>
                <c:pt idx="0">
                  <c:v>3974.0410000000002</c:v>
                </c:pt>
                <c:pt idx="1">
                  <c:v>4118.0842000000002</c:v>
                </c:pt>
                <c:pt idx="2">
                  <c:v>4147.4452999999994</c:v>
                </c:pt>
                <c:pt idx="3">
                  <c:v>4231.8063999999995</c:v>
                </c:pt>
                <c:pt idx="4">
                  <c:v>4298.4142857142861</c:v>
                </c:pt>
                <c:pt idx="5">
                  <c:v>4415.0221714285726</c:v>
                </c:pt>
                <c:pt idx="6">
                  <c:v>4458.5647714285724</c:v>
                </c:pt>
                <c:pt idx="7">
                  <c:v>4552.1073714285722</c:v>
                </c:pt>
                <c:pt idx="8">
                  <c:v>4645.6499714285719</c:v>
                </c:pt>
                <c:pt idx="9">
                  <c:v>4739.1925714285717</c:v>
                </c:pt>
                <c:pt idx="10">
                  <c:v>4814.1925714285717</c:v>
                </c:pt>
                <c:pt idx="11">
                  <c:v>4889.1925714285708</c:v>
                </c:pt>
                <c:pt idx="12">
                  <c:v>4964.1925714285717</c:v>
                </c:pt>
                <c:pt idx="13">
                  <c:v>5039.1925714285717</c:v>
                </c:pt>
                <c:pt idx="14">
                  <c:v>5114.1925714285717</c:v>
                </c:pt>
                <c:pt idx="15">
                  <c:v>5189.1925714285717</c:v>
                </c:pt>
                <c:pt idx="16">
                  <c:v>5264.1925714285717</c:v>
                </c:pt>
                <c:pt idx="17">
                  <c:v>5339.1925714285717</c:v>
                </c:pt>
                <c:pt idx="18">
                  <c:v>5414.1925714285717</c:v>
                </c:pt>
                <c:pt idx="19">
                  <c:v>5489.1925714285708</c:v>
                </c:pt>
                <c:pt idx="20">
                  <c:v>5564.1925714285717</c:v>
                </c:pt>
                <c:pt idx="21">
                  <c:v>5639.1925714285708</c:v>
                </c:pt>
                <c:pt idx="22">
                  <c:v>5714.1925714285708</c:v>
                </c:pt>
                <c:pt idx="23">
                  <c:v>5789.1925714285708</c:v>
                </c:pt>
              </c:numCache>
            </c:numRef>
          </c:val>
          <c:extLst>
            <c:ext xmlns:c16="http://schemas.microsoft.com/office/drawing/2014/chart" uri="{C3380CC4-5D6E-409C-BE32-E72D297353CC}">
              <c16:uniqueId val="{00000000-0142-C741-BA8D-D6853F90FEA0}"/>
            </c:ext>
          </c:extLst>
        </c:ser>
        <c:dLbls>
          <c:showLegendKey val="0"/>
          <c:showVal val="0"/>
          <c:showCatName val="0"/>
          <c:showSerName val="0"/>
          <c:showPercent val="0"/>
          <c:showBubbleSize val="0"/>
        </c:dLbls>
        <c:axId val="126273024"/>
        <c:axId val="126274560"/>
      </c:areaChart>
      <c:lineChart>
        <c:grouping val="standard"/>
        <c:varyColors val="0"/>
        <c:ser>
          <c:idx val="4"/>
          <c:order val="1"/>
          <c:tx>
            <c:v>Land-based, AF2016</c:v>
          </c:tx>
          <c:spPr>
            <a:ln>
              <a:solidFill>
                <a:schemeClr val="accent3"/>
              </a:solidFill>
              <a:prstDash val="sysDash"/>
            </a:ln>
          </c:spPr>
          <c:marker>
            <c:symbol val="none"/>
          </c:marker>
          <c:cat>
            <c:numRef>
              <c:f>'Wind turbines'!$D$297:$AA$297</c:f>
              <c:numCache>
                <c:formatCode>General</c:formatCode>
                <c:ptCount val="24"/>
              </c:numCache>
            </c:numRef>
          </c:cat>
          <c:val>
            <c:numRef>
              <c:f>'Wind turbines'!$D$247:$AA$247</c:f>
              <c:numCache>
                <c:formatCode>#,##0</c:formatCode>
                <c:ptCount val="24"/>
                <c:pt idx="0">
                  <c:v>3951.4791000000005</c:v>
                </c:pt>
                <c:pt idx="1">
                  <c:v>4095.8402000000006</c:v>
                </c:pt>
                <c:pt idx="2">
                  <c:v>4220.8401999999996</c:v>
                </c:pt>
                <c:pt idx="3">
                  <c:v>4345.8402000000006</c:v>
                </c:pt>
                <c:pt idx="4">
                  <c:v>4470.8402000000006</c:v>
                </c:pt>
                <c:pt idx="5">
                  <c:v>4595.8401999999996</c:v>
                </c:pt>
                <c:pt idx="6">
                  <c:v>4720.8401999999996</c:v>
                </c:pt>
                <c:pt idx="7">
                  <c:v>4845.8401999999996</c:v>
                </c:pt>
                <c:pt idx="8">
                  <c:v>4970.8402000000006</c:v>
                </c:pt>
                <c:pt idx="9">
                  <c:v>5095.8402000000006</c:v>
                </c:pt>
                <c:pt idx="10">
                  <c:v>5220.8402000000006</c:v>
                </c:pt>
                <c:pt idx="11">
                  <c:v>5345.8402000000006</c:v>
                </c:pt>
                <c:pt idx="12">
                  <c:v>5470.8401999999996</c:v>
                </c:pt>
                <c:pt idx="13">
                  <c:v>5595.8401999999996</c:v>
                </c:pt>
                <c:pt idx="14">
                  <c:v>5720.8401999999996</c:v>
                </c:pt>
                <c:pt idx="15">
                  <c:v>5845.8401999999996</c:v>
                </c:pt>
                <c:pt idx="16">
                  <c:v>5970.8401999999987</c:v>
                </c:pt>
                <c:pt idx="17">
                  <c:v>6095.8401999999987</c:v>
                </c:pt>
                <c:pt idx="18">
                  <c:v>6220.8401999999987</c:v>
                </c:pt>
                <c:pt idx="19">
                  <c:v>6345.8401999999987</c:v>
                </c:pt>
                <c:pt idx="20">
                  <c:v>6470.8401999999987</c:v>
                </c:pt>
                <c:pt idx="21">
                  <c:v>6595.8401999999996</c:v>
                </c:pt>
                <c:pt idx="22">
                  <c:v>6720.8401999999996</c:v>
                </c:pt>
                <c:pt idx="23">
                  <c:v>6845.8401999999996</c:v>
                </c:pt>
              </c:numCache>
            </c:numRef>
          </c:val>
          <c:smooth val="0"/>
          <c:extLst>
            <c:ext xmlns:c16="http://schemas.microsoft.com/office/drawing/2014/chart" uri="{C3380CC4-5D6E-409C-BE32-E72D297353CC}">
              <c16:uniqueId val="{00000001-0142-C741-BA8D-D6853F90FEA0}"/>
            </c:ext>
          </c:extLst>
        </c:ser>
        <c:dLbls>
          <c:showLegendKey val="0"/>
          <c:showVal val="0"/>
          <c:showCatName val="0"/>
          <c:showSerName val="0"/>
          <c:showPercent val="0"/>
          <c:showBubbleSize val="0"/>
        </c:dLbls>
        <c:marker val="1"/>
        <c:smooth val="0"/>
        <c:axId val="126273024"/>
        <c:axId val="126274560"/>
      </c:lineChart>
      <c:catAx>
        <c:axId val="126273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26274560"/>
        <c:crosses val="autoZero"/>
        <c:auto val="1"/>
        <c:lblAlgn val="ctr"/>
        <c:lblOffset val="100"/>
        <c:tickLblSkip val="1"/>
        <c:noMultiLvlLbl val="0"/>
      </c:catAx>
      <c:valAx>
        <c:axId val="126274560"/>
        <c:scaling>
          <c:orientation val="minMax"/>
        </c:scaling>
        <c:delete val="0"/>
        <c:axPos val="l"/>
        <c:title>
          <c:tx>
            <c:rich>
              <a:bodyPr rot="-5400000" vert="horz"/>
              <a:lstStyle/>
              <a:p>
                <a:pPr>
                  <a:defRPr/>
                </a:pPr>
                <a:r>
                  <a:rPr lang="da-DK"/>
                  <a:t>MW</a:t>
                </a:r>
                <a:r>
                  <a:rPr lang="da-DK" baseline="0"/>
                  <a:t> (beginning of year)</a:t>
                </a:r>
                <a:endParaRPr lang="da-DK"/>
              </a:p>
            </c:rich>
          </c:tx>
          <c:overlay val="0"/>
        </c:title>
        <c:numFmt formatCode="#,##0" sourceLinked="1"/>
        <c:majorTickMark val="out"/>
        <c:minorTickMark val="none"/>
        <c:tickLblPos val="nextTo"/>
        <c:spPr>
          <a:ln w="9525">
            <a:solidFill>
              <a:schemeClr val="bg1">
                <a:lumMod val="75000"/>
              </a:schemeClr>
            </a:solidFill>
          </a:ln>
        </c:spPr>
        <c:crossAx val="126273024"/>
        <c:crosses val="autoZero"/>
        <c:crossBetween val="midCat"/>
      </c:valAx>
    </c:plotArea>
    <c:legend>
      <c:legendPos val="b"/>
      <c:layout>
        <c:manualLayout>
          <c:xMode val="edge"/>
          <c:yMode val="edge"/>
          <c:x val="0"/>
          <c:y val="0.90131181692855045"/>
          <c:w val="0.99765180835446421"/>
          <c:h val="8.6498095260348573E-2"/>
        </c:manualLayout>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Wind power capacities - Near-shore</a:t>
            </a:r>
          </a:p>
        </c:rich>
      </c:tx>
      <c:overlay val="0"/>
    </c:title>
    <c:autoTitleDeleted val="0"/>
    <c:plotArea>
      <c:layout>
        <c:manualLayout>
          <c:layoutTarget val="inner"/>
          <c:xMode val="edge"/>
          <c:yMode val="edge"/>
          <c:x val="0.16827902862692545"/>
          <c:y val="7.2117156862745099E-2"/>
          <c:w val="0.81401508074202589"/>
          <c:h val="0.65736084619386159"/>
        </c:manualLayout>
      </c:layout>
      <c:areaChart>
        <c:grouping val="stacked"/>
        <c:varyColors val="0"/>
        <c:ser>
          <c:idx val="9"/>
          <c:order val="0"/>
          <c:tx>
            <c:v>Near-shore</c:v>
          </c:tx>
          <c:spPr>
            <a:solidFill>
              <a:schemeClr val="accent1"/>
            </a:solidFill>
            <a:ln>
              <a:noFill/>
            </a:ln>
          </c:spP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turbines'!$D$217:$AA$217</c:f>
              <c:numCache>
                <c:formatCode>#,##0</c:formatCode>
                <c:ptCount val="24"/>
                <c:pt idx="0">
                  <c:v>124.6</c:v>
                </c:pt>
                <c:pt idx="1">
                  <c:v>124.6</c:v>
                </c:pt>
                <c:pt idx="2">
                  <c:v>124.6</c:v>
                </c:pt>
                <c:pt idx="3">
                  <c:v>502.6</c:v>
                </c:pt>
                <c:pt idx="4">
                  <c:v>497.6</c:v>
                </c:pt>
                <c:pt idx="5">
                  <c:v>497.6</c:v>
                </c:pt>
                <c:pt idx="6">
                  <c:v>497.6</c:v>
                </c:pt>
                <c:pt idx="7">
                  <c:v>497.6</c:v>
                </c:pt>
                <c:pt idx="8">
                  <c:v>647.6</c:v>
                </c:pt>
                <c:pt idx="9">
                  <c:v>607.6</c:v>
                </c:pt>
                <c:pt idx="10">
                  <c:v>607.6</c:v>
                </c:pt>
                <c:pt idx="11">
                  <c:v>607.6</c:v>
                </c:pt>
                <c:pt idx="12">
                  <c:v>559.79999999999995</c:v>
                </c:pt>
                <c:pt idx="13">
                  <c:v>709.8</c:v>
                </c:pt>
                <c:pt idx="14">
                  <c:v>709.8</c:v>
                </c:pt>
                <c:pt idx="15">
                  <c:v>709.8</c:v>
                </c:pt>
                <c:pt idx="16">
                  <c:v>709.8</c:v>
                </c:pt>
                <c:pt idx="17">
                  <c:v>709.8</c:v>
                </c:pt>
                <c:pt idx="18">
                  <c:v>831.6</c:v>
                </c:pt>
                <c:pt idx="19">
                  <c:v>831.6</c:v>
                </c:pt>
                <c:pt idx="20">
                  <c:v>828</c:v>
                </c:pt>
                <c:pt idx="21">
                  <c:v>828</c:v>
                </c:pt>
                <c:pt idx="22">
                  <c:v>828</c:v>
                </c:pt>
                <c:pt idx="23">
                  <c:v>978</c:v>
                </c:pt>
              </c:numCache>
            </c:numRef>
          </c:val>
          <c:extLst>
            <c:ext xmlns:c16="http://schemas.microsoft.com/office/drawing/2014/chart" uri="{C3380CC4-5D6E-409C-BE32-E72D297353CC}">
              <c16:uniqueId val="{00000000-D45B-BC47-9E03-98BBF64BBBEA}"/>
            </c:ext>
          </c:extLst>
        </c:ser>
        <c:dLbls>
          <c:showLegendKey val="0"/>
          <c:showVal val="0"/>
          <c:showCatName val="0"/>
          <c:showSerName val="0"/>
          <c:showPercent val="0"/>
          <c:showBubbleSize val="0"/>
        </c:dLbls>
        <c:axId val="126296832"/>
        <c:axId val="126298368"/>
      </c:areaChart>
      <c:lineChart>
        <c:grouping val="standard"/>
        <c:varyColors val="0"/>
        <c:ser>
          <c:idx val="5"/>
          <c:order val="1"/>
          <c:tx>
            <c:v>Near-shore, AF2016</c:v>
          </c:tx>
          <c:spPr>
            <a:ln>
              <a:solidFill>
                <a:schemeClr val="accent3"/>
              </a:solidFill>
              <a:prstDash val="sysDash"/>
            </a:ln>
          </c:spPr>
          <c:marker>
            <c:symbol val="none"/>
          </c:marker>
          <c:cat>
            <c:numRef>
              <c:f>'Wind turbines'!$D$297:$AA$297</c:f>
              <c:numCache>
                <c:formatCode>General</c:formatCode>
                <c:ptCount val="24"/>
              </c:numCache>
            </c:numRef>
          </c:cat>
          <c:val>
            <c:numRef>
              <c:f>'Wind turbines'!$D$248:$AA$248</c:f>
              <c:numCache>
                <c:formatCode>#,##0</c:formatCode>
                <c:ptCount val="24"/>
                <c:pt idx="0">
                  <c:v>124.6</c:v>
                </c:pt>
                <c:pt idx="1">
                  <c:v>124.6</c:v>
                </c:pt>
                <c:pt idx="2">
                  <c:v>124.6</c:v>
                </c:pt>
                <c:pt idx="3">
                  <c:v>524.6</c:v>
                </c:pt>
                <c:pt idx="4">
                  <c:v>569.6</c:v>
                </c:pt>
                <c:pt idx="5">
                  <c:v>569.6</c:v>
                </c:pt>
                <c:pt idx="6">
                  <c:v>569.6</c:v>
                </c:pt>
                <c:pt idx="7">
                  <c:v>569.6</c:v>
                </c:pt>
                <c:pt idx="8">
                  <c:v>569.6</c:v>
                </c:pt>
                <c:pt idx="9">
                  <c:v>529.6</c:v>
                </c:pt>
                <c:pt idx="10">
                  <c:v>529.6</c:v>
                </c:pt>
                <c:pt idx="11">
                  <c:v>529.6</c:v>
                </c:pt>
                <c:pt idx="12">
                  <c:v>481.8</c:v>
                </c:pt>
                <c:pt idx="13">
                  <c:v>481.8</c:v>
                </c:pt>
                <c:pt idx="14">
                  <c:v>481.8</c:v>
                </c:pt>
                <c:pt idx="15">
                  <c:v>481.8</c:v>
                </c:pt>
                <c:pt idx="16">
                  <c:v>481.8</c:v>
                </c:pt>
                <c:pt idx="17">
                  <c:v>481.8</c:v>
                </c:pt>
                <c:pt idx="18">
                  <c:v>453.6</c:v>
                </c:pt>
                <c:pt idx="19">
                  <c:v>453.6</c:v>
                </c:pt>
                <c:pt idx="20">
                  <c:v>450</c:v>
                </c:pt>
                <c:pt idx="21">
                  <c:v>450</c:v>
                </c:pt>
                <c:pt idx="22">
                  <c:v>450</c:v>
                </c:pt>
                <c:pt idx="23">
                  <c:v>450</c:v>
                </c:pt>
              </c:numCache>
            </c:numRef>
          </c:val>
          <c:smooth val="0"/>
          <c:extLst>
            <c:ext xmlns:c16="http://schemas.microsoft.com/office/drawing/2014/chart" uri="{C3380CC4-5D6E-409C-BE32-E72D297353CC}">
              <c16:uniqueId val="{00000001-D45B-BC47-9E03-98BBF64BBBEA}"/>
            </c:ext>
          </c:extLst>
        </c:ser>
        <c:dLbls>
          <c:showLegendKey val="0"/>
          <c:showVal val="0"/>
          <c:showCatName val="0"/>
          <c:showSerName val="0"/>
          <c:showPercent val="0"/>
          <c:showBubbleSize val="0"/>
        </c:dLbls>
        <c:marker val="1"/>
        <c:smooth val="0"/>
        <c:axId val="126296832"/>
        <c:axId val="126298368"/>
      </c:lineChart>
      <c:catAx>
        <c:axId val="1262968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26298368"/>
        <c:crosses val="autoZero"/>
        <c:auto val="1"/>
        <c:lblAlgn val="ctr"/>
        <c:lblOffset val="100"/>
        <c:tickLblSkip val="1"/>
        <c:noMultiLvlLbl val="0"/>
      </c:catAx>
      <c:valAx>
        <c:axId val="126298368"/>
        <c:scaling>
          <c:orientation val="minMax"/>
        </c:scaling>
        <c:delete val="0"/>
        <c:axPos val="l"/>
        <c:title>
          <c:tx>
            <c:rich>
              <a:bodyPr rot="-5400000" vert="horz"/>
              <a:lstStyle/>
              <a:p>
                <a:pPr>
                  <a:defRPr/>
                </a:pPr>
                <a:r>
                  <a:rPr lang="da-DK"/>
                  <a:t>MW</a:t>
                </a:r>
                <a:r>
                  <a:rPr lang="da-DK" baseline="0"/>
                  <a:t> (beginning of year)</a:t>
                </a:r>
                <a:endParaRPr lang="da-DK"/>
              </a:p>
            </c:rich>
          </c:tx>
          <c:overlay val="0"/>
        </c:title>
        <c:numFmt formatCode="#,##0" sourceLinked="1"/>
        <c:majorTickMark val="out"/>
        <c:minorTickMark val="none"/>
        <c:tickLblPos val="nextTo"/>
        <c:spPr>
          <a:ln w="9525">
            <a:solidFill>
              <a:schemeClr val="bg1">
                <a:lumMod val="75000"/>
              </a:schemeClr>
            </a:solidFill>
          </a:ln>
        </c:spPr>
        <c:crossAx val="126296832"/>
        <c:crosses val="autoZero"/>
        <c:crossBetween val="midCat"/>
      </c:valAx>
    </c:plotArea>
    <c:legend>
      <c:legendPos val="b"/>
      <c:layout>
        <c:manualLayout>
          <c:xMode val="edge"/>
          <c:yMode val="edge"/>
          <c:x val="0"/>
          <c:y val="0.88569348469587905"/>
          <c:w val="0.7968211975345656"/>
          <c:h val="9.597575750483843E-2"/>
        </c:manualLayout>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Wind power capacities - Offshore</a:t>
            </a:r>
          </a:p>
        </c:rich>
      </c:tx>
      <c:overlay val="0"/>
    </c:title>
    <c:autoTitleDeleted val="0"/>
    <c:plotArea>
      <c:layout>
        <c:manualLayout>
          <c:layoutTarget val="inner"/>
          <c:xMode val="edge"/>
          <c:yMode val="edge"/>
          <c:x val="0.16827902862692545"/>
          <c:y val="7.2117156862745099E-2"/>
          <c:w val="0.81401508074202589"/>
          <c:h val="0.66777306768230915"/>
        </c:manualLayout>
      </c:layout>
      <c:areaChart>
        <c:grouping val="stacked"/>
        <c:varyColors val="0"/>
        <c:ser>
          <c:idx val="10"/>
          <c:order val="0"/>
          <c:tx>
            <c:v>Offshore</c:v>
          </c:tx>
          <c:spPr>
            <a:solidFill>
              <a:schemeClr val="accent1"/>
            </a:solidFill>
            <a:ln>
              <a:noFill/>
            </a:ln>
          </c:spPr>
          <c:cat>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turbines'!$D$218:$AA$218</c:f>
              <c:numCache>
                <c:formatCode>#,##0</c:formatCode>
                <c:ptCount val="24"/>
                <c:pt idx="0">
                  <c:v>1141.5</c:v>
                </c:pt>
                <c:pt idx="1">
                  <c:v>1141.5</c:v>
                </c:pt>
                <c:pt idx="2">
                  <c:v>1548.2000000000003</c:v>
                </c:pt>
                <c:pt idx="3">
                  <c:v>1548.2000000000003</c:v>
                </c:pt>
                <c:pt idx="4">
                  <c:v>1548.2000000000003</c:v>
                </c:pt>
                <c:pt idx="5">
                  <c:v>2148.2000000000003</c:v>
                </c:pt>
                <c:pt idx="6">
                  <c:v>2148.2000000000003</c:v>
                </c:pt>
                <c:pt idx="7">
                  <c:v>2148.2000000000003</c:v>
                </c:pt>
                <c:pt idx="8">
                  <c:v>2148.2000000000003</c:v>
                </c:pt>
                <c:pt idx="9">
                  <c:v>2448.2000000000003</c:v>
                </c:pt>
                <c:pt idx="10">
                  <c:v>2748.2000000000003</c:v>
                </c:pt>
                <c:pt idx="11">
                  <c:v>2588.2000000000003</c:v>
                </c:pt>
                <c:pt idx="12">
                  <c:v>2722.6000000000004</c:v>
                </c:pt>
                <c:pt idx="13">
                  <c:v>3022.6000000000004</c:v>
                </c:pt>
                <c:pt idx="14">
                  <c:v>3022.6000000000004</c:v>
                </c:pt>
                <c:pt idx="15">
                  <c:v>3322.6000000000004</c:v>
                </c:pt>
                <c:pt idx="16">
                  <c:v>3622.6000000000004</c:v>
                </c:pt>
                <c:pt idx="17">
                  <c:v>3622.6000000000004</c:v>
                </c:pt>
                <c:pt idx="18">
                  <c:v>3713.3</c:v>
                </c:pt>
                <c:pt idx="19">
                  <c:v>3806.3</c:v>
                </c:pt>
                <c:pt idx="20">
                  <c:v>3806.3</c:v>
                </c:pt>
                <c:pt idx="21">
                  <c:v>4106.3</c:v>
                </c:pt>
                <c:pt idx="22">
                  <c:v>4006.7</c:v>
                </c:pt>
                <c:pt idx="23">
                  <c:v>4006.7</c:v>
                </c:pt>
              </c:numCache>
            </c:numRef>
          </c:val>
          <c:extLst>
            <c:ext xmlns:c16="http://schemas.microsoft.com/office/drawing/2014/chart" uri="{C3380CC4-5D6E-409C-BE32-E72D297353CC}">
              <c16:uniqueId val="{00000000-8400-1842-AFF8-AF1577C11271}"/>
            </c:ext>
          </c:extLst>
        </c:ser>
        <c:dLbls>
          <c:showLegendKey val="0"/>
          <c:showVal val="0"/>
          <c:showCatName val="0"/>
          <c:showSerName val="0"/>
          <c:showPercent val="0"/>
          <c:showBubbleSize val="0"/>
        </c:dLbls>
        <c:axId val="126345216"/>
        <c:axId val="126346752"/>
      </c:areaChart>
      <c:lineChart>
        <c:grouping val="standard"/>
        <c:varyColors val="0"/>
        <c:ser>
          <c:idx val="6"/>
          <c:order val="1"/>
          <c:tx>
            <c:v>Offshore, AF2016</c:v>
          </c:tx>
          <c:spPr>
            <a:ln>
              <a:solidFill>
                <a:schemeClr val="accent3"/>
              </a:solidFill>
              <a:prstDash val="sysDash"/>
            </a:ln>
          </c:spPr>
          <c:marker>
            <c:symbol val="none"/>
          </c:marker>
          <c:cat>
            <c:numRef>
              <c:f>'Wind turbines'!$D$297:$AA$297</c:f>
              <c:numCache>
                <c:formatCode>General</c:formatCode>
                <c:ptCount val="24"/>
              </c:numCache>
            </c:numRef>
          </c:cat>
          <c:val>
            <c:numRef>
              <c:f>'Wind turbines'!$D$249:$AA$249</c:f>
              <c:numCache>
                <c:formatCode>#,##0</c:formatCode>
                <c:ptCount val="24"/>
                <c:pt idx="0">
                  <c:v>1141.5</c:v>
                </c:pt>
                <c:pt idx="1">
                  <c:v>1141.5</c:v>
                </c:pt>
                <c:pt idx="2">
                  <c:v>1548.2</c:v>
                </c:pt>
                <c:pt idx="3">
                  <c:v>1748.2</c:v>
                </c:pt>
                <c:pt idx="4">
                  <c:v>1948.2</c:v>
                </c:pt>
                <c:pt idx="5">
                  <c:v>2148.1999999999998</c:v>
                </c:pt>
                <c:pt idx="6">
                  <c:v>2148.1999999999998</c:v>
                </c:pt>
                <c:pt idx="7">
                  <c:v>2148.1999999999998</c:v>
                </c:pt>
                <c:pt idx="8">
                  <c:v>2148.1999999999998</c:v>
                </c:pt>
                <c:pt idx="9">
                  <c:v>2148.1999999999998</c:v>
                </c:pt>
                <c:pt idx="10">
                  <c:v>2348.1999999999998</c:v>
                </c:pt>
                <c:pt idx="11">
                  <c:v>2388.1999999999998</c:v>
                </c:pt>
                <c:pt idx="12">
                  <c:v>2222.6000000000004</c:v>
                </c:pt>
                <c:pt idx="13">
                  <c:v>2422.6000000000004</c:v>
                </c:pt>
                <c:pt idx="14">
                  <c:v>2622.6000000000004</c:v>
                </c:pt>
                <c:pt idx="15">
                  <c:v>2622.6000000000004</c:v>
                </c:pt>
                <c:pt idx="16">
                  <c:v>2822.6000000000004</c:v>
                </c:pt>
                <c:pt idx="17">
                  <c:v>3022.6000000000004</c:v>
                </c:pt>
                <c:pt idx="18">
                  <c:v>2813.3</c:v>
                </c:pt>
                <c:pt idx="19">
                  <c:v>2806.3</c:v>
                </c:pt>
                <c:pt idx="20">
                  <c:v>3006.3</c:v>
                </c:pt>
                <c:pt idx="21">
                  <c:v>3006.3</c:v>
                </c:pt>
                <c:pt idx="22">
                  <c:v>2806.7</c:v>
                </c:pt>
                <c:pt idx="23">
                  <c:v>3006.7</c:v>
                </c:pt>
              </c:numCache>
            </c:numRef>
          </c:val>
          <c:smooth val="0"/>
          <c:extLst>
            <c:ext xmlns:c16="http://schemas.microsoft.com/office/drawing/2014/chart" uri="{C3380CC4-5D6E-409C-BE32-E72D297353CC}">
              <c16:uniqueId val="{00000001-8400-1842-AFF8-AF1577C11271}"/>
            </c:ext>
          </c:extLst>
        </c:ser>
        <c:dLbls>
          <c:showLegendKey val="0"/>
          <c:showVal val="0"/>
          <c:showCatName val="0"/>
          <c:showSerName val="0"/>
          <c:showPercent val="0"/>
          <c:showBubbleSize val="0"/>
        </c:dLbls>
        <c:marker val="1"/>
        <c:smooth val="0"/>
        <c:axId val="126345216"/>
        <c:axId val="126346752"/>
      </c:lineChart>
      <c:catAx>
        <c:axId val="1263452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26346752"/>
        <c:crosses val="autoZero"/>
        <c:auto val="1"/>
        <c:lblAlgn val="ctr"/>
        <c:lblOffset val="100"/>
        <c:tickLblSkip val="1"/>
        <c:noMultiLvlLbl val="0"/>
      </c:catAx>
      <c:valAx>
        <c:axId val="126346752"/>
        <c:scaling>
          <c:orientation val="minMax"/>
        </c:scaling>
        <c:delete val="0"/>
        <c:axPos val="l"/>
        <c:title>
          <c:tx>
            <c:rich>
              <a:bodyPr rot="-5400000" vert="horz"/>
              <a:lstStyle/>
              <a:p>
                <a:pPr>
                  <a:defRPr/>
                </a:pPr>
                <a:r>
                  <a:rPr lang="da-DK"/>
                  <a:t>MW</a:t>
                </a:r>
                <a:r>
                  <a:rPr lang="da-DK" baseline="0"/>
                  <a:t> (beginning of year)</a:t>
                </a:r>
                <a:endParaRPr lang="da-DK"/>
              </a:p>
            </c:rich>
          </c:tx>
          <c:overlay val="0"/>
        </c:title>
        <c:numFmt formatCode="#,##0" sourceLinked="1"/>
        <c:majorTickMark val="out"/>
        <c:minorTickMark val="none"/>
        <c:tickLblPos val="nextTo"/>
        <c:spPr>
          <a:ln w="9525">
            <a:solidFill>
              <a:schemeClr val="bg1">
                <a:lumMod val="75000"/>
              </a:schemeClr>
            </a:solidFill>
          </a:ln>
        </c:spPr>
        <c:crossAx val="126345216"/>
        <c:crosses val="autoZero"/>
        <c:crossBetween val="midCat"/>
      </c:valAx>
    </c:plotArea>
    <c:legend>
      <c:legendPos val="b"/>
      <c:layout>
        <c:manualLayout>
          <c:xMode val="edge"/>
          <c:yMode val="edge"/>
          <c:x val="0"/>
          <c:y val="0.89089959544010289"/>
          <c:w val="0.99765180835446421"/>
          <c:h val="9.6910316748796133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Biomass prices</a:t>
            </a:r>
            <a:r>
              <a:rPr lang="da-DK" sz="1200" baseline="0"/>
              <a:t>  to central plant</a:t>
            </a:r>
            <a:endParaRPr lang="da-DK" sz="1200"/>
          </a:p>
        </c:rich>
      </c:tx>
      <c:overlay val="0"/>
    </c:title>
    <c:autoTitleDeleted val="0"/>
    <c:plotArea>
      <c:layout/>
      <c:lineChart>
        <c:grouping val="standard"/>
        <c:varyColors val="0"/>
        <c:ser>
          <c:idx val="0"/>
          <c:order val="0"/>
          <c:tx>
            <c:strRef>
              <c:f>'Fuel and CO2 emission prices'!$B$38</c:f>
              <c:strCache>
                <c:ptCount val="1"/>
                <c:pt idx="0">
                  <c:v>Straw</c:v>
                </c:pt>
              </c:strCache>
            </c:strRef>
          </c:tx>
          <c:marker>
            <c:symbol val="none"/>
          </c:marker>
          <c:cat>
            <c:numRef>
              <c:f>'Fuel and CO2 emission prices'!$E$36:$AB$36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prices'!$E$38:$AB$38</c:f>
              <c:numCache>
                <c:formatCode>###0.0</c:formatCode>
                <c:ptCount val="24"/>
                <c:pt idx="0">
                  <c:v>42.225920862436929</c:v>
                </c:pt>
                <c:pt idx="1">
                  <c:v>42.28620682644145</c:v>
                </c:pt>
                <c:pt idx="2">
                  <c:v>42.331017210467529</c:v>
                </c:pt>
                <c:pt idx="3">
                  <c:v>42.536489408860994</c:v>
                </c:pt>
                <c:pt idx="4">
                  <c:v>42.92143844856961</c:v>
                </c:pt>
                <c:pt idx="5">
                  <c:v>43.354439585434754</c:v>
                </c:pt>
                <c:pt idx="6">
                  <c:v>43.816577616854588</c:v>
                </c:pt>
                <c:pt idx="7">
                  <c:v>44.305093735019952</c:v>
                </c:pt>
                <c:pt idx="8">
                  <c:v>44.823805933300697</c:v>
                </c:pt>
                <c:pt idx="9">
                  <c:v>45.316211223359431</c:v>
                </c:pt>
                <c:pt idx="10">
                  <c:v>45.831276173980534</c:v>
                </c:pt>
                <c:pt idx="11">
                  <c:v>46.367186741581676</c:v>
                </c:pt>
                <c:pt idx="12">
                  <c:v>46.922350690998172</c:v>
                </c:pt>
                <c:pt idx="13">
                  <c:v>47.495453627440988</c:v>
                </c:pt>
                <c:pt idx="14">
                  <c:v>47.723037207437464</c:v>
                </c:pt>
                <c:pt idx="15">
                  <c:v>47.945691476895838</c:v>
                </c:pt>
                <c:pt idx="16">
                  <c:v>48.163519955418984</c:v>
                </c:pt>
                <c:pt idx="17">
                  <c:v>48.376625042924886</c:v>
                </c:pt>
                <c:pt idx="18">
                  <c:v>48.585107989794352</c:v>
                </c:pt>
                <c:pt idx="19">
                  <c:v>48.790391822929678</c:v>
                </c:pt>
                <c:pt idx="20">
                  <c:v>48.991180231474509</c:v>
                </c:pt>
                <c:pt idx="21">
                  <c:v>49.187558337923058</c:v>
                </c:pt>
                <c:pt idx="22">
                  <c:v>49.379610823869598</c:v>
                </c:pt>
                <c:pt idx="23">
                  <c:v>49.567421875219949</c:v>
                </c:pt>
              </c:numCache>
            </c:numRef>
          </c:val>
          <c:smooth val="0"/>
          <c:extLst>
            <c:ext xmlns:c16="http://schemas.microsoft.com/office/drawing/2014/chart" uri="{C3380CC4-5D6E-409C-BE32-E72D297353CC}">
              <c16:uniqueId val="{00000000-E34D-4D44-9596-D7089228748E}"/>
            </c:ext>
          </c:extLst>
        </c:ser>
        <c:ser>
          <c:idx val="2"/>
          <c:order val="1"/>
          <c:tx>
            <c:strRef>
              <c:f>'Fuel and CO2 emission prices'!$B$40</c:f>
              <c:strCache>
                <c:ptCount val="1"/>
                <c:pt idx="0">
                  <c:v>Wood pellets</c:v>
                </c:pt>
              </c:strCache>
            </c:strRef>
          </c:tx>
          <c:marker>
            <c:symbol val="none"/>
          </c:marker>
          <c:cat>
            <c:numRef>
              <c:f>'Fuel and CO2 emission prices'!$E$36:$AB$36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prices'!$E$40:$AB$40</c:f>
              <c:numCache>
                <c:formatCode>###0.0</c:formatCode>
                <c:ptCount val="24"/>
                <c:pt idx="0">
                  <c:v>64.781823263948894</c:v>
                </c:pt>
                <c:pt idx="1">
                  <c:v>64.718997175531499</c:v>
                </c:pt>
                <c:pt idx="2">
                  <c:v>64.626068183860795</c:v>
                </c:pt>
                <c:pt idx="3">
                  <c:v>64.813574142205724</c:v>
                </c:pt>
                <c:pt idx="4">
                  <c:v>65.211151197828997</c:v>
                </c:pt>
                <c:pt idx="5">
                  <c:v>65.688618282530783</c:v>
                </c:pt>
                <c:pt idx="6">
                  <c:v>66.211400370628169</c:v>
                </c:pt>
                <c:pt idx="7">
                  <c:v>66.773707538198906</c:v>
                </c:pt>
                <c:pt idx="8">
                  <c:v>67.381065629931086</c:v>
                </c:pt>
                <c:pt idx="9">
                  <c:v>68.014120554661602</c:v>
                </c:pt>
                <c:pt idx="10">
                  <c:v>68.685432460637841</c:v>
                </c:pt>
                <c:pt idx="11">
                  <c:v>69.39201474223492</c:v>
                </c:pt>
                <c:pt idx="12">
                  <c:v>70.131237586125181</c:v>
                </c:pt>
                <c:pt idx="13">
                  <c:v>70.900925563168968</c:v>
                </c:pt>
                <c:pt idx="14">
                  <c:v>71.107436895008576</c:v>
                </c:pt>
                <c:pt idx="15">
                  <c:v>71.304962772403215</c:v>
                </c:pt>
                <c:pt idx="16">
                  <c:v>71.493650475673078</c:v>
                </c:pt>
                <c:pt idx="17">
                  <c:v>71.67364757733003</c:v>
                </c:pt>
                <c:pt idx="18">
                  <c:v>71.8451017817425</c:v>
                </c:pt>
                <c:pt idx="19">
                  <c:v>72.005349837449714</c:v>
                </c:pt>
                <c:pt idx="20">
                  <c:v>72.157470983213926</c:v>
                </c:pt>
                <c:pt idx="21">
                  <c:v>72.301622721173175</c:v>
                </c:pt>
                <c:pt idx="22">
                  <c:v>72.437961456496822</c:v>
                </c:pt>
                <c:pt idx="23">
                  <c:v>72.566642409478035</c:v>
                </c:pt>
              </c:numCache>
            </c:numRef>
          </c:val>
          <c:smooth val="0"/>
          <c:extLst>
            <c:ext xmlns:c16="http://schemas.microsoft.com/office/drawing/2014/chart" uri="{C3380CC4-5D6E-409C-BE32-E72D297353CC}">
              <c16:uniqueId val="{00000001-E34D-4D44-9596-D7089228748E}"/>
            </c:ext>
          </c:extLst>
        </c:ser>
        <c:ser>
          <c:idx val="1"/>
          <c:order val="2"/>
          <c:tx>
            <c:strRef>
              <c:f>'Fuel and CO2 emission prices'!$B$39</c:f>
              <c:strCache>
                <c:ptCount val="1"/>
                <c:pt idx="0">
                  <c:v>Wood chips</c:v>
                </c:pt>
              </c:strCache>
            </c:strRef>
          </c:tx>
          <c:marker>
            <c:symbol val="none"/>
          </c:marker>
          <c:cat>
            <c:numRef>
              <c:f>'Fuel and CO2 emission prices'!$E$36:$AB$36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prices'!$E$39:$AB$39</c:f>
              <c:numCache>
                <c:formatCode>###0.0</c:formatCode>
                <c:ptCount val="24"/>
                <c:pt idx="0">
                  <c:v>49.329346801912301</c:v>
                </c:pt>
                <c:pt idx="1">
                  <c:v>49.399774329954965</c:v>
                </c:pt>
                <c:pt idx="2">
                  <c:v>49.452122909424688</c:v>
                </c:pt>
                <c:pt idx="3">
                  <c:v>49.692160524370323</c:v>
                </c:pt>
                <c:pt idx="4">
                  <c:v>50.141867346459826</c:v>
                </c:pt>
                <c:pt idx="5">
                  <c:v>50.647709796068639</c:v>
                </c:pt>
                <c:pt idx="6">
                  <c:v>51.187590673895549</c:v>
                </c:pt>
                <c:pt idx="7">
                  <c:v>51.758287073621439</c:v>
                </c:pt>
                <c:pt idx="8">
                  <c:v>52.364259267874651</c:v>
                </c:pt>
                <c:pt idx="9">
                  <c:v>52.939499092709617</c:v>
                </c:pt>
                <c:pt idx="10">
                  <c:v>53.541210483622116</c:v>
                </c:pt>
                <c:pt idx="11">
                  <c:v>54.167274230819714</c:v>
                </c:pt>
                <c:pt idx="12">
                  <c:v>54.815830246493192</c:v>
                </c:pt>
                <c:pt idx="13">
                  <c:v>55.485343022711433</c:v>
                </c:pt>
                <c:pt idx="14">
                  <c:v>55.751211690931619</c:v>
                </c:pt>
                <c:pt idx="15">
                  <c:v>56.011321818803552</c:v>
                </c:pt>
                <c:pt idx="16">
                  <c:v>56.265794340442739</c:v>
                </c:pt>
                <c:pt idx="17">
                  <c:v>56.514748881921598</c:v>
                </c:pt>
                <c:pt idx="18">
                  <c:v>56.758303726395269</c:v>
                </c:pt>
                <c:pt idx="19">
                  <c:v>56.99812128846925</c:v>
                </c:pt>
                <c:pt idx="20">
                  <c:v>57.232687186301995</c:v>
                </c:pt>
                <c:pt idx="21">
                  <c:v>57.46210086205965</c:v>
                </c:pt>
                <c:pt idx="22">
                  <c:v>57.686461242838313</c:v>
                </c:pt>
                <c:pt idx="23">
                  <c:v>57.905866676658817</c:v>
                </c:pt>
              </c:numCache>
            </c:numRef>
          </c:val>
          <c:smooth val="0"/>
          <c:extLst>
            <c:ext xmlns:c16="http://schemas.microsoft.com/office/drawing/2014/chart" uri="{C3380CC4-5D6E-409C-BE32-E72D297353CC}">
              <c16:uniqueId val="{00000002-E34D-4D44-9596-D7089228748E}"/>
            </c:ext>
          </c:extLst>
        </c:ser>
        <c:ser>
          <c:idx val="3"/>
          <c:order val="3"/>
          <c:tx>
            <c:strRef>
              <c:f>'Fuel and CO2 emission prices'!$D$75</c:f>
              <c:strCache>
                <c:ptCount val="1"/>
                <c:pt idx="0">
                  <c:v>Straw - AF2016</c:v>
                </c:pt>
              </c:strCache>
            </c:strRef>
          </c:tx>
          <c:spPr>
            <a:ln>
              <a:solidFill>
                <a:schemeClr val="accent1"/>
              </a:solidFill>
              <a:prstDash val="dash"/>
            </a:ln>
          </c:spPr>
          <c:marker>
            <c:symbol val="none"/>
          </c:marker>
          <c:val>
            <c:numRef>
              <c:f>'Fuel and CO2 emission prices'!$E$75:$AB$75</c:f>
              <c:numCache>
                <c:formatCode>###0.0</c:formatCode>
                <c:ptCount val="24"/>
                <c:pt idx="0">
                  <c:v>42.797696356916177</c:v>
                </c:pt>
                <c:pt idx="1">
                  <c:v>43.105849125508556</c:v>
                </c:pt>
                <c:pt idx="2">
                  <c:v>43.414001894100927</c:v>
                </c:pt>
                <c:pt idx="3">
                  <c:v>43.722154662693299</c:v>
                </c:pt>
                <c:pt idx="4">
                  <c:v>44.29252732157299</c:v>
                </c:pt>
                <c:pt idx="5">
                  <c:v>44.862899980452681</c:v>
                </c:pt>
                <c:pt idx="6">
                  <c:v>45.433272639332372</c:v>
                </c:pt>
                <c:pt idx="7">
                  <c:v>46.003645298212057</c:v>
                </c:pt>
                <c:pt idx="8">
                  <c:v>46.574017957091755</c:v>
                </c:pt>
                <c:pt idx="9">
                  <c:v>47.277957655065386</c:v>
                </c:pt>
                <c:pt idx="10">
                  <c:v>47.981897353039024</c:v>
                </c:pt>
                <c:pt idx="11">
                  <c:v>48.685837051012662</c:v>
                </c:pt>
                <c:pt idx="12">
                  <c:v>49.389776748986293</c:v>
                </c:pt>
                <c:pt idx="13">
                  <c:v>50.093716446959924</c:v>
                </c:pt>
                <c:pt idx="14">
                  <c:v>50.513427626273966</c:v>
                </c:pt>
                <c:pt idx="15">
                  <c:v>50.933138805588001</c:v>
                </c:pt>
                <c:pt idx="16">
                  <c:v>51.352849984902051</c:v>
                </c:pt>
                <c:pt idx="17">
                  <c:v>51.772561164216093</c:v>
                </c:pt>
                <c:pt idx="18">
                  <c:v>52.192272343530135</c:v>
                </c:pt>
                <c:pt idx="19">
                  <c:v>52.584886840339252</c:v>
                </c:pt>
                <c:pt idx="20">
                  <c:v>52.977501337148368</c:v>
                </c:pt>
                <c:pt idx="21">
                  <c:v>53.370115833957485</c:v>
                </c:pt>
                <c:pt idx="22">
                  <c:v>53.762730330766594</c:v>
                </c:pt>
                <c:pt idx="23">
                  <c:v>54.155344827575703</c:v>
                </c:pt>
              </c:numCache>
            </c:numRef>
          </c:val>
          <c:smooth val="0"/>
          <c:extLst>
            <c:ext xmlns:c16="http://schemas.microsoft.com/office/drawing/2014/chart" uri="{C3380CC4-5D6E-409C-BE32-E72D297353CC}">
              <c16:uniqueId val="{00000003-E34D-4D44-9596-D7089228748E}"/>
            </c:ext>
          </c:extLst>
        </c:ser>
        <c:ser>
          <c:idx val="5"/>
          <c:order val="4"/>
          <c:tx>
            <c:strRef>
              <c:f>'Fuel and CO2 emission prices'!$D$77</c:f>
              <c:strCache>
                <c:ptCount val="1"/>
                <c:pt idx="0">
                  <c:v>Wood pellets - AF2016</c:v>
                </c:pt>
              </c:strCache>
            </c:strRef>
          </c:tx>
          <c:spPr>
            <a:ln>
              <a:solidFill>
                <a:schemeClr val="accent3"/>
              </a:solidFill>
              <a:prstDash val="dash"/>
            </a:ln>
          </c:spPr>
          <c:marker>
            <c:symbol val="none"/>
          </c:marker>
          <c:val>
            <c:numRef>
              <c:f>'Fuel and CO2 emission prices'!$E$77:$AB$77</c:f>
              <c:numCache>
                <c:formatCode>###0.0</c:formatCode>
                <c:ptCount val="24"/>
                <c:pt idx="0">
                  <c:v>66.614066914408795</c:v>
                </c:pt>
                <c:pt idx="1">
                  <c:v>66.743993568689774</c:v>
                </c:pt>
                <c:pt idx="2">
                  <c:v>66.873920222970753</c:v>
                </c:pt>
                <c:pt idx="3">
                  <c:v>67.003846877251718</c:v>
                </c:pt>
                <c:pt idx="4">
                  <c:v>67.529352670628128</c:v>
                </c:pt>
                <c:pt idx="5">
                  <c:v>68.054858464004539</c:v>
                </c:pt>
                <c:pt idx="6">
                  <c:v>68.580364257380921</c:v>
                </c:pt>
                <c:pt idx="7">
                  <c:v>69.105870050757346</c:v>
                </c:pt>
                <c:pt idx="8">
                  <c:v>69.631375844133743</c:v>
                </c:pt>
                <c:pt idx="9">
                  <c:v>70.359842689309431</c:v>
                </c:pt>
                <c:pt idx="10">
                  <c:v>71.088309534485091</c:v>
                </c:pt>
                <c:pt idx="11">
                  <c:v>71.816776379660766</c:v>
                </c:pt>
                <c:pt idx="12">
                  <c:v>72.54524322483644</c:v>
                </c:pt>
                <c:pt idx="13">
                  <c:v>73.2737100700121</c:v>
                </c:pt>
                <c:pt idx="14">
                  <c:v>73.626939922274588</c:v>
                </c:pt>
                <c:pt idx="15">
                  <c:v>73.980169774537089</c:v>
                </c:pt>
                <c:pt idx="16">
                  <c:v>74.33339962679959</c:v>
                </c:pt>
                <c:pt idx="17">
                  <c:v>74.686629479062077</c:v>
                </c:pt>
                <c:pt idx="18">
                  <c:v>75.03985933132455</c:v>
                </c:pt>
                <c:pt idx="19">
                  <c:v>75.353010178801711</c:v>
                </c:pt>
                <c:pt idx="20">
                  <c:v>75.666161026278871</c:v>
                </c:pt>
                <c:pt idx="21">
                  <c:v>75.979311873756004</c:v>
                </c:pt>
                <c:pt idx="22">
                  <c:v>76.292462721233164</c:v>
                </c:pt>
                <c:pt idx="23">
                  <c:v>76.605613568710339</c:v>
                </c:pt>
              </c:numCache>
            </c:numRef>
          </c:val>
          <c:smooth val="0"/>
          <c:extLst>
            <c:ext xmlns:c16="http://schemas.microsoft.com/office/drawing/2014/chart" uri="{C3380CC4-5D6E-409C-BE32-E72D297353CC}">
              <c16:uniqueId val="{00000004-E34D-4D44-9596-D7089228748E}"/>
            </c:ext>
          </c:extLst>
        </c:ser>
        <c:ser>
          <c:idx val="4"/>
          <c:order val="5"/>
          <c:tx>
            <c:strRef>
              <c:f>'Fuel and CO2 emission prices'!$D$76</c:f>
              <c:strCache>
                <c:ptCount val="1"/>
                <c:pt idx="0">
                  <c:v>Wood chips - AF2016</c:v>
                </c:pt>
              </c:strCache>
            </c:strRef>
          </c:tx>
          <c:spPr>
            <a:ln>
              <a:solidFill>
                <a:schemeClr val="accent2"/>
              </a:solidFill>
              <a:prstDash val="dash"/>
            </a:ln>
          </c:spPr>
          <c:marker>
            <c:symbol val="none"/>
          </c:marker>
          <c:val>
            <c:numRef>
              <c:f>'Fuel and CO2 emission prices'!$E$76:$AB$76</c:f>
              <c:numCache>
                <c:formatCode>###0.0</c:formatCode>
                <c:ptCount val="24"/>
                <c:pt idx="0">
                  <c:v>49.997308828173104</c:v>
                </c:pt>
                <c:pt idx="1">
                  <c:v>50.357300380266999</c:v>
                </c:pt>
                <c:pt idx="2">
                  <c:v>50.717291932360901</c:v>
                </c:pt>
                <c:pt idx="3">
                  <c:v>51.077283484454789</c:v>
                </c:pt>
                <c:pt idx="4">
                  <c:v>51.743606684080596</c:v>
                </c:pt>
                <c:pt idx="5">
                  <c:v>52.409929883706404</c:v>
                </c:pt>
                <c:pt idx="6">
                  <c:v>53.076253083332212</c:v>
                </c:pt>
                <c:pt idx="7">
                  <c:v>53.742576282958019</c:v>
                </c:pt>
                <c:pt idx="8">
                  <c:v>54.408899482583827</c:v>
                </c:pt>
                <c:pt idx="9">
                  <c:v>55.231258942833399</c:v>
                </c:pt>
                <c:pt idx="10">
                  <c:v>56.053618403082972</c:v>
                </c:pt>
                <c:pt idx="11">
                  <c:v>56.875977863332544</c:v>
                </c:pt>
                <c:pt idx="12">
                  <c:v>57.698337323582123</c:v>
                </c:pt>
                <c:pt idx="13">
                  <c:v>58.520696783831688</c:v>
                </c:pt>
                <c:pt idx="14">
                  <c:v>59.011013582095757</c:v>
                </c:pt>
                <c:pt idx="15">
                  <c:v>59.501330380359825</c:v>
                </c:pt>
                <c:pt idx="16">
                  <c:v>59.991647178623893</c:v>
                </c:pt>
                <c:pt idx="17">
                  <c:v>60.481963976887961</c:v>
                </c:pt>
                <c:pt idx="18">
                  <c:v>60.972280775152022</c:v>
                </c:pt>
                <c:pt idx="19">
                  <c:v>61.430942570489783</c:v>
                </c:pt>
                <c:pt idx="20">
                  <c:v>61.88960436582753</c:v>
                </c:pt>
                <c:pt idx="21">
                  <c:v>62.348266161165284</c:v>
                </c:pt>
                <c:pt idx="22">
                  <c:v>62.806927956503039</c:v>
                </c:pt>
                <c:pt idx="23">
                  <c:v>63.265589751840778</c:v>
                </c:pt>
              </c:numCache>
            </c:numRef>
          </c:val>
          <c:smooth val="0"/>
          <c:extLst>
            <c:ext xmlns:c16="http://schemas.microsoft.com/office/drawing/2014/chart" uri="{C3380CC4-5D6E-409C-BE32-E72D297353CC}">
              <c16:uniqueId val="{00000005-E34D-4D44-9596-D7089228748E}"/>
            </c:ext>
          </c:extLst>
        </c:ser>
        <c:dLbls>
          <c:showLegendKey val="0"/>
          <c:showVal val="0"/>
          <c:showCatName val="0"/>
          <c:showSerName val="0"/>
          <c:showPercent val="0"/>
          <c:showBubbleSize val="0"/>
        </c:dLbls>
        <c:smooth val="0"/>
        <c:axId val="105782272"/>
        <c:axId val="105792256"/>
      </c:lineChart>
      <c:catAx>
        <c:axId val="105782272"/>
        <c:scaling>
          <c:orientation val="minMax"/>
        </c:scaling>
        <c:delete val="0"/>
        <c:axPos val="b"/>
        <c:numFmt formatCode="General" sourceLinked="1"/>
        <c:majorTickMark val="out"/>
        <c:minorTickMark val="none"/>
        <c:tickLblPos val="nextTo"/>
        <c:crossAx val="105792256"/>
        <c:crosses val="autoZero"/>
        <c:auto val="1"/>
        <c:lblAlgn val="ctr"/>
        <c:lblOffset val="100"/>
        <c:noMultiLvlLbl val="0"/>
      </c:catAx>
      <c:valAx>
        <c:axId val="105792256"/>
        <c:scaling>
          <c:orientation val="minMax"/>
        </c:scaling>
        <c:delete val="0"/>
        <c:axPos val="l"/>
        <c:majorGridlines/>
        <c:title>
          <c:tx>
            <c:strRef>
              <c:f>'Fuel and CO2 emission prices'!$E$92</c:f>
              <c:strCache>
                <c:ptCount val="1"/>
                <c:pt idx="0">
                  <c:v>DKK/GJ (2017 prices)</c:v>
                </c:pt>
              </c:strCache>
            </c:strRef>
          </c:tx>
          <c:overlay val="0"/>
          <c:txPr>
            <a:bodyPr rot="-5400000" vert="horz"/>
            <a:lstStyle/>
            <a:p>
              <a:pPr>
                <a:defRPr/>
              </a:pPr>
              <a:endParaRPr lang="en-US"/>
            </a:p>
          </c:txPr>
        </c:title>
        <c:numFmt formatCode="#,##0" sourceLinked="0"/>
        <c:majorTickMark val="out"/>
        <c:minorTickMark val="none"/>
        <c:tickLblPos val="nextTo"/>
        <c:crossAx val="10578227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Load factor</a:t>
            </a:r>
          </a:p>
        </c:rich>
      </c:tx>
      <c:overlay val="0"/>
    </c:title>
    <c:autoTitleDeleted val="0"/>
    <c:plotArea>
      <c:layout>
        <c:manualLayout>
          <c:layoutTarget val="inner"/>
          <c:xMode val="edge"/>
          <c:yMode val="edge"/>
          <c:x val="0.16607195975503061"/>
          <c:y val="5.1400554097404488E-2"/>
          <c:w val="0.78909470691163608"/>
          <c:h val="0.64769234216230409"/>
        </c:manualLayout>
      </c:layout>
      <c:scatterChart>
        <c:scatterStyle val="lineMarker"/>
        <c:varyColors val="0"/>
        <c:ser>
          <c:idx val="0"/>
          <c:order val="0"/>
          <c:tx>
            <c:v>Land-based</c:v>
          </c:tx>
          <c:spPr>
            <a:ln>
              <a:solidFill>
                <a:schemeClr val="bg2"/>
              </a:solidFill>
            </a:ln>
          </c:spPr>
          <c:marker>
            <c:symbol val="none"/>
          </c:marker>
          <c:xVal>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'Wind turbines'!$D$222:$AA$222</c:f>
              <c:numCache>
                <c:formatCode>#,##0</c:formatCode>
                <c:ptCount val="24"/>
                <c:pt idx="0">
                  <c:v>2360.6848671163684</c:v>
                </c:pt>
                <c:pt idx="1">
                  <c:v>2408.8935230286611</c:v>
                </c:pt>
                <c:pt idx="2">
                  <c:v>2432.3680977781678</c:v>
                </c:pt>
                <c:pt idx="3">
                  <c:v>2464.715992993757</c:v>
                </c:pt>
                <c:pt idx="4">
                  <c:v>2503.385150891746</c:v>
                </c:pt>
                <c:pt idx="5">
                  <c:v>2549.1314970002159</c:v>
                </c:pt>
                <c:pt idx="6">
                  <c:v>2603.100222187451</c:v>
                </c:pt>
                <c:pt idx="7">
                  <c:v>2662.7688734281551</c:v>
                </c:pt>
                <c:pt idx="8">
                  <c:v>2720.0346054606202</c:v>
                </c:pt>
                <c:pt idx="9">
                  <c:v>2775.0397053771785</c:v>
                </c:pt>
                <c:pt idx="10">
                  <c:v>2837.088577245725</c:v>
                </c:pt>
                <c:pt idx="11">
                  <c:v>2897.2337951582649</c:v>
                </c:pt>
                <c:pt idx="12">
                  <c:v>2955.5616414525448</c:v>
                </c:pt>
                <c:pt idx="13">
                  <c:v>3012.1532617899634</c:v>
                </c:pt>
                <c:pt idx="14">
                  <c:v>3067.0850418041932</c:v>
                </c:pt>
                <c:pt idx="15">
                  <c:v>3120.4289510873373</c:v>
                </c:pt>
                <c:pt idx="16">
                  <c:v>3172.2528577710518</c:v>
                </c:pt>
                <c:pt idx="17">
                  <c:v>3184.6544724561704</c:v>
                </c:pt>
                <c:pt idx="18">
                  <c:v>3196.7125008764447</c:v>
                </c:pt>
                <c:pt idx="19">
                  <c:v>3208.4410265074639</c:v>
                </c:pt>
                <c:pt idx="20">
                  <c:v>3219.8533734976331</c:v>
                </c:pt>
                <c:pt idx="21">
                  <c:v>3230.9621571625867</c:v>
                </c:pt>
                <c:pt idx="22">
                  <c:v>3241.7793305030873</c:v>
                </c:pt>
                <c:pt idx="23">
                  <c:v>3246.787445167533</c:v>
                </c:pt>
              </c:numCache>
            </c:numRef>
          </c:yVal>
          <c:smooth val="0"/>
          <c:extLst>
            <c:ext xmlns:c16="http://schemas.microsoft.com/office/drawing/2014/chart" uri="{C3380CC4-5D6E-409C-BE32-E72D297353CC}">
              <c16:uniqueId val="{00000000-8CD7-C44E-BC5B-DAA3345D428A}"/>
            </c:ext>
          </c:extLst>
        </c:ser>
        <c:ser>
          <c:idx val="1"/>
          <c:order val="1"/>
          <c:tx>
            <c:v>Near-shore</c:v>
          </c:tx>
          <c:spPr>
            <a:ln>
              <a:solidFill>
                <a:schemeClr val="tx2"/>
              </a:solidFill>
            </a:ln>
          </c:spPr>
          <c:marker>
            <c:symbol val="none"/>
          </c:marker>
          <c:xVal>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'Wind turbines'!$D$223:$AA$223</c:f>
              <c:numCache>
                <c:formatCode>#,##0</c:formatCode>
                <c:ptCount val="24"/>
                <c:pt idx="0">
                  <c:v>3067.0947030497591</c:v>
                </c:pt>
                <c:pt idx="1">
                  <c:v>3067.0947030497591</c:v>
                </c:pt>
                <c:pt idx="2">
                  <c:v>3067.0947030497591</c:v>
                </c:pt>
                <c:pt idx="3">
                  <c:v>4130.8396339036999</c:v>
                </c:pt>
                <c:pt idx="4">
                  <c:v>4144.212218649518</c:v>
                </c:pt>
                <c:pt idx="5">
                  <c:v>4144.212218649518</c:v>
                </c:pt>
                <c:pt idx="6">
                  <c:v>4144.212218649518</c:v>
                </c:pt>
                <c:pt idx="7">
                  <c:v>4144.212218649518</c:v>
                </c:pt>
                <c:pt idx="8">
                  <c:v>4130.1111797405802</c:v>
                </c:pt>
                <c:pt idx="9">
                  <c:v>4250.5924950625404</c:v>
                </c:pt>
                <c:pt idx="10">
                  <c:v>4250.5924950625404</c:v>
                </c:pt>
                <c:pt idx="11">
                  <c:v>4250.5924950625404</c:v>
                </c:pt>
                <c:pt idx="12">
                  <c:v>4304.8946052161491</c:v>
                </c:pt>
                <c:pt idx="13">
                  <c:v>4258.0726965342346</c:v>
                </c:pt>
                <c:pt idx="14">
                  <c:v>4258.0726965342346</c:v>
                </c:pt>
                <c:pt idx="15">
                  <c:v>4258.0726965342346</c:v>
                </c:pt>
                <c:pt idx="16">
                  <c:v>4258.0726965342346</c:v>
                </c:pt>
                <c:pt idx="17">
                  <c:v>4258.0726965342346</c:v>
                </c:pt>
                <c:pt idx="18">
                  <c:v>4261.1351611351611</c:v>
                </c:pt>
                <c:pt idx="19">
                  <c:v>4261.1351611351611</c:v>
                </c:pt>
                <c:pt idx="20">
                  <c:v>4265.0966183574874</c:v>
                </c:pt>
                <c:pt idx="21">
                  <c:v>4265.0966183574874</c:v>
                </c:pt>
                <c:pt idx="22">
                  <c:v>4265.0966183574874</c:v>
                </c:pt>
                <c:pt idx="23">
                  <c:v>4237.2188139059308</c:v>
                </c:pt>
              </c:numCache>
            </c:numRef>
          </c:yVal>
          <c:smooth val="0"/>
          <c:extLst>
            <c:ext xmlns:c16="http://schemas.microsoft.com/office/drawing/2014/chart" uri="{C3380CC4-5D6E-409C-BE32-E72D297353CC}">
              <c16:uniqueId val="{00000001-8CD7-C44E-BC5B-DAA3345D428A}"/>
            </c:ext>
          </c:extLst>
        </c:ser>
        <c:ser>
          <c:idx val="2"/>
          <c:order val="2"/>
          <c:tx>
            <c:v>Offshore</c:v>
          </c:tx>
          <c:spPr>
            <a:ln>
              <a:solidFill>
                <a:schemeClr val="accent6"/>
              </a:solidFill>
            </a:ln>
          </c:spPr>
          <c:marker>
            <c:symbol val="none"/>
          </c:marker>
          <c:xVal>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'Wind turbines'!$D$224:$AA$224</c:f>
              <c:numCache>
                <c:formatCode>#,##0</c:formatCode>
                <c:ptCount val="24"/>
                <c:pt idx="0">
                  <c:v>4132.9478756022772</c:v>
                </c:pt>
                <c:pt idx="1">
                  <c:v>4132.9478756022772</c:v>
                </c:pt>
                <c:pt idx="2">
                  <c:v>4229.3695904921842</c:v>
                </c:pt>
                <c:pt idx="3">
                  <c:v>4229.3695904921842</c:v>
                </c:pt>
                <c:pt idx="4">
                  <c:v>4229.3695904921842</c:v>
                </c:pt>
                <c:pt idx="5">
                  <c:v>4235.1317381994222</c:v>
                </c:pt>
                <c:pt idx="6">
                  <c:v>4235.1317381994222</c:v>
                </c:pt>
                <c:pt idx="7">
                  <c:v>4235.1317381994222</c:v>
                </c:pt>
                <c:pt idx="8">
                  <c:v>4235.1317381994222</c:v>
                </c:pt>
                <c:pt idx="9">
                  <c:v>4279.8423331427166</c:v>
                </c:pt>
                <c:pt idx="10">
                  <c:v>4314.7914998908363</c:v>
                </c:pt>
                <c:pt idx="11">
                  <c:v>4334.2516034309547</c:v>
                </c:pt>
                <c:pt idx="12">
                  <c:v>4417.3180048483064</c:v>
                </c:pt>
                <c:pt idx="13">
                  <c:v>4435.4496129160316</c:v>
                </c:pt>
                <c:pt idx="14">
                  <c:v>4435.4496129160316</c:v>
                </c:pt>
                <c:pt idx="15">
                  <c:v>4459.3360621200263</c:v>
                </c:pt>
                <c:pt idx="16">
                  <c:v>4479.2662728427094</c:v>
                </c:pt>
                <c:pt idx="17">
                  <c:v>4479.2662728427094</c:v>
                </c:pt>
                <c:pt idx="18">
                  <c:v>4469.2510704763954</c:v>
                </c:pt>
                <c:pt idx="19">
                  <c:v>4486.869138008039</c:v>
                </c:pt>
                <c:pt idx="20">
                  <c:v>4486.869138008039</c:v>
                </c:pt>
                <c:pt idx="21">
                  <c:v>4502.4401529357328</c:v>
                </c:pt>
                <c:pt idx="22">
                  <c:v>4522.4623755210023</c:v>
                </c:pt>
                <c:pt idx="23">
                  <c:v>4522.4623755210023</c:v>
                </c:pt>
              </c:numCache>
            </c:numRef>
          </c:yVal>
          <c:smooth val="0"/>
          <c:extLst>
            <c:ext xmlns:c16="http://schemas.microsoft.com/office/drawing/2014/chart" uri="{C3380CC4-5D6E-409C-BE32-E72D297353CC}">
              <c16:uniqueId val="{00000002-8CD7-C44E-BC5B-DAA3345D428A}"/>
            </c:ext>
          </c:extLst>
        </c:ser>
        <c:ser>
          <c:idx val="3"/>
          <c:order val="3"/>
          <c:tx>
            <c:v>Land-based, AF2016</c:v>
          </c:tx>
          <c:spPr>
            <a:ln>
              <a:solidFill>
                <a:schemeClr val="bg2">
                  <a:lumMod val="75000"/>
                </a:schemeClr>
              </a:solidFill>
              <a:prstDash val="sysDash"/>
            </a:ln>
          </c:spPr>
          <c:marker>
            <c:symbol val="none"/>
          </c:marker>
          <c:xVal>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'Wind turbines'!$D$253:$AA$253</c:f>
              <c:numCache>
                <c:formatCode>#,##0</c:formatCode>
                <c:ptCount val="24"/>
                <c:pt idx="0">
                  <c:v>2358.9663876327554</c:v>
                </c:pt>
                <c:pt idx="1">
                  <c:v>2405.6709186717453</c:v>
                </c:pt>
                <c:pt idx="2">
                  <c:v>2445.5141189661722</c:v>
                </c:pt>
                <c:pt idx="3">
                  <c:v>2483.0652883493813</c:v>
                </c:pt>
                <c:pt idx="4">
                  <c:v>2530.2476131784761</c:v>
                </c:pt>
                <c:pt idx="5">
                  <c:v>2574.8633602559612</c:v>
                </c:pt>
                <c:pt idx="6">
                  <c:v>2637.5908908273213</c:v>
                </c:pt>
                <c:pt idx="7">
                  <c:v>2697.0822679153616</c:v>
                </c:pt>
                <c:pt idx="8">
                  <c:v>2753.5816268186263</c:v>
                </c:pt>
                <c:pt idx="9">
                  <c:v>2807.3091484641582</c:v>
                </c:pt>
                <c:pt idx="10">
                  <c:v>2868.4927013260808</c:v>
                </c:pt>
                <c:pt idx="11">
                  <c:v>2926.8149849313045</c:v>
                </c:pt>
                <c:pt idx="12">
                  <c:v>2982.4721256392272</c:v>
                </c:pt>
                <c:pt idx="13">
                  <c:v>3035.6427255097274</c:v>
                </c:pt>
                <c:pt idx="14">
                  <c:v>3086.4897768274081</c:v>
                </c:pt>
                <c:pt idx="15">
                  <c:v>3135.1623309993365</c:v>
                </c:pt>
                <c:pt idx="16">
                  <c:v>3181.7969578217826</c:v>
                </c:pt>
                <c:pt idx="17">
                  <c:v>3193.3543824415437</c:v>
                </c:pt>
                <c:pt idx="18">
                  <c:v>3204.4473430882645</c:v>
                </c:pt>
                <c:pt idx="19">
                  <c:v>3215.1032867168642</c:v>
                </c:pt>
                <c:pt idx="20">
                  <c:v>3225.3475394637835</c:v>
                </c:pt>
                <c:pt idx="21">
                  <c:v>3235.2035076087295</c:v>
                </c:pt>
                <c:pt idx="22">
                  <c:v>3244.692856110461</c:v>
                </c:pt>
                <c:pt idx="23">
                  <c:v>3249.2957882656979</c:v>
                </c:pt>
              </c:numCache>
            </c:numRef>
          </c:yVal>
          <c:smooth val="0"/>
          <c:extLst>
            <c:ext xmlns:c16="http://schemas.microsoft.com/office/drawing/2014/chart" uri="{C3380CC4-5D6E-409C-BE32-E72D297353CC}">
              <c16:uniqueId val="{00000003-8CD7-C44E-BC5B-DAA3345D428A}"/>
            </c:ext>
          </c:extLst>
        </c:ser>
        <c:ser>
          <c:idx val="4"/>
          <c:order val="4"/>
          <c:tx>
            <c:v>Near-shore, AF2016</c:v>
          </c:tx>
          <c:spPr>
            <a:ln>
              <a:solidFill>
                <a:schemeClr val="tx2">
                  <a:lumMod val="75000"/>
                </a:schemeClr>
              </a:solidFill>
              <a:prstDash val="sysDash"/>
            </a:ln>
          </c:spPr>
          <c:marker>
            <c:symbol val="none"/>
          </c:marker>
          <c:xVal>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'Wind turbines'!$D$254:$AA$254</c:f>
              <c:numCache>
                <c:formatCode>#,##0</c:formatCode>
                <c:ptCount val="24"/>
                <c:pt idx="0">
                  <c:v>3067.0947030497596</c:v>
                </c:pt>
                <c:pt idx="1">
                  <c:v>3067.0947030497596</c:v>
                </c:pt>
                <c:pt idx="2">
                  <c:v>3067.0947030497596</c:v>
                </c:pt>
                <c:pt idx="3">
                  <c:v>3963.8009912314137</c:v>
                </c:pt>
                <c:pt idx="4">
                  <c:v>3988.1671348314603</c:v>
                </c:pt>
                <c:pt idx="5">
                  <c:v>3988.1671348314603</c:v>
                </c:pt>
                <c:pt idx="6">
                  <c:v>3988.1671348314603</c:v>
                </c:pt>
                <c:pt idx="7">
                  <c:v>3988.1671348314603</c:v>
                </c:pt>
                <c:pt idx="8">
                  <c:v>3988.1671348314603</c:v>
                </c:pt>
                <c:pt idx="9">
                  <c:v>4115.6722054380652</c:v>
                </c:pt>
                <c:pt idx="10">
                  <c:v>4115.6722054380652</c:v>
                </c:pt>
                <c:pt idx="11">
                  <c:v>4115.6722054380652</c:v>
                </c:pt>
                <c:pt idx="12">
                  <c:v>4165.3798256537984</c:v>
                </c:pt>
                <c:pt idx="13">
                  <c:v>4165.3798256537984</c:v>
                </c:pt>
                <c:pt idx="14">
                  <c:v>4165.3798256537984</c:v>
                </c:pt>
                <c:pt idx="15">
                  <c:v>4165.3798256537984</c:v>
                </c:pt>
                <c:pt idx="16">
                  <c:v>4165.3798256537984</c:v>
                </c:pt>
                <c:pt idx="17">
                  <c:v>4165.3798256537984</c:v>
                </c:pt>
                <c:pt idx="18">
                  <c:v>4223.0158730158728</c:v>
                </c:pt>
                <c:pt idx="19">
                  <c:v>4223.0158730158728</c:v>
                </c:pt>
                <c:pt idx="20">
                  <c:v>4230</c:v>
                </c:pt>
                <c:pt idx="21">
                  <c:v>4230</c:v>
                </c:pt>
                <c:pt idx="22">
                  <c:v>4230</c:v>
                </c:pt>
                <c:pt idx="23">
                  <c:v>4230</c:v>
                </c:pt>
              </c:numCache>
            </c:numRef>
          </c:yVal>
          <c:smooth val="0"/>
          <c:extLst>
            <c:ext xmlns:c16="http://schemas.microsoft.com/office/drawing/2014/chart" uri="{C3380CC4-5D6E-409C-BE32-E72D297353CC}">
              <c16:uniqueId val="{00000004-8CD7-C44E-BC5B-DAA3345D428A}"/>
            </c:ext>
          </c:extLst>
        </c:ser>
        <c:ser>
          <c:idx val="5"/>
          <c:order val="5"/>
          <c:tx>
            <c:v>Offshore, AF2016</c:v>
          </c:tx>
          <c:spPr>
            <a:ln>
              <a:solidFill>
                <a:schemeClr val="accent6">
                  <a:lumMod val="75000"/>
                </a:schemeClr>
              </a:solidFill>
              <a:prstDash val="sysDash"/>
            </a:ln>
          </c:spPr>
          <c:marker>
            <c:symbol val="none"/>
          </c:marker>
          <c:xVal>
            <c:numRef>
              <c:f>'Wind turbines'!$D$214:$AA$214</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xVal>
          <c:yVal>
            <c:numRef>
              <c:f>'Wind turbines'!$D$255:$AA$255</c:f>
              <c:numCache>
                <c:formatCode>#,##0</c:formatCode>
                <c:ptCount val="24"/>
                <c:pt idx="0">
                  <c:v>4132.9478756022772</c:v>
                </c:pt>
                <c:pt idx="1">
                  <c:v>4132.9478756022772</c:v>
                </c:pt>
                <c:pt idx="2">
                  <c:v>4229.3695904921842</c:v>
                </c:pt>
                <c:pt idx="3">
                  <c:v>4231.7297792014642</c:v>
                </c:pt>
                <c:pt idx="4">
                  <c:v>4233.6053793245037</c:v>
                </c:pt>
                <c:pt idx="5">
                  <c:v>4235.1317381994231</c:v>
                </c:pt>
                <c:pt idx="6">
                  <c:v>4235.1317381994231</c:v>
                </c:pt>
                <c:pt idx="7">
                  <c:v>4235.1317381994231</c:v>
                </c:pt>
                <c:pt idx="8">
                  <c:v>4235.1317381994231</c:v>
                </c:pt>
                <c:pt idx="9">
                  <c:v>4235.1317381994231</c:v>
                </c:pt>
                <c:pt idx="10">
                  <c:v>4266.2081594412739</c:v>
                </c:pt>
                <c:pt idx="11">
                  <c:v>4311.9964827066415</c:v>
                </c:pt>
                <c:pt idx="12">
                  <c:v>4376.221542337802</c:v>
                </c:pt>
                <c:pt idx="13">
                  <c:v>4394.6957813918925</c:v>
                </c:pt>
                <c:pt idx="14">
                  <c:v>4410.3523221230835</c:v>
                </c:pt>
                <c:pt idx="15">
                  <c:v>4410.3523221230835</c:v>
                </c:pt>
                <c:pt idx="16">
                  <c:v>4430.8757882803084</c:v>
                </c:pt>
                <c:pt idx="17">
                  <c:v>4448.6832528286905</c:v>
                </c:pt>
                <c:pt idx="18">
                  <c:v>4452.3051220986035</c:v>
                </c:pt>
                <c:pt idx="19">
                  <c:v>4482.1900723372401</c:v>
                </c:pt>
                <c:pt idx="20">
                  <c:v>4470.0695206732526</c:v>
                </c:pt>
                <c:pt idx="21">
                  <c:v>4470.0695206732526</c:v>
                </c:pt>
                <c:pt idx="22">
                  <c:v>4489.3112908397761</c:v>
                </c:pt>
                <c:pt idx="23">
                  <c:v>4503.3259054777664</c:v>
                </c:pt>
              </c:numCache>
            </c:numRef>
          </c:yVal>
          <c:smooth val="0"/>
          <c:extLst>
            <c:ext xmlns:c16="http://schemas.microsoft.com/office/drawing/2014/chart" uri="{C3380CC4-5D6E-409C-BE32-E72D297353CC}">
              <c16:uniqueId val="{00000005-8CD7-C44E-BC5B-DAA3345D428A}"/>
            </c:ext>
          </c:extLst>
        </c:ser>
        <c:dLbls>
          <c:showLegendKey val="0"/>
          <c:showVal val="0"/>
          <c:showCatName val="0"/>
          <c:showSerName val="0"/>
          <c:showPercent val="0"/>
          <c:showBubbleSize val="0"/>
        </c:dLbls>
        <c:axId val="127190144"/>
        <c:axId val="127191680"/>
      </c:scatterChart>
      <c:valAx>
        <c:axId val="127190144"/>
        <c:scaling>
          <c:orientation val="minMax"/>
          <c:max val="2040"/>
          <c:min val="2017"/>
        </c:scaling>
        <c:delete val="0"/>
        <c:axPos val="b"/>
        <c:numFmt formatCode="General" sourceLinked="1"/>
        <c:majorTickMark val="out"/>
        <c:minorTickMark val="none"/>
        <c:tickLblPos val="nextTo"/>
        <c:txPr>
          <a:bodyPr rot="-5400000" vert="horz"/>
          <a:lstStyle/>
          <a:p>
            <a:pPr>
              <a:defRPr/>
            </a:pPr>
            <a:endParaRPr lang="en-US"/>
          </a:p>
        </c:txPr>
        <c:crossAx val="127191680"/>
        <c:crosses val="autoZero"/>
        <c:crossBetween val="midCat"/>
        <c:majorUnit val="1"/>
      </c:valAx>
      <c:valAx>
        <c:axId val="127191680"/>
        <c:scaling>
          <c:orientation val="minMax"/>
        </c:scaling>
        <c:delete val="0"/>
        <c:axPos val="l"/>
        <c:title>
          <c:tx>
            <c:rich>
              <a:bodyPr rot="-5400000" vert="horz"/>
              <a:lstStyle/>
              <a:p>
                <a:pPr>
                  <a:defRPr/>
                </a:pPr>
                <a:r>
                  <a:rPr lang="en-US"/>
                  <a:t>Fuld-load hours</a:t>
                </a:r>
                <a:r>
                  <a:rPr lang="en-US" baseline="0"/>
                  <a:t> (average)</a:t>
                </a:r>
              </a:p>
            </c:rich>
          </c:tx>
          <c:overlay val="0"/>
        </c:title>
        <c:numFmt formatCode="#,##0" sourceLinked="1"/>
        <c:majorTickMark val="out"/>
        <c:minorTickMark val="none"/>
        <c:tickLblPos val="nextTo"/>
        <c:crossAx val="127190144"/>
        <c:crosses val="autoZero"/>
        <c:crossBetween val="midCat"/>
      </c:valAx>
    </c:plotArea>
    <c:legend>
      <c:legendPos val="b"/>
      <c:layout>
        <c:manualLayout>
          <c:xMode val="edge"/>
          <c:yMode val="edge"/>
          <c:x val="0"/>
          <c:y val="0.87004188393534843"/>
          <c:w val="1"/>
          <c:h val="0.1299581160646516"/>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Development in land-based</a:t>
            </a:r>
            <a:r>
              <a:rPr lang="da-DK" sz="1200" baseline="0"/>
              <a:t> wind power capacities</a:t>
            </a:r>
            <a:endParaRPr lang="da-DK" sz="1200"/>
          </a:p>
        </c:rich>
      </c:tx>
      <c:overlay val="0"/>
    </c:title>
    <c:autoTitleDeleted val="0"/>
    <c:plotArea>
      <c:layout/>
      <c:areaChart>
        <c:grouping val="stacked"/>
        <c:varyColors val="0"/>
        <c:ser>
          <c:idx val="0"/>
          <c:order val="0"/>
          <c:tx>
            <c:strRef>
              <c:f>'Wind turbines'!$B$410</c:f>
              <c:strCache>
                <c:ptCount val="1"/>
                <c:pt idx="0">
                  <c:v>Land-based, before 2008</c:v>
                </c:pt>
              </c:strCache>
            </c:strRef>
          </c:tx>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turbines'!$D$410:$AA$410</c:f>
              <c:numCache>
                <c:formatCode>#,##0</c:formatCode>
                <c:ptCount val="24"/>
                <c:pt idx="0">
                  <c:v>2369.9670000000001</c:v>
                </c:pt>
                <c:pt idx="1">
                  <c:v>2294.0102000000002</c:v>
                </c:pt>
                <c:pt idx="2">
                  <c:v>2228.3713000000002</c:v>
                </c:pt>
                <c:pt idx="3">
                  <c:v>2162.7323999999999</c:v>
                </c:pt>
                <c:pt idx="4">
                  <c:v>2079.3402857142855</c:v>
                </c:pt>
                <c:pt idx="5">
                  <c:v>1995.9481714285716</c:v>
                </c:pt>
                <c:pt idx="6">
                  <c:v>1839.4907714285714</c:v>
                </c:pt>
                <c:pt idx="7">
                  <c:v>1683.0333714285716</c:v>
                </c:pt>
                <c:pt idx="8">
                  <c:v>1526.5759714285716</c:v>
                </c:pt>
                <c:pt idx="9">
                  <c:v>1370.1185714285718</c:v>
                </c:pt>
                <c:pt idx="10">
                  <c:v>1174.3873469387759</c:v>
                </c:pt>
                <c:pt idx="11">
                  <c:v>978.65612244897989</c:v>
                </c:pt>
                <c:pt idx="12">
                  <c:v>782.92489795918402</c:v>
                </c:pt>
                <c:pt idx="13">
                  <c:v>587.19367346938805</c:v>
                </c:pt>
                <c:pt idx="14">
                  <c:v>391.46244897959207</c:v>
                </c:pt>
                <c:pt idx="15">
                  <c:v>195.73122448979615</c:v>
                </c:pt>
                <c:pt idx="16">
                  <c:v>1.7053025658242404E-13</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7B4F-2945-A972-6DD8523B94A8}"/>
            </c:ext>
          </c:extLst>
        </c:ser>
        <c:ser>
          <c:idx val="1"/>
          <c:order val="1"/>
          <c:tx>
            <c:strRef>
              <c:f>'Wind turbines'!$B$411</c:f>
              <c:strCache>
                <c:ptCount val="1"/>
                <c:pt idx="0">
                  <c:v>Land-based, 2008-2013</c:v>
                </c:pt>
              </c:strCache>
            </c:strRef>
          </c:tx>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turbines'!$D$411:$AA$411</c:f>
              <c:numCache>
                <c:formatCode>#,##0</c:formatCode>
                <c:ptCount val="24"/>
                <c:pt idx="0">
                  <c:v>1032.0419999999999</c:v>
                </c:pt>
                <c:pt idx="1">
                  <c:v>1032.0419999999999</c:v>
                </c:pt>
                <c:pt idx="2">
                  <c:v>1032.0419999999999</c:v>
                </c:pt>
                <c:pt idx="3">
                  <c:v>1032.0419999999999</c:v>
                </c:pt>
                <c:pt idx="4">
                  <c:v>1032.0419999999999</c:v>
                </c:pt>
                <c:pt idx="5">
                  <c:v>1032.0419999999999</c:v>
                </c:pt>
                <c:pt idx="6">
                  <c:v>1032.0419999999999</c:v>
                </c:pt>
                <c:pt idx="7">
                  <c:v>1032.0419999999999</c:v>
                </c:pt>
                <c:pt idx="8">
                  <c:v>1032.0419999999999</c:v>
                </c:pt>
                <c:pt idx="9">
                  <c:v>1032.0419999999999</c:v>
                </c:pt>
                <c:pt idx="10">
                  <c:v>1032.0419999999999</c:v>
                </c:pt>
                <c:pt idx="11">
                  <c:v>1032.0419999999999</c:v>
                </c:pt>
                <c:pt idx="12">
                  <c:v>1032.0419999999999</c:v>
                </c:pt>
                <c:pt idx="13">
                  <c:v>1032.0419999999999</c:v>
                </c:pt>
                <c:pt idx="14">
                  <c:v>1032.0419999999999</c:v>
                </c:pt>
                <c:pt idx="15">
                  <c:v>1032.0419999999999</c:v>
                </c:pt>
                <c:pt idx="16">
                  <c:v>1032.0419999999999</c:v>
                </c:pt>
                <c:pt idx="17">
                  <c:v>860.03500000000008</c:v>
                </c:pt>
                <c:pt idx="18">
                  <c:v>688.02800000000002</c:v>
                </c:pt>
                <c:pt idx="19">
                  <c:v>516.02100000000007</c:v>
                </c:pt>
                <c:pt idx="20">
                  <c:v>344.01400000000007</c:v>
                </c:pt>
                <c:pt idx="21">
                  <c:v>172.00700000000006</c:v>
                </c:pt>
                <c:pt idx="22">
                  <c:v>0</c:v>
                </c:pt>
                <c:pt idx="23">
                  <c:v>0</c:v>
                </c:pt>
              </c:numCache>
            </c:numRef>
          </c:val>
          <c:extLst>
            <c:ext xmlns:c16="http://schemas.microsoft.com/office/drawing/2014/chart" uri="{C3380CC4-5D6E-409C-BE32-E72D297353CC}">
              <c16:uniqueId val="{00000001-7B4F-2945-A972-6DD8523B94A8}"/>
            </c:ext>
          </c:extLst>
        </c:ser>
        <c:ser>
          <c:idx val="2"/>
          <c:order val="2"/>
          <c:tx>
            <c:strRef>
              <c:f>'Wind turbines'!$B$412</c:f>
              <c:strCache>
                <c:ptCount val="1"/>
                <c:pt idx="0">
                  <c:v>Land-based, 2014-2019</c:v>
                </c:pt>
              </c:strCache>
            </c:strRef>
          </c:tx>
          <c:spPr>
            <a:solidFill>
              <a:schemeClr val="bg2"/>
            </a:solidFill>
          </c:spPr>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turbines'!$D$412:$AA$412</c:f>
              <c:numCache>
                <c:formatCode>#,##0</c:formatCode>
                <c:ptCount val="24"/>
                <c:pt idx="0">
                  <c:v>572.03199999999993</c:v>
                </c:pt>
                <c:pt idx="1">
                  <c:v>792.03199999999993</c:v>
                </c:pt>
                <c:pt idx="2">
                  <c:v>887.03199999999993</c:v>
                </c:pt>
                <c:pt idx="3">
                  <c:v>1037.0320000000002</c:v>
                </c:pt>
                <c:pt idx="4">
                  <c:v>1037.0320000000002</c:v>
                </c:pt>
                <c:pt idx="5">
                  <c:v>1037.0320000000002</c:v>
                </c:pt>
                <c:pt idx="6">
                  <c:v>1037.0320000000002</c:v>
                </c:pt>
                <c:pt idx="7">
                  <c:v>1037.0320000000002</c:v>
                </c:pt>
                <c:pt idx="8">
                  <c:v>1037.0320000000002</c:v>
                </c:pt>
                <c:pt idx="9">
                  <c:v>1037.0320000000002</c:v>
                </c:pt>
                <c:pt idx="10">
                  <c:v>1037.0320000000002</c:v>
                </c:pt>
                <c:pt idx="11">
                  <c:v>1037.0320000000002</c:v>
                </c:pt>
                <c:pt idx="12">
                  <c:v>1037.0320000000002</c:v>
                </c:pt>
                <c:pt idx="13">
                  <c:v>1037.0320000000002</c:v>
                </c:pt>
                <c:pt idx="14">
                  <c:v>1037.0320000000002</c:v>
                </c:pt>
                <c:pt idx="15">
                  <c:v>1037.0320000000002</c:v>
                </c:pt>
                <c:pt idx="16">
                  <c:v>1037.0320000000002</c:v>
                </c:pt>
                <c:pt idx="17">
                  <c:v>1037.0320000000002</c:v>
                </c:pt>
                <c:pt idx="18">
                  <c:v>1037.0320000000002</c:v>
                </c:pt>
                <c:pt idx="19">
                  <c:v>1037.0320000000002</c:v>
                </c:pt>
                <c:pt idx="20">
                  <c:v>1037.0320000000002</c:v>
                </c:pt>
                <c:pt idx="21">
                  <c:v>1037.0320000000002</c:v>
                </c:pt>
                <c:pt idx="22">
                  <c:v>1037.0320000000002</c:v>
                </c:pt>
                <c:pt idx="23">
                  <c:v>864.19333333333338</c:v>
                </c:pt>
              </c:numCache>
            </c:numRef>
          </c:val>
          <c:extLst>
            <c:ext xmlns:c16="http://schemas.microsoft.com/office/drawing/2014/chart" uri="{C3380CC4-5D6E-409C-BE32-E72D297353CC}">
              <c16:uniqueId val="{00000002-7B4F-2945-A972-6DD8523B94A8}"/>
            </c:ext>
          </c:extLst>
        </c:ser>
        <c:ser>
          <c:idx val="3"/>
          <c:order val="3"/>
          <c:tx>
            <c:strRef>
              <c:f>'Wind turbines'!$B$413</c:f>
              <c:strCache>
                <c:ptCount val="1"/>
                <c:pt idx="0">
                  <c:v>Land-based, after 2020</c:v>
                </c:pt>
              </c:strCache>
            </c:strRef>
          </c:tx>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turbines'!$D$413:$AA$413</c:f>
              <c:numCache>
                <c:formatCode>#,##0</c:formatCode>
                <c:ptCount val="24"/>
                <c:pt idx="0">
                  <c:v>0</c:v>
                </c:pt>
                <c:pt idx="1">
                  <c:v>0</c:v>
                </c:pt>
                <c:pt idx="2">
                  <c:v>0</c:v>
                </c:pt>
                <c:pt idx="3">
                  <c:v>0</c:v>
                </c:pt>
                <c:pt idx="4">
                  <c:v>150.00000000000023</c:v>
                </c:pt>
                <c:pt idx="5">
                  <c:v>350.00000000000045</c:v>
                </c:pt>
                <c:pt idx="6">
                  <c:v>550.00000000000045</c:v>
                </c:pt>
                <c:pt idx="7">
                  <c:v>800.00000000000011</c:v>
                </c:pt>
                <c:pt idx="8">
                  <c:v>1050</c:v>
                </c:pt>
                <c:pt idx="9">
                  <c:v>1299.9999999999995</c:v>
                </c:pt>
                <c:pt idx="10">
                  <c:v>1570.7312244897957</c:v>
                </c:pt>
                <c:pt idx="11">
                  <c:v>1841.4624489795915</c:v>
                </c:pt>
                <c:pt idx="12">
                  <c:v>2112.1936734693877</c:v>
                </c:pt>
                <c:pt idx="13">
                  <c:v>2382.9248979591835</c:v>
                </c:pt>
                <c:pt idx="14">
                  <c:v>2653.6561224489797</c:v>
                </c:pt>
                <c:pt idx="15">
                  <c:v>2924.3873469387754</c:v>
                </c:pt>
                <c:pt idx="16">
                  <c:v>3195.1185714285712</c:v>
                </c:pt>
                <c:pt idx="17">
                  <c:v>3442.1255714285717</c:v>
                </c:pt>
                <c:pt idx="18">
                  <c:v>3689.1325714285713</c:v>
                </c:pt>
                <c:pt idx="19">
                  <c:v>3936.1395714285709</c:v>
                </c:pt>
                <c:pt idx="20">
                  <c:v>4183.1465714285714</c:v>
                </c:pt>
                <c:pt idx="21">
                  <c:v>4430.153571428571</c:v>
                </c:pt>
                <c:pt idx="22">
                  <c:v>4677.1605714285706</c:v>
                </c:pt>
                <c:pt idx="23">
                  <c:v>4924.9992380952372</c:v>
                </c:pt>
              </c:numCache>
            </c:numRef>
          </c:val>
          <c:extLst>
            <c:ext xmlns:c16="http://schemas.microsoft.com/office/drawing/2014/chart" uri="{C3380CC4-5D6E-409C-BE32-E72D297353CC}">
              <c16:uniqueId val="{00000003-7B4F-2945-A972-6DD8523B94A8}"/>
            </c:ext>
          </c:extLst>
        </c:ser>
        <c:dLbls>
          <c:showLegendKey val="0"/>
          <c:showVal val="0"/>
          <c:showCatName val="0"/>
          <c:showSerName val="0"/>
          <c:showPercent val="0"/>
          <c:showBubbleSize val="0"/>
        </c:dLbls>
        <c:axId val="127309696"/>
        <c:axId val="127311232"/>
      </c:areaChart>
      <c:lineChart>
        <c:grouping val="standard"/>
        <c:varyColors val="0"/>
        <c:ser>
          <c:idx val="4"/>
          <c:order val="4"/>
          <c:tx>
            <c:v>Land-based, AF2016</c:v>
          </c:tx>
          <c:spPr>
            <a:ln>
              <a:solidFill>
                <a:schemeClr val="accent3"/>
              </a:solidFill>
              <a:prstDash val="sysDash"/>
            </a:ln>
          </c:spPr>
          <c:marker>
            <c:symbol val="none"/>
          </c:marker>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turbines'!$D$415:$AA$415</c:f>
              <c:numCache>
                <c:formatCode>#,##0</c:formatCode>
                <c:ptCount val="24"/>
                <c:pt idx="0">
                  <c:v>3919.8395</c:v>
                </c:pt>
                <c:pt idx="1">
                  <c:v>3951.4791000000005</c:v>
                </c:pt>
                <c:pt idx="2">
                  <c:v>4095.8402000000006</c:v>
                </c:pt>
                <c:pt idx="3">
                  <c:v>4220.8401999999996</c:v>
                </c:pt>
                <c:pt idx="4">
                  <c:v>4345.8402000000006</c:v>
                </c:pt>
                <c:pt idx="5">
                  <c:v>4470.8402000000006</c:v>
                </c:pt>
                <c:pt idx="6">
                  <c:v>4595.8401999999996</c:v>
                </c:pt>
                <c:pt idx="7">
                  <c:v>4720.8401999999996</c:v>
                </c:pt>
                <c:pt idx="8">
                  <c:v>4845.8401999999996</c:v>
                </c:pt>
                <c:pt idx="9">
                  <c:v>4970.8402000000006</c:v>
                </c:pt>
                <c:pt idx="10">
                  <c:v>5095.8402000000006</c:v>
                </c:pt>
                <c:pt idx="11">
                  <c:v>5220.8402000000006</c:v>
                </c:pt>
                <c:pt idx="12">
                  <c:v>5345.8402000000006</c:v>
                </c:pt>
                <c:pt idx="13">
                  <c:v>5470.8401999999996</c:v>
                </c:pt>
                <c:pt idx="14">
                  <c:v>5595.8401999999996</c:v>
                </c:pt>
                <c:pt idx="15">
                  <c:v>5720.8401999999996</c:v>
                </c:pt>
                <c:pt idx="16">
                  <c:v>5845.8401999999996</c:v>
                </c:pt>
                <c:pt idx="17">
                  <c:v>5970.8401999999987</c:v>
                </c:pt>
                <c:pt idx="18">
                  <c:v>6095.8401999999987</c:v>
                </c:pt>
                <c:pt idx="19">
                  <c:v>6220.8401999999987</c:v>
                </c:pt>
                <c:pt idx="20">
                  <c:v>6345.8401999999987</c:v>
                </c:pt>
                <c:pt idx="21">
                  <c:v>6470.8401999999987</c:v>
                </c:pt>
                <c:pt idx="22">
                  <c:v>6595.8401999999996</c:v>
                </c:pt>
                <c:pt idx="23">
                  <c:v>6720.8401999999996</c:v>
                </c:pt>
              </c:numCache>
            </c:numRef>
          </c:val>
          <c:smooth val="0"/>
          <c:extLst>
            <c:ext xmlns:c16="http://schemas.microsoft.com/office/drawing/2014/chart" uri="{C3380CC4-5D6E-409C-BE32-E72D297353CC}">
              <c16:uniqueId val="{00000004-7B4F-2945-A972-6DD8523B94A8}"/>
            </c:ext>
          </c:extLst>
        </c:ser>
        <c:dLbls>
          <c:showLegendKey val="0"/>
          <c:showVal val="0"/>
          <c:showCatName val="0"/>
          <c:showSerName val="0"/>
          <c:showPercent val="0"/>
          <c:showBubbleSize val="0"/>
        </c:dLbls>
        <c:marker val="1"/>
        <c:smooth val="0"/>
        <c:axId val="127309696"/>
        <c:axId val="127311232"/>
      </c:lineChart>
      <c:catAx>
        <c:axId val="127309696"/>
        <c:scaling>
          <c:orientation val="minMax"/>
        </c:scaling>
        <c:delete val="0"/>
        <c:axPos val="b"/>
        <c:numFmt formatCode="0" sourceLinked="1"/>
        <c:majorTickMark val="out"/>
        <c:minorTickMark val="none"/>
        <c:tickLblPos val="nextTo"/>
        <c:crossAx val="127311232"/>
        <c:crosses val="autoZero"/>
        <c:auto val="1"/>
        <c:lblAlgn val="ctr"/>
        <c:lblOffset val="100"/>
        <c:tickLblSkip val="1"/>
        <c:noMultiLvlLbl val="0"/>
      </c:catAx>
      <c:valAx>
        <c:axId val="127311232"/>
        <c:scaling>
          <c:orientation val="minMax"/>
        </c:scaling>
        <c:delete val="0"/>
        <c:axPos val="l"/>
        <c:title>
          <c:tx>
            <c:rich>
              <a:bodyPr rot="-5400000" vert="horz"/>
              <a:lstStyle/>
              <a:p>
                <a:pPr>
                  <a:defRPr/>
                </a:pPr>
                <a:r>
                  <a:rPr lang="da-DK"/>
                  <a:t>MW (beginning of</a:t>
                </a:r>
                <a:r>
                  <a:rPr lang="da-DK" baseline="0"/>
                  <a:t> year)</a:t>
                </a:r>
                <a:endParaRPr lang="da-DK"/>
              </a:p>
            </c:rich>
          </c:tx>
          <c:overlay val="0"/>
        </c:title>
        <c:numFmt formatCode="#,##0" sourceLinked="1"/>
        <c:majorTickMark val="out"/>
        <c:minorTickMark val="none"/>
        <c:tickLblPos val="nextTo"/>
        <c:crossAx val="127309696"/>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Development</a:t>
            </a:r>
            <a:r>
              <a:rPr lang="en-US" sz="1200" baseline="0"/>
              <a:t> in near- and offshore wind power capacities</a:t>
            </a:r>
            <a:endParaRPr lang="en-US" sz="1200"/>
          </a:p>
        </c:rich>
      </c:tx>
      <c:overlay val="0"/>
    </c:title>
    <c:autoTitleDeleted val="0"/>
    <c:plotArea>
      <c:layout/>
      <c:areaChart>
        <c:grouping val="stacked"/>
        <c:varyColors val="0"/>
        <c:ser>
          <c:idx val="0"/>
          <c:order val="0"/>
          <c:tx>
            <c:strRef>
              <c:f>'Wind turbines'!$B$417</c:f>
              <c:strCache>
                <c:ptCount val="1"/>
                <c:pt idx="0">
                  <c:v>Offshore</c:v>
                </c:pt>
              </c:strCache>
            </c:strRef>
          </c:tx>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turbines'!$D$417:$AA$417</c:f>
              <c:numCache>
                <c:formatCode>#,##0</c:formatCode>
                <c:ptCount val="24"/>
                <c:pt idx="0">
                  <c:v>1141.5</c:v>
                </c:pt>
                <c:pt idx="1">
                  <c:v>1141.5</c:v>
                </c:pt>
                <c:pt idx="2">
                  <c:v>1548.2000000000003</c:v>
                </c:pt>
                <c:pt idx="3">
                  <c:v>1548.2000000000003</c:v>
                </c:pt>
                <c:pt idx="4">
                  <c:v>1548.2000000000003</c:v>
                </c:pt>
                <c:pt idx="5">
                  <c:v>2148.2000000000003</c:v>
                </c:pt>
                <c:pt idx="6">
                  <c:v>2148.2000000000003</c:v>
                </c:pt>
                <c:pt idx="7">
                  <c:v>2148.2000000000003</c:v>
                </c:pt>
                <c:pt idx="8">
                  <c:v>2148.2000000000003</c:v>
                </c:pt>
                <c:pt idx="9">
                  <c:v>2448.2000000000003</c:v>
                </c:pt>
                <c:pt idx="10">
                  <c:v>2748.2000000000003</c:v>
                </c:pt>
                <c:pt idx="11">
                  <c:v>2588.2000000000003</c:v>
                </c:pt>
                <c:pt idx="12">
                  <c:v>2722.6000000000004</c:v>
                </c:pt>
                <c:pt idx="13">
                  <c:v>3022.6000000000004</c:v>
                </c:pt>
                <c:pt idx="14">
                  <c:v>3022.6000000000004</c:v>
                </c:pt>
                <c:pt idx="15">
                  <c:v>3322.6000000000004</c:v>
                </c:pt>
                <c:pt idx="16">
                  <c:v>3622.6000000000004</c:v>
                </c:pt>
                <c:pt idx="17">
                  <c:v>3622.6000000000004</c:v>
                </c:pt>
                <c:pt idx="18">
                  <c:v>3713.3</c:v>
                </c:pt>
                <c:pt idx="19">
                  <c:v>3806.3</c:v>
                </c:pt>
                <c:pt idx="20">
                  <c:v>3806.3</c:v>
                </c:pt>
                <c:pt idx="21">
                  <c:v>4106.3</c:v>
                </c:pt>
                <c:pt idx="22">
                  <c:v>4006.7</c:v>
                </c:pt>
                <c:pt idx="23">
                  <c:v>4006.7</c:v>
                </c:pt>
              </c:numCache>
            </c:numRef>
          </c:val>
          <c:extLst>
            <c:ext xmlns:c16="http://schemas.microsoft.com/office/drawing/2014/chart" uri="{C3380CC4-5D6E-409C-BE32-E72D297353CC}">
              <c16:uniqueId val="{00000000-2461-1D4A-8F36-2470C5848036}"/>
            </c:ext>
          </c:extLst>
        </c:ser>
        <c:ser>
          <c:idx val="1"/>
          <c:order val="1"/>
          <c:tx>
            <c:strRef>
              <c:f>'Wind turbines'!$B$418</c:f>
              <c:strCache>
                <c:ptCount val="1"/>
                <c:pt idx="0">
                  <c:v>Near-shore</c:v>
                </c:pt>
              </c:strCache>
            </c:strRef>
          </c:tx>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turbines'!$D$418:$AA$418</c:f>
              <c:numCache>
                <c:formatCode>#,##0</c:formatCode>
                <c:ptCount val="24"/>
                <c:pt idx="0">
                  <c:v>124.6</c:v>
                </c:pt>
                <c:pt idx="1">
                  <c:v>124.6</c:v>
                </c:pt>
                <c:pt idx="2">
                  <c:v>124.6</c:v>
                </c:pt>
                <c:pt idx="3">
                  <c:v>502.6</c:v>
                </c:pt>
                <c:pt idx="4">
                  <c:v>497.6</c:v>
                </c:pt>
                <c:pt idx="5">
                  <c:v>497.6</c:v>
                </c:pt>
                <c:pt idx="6">
                  <c:v>497.6</c:v>
                </c:pt>
                <c:pt idx="7">
                  <c:v>497.6</c:v>
                </c:pt>
                <c:pt idx="8">
                  <c:v>647.6</c:v>
                </c:pt>
                <c:pt idx="9">
                  <c:v>607.6</c:v>
                </c:pt>
                <c:pt idx="10">
                  <c:v>607.6</c:v>
                </c:pt>
                <c:pt idx="11">
                  <c:v>607.6</c:v>
                </c:pt>
                <c:pt idx="12">
                  <c:v>559.79999999999995</c:v>
                </c:pt>
                <c:pt idx="13">
                  <c:v>709.8</c:v>
                </c:pt>
                <c:pt idx="14">
                  <c:v>709.8</c:v>
                </c:pt>
                <c:pt idx="15">
                  <c:v>709.8</c:v>
                </c:pt>
                <c:pt idx="16">
                  <c:v>709.8</c:v>
                </c:pt>
                <c:pt idx="17">
                  <c:v>709.8</c:v>
                </c:pt>
                <c:pt idx="18">
                  <c:v>831.6</c:v>
                </c:pt>
                <c:pt idx="19">
                  <c:v>831.6</c:v>
                </c:pt>
                <c:pt idx="20">
                  <c:v>828</c:v>
                </c:pt>
                <c:pt idx="21">
                  <c:v>828</c:v>
                </c:pt>
                <c:pt idx="22">
                  <c:v>828</c:v>
                </c:pt>
                <c:pt idx="23">
                  <c:v>978</c:v>
                </c:pt>
              </c:numCache>
            </c:numRef>
          </c:val>
          <c:extLst>
            <c:ext xmlns:c16="http://schemas.microsoft.com/office/drawing/2014/chart" uri="{C3380CC4-5D6E-409C-BE32-E72D297353CC}">
              <c16:uniqueId val="{00000001-2461-1D4A-8F36-2470C5848036}"/>
            </c:ext>
          </c:extLst>
        </c:ser>
        <c:dLbls>
          <c:showLegendKey val="0"/>
          <c:showVal val="0"/>
          <c:showCatName val="0"/>
          <c:showSerName val="0"/>
          <c:showPercent val="0"/>
          <c:showBubbleSize val="0"/>
        </c:dLbls>
        <c:axId val="127331712"/>
        <c:axId val="127358080"/>
      </c:areaChart>
      <c:lineChart>
        <c:grouping val="standard"/>
        <c:varyColors val="0"/>
        <c:ser>
          <c:idx val="2"/>
          <c:order val="2"/>
          <c:tx>
            <c:strRef>
              <c:f>'Wind turbines'!$B$419</c:f>
              <c:strCache>
                <c:ptCount val="1"/>
                <c:pt idx="0">
                  <c:v>Offshore and near-shore, AF2016</c:v>
                </c:pt>
              </c:strCache>
            </c:strRef>
          </c:tx>
          <c:spPr>
            <a:ln>
              <a:prstDash val="sysDash"/>
            </a:ln>
          </c:spPr>
          <c:marker>
            <c:symbol val="none"/>
          </c:marker>
          <c:val>
            <c:numRef>
              <c:f>'Wind turbines'!$D$419:$AA$419</c:f>
              <c:numCache>
                <c:formatCode>#,##0</c:formatCode>
                <c:ptCount val="24"/>
                <c:pt idx="0">
                  <c:v>1271.05</c:v>
                </c:pt>
                <c:pt idx="1">
                  <c:v>1266.0999999999999</c:v>
                </c:pt>
                <c:pt idx="2">
                  <c:v>1266.0999999999999</c:v>
                </c:pt>
                <c:pt idx="3">
                  <c:v>1672.8</c:v>
                </c:pt>
                <c:pt idx="4">
                  <c:v>2272.8000000000002</c:v>
                </c:pt>
                <c:pt idx="5">
                  <c:v>2517.8000000000002</c:v>
                </c:pt>
                <c:pt idx="6">
                  <c:v>2717.7999999999997</c:v>
                </c:pt>
                <c:pt idx="7">
                  <c:v>2717.7999999999997</c:v>
                </c:pt>
                <c:pt idx="8">
                  <c:v>2717.7999999999997</c:v>
                </c:pt>
                <c:pt idx="9">
                  <c:v>2717.7999999999997</c:v>
                </c:pt>
                <c:pt idx="10">
                  <c:v>2677.7999999999997</c:v>
                </c:pt>
                <c:pt idx="11">
                  <c:v>2877.7999999999997</c:v>
                </c:pt>
                <c:pt idx="12">
                  <c:v>2917.7999999999997</c:v>
                </c:pt>
                <c:pt idx="13">
                  <c:v>2704.4000000000005</c:v>
                </c:pt>
                <c:pt idx="14">
                  <c:v>2904.4000000000005</c:v>
                </c:pt>
                <c:pt idx="15">
                  <c:v>3104.4000000000005</c:v>
                </c:pt>
                <c:pt idx="16">
                  <c:v>3104.4000000000005</c:v>
                </c:pt>
                <c:pt idx="17">
                  <c:v>3304.4000000000005</c:v>
                </c:pt>
                <c:pt idx="18">
                  <c:v>3504.4000000000005</c:v>
                </c:pt>
                <c:pt idx="19">
                  <c:v>3266.9</c:v>
                </c:pt>
                <c:pt idx="20">
                  <c:v>3259.9</c:v>
                </c:pt>
                <c:pt idx="21">
                  <c:v>3456.3</c:v>
                </c:pt>
                <c:pt idx="22">
                  <c:v>3456.3</c:v>
                </c:pt>
                <c:pt idx="23">
                  <c:v>3256.7</c:v>
                </c:pt>
              </c:numCache>
            </c:numRef>
          </c:val>
          <c:smooth val="0"/>
          <c:extLst>
            <c:ext xmlns:c16="http://schemas.microsoft.com/office/drawing/2014/chart" uri="{C3380CC4-5D6E-409C-BE32-E72D297353CC}">
              <c16:uniqueId val="{00000002-2461-1D4A-8F36-2470C5848036}"/>
            </c:ext>
          </c:extLst>
        </c:ser>
        <c:dLbls>
          <c:showLegendKey val="0"/>
          <c:showVal val="0"/>
          <c:showCatName val="0"/>
          <c:showSerName val="0"/>
          <c:showPercent val="0"/>
          <c:showBubbleSize val="0"/>
        </c:dLbls>
        <c:marker val="1"/>
        <c:smooth val="0"/>
        <c:axId val="127331712"/>
        <c:axId val="127358080"/>
      </c:lineChart>
      <c:catAx>
        <c:axId val="127331712"/>
        <c:scaling>
          <c:orientation val="minMax"/>
        </c:scaling>
        <c:delete val="0"/>
        <c:axPos val="b"/>
        <c:numFmt formatCode="0" sourceLinked="1"/>
        <c:majorTickMark val="out"/>
        <c:minorTickMark val="none"/>
        <c:tickLblPos val="nextTo"/>
        <c:crossAx val="127358080"/>
        <c:crosses val="autoZero"/>
        <c:auto val="1"/>
        <c:lblAlgn val="ctr"/>
        <c:lblOffset val="100"/>
        <c:tickLblSkip val="1"/>
        <c:noMultiLvlLbl val="0"/>
      </c:catAx>
      <c:valAx>
        <c:axId val="127358080"/>
        <c:scaling>
          <c:orientation val="minMax"/>
        </c:scaling>
        <c:delete val="0"/>
        <c:axPos val="l"/>
        <c:title>
          <c:tx>
            <c:rich>
              <a:bodyPr rot="-5400000" vert="horz"/>
              <a:lstStyle/>
              <a:p>
                <a:pPr>
                  <a:defRPr/>
                </a:pPr>
                <a:r>
                  <a:rPr lang="da-DK"/>
                  <a:t>MW (beginning of year)</a:t>
                </a:r>
              </a:p>
            </c:rich>
          </c:tx>
          <c:overlay val="0"/>
        </c:title>
        <c:numFmt formatCode="#,##0" sourceLinked="1"/>
        <c:majorTickMark val="out"/>
        <c:minorTickMark val="none"/>
        <c:tickLblPos val="nextTo"/>
        <c:crossAx val="127331712"/>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Development</a:t>
            </a:r>
            <a:r>
              <a:rPr lang="en-US" sz="1200" baseline="0"/>
              <a:t> in wind power capacities</a:t>
            </a:r>
            <a:endParaRPr lang="en-US" sz="1200"/>
          </a:p>
        </c:rich>
      </c:tx>
      <c:overlay val="0"/>
    </c:title>
    <c:autoTitleDeleted val="0"/>
    <c:plotArea>
      <c:layout/>
      <c:areaChart>
        <c:grouping val="stacked"/>
        <c:varyColors val="0"/>
        <c:ser>
          <c:idx val="2"/>
          <c:order val="0"/>
          <c:tx>
            <c:v>Land-based</c:v>
          </c:tx>
          <c:spPr>
            <a:solidFill>
              <a:schemeClr val="accent1"/>
            </a:solidFill>
            <a:ln w="25400">
              <a:noFill/>
            </a:ln>
          </c:spPr>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turbines'!$D$414:$AA$414</c:f>
              <c:numCache>
                <c:formatCode>#,##0</c:formatCode>
                <c:ptCount val="24"/>
                <c:pt idx="0">
                  <c:v>3974.0410000000002</c:v>
                </c:pt>
                <c:pt idx="1">
                  <c:v>4118.0842000000002</c:v>
                </c:pt>
                <c:pt idx="2">
                  <c:v>4147.4453000000003</c:v>
                </c:pt>
                <c:pt idx="3">
                  <c:v>4231.8063999999995</c:v>
                </c:pt>
                <c:pt idx="4">
                  <c:v>4298.4142857142851</c:v>
                </c:pt>
                <c:pt idx="5">
                  <c:v>4415.0221714285726</c:v>
                </c:pt>
                <c:pt idx="6">
                  <c:v>4458.5647714285715</c:v>
                </c:pt>
                <c:pt idx="7">
                  <c:v>4552.1073714285722</c:v>
                </c:pt>
                <c:pt idx="8">
                  <c:v>4645.6499714285719</c:v>
                </c:pt>
                <c:pt idx="9">
                  <c:v>4739.1925714285717</c:v>
                </c:pt>
                <c:pt idx="10">
                  <c:v>4814.1925714285717</c:v>
                </c:pt>
                <c:pt idx="11">
                  <c:v>4889.1925714285717</c:v>
                </c:pt>
                <c:pt idx="12">
                  <c:v>4964.1925714285717</c:v>
                </c:pt>
                <c:pt idx="13">
                  <c:v>5039.1925714285717</c:v>
                </c:pt>
                <c:pt idx="14">
                  <c:v>5114.1925714285717</c:v>
                </c:pt>
                <c:pt idx="15">
                  <c:v>5189.1925714285717</c:v>
                </c:pt>
                <c:pt idx="16">
                  <c:v>5264.1925714285717</c:v>
                </c:pt>
                <c:pt idx="17">
                  <c:v>5339.1925714285717</c:v>
                </c:pt>
                <c:pt idx="18">
                  <c:v>5414.1925714285717</c:v>
                </c:pt>
                <c:pt idx="19">
                  <c:v>5489.1925714285717</c:v>
                </c:pt>
                <c:pt idx="20">
                  <c:v>5564.1925714285717</c:v>
                </c:pt>
                <c:pt idx="21">
                  <c:v>5639.1925714285717</c:v>
                </c:pt>
                <c:pt idx="22">
                  <c:v>5714.1925714285708</c:v>
                </c:pt>
                <c:pt idx="23">
                  <c:v>5789.1925714285708</c:v>
                </c:pt>
              </c:numCache>
            </c:numRef>
          </c:val>
          <c:extLst>
            <c:ext xmlns:c16="http://schemas.microsoft.com/office/drawing/2014/chart" uri="{C3380CC4-5D6E-409C-BE32-E72D297353CC}">
              <c16:uniqueId val="{00000000-B2E0-6449-A12A-5C207FF17E23}"/>
            </c:ext>
          </c:extLst>
        </c:ser>
        <c:ser>
          <c:idx val="1"/>
          <c:order val="1"/>
          <c:tx>
            <c:v>Near-shore</c:v>
          </c:tx>
          <c:spPr>
            <a:solidFill>
              <a:schemeClr val="accent6"/>
            </a:solidFill>
          </c:spPr>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turbines'!$D$418:$AA$418</c:f>
              <c:numCache>
                <c:formatCode>#,##0</c:formatCode>
                <c:ptCount val="24"/>
                <c:pt idx="0">
                  <c:v>124.6</c:v>
                </c:pt>
                <c:pt idx="1">
                  <c:v>124.6</c:v>
                </c:pt>
                <c:pt idx="2">
                  <c:v>124.6</c:v>
                </c:pt>
                <c:pt idx="3">
                  <c:v>502.6</c:v>
                </c:pt>
                <c:pt idx="4">
                  <c:v>497.6</c:v>
                </c:pt>
                <c:pt idx="5">
                  <c:v>497.6</c:v>
                </c:pt>
                <c:pt idx="6">
                  <c:v>497.6</c:v>
                </c:pt>
                <c:pt idx="7">
                  <c:v>497.6</c:v>
                </c:pt>
                <c:pt idx="8">
                  <c:v>647.6</c:v>
                </c:pt>
                <c:pt idx="9">
                  <c:v>607.6</c:v>
                </c:pt>
                <c:pt idx="10">
                  <c:v>607.6</c:v>
                </c:pt>
                <c:pt idx="11">
                  <c:v>607.6</c:v>
                </c:pt>
                <c:pt idx="12">
                  <c:v>559.79999999999995</c:v>
                </c:pt>
                <c:pt idx="13">
                  <c:v>709.8</c:v>
                </c:pt>
                <c:pt idx="14">
                  <c:v>709.8</c:v>
                </c:pt>
                <c:pt idx="15">
                  <c:v>709.8</c:v>
                </c:pt>
                <c:pt idx="16">
                  <c:v>709.8</c:v>
                </c:pt>
                <c:pt idx="17">
                  <c:v>709.8</c:v>
                </c:pt>
                <c:pt idx="18">
                  <c:v>831.6</c:v>
                </c:pt>
                <c:pt idx="19">
                  <c:v>831.6</c:v>
                </c:pt>
                <c:pt idx="20">
                  <c:v>828</c:v>
                </c:pt>
                <c:pt idx="21">
                  <c:v>828</c:v>
                </c:pt>
                <c:pt idx="22">
                  <c:v>828</c:v>
                </c:pt>
                <c:pt idx="23">
                  <c:v>978</c:v>
                </c:pt>
              </c:numCache>
            </c:numRef>
          </c:val>
          <c:extLst>
            <c:ext xmlns:c16="http://schemas.microsoft.com/office/drawing/2014/chart" uri="{C3380CC4-5D6E-409C-BE32-E72D297353CC}">
              <c16:uniqueId val="{00000001-B2E0-6449-A12A-5C207FF17E23}"/>
            </c:ext>
          </c:extLst>
        </c:ser>
        <c:ser>
          <c:idx val="0"/>
          <c:order val="2"/>
          <c:tx>
            <c:v>Offshore</c:v>
          </c:tx>
          <c:spPr>
            <a:solidFill>
              <a:schemeClr val="accent2"/>
            </a:solidFill>
          </c:spPr>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turbines'!$D$417:$AA$417</c:f>
              <c:numCache>
                <c:formatCode>#,##0</c:formatCode>
                <c:ptCount val="24"/>
                <c:pt idx="0">
                  <c:v>1141.5</c:v>
                </c:pt>
                <c:pt idx="1">
                  <c:v>1141.5</c:v>
                </c:pt>
                <c:pt idx="2">
                  <c:v>1548.2000000000003</c:v>
                </c:pt>
                <c:pt idx="3">
                  <c:v>1548.2000000000003</c:v>
                </c:pt>
                <c:pt idx="4">
                  <c:v>1548.2000000000003</c:v>
                </c:pt>
                <c:pt idx="5">
                  <c:v>2148.2000000000003</c:v>
                </c:pt>
                <c:pt idx="6">
                  <c:v>2148.2000000000003</c:v>
                </c:pt>
                <c:pt idx="7">
                  <c:v>2148.2000000000003</c:v>
                </c:pt>
                <c:pt idx="8">
                  <c:v>2148.2000000000003</c:v>
                </c:pt>
                <c:pt idx="9">
                  <c:v>2448.2000000000003</c:v>
                </c:pt>
                <c:pt idx="10">
                  <c:v>2748.2000000000003</c:v>
                </c:pt>
                <c:pt idx="11">
                  <c:v>2588.2000000000003</c:v>
                </c:pt>
                <c:pt idx="12">
                  <c:v>2722.6000000000004</c:v>
                </c:pt>
                <c:pt idx="13">
                  <c:v>3022.6000000000004</c:v>
                </c:pt>
                <c:pt idx="14">
                  <c:v>3022.6000000000004</c:v>
                </c:pt>
                <c:pt idx="15">
                  <c:v>3322.6000000000004</c:v>
                </c:pt>
                <c:pt idx="16">
                  <c:v>3622.6000000000004</c:v>
                </c:pt>
                <c:pt idx="17">
                  <c:v>3622.6000000000004</c:v>
                </c:pt>
                <c:pt idx="18">
                  <c:v>3713.3</c:v>
                </c:pt>
                <c:pt idx="19">
                  <c:v>3806.3</c:v>
                </c:pt>
                <c:pt idx="20">
                  <c:v>3806.3</c:v>
                </c:pt>
                <c:pt idx="21">
                  <c:v>4106.3</c:v>
                </c:pt>
                <c:pt idx="22">
                  <c:v>4006.7</c:v>
                </c:pt>
                <c:pt idx="23">
                  <c:v>4006.7</c:v>
                </c:pt>
              </c:numCache>
            </c:numRef>
          </c:val>
          <c:extLst>
            <c:ext xmlns:c16="http://schemas.microsoft.com/office/drawing/2014/chart" uri="{C3380CC4-5D6E-409C-BE32-E72D297353CC}">
              <c16:uniqueId val="{00000002-B2E0-6449-A12A-5C207FF17E23}"/>
            </c:ext>
          </c:extLst>
        </c:ser>
        <c:dLbls>
          <c:showLegendKey val="0"/>
          <c:showVal val="0"/>
          <c:showCatName val="0"/>
          <c:showSerName val="0"/>
          <c:showPercent val="0"/>
          <c:showBubbleSize val="0"/>
        </c:dLbls>
        <c:axId val="127386752"/>
        <c:axId val="127388288"/>
      </c:areaChart>
      <c:lineChart>
        <c:grouping val="standard"/>
        <c:varyColors val="0"/>
        <c:ser>
          <c:idx val="3"/>
          <c:order val="3"/>
          <c:tx>
            <c:v>Wind turbines, AF2016</c:v>
          </c:tx>
          <c:spPr>
            <a:ln>
              <a:solidFill>
                <a:schemeClr val="accent3"/>
              </a:solidFill>
              <a:prstDash val="sysDash"/>
            </a:ln>
          </c:spPr>
          <c:marker>
            <c:symbol val="none"/>
          </c:marker>
          <c:cat>
            <c:numRef>
              <c:f>'Wind turbines'!$D$409:$AA$409</c:f>
              <c:numCache>
                <c:formatCode>0</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'Wind turbines'!$D$421:$AA$421</c:f>
              <c:numCache>
                <c:formatCode>#,##0</c:formatCode>
                <c:ptCount val="24"/>
                <c:pt idx="0">
                  <c:v>5190.8895000000002</c:v>
                </c:pt>
                <c:pt idx="1">
                  <c:v>5217.5791000000008</c:v>
                </c:pt>
                <c:pt idx="2">
                  <c:v>5361.9402000000009</c:v>
                </c:pt>
                <c:pt idx="3">
                  <c:v>5893.6401999999998</c:v>
                </c:pt>
                <c:pt idx="4">
                  <c:v>6618.6402000000007</c:v>
                </c:pt>
                <c:pt idx="5">
                  <c:v>6988.6402000000007</c:v>
                </c:pt>
                <c:pt idx="6">
                  <c:v>7313.6401999999998</c:v>
                </c:pt>
                <c:pt idx="7">
                  <c:v>7438.6401999999998</c:v>
                </c:pt>
                <c:pt idx="8">
                  <c:v>7563.6401999999998</c:v>
                </c:pt>
                <c:pt idx="9">
                  <c:v>7688.6401999999998</c:v>
                </c:pt>
                <c:pt idx="10">
                  <c:v>7773.6401999999998</c:v>
                </c:pt>
                <c:pt idx="11">
                  <c:v>8098.6401999999998</c:v>
                </c:pt>
                <c:pt idx="12">
                  <c:v>8263.6401999999998</c:v>
                </c:pt>
                <c:pt idx="13">
                  <c:v>8175.2402000000002</c:v>
                </c:pt>
                <c:pt idx="14">
                  <c:v>8500.2402000000002</c:v>
                </c:pt>
                <c:pt idx="15">
                  <c:v>8825.2402000000002</c:v>
                </c:pt>
                <c:pt idx="16">
                  <c:v>8950.2402000000002</c:v>
                </c:pt>
                <c:pt idx="17">
                  <c:v>9275.2402000000002</c:v>
                </c:pt>
                <c:pt idx="18">
                  <c:v>9600.2402000000002</c:v>
                </c:pt>
                <c:pt idx="19">
                  <c:v>9487.7401999999984</c:v>
                </c:pt>
                <c:pt idx="20">
                  <c:v>9605.7401999999984</c:v>
                </c:pt>
                <c:pt idx="21">
                  <c:v>9927.140199999998</c:v>
                </c:pt>
                <c:pt idx="22">
                  <c:v>10052.1402</c:v>
                </c:pt>
                <c:pt idx="23">
                  <c:v>9977.5401999999995</c:v>
                </c:pt>
              </c:numCache>
            </c:numRef>
          </c:val>
          <c:smooth val="0"/>
          <c:extLst>
            <c:ext xmlns:c16="http://schemas.microsoft.com/office/drawing/2014/chart" uri="{C3380CC4-5D6E-409C-BE32-E72D297353CC}">
              <c16:uniqueId val="{00000003-B2E0-6449-A12A-5C207FF17E23}"/>
            </c:ext>
          </c:extLst>
        </c:ser>
        <c:dLbls>
          <c:showLegendKey val="0"/>
          <c:showVal val="0"/>
          <c:showCatName val="0"/>
          <c:showSerName val="0"/>
          <c:showPercent val="0"/>
          <c:showBubbleSize val="0"/>
        </c:dLbls>
        <c:marker val="1"/>
        <c:smooth val="0"/>
        <c:axId val="127386752"/>
        <c:axId val="127388288"/>
      </c:lineChart>
      <c:catAx>
        <c:axId val="127386752"/>
        <c:scaling>
          <c:orientation val="minMax"/>
        </c:scaling>
        <c:delete val="0"/>
        <c:axPos val="b"/>
        <c:numFmt formatCode="0" sourceLinked="1"/>
        <c:majorTickMark val="out"/>
        <c:minorTickMark val="none"/>
        <c:tickLblPos val="nextTo"/>
        <c:crossAx val="127388288"/>
        <c:crosses val="autoZero"/>
        <c:auto val="1"/>
        <c:lblAlgn val="ctr"/>
        <c:lblOffset val="100"/>
        <c:tickLblSkip val="1"/>
        <c:noMultiLvlLbl val="0"/>
      </c:catAx>
      <c:valAx>
        <c:axId val="127388288"/>
        <c:scaling>
          <c:orientation val="minMax"/>
        </c:scaling>
        <c:delete val="0"/>
        <c:axPos val="l"/>
        <c:title>
          <c:tx>
            <c:rich>
              <a:bodyPr rot="-5400000" vert="horz"/>
              <a:lstStyle/>
              <a:p>
                <a:pPr>
                  <a:defRPr/>
                </a:pPr>
                <a:r>
                  <a:rPr lang="da-DK"/>
                  <a:t>MW </a:t>
                </a:r>
                <a:r>
                  <a:rPr lang="da-DK" sz="1000" b="1" i="0" u="none" strike="noStrike" baseline="0">
                    <a:effectLst/>
                  </a:rPr>
                  <a:t>(beginning of year)</a:t>
                </a:r>
                <a:endParaRPr lang="da-DK"/>
              </a:p>
            </c:rich>
          </c:tx>
          <c:overlay val="0"/>
        </c:title>
        <c:numFmt formatCode="#,##0" sourceLinked="1"/>
        <c:majorTickMark val="out"/>
        <c:minorTickMark val="none"/>
        <c:tickLblPos val="nextTo"/>
        <c:crossAx val="127386752"/>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Gas consumption</a:t>
            </a:r>
            <a:endParaRPr lang="en-US"/>
          </a:p>
        </c:rich>
      </c:tx>
      <c:overlay val="1"/>
    </c:title>
    <c:autoTitleDeleted val="0"/>
    <c:plotArea>
      <c:layout/>
      <c:areaChart>
        <c:grouping val="stacked"/>
        <c:varyColors val="0"/>
        <c:ser>
          <c:idx val="0"/>
          <c:order val="0"/>
          <c:tx>
            <c:v>Denmark</c:v>
          </c:tx>
          <c:cat>
            <c:numRef>
              <c:f>'Gas data'!$E$13:$AB$13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data'!$E$14:$AB$14</c:f>
              <c:numCache>
                <c:formatCode>#,##0</c:formatCode>
                <c:ptCount val="24"/>
                <c:pt idx="0">
                  <c:v>2648.9999999999991</c:v>
                </c:pt>
                <c:pt idx="1">
                  <c:v>2544.9705599688277</c:v>
                </c:pt>
                <c:pt idx="2">
                  <c:v>2388.4297582361642</c:v>
                </c:pt>
                <c:pt idx="3">
                  <c:v>2308.8121115128538</c:v>
                </c:pt>
                <c:pt idx="4">
                  <c:v>2299.6372330172321</c:v>
                </c:pt>
                <c:pt idx="5">
                  <c:v>2292.6549680503567</c:v>
                </c:pt>
                <c:pt idx="6">
                  <c:v>2280.5136304677735</c:v>
                </c:pt>
                <c:pt idx="7">
                  <c:v>2301.7828602787858</c:v>
                </c:pt>
                <c:pt idx="8">
                  <c:v>2297.5791122806627</c:v>
                </c:pt>
                <c:pt idx="9">
                  <c:v>2294.8744203861834</c:v>
                </c:pt>
                <c:pt idx="10">
                  <c:v>2269.4040907017948</c:v>
                </c:pt>
                <c:pt idx="11">
                  <c:v>2212.8239895934275</c:v>
                </c:pt>
                <c:pt idx="12">
                  <c:v>2133.9535172704786</c:v>
                </c:pt>
                <c:pt idx="13">
                  <c:v>2054.2380122291206</c:v>
                </c:pt>
                <c:pt idx="14">
                  <c:v>1957.1828345144202</c:v>
                </c:pt>
                <c:pt idx="15">
                  <c:v>1874.5034303167085</c:v>
                </c:pt>
                <c:pt idx="16">
                  <c:v>1796.5204658397904</c:v>
                </c:pt>
                <c:pt idx="17">
                  <c:v>1724.2153826645103</c:v>
                </c:pt>
                <c:pt idx="18">
                  <c:v>1652.6715651024472</c:v>
                </c:pt>
                <c:pt idx="19">
                  <c:v>1626.8354261544691</c:v>
                </c:pt>
                <c:pt idx="20">
                  <c:v>1589.1722674710547</c:v>
                </c:pt>
                <c:pt idx="21">
                  <c:v>1558.3546496433071</c:v>
                </c:pt>
                <c:pt idx="22">
                  <c:v>1529.8168305293707</c:v>
                </c:pt>
                <c:pt idx="23">
                  <c:v>1509.5428032749137</c:v>
                </c:pt>
              </c:numCache>
            </c:numRef>
          </c:val>
          <c:extLst>
            <c:ext xmlns:c16="http://schemas.microsoft.com/office/drawing/2014/chart" uri="{C3380CC4-5D6E-409C-BE32-E72D297353CC}">
              <c16:uniqueId val="{00000000-AF92-0444-AFA4-D96D33BCA469}"/>
            </c:ext>
          </c:extLst>
        </c:ser>
        <c:ser>
          <c:idx val="1"/>
          <c:order val="1"/>
          <c:tx>
            <c:v>Sweden</c:v>
          </c:tx>
          <c:cat>
            <c:numRef>
              <c:f>'Gas data'!$E$13:$AB$13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data'!$E$15:$AB$15</c:f>
              <c:numCache>
                <c:formatCode>#,##0</c:formatCode>
                <c:ptCount val="24"/>
                <c:pt idx="0">
                  <c:v>900</c:v>
                </c:pt>
                <c:pt idx="1">
                  <c:v>900</c:v>
                </c:pt>
                <c:pt idx="2">
                  <c:v>900</c:v>
                </c:pt>
                <c:pt idx="3">
                  <c:v>900</c:v>
                </c:pt>
                <c:pt idx="4">
                  <c:v>900</c:v>
                </c:pt>
                <c:pt idx="5">
                  <c:v>900</c:v>
                </c:pt>
                <c:pt idx="6">
                  <c:v>900</c:v>
                </c:pt>
                <c:pt idx="7">
                  <c:v>900</c:v>
                </c:pt>
                <c:pt idx="8">
                  <c:v>900</c:v>
                </c:pt>
                <c:pt idx="9">
                  <c:v>864</c:v>
                </c:pt>
                <c:pt idx="10">
                  <c:v>828</c:v>
                </c:pt>
                <c:pt idx="11">
                  <c:v>791.99999999999989</c:v>
                </c:pt>
                <c:pt idx="12">
                  <c:v>755.99999999999989</c:v>
                </c:pt>
                <c:pt idx="13">
                  <c:v>719.99999999999989</c:v>
                </c:pt>
                <c:pt idx="14">
                  <c:v>683.99999999999989</c:v>
                </c:pt>
                <c:pt idx="15">
                  <c:v>647.99999999999977</c:v>
                </c:pt>
                <c:pt idx="16">
                  <c:v>611.99999999999977</c:v>
                </c:pt>
                <c:pt idx="17">
                  <c:v>575.99999999999977</c:v>
                </c:pt>
                <c:pt idx="18">
                  <c:v>539.99999999999966</c:v>
                </c:pt>
                <c:pt idx="19">
                  <c:v>503.99999999999966</c:v>
                </c:pt>
                <c:pt idx="20">
                  <c:v>467.99999999999966</c:v>
                </c:pt>
                <c:pt idx="21">
                  <c:v>431.9999999999996</c:v>
                </c:pt>
                <c:pt idx="22">
                  <c:v>395.9999999999996</c:v>
                </c:pt>
                <c:pt idx="23">
                  <c:v>359.99999999999955</c:v>
                </c:pt>
              </c:numCache>
            </c:numRef>
          </c:val>
          <c:extLst>
            <c:ext xmlns:c16="http://schemas.microsoft.com/office/drawing/2014/chart" uri="{C3380CC4-5D6E-409C-BE32-E72D297353CC}">
              <c16:uniqueId val="{00000001-AF92-0444-AFA4-D96D33BCA469}"/>
            </c:ext>
          </c:extLst>
        </c:ser>
        <c:dLbls>
          <c:showLegendKey val="0"/>
          <c:showVal val="0"/>
          <c:showCatName val="0"/>
          <c:showSerName val="0"/>
          <c:showPercent val="0"/>
          <c:showBubbleSize val="0"/>
        </c:dLbls>
        <c:axId val="127413632"/>
        <c:axId val="126928000"/>
      </c:areaChart>
      <c:lineChart>
        <c:grouping val="standard"/>
        <c:varyColors val="0"/>
        <c:ser>
          <c:idx val="2"/>
          <c:order val="2"/>
          <c:tx>
            <c:v>Consumption, AF2016</c:v>
          </c:tx>
          <c:spPr>
            <a:ln>
              <a:prstDash val="sysDash"/>
            </a:ln>
          </c:spPr>
          <c:marker>
            <c:symbol val="none"/>
          </c:marker>
          <c:cat>
            <c:numRef>
              <c:f>'Gas data'!$E$13:$AB$13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data'!$E$75:$AB$75</c:f>
              <c:numCache>
                <c:formatCode>#,##0</c:formatCode>
                <c:ptCount val="24"/>
                <c:pt idx="0">
                  <c:v>3517.3066981219913</c:v>
                </c:pt>
                <c:pt idx="1">
                  <c:v>3534.0668385440395</c:v>
                </c:pt>
                <c:pt idx="2">
                  <c:v>3460.6535659302572</c:v>
                </c:pt>
                <c:pt idx="3">
                  <c:v>3352.7504145023599</c:v>
                </c:pt>
                <c:pt idx="4">
                  <c:v>3335.1402030024765</c:v>
                </c:pt>
                <c:pt idx="5">
                  <c:v>3329.4853331367804</c:v>
                </c:pt>
                <c:pt idx="6">
                  <c:v>3321.2105030359135</c:v>
                </c:pt>
                <c:pt idx="7">
                  <c:v>3314.5102065734523</c:v>
                </c:pt>
                <c:pt idx="8">
                  <c:v>3306.1349714301218</c:v>
                </c:pt>
                <c:pt idx="9">
                  <c:v>3191.0859725446935</c:v>
                </c:pt>
                <c:pt idx="10">
                  <c:v>3076.6935396485901</c:v>
                </c:pt>
                <c:pt idx="11">
                  <c:v>2962.9576727418116</c:v>
                </c:pt>
                <c:pt idx="12">
                  <c:v>2849.8783718243581</c:v>
                </c:pt>
                <c:pt idx="13">
                  <c:v>2737.4556368962294</c:v>
                </c:pt>
                <c:pt idx="14">
                  <c:v>2644.9889346240911</c:v>
                </c:pt>
                <c:pt idx="15">
                  <c:v>2553.1787983412787</c:v>
                </c:pt>
                <c:pt idx="16">
                  <c:v>2462.0252280477907</c:v>
                </c:pt>
                <c:pt idx="17">
                  <c:v>2371.5282237436277</c:v>
                </c:pt>
                <c:pt idx="18">
                  <c:v>2281.6877854287895</c:v>
                </c:pt>
                <c:pt idx="19">
                  <c:v>2219.1652086903532</c:v>
                </c:pt>
                <c:pt idx="20">
                  <c:v>2156.9946818148137</c:v>
                </c:pt>
                <c:pt idx="21">
                  <c:v>2095.1762048021719</c:v>
                </c:pt>
                <c:pt idx="22">
                  <c:v>2033.7097776524274</c:v>
                </c:pt>
                <c:pt idx="23">
                  <c:v>1972.5954003655795</c:v>
                </c:pt>
              </c:numCache>
            </c:numRef>
          </c:val>
          <c:smooth val="0"/>
          <c:extLst>
            <c:ext xmlns:c16="http://schemas.microsoft.com/office/drawing/2014/chart" uri="{C3380CC4-5D6E-409C-BE32-E72D297353CC}">
              <c16:uniqueId val="{00000002-AF92-0444-AFA4-D96D33BCA469}"/>
            </c:ext>
          </c:extLst>
        </c:ser>
        <c:dLbls>
          <c:showLegendKey val="0"/>
          <c:showVal val="0"/>
          <c:showCatName val="0"/>
          <c:showSerName val="0"/>
          <c:showPercent val="0"/>
          <c:showBubbleSize val="0"/>
        </c:dLbls>
        <c:marker val="1"/>
        <c:smooth val="0"/>
        <c:axId val="127413632"/>
        <c:axId val="126928000"/>
      </c:lineChart>
      <c:catAx>
        <c:axId val="127413632"/>
        <c:scaling>
          <c:orientation val="minMax"/>
        </c:scaling>
        <c:delete val="0"/>
        <c:axPos val="b"/>
        <c:numFmt formatCode="General" sourceLinked="1"/>
        <c:majorTickMark val="out"/>
        <c:minorTickMark val="none"/>
        <c:tickLblPos val="nextTo"/>
        <c:crossAx val="126928000"/>
        <c:crosses val="autoZero"/>
        <c:auto val="1"/>
        <c:lblAlgn val="ctr"/>
        <c:lblOffset val="100"/>
        <c:tickLblSkip val="1"/>
        <c:noMultiLvlLbl val="0"/>
      </c:catAx>
      <c:valAx>
        <c:axId val="126928000"/>
        <c:scaling>
          <c:orientation val="minMax"/>
        </c:scaling>
        <c:delete val="0"/>
        <c:axPos val="l"/>
        <c:majorGridlines/>
        <c:title>
          <c:tx>
            <c:rich>
              <a:bodyPr rot="-5400000" vert="horz"/>
              <a:lstStyle/>
              <a:p>
                <a:pPr>
                  <a:defRPr/>
                </a:pPr>
                <a:r>
                  <a:rPr lang="en-US"/>
                  <a:t>Mio. Nm3</a:t>
                </a:r>
              </a:p>
            </c:rich>
          </c:tx>
          <c:overlay val="0"/>
        </c:title>
        <c:numFmt formatCode="#,##0" sourceLinked="1"/>
        <c:majorTickMark val="out"/>
        <c:minorTickMark val="none"/>
        <c:tickLblPos val="nextTo"/>
        <c:crossAx val="127413632"/>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Gas production </a:t>
            </a:r>
            <a:endParaRPr lang="en-US"/>
          </a:p>
        </c:rich>
      </c:tx>
      <c:overlay val="1"/>
    </c:title>
    <c:autoTitleDeleted val="0"/>
    <c:plotArea>
      <c:layout>
        <c:manualLayout>
          <c:layoutTarget val="inner"/>
          <c:xMode val="edge"/>
          <c:yMode val="edge"/>
          <c:x val="0.16607195975503061"/>
          <c:y val="5.1400554097404488E-2"/>
          <c:w val="0.8033724846894138"/>
          <c:h val="0.62008894721493146"/>
        </c:manualLayout>
      </c:layout>
      <c:areaChart>
        <c:grouping val="stacked"/>
        <c:varyColors val="0"/>
        <c:ser>
          <c:idx val="0"/>
          <c:order val="0"/>
          <c:tx>
            <c:strRef>
              <c:f>'Gas data'!$B$46</c:f>
              <c:strCache>
                <c:ptCount val="1"/>
                <c:pt idx="0">
                  <c:v>Delivered from the North Sea (Nybro)</c:v>
                </c:pt>
              </c:strCache>
            </c:strRef>
          </c:tx>
          <c:cat>
            <c:numRef>
              <c:f>'Gas data'!$E$13:$AB$13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data'!$E$46:$AB$46</c:f>
              <c:numCache>
                <c:formatCode>#,##0</c:formatCode>
                <c:ptCount val="24"/>
                <c:pt idx="0">
                  <c:v>3074.1808752845932</c:v>
                </c:pt>
                <c:pt idx="1">
                  <c:v>3013.4712442273958</c:v>
                </c:pt>
                <c:pt idx="2">
                  <c:v>2312.1350410606206</c:v>
                </c:pt>
                <c:pt idx="3">
                  <c:v>182.5</c:v>
                </c:pt>
                <c:pt idx="4">
                  <c:v>182.5</c:v>
                </c:pt>
                <c:pt idx="5">
                  <c:v>182.5</c:v>
                </c:pt>
                <c:pt idx="6">
                  <c:v>2206.5260261166477</c:v>
                </c:pt>
                <c:pt idx="7">
                  <c:v>2524.384654185355</c:v>
                </c:pt>
                <c:pt idx="8">
                  <c:v>2716.6413699122513</c:v>
                </c:pt>
                <c:pt idx="9">
                  <c:v>2675.1609556601534</c:v>
                </c:pt>
                <c:pt idx="10">
                  <c:v>2610.4075402026401</c:v>
                </c:pt>
                <c:pt idx="11">
                  <c:v>2343.3982573195303</c:v>
                </c:pt>
                <c:pt idx="12">
                  <c:v>1978.2201226157777</c:v>
                </c:pt>
                <c:pt idx="13">
                  <c:v>1650.1655110284814</c:v>
                </c:pt>
                <c:pt idx="14">
                  <c:v>1270.9065964625779</c:v>
                </c:pt>
                <c:pt idx="15">
                  <c:v>926.02345541366321</c:v>
                </c:pt>
                <c:pt idx="16">
                  <c:v>454.836754085542</c:v>
                </c:pt>
                <c:pt idx="17">
                  <c:v>241.32793405905886</c:v>
                </c:pt>
                <c:pt idx="18">
                  <c:v>75.580379645792618</c:v>
                </c:pt>
                <c:pt idx="19">
                  <c:v>13.065890444081106</c:v>
                </c:pt>
                <c:pt idx="20">
                  <c:v>2.0782637505449202</c:v>
                </c:pt>
                <c:pt idx="21">
                  <c:v>1.61006421071761E-2</c:v>
                </c:pt>
                <c:pt idx="22">
                  <c:v>0.2337362474809197</c:v>
                </c:pt>
                <c:pt idx="23">
                  <c:v>-0.28483628766593938</c:v>
                </c:pt>
              </c:numCache>
            </c:numRef>
          </c:val>
          <c:extLst>
            <c:ext xmlns:c16="http://schemas.microsoft.com/office/drawing/2014/chart" uri="{C3380CC4-5D6E-409C-BE32-E72D297353CC}">
              <c16:uniqueId val="{00000000-1E51-784D-8F6B-0EEF0A51D249}"/>
            </c:ext>
          </c:extLst>
        </c:ser>
        <c:ser>
          <c:idx val="1"/>
          <c:order val="1"/>
          <c:tx>
            <c:strRef>
              <c:f>'Gas data'!$B$47</c:f>
              <c:strCache>
                <c:ptCount val="1"/>
                <c:pt idx="0">
                  <c:v>RE gas</c:v>
                </c:pt>
              </c:strCache>
            </c:strRef>
          </c:tx>
          <c:cat>
            <c:numRef>
              <c:f>'Gas data'!$E$13:$AB$13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data'!$E$47:$AB$47</c:f>
              <c:numCache>
                <c:formatCode>#,##0</c:formatCode>
                <c:ptCount val="24"/>
                <c:pt idx="0">
                  <c:v>154.81912471540602</c:v>
                </c:pt>
                <c:pt idx="1">
                  <c:v>197.67365631536418</c:v>
                </c:pt>
                <c:pt idx="2">
                  <c:v>216.94834218501938</c:v>
                </c:pt>
                <c:pt idx="3">
                  <c:v>219.29284528130316</c:v>
                </c:pt>
                <c:pt idx="4">
                  <c:v>225.76309788862162</c:v>
                </c:pt>
                <c:pt idx="5">
                  <c:v>233.99949405514795</c:v>
                </c:pt>
                <c:pt idx="6">
                  <c:v>232.9876043511257</c:v>
                </c:pt>
                <c:pt idx="7">
                  <c:v>236.39820609343093</c:v>
                </c:pt>
                <c:pt idx="8">
                  <c:v>239.93774236841122</c:v>
                </c:pt>
                <c:pt idx="9">
                  <c:v>242.7134647260302</c:v>
                </c:pt>
                <c:pt idx="10">
                  <c:v>245.99655049915484</c:v>
                </c:pt>
                <c:pt idx="11">
                  <c:v>249.42573227389698</c:v>
                </c:pt>
                <c:pt idx="12">
                  <c:v>252.73339465470119</c:v>
                </c:pt>
                <c:pt idx="13">
                  <c:v>259.07250120063918</c:v>
                </c:pt>
                <c:pt idx="14">
                  <c:v>262.2762380518422</c:v>
                </c:pt>
                <c:pt idx="15">
                  <c:v>265.47997490304516</c:v>
                </c:pt>
                <c:pt idx="16">
                  <c:v>268.68371175424818</c:v>
                </c:pt>
                <c:pt idx="17">
                  <c:v>271.88744860545108</c:v>
                </c:pt>
                <c:pt idx="18">
                  <c:v>275.09118545665427</c:v>
                </c:pt>
                <c:pt idx="19">
                  <c:v>300.84945843981978</c:v>
                </c:pt>
                <c:pt idx="20">
                  <c:v>327.09400372050965</c:v>
                </c:pt>
                <c:pt idx="21">
                  <c:v>353.33854900119945</c:v>
                </c:pt>
                <c:pt idx="22">
                  <c:v>379.58309428188943</c:v>
                </c:pt>
                <c:pt idx="23">
                  <c:v>405.82763956257918</c:v>
                </c:pt>
              </c:numCache>
            </c:numRef>
          </c:val>
          <c:extLst>
            <c:ext xmlns:c16="http://schemas.microsoft.com/office/drawing/2014/chart" uri="{C3380CC4-5D6E-409C-BE32-E72D297353CC}">
              <c16:uniqueId val="{00000001-1E51-784D-8F6B-0EEF0A51D249}"/>
            </c:ext>
          </c:extLst>
        </c:ser>
        <c:dLbls>
          <c:showLegendKey val="0"/>
          <c:showVal val="0"/>
          <c:showCatName val="0"/>
          <c:showSerName val="0"/>
          <c:showPercent val="0"/>
          <c:showBubbleSize val="0"/>
        </c:dLbls>
        <c:axId val="127045632"/>
        <c:axId val="127047168"/>
      </c:areaChart>
      <c:lineChart>
        <c:grouping val="standard"/>
        <c:varyColors val="0"/>
        <c:ser>
          <c:idx val="2"/>
          <c:order val="2"/>
          <c:tx>
            <c:v>Production, AF2016</c:v>
          </c:tx>
          <c:spPr>
            <a:ln>
              <a:prstDash val="sysDash"/>
            </a:ln>
          </c:spPr>
          <c:marker>
            <c:symbol val="none"/>
          </c:marker>
          <c:cat>
            <c:numRef>
              <c:f>'Gas data'!$E$13:$AB$13</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data'!$E$76:$AB$76</c:f>
              <c:numCache>
                <c:formatCode>#,##0</c:formatCode>
                <c:ptCount val="24"/>
                <c:pt idx="0">
                  <c:v>3519.6464852368299</c:v>
                </c:pt>
                <c:pt idx="1">
                  <c:v>3300.241179117972</c:v>
                </c:pt>
                <c:pt idx="2">
                  <c:v>3514.2071909397337</c:v>
                </c:pt>
                <c:pt idx="3">
                  <c:v>3327.0930731114777</c:v>
                </c:pt>
                <c:pt idx="4">
                  <c:v>3113.8845798601915</c:v>
                </c:pt>
                <c:pt idx="5">
                  <c:v>2985.1014223518132</c:v>
                </c:pt>
                <c:pt idx="6">
                  <c:v>2679.9457161039199</c:v>
                </c:pt>
                <c:pt idx="7">
                  <c:v>2392.0494650485684</c:v>
                </c:pt>
                <c:pt idx="8">
                  <c:v>2408.4305689952266</c:v>
                </c:pt>
                <c:pt idx="9">
                  <c:v>2148.5250362738552</c:v>
                </c:pt>
                <c:pt idx="10">
                  <c:v>2035.7652300015861</c:v>
                </c:pt>
                <c:pt idx="11">
                  <c:v>1851.3928423091402</c:v>
                </c:pt>
                <c:pt idx="12">
                  <c:v>1591.2959689360137</c:v>
                </c:pt>
                <c:pt idx="13">
                  <c:v>1372.3555631890758</c:v>
                </c:pt>
                <c:pt idx="14">
                  <c:v>1136.5833282746951</c:v>
                </c:pt>
                <c:pt idx="15">
                  <c:v>922.20252864963413</c:v>
                </c:pt>
                <c:pt idx="16">
                  <c:v>577.36488245949636</c:v>
                </c:pt>
                <c:pt idx="17">
                  <c:v>484.92935935627793</c:v>
                </c:pt>
                <c:pt idx="18">
                  <c:v>439.76770815822147</c:v>
                </c:pt>
                <c:pt idx="19">
                  <c:v>437.16959182451637</c:v>
                </c:pt>
                <c:pt idx="20">
                  <c:v>437.43579429397505</c:v>
                </c:pt>
                <c:pt idx="21">
                  <c:v>441.96797446342339</c:v>
                </c:pt>
                <c:pt idx="22">
                  <c:v>447.87195055190432</c:v>
                </c:pt>
                <c:pt idx="23">
                  <c:v>417.71301860601147</c:v>
                </c:pt>
              </c:numCache>
            </c:numRef>
          </c:val>
          <c:smooth val="0"/>
          <c:extLst>
            <c:ext xmlns:c16="http://schemas.microsoft.com/office/drawing/2014/chart" uri="{C3380CC4-5D6E-409C-BE32-E72D297353CC}">
              <c16:uniqueId val="{00000002-1E51-784D-8F6B-0EEF0A51D249}"/>
            </c:ext>
          </c:extLst>
        </c:ser>
        <c:dLbls>
          <c:showLegendKey val="0"/>
          <c:showVal val="0"/>
          <c:showCatName val="0"/>
          <c:showSerName val="0"/>
          <c:showPercent val="0"/>
          <c:showBubbleSize val="0"/>
        </c:dLbls>
        <c:marker val="1"/>
        <c:smooth val="0"/>
        <c:axId val="127045632"/>
        <c:axId val="127047168"/>
      </c:lineChart>
      <c:catAx>
        <c:axId val="127045632"/>
        <c:scaling>
          <c:orientation val="minMax"/>
        </c:scaling>
        <c:delete val="0"/>
        <c:axPos val="b"/>
        <c:numFmt formatCode="General" sourceLinked="1"/>
        <c:majorTickMark val="out"/>
        <c:minorTickMark val="none"/>
        <c:tickLblPos val="nextTo"/>
        <c:crossAx val="127047168"/>
        <c:crosses val="autoZero"/>
        <c:auto val="1"/>
        <c:lblAlgn val="ctr"/>
        <c:lblOffset val="100"/>
        <c:tickLblSkip val="1"/>
        <c:noMultiLvlLbl val="0"/>
      </c:catAx>
      <c:valAx>
        <c:axId val="127047168"/>
        <c:scaling>
          <c:orientation val="minMax"/>
          <c:min val="0"/>
        </c:scaling>
        <c:delete val="0"/>
        <c:axPos val="l"/>
        <c:majorGridlines/>
        <c:title>
          <c:tx>
            <c:rich>
              <a:bodyPr rot="-5400000" vert="horz"/>
              <a:lstStyle/>
              <a:p>
                <a:pPr>
                  <a:defRPr/>
                </a:pPr>
                <a:r>
                  <a:rPr lang="en-US"/>
                  <a:t>Mio. Nm3</a:t>
                </a:r>
              </a:p>
            </c:rich>
          </c:tx>
          <c:overlay val="0"/>
        </c:title>
        <c:numFmt formatCode="#,##0" sourceLinked="1"/>
        <c:majorTickMark val="out"/>
        <c:minorTickMark val="none"/>
        <c:tickLblPos val="nextTo"/>
        <c:crossAx val="127045632"/>
        <c:crosses val="autoZero"/>
        <c:crossBetween val="midCat"/>
      </c:valAx>
    </c:plotArea>
    <c:legend>
      <c:legendPos val="b"/>
      <c:layout>
        <c:manualLayout>
          <c:xMode val="edge"/>
          <c:yMode val="edge"/>
          <c:x val="0"/>
          <c:y val="0.84800160396617086"/>
          <c:w val="1"/>
          <c:h val="0.12422061825605131"/>
        </c:manualLayout>
      </c:layout>
      <c:overlay val="0"/>
    </c:legend>
    <c:plotVisOnly val="1"/>
    <c:dispBlanksAs val="zero"/>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Net import</c:v>
          </c:tx>
          <c:marker>
            <c:symbol val="none"/>
          </c:marker>
          <c:cat>
            <c:numRef>
              <c:f>'Gas data'!$E$68:$AB$68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data'!$E$69:$AB$69</c:f>
              <c:numCache>
                <c:formatCode>#,##0</c:formatCode>
                <c:ptCount val="24"/>
                <c:pt idx="0">
                  <c:v>320</c:v>
                </c:pt>
                <c:pt idx="1">
                  <c:v>233.82565942606789</c:v>
                </c:pt>
                <c:pt idx="2">
                  <c:v>759.34637499052394</c:v>
                </c:pt>
                <c:pt idx="3">
                  <c:v>2807.0192662315508</c:v>
                </c:pt>
                <c:pt idx="4">
                  <c:v>2791.3741351286103</c:v>
                </c:pt>
                <c:pt idx="5">
                  <c:v>2776.1554739952089</c:v>
                </c:pt>
                <c:pt idx="6">
                  <c:v>741</c:v>
                </c:pt>
                <c:pt idx="7">
                  <c:v>441</c:v>
                </c:pt>
                <c:pt idx="8">
                  <c:v>241</c:v>
                </c:pt>
                <c:pt idx="9">
                  <c:v>241</c:v>
                </c:pt>
                <c:pt idx="10">
                  <c:v>241</c:v>
                </c:pt>
                <c:pt idx="11">
                  <c:v>412</c:v>
                </c:pt>
                <c:pt idx="12">
                  <c:v>659</c:v>
                </c:pt>
                <c:pt idx="13">
                  <c:v>865</c:v>
                </c:pt>
                <c:pt idx="14">
                  <c:v>1108</c:v>
                </c:pt>
                <c:pt idx="15">
                  <c:v>1331</c:v>
                </c:pt>
                <c:pt idx="16">
                  <c:v>1685</c:v>
                </c:pt>
                <c:pt idx="17">
                  <c:v>1787</c:v>
                </c:pt>
                <c:pt idx="18">
                  <c:v>1842</c:v>
                </c:pt>
                <c:pt idx="19">
                  <c:v>1816.9200772705681</c:v>
                </c:pt>
                <c:pt idx="20">
                  <c:v>1728</c:v>
                </c:pt>
                <c:pt idx="21">
                  <c:v>1637</c:v>
                </c:pt>
                <c:pt idx="22">
                  <c:v>1546</c:v>
                </c:pt>
                <c:pt idx="23">
                  <c:v>1464</c:v>
                </c:pt>
              </c:numCache>
            </c:numRef>
          </c:val>
          <c:smooth val="0"/>
          <c:extLst>
            <c:ext xmlns:c16="http://schemas.microsoft.com/office/drawing/2014/chart" uri="{C3380CC4-5D6E-409C-BE32-E72D297353CC}">
              <c16:uniqueId val="{00000000-EDEC-4A41-AEC8-28AFAD8E550F}"/>
            </c:ext>
          </c:extLst>
        </c:ser>
        <c:ser>
          <c:idx val="0"/>
          <c:order val="1"/>
          <c:tx>
            <c:v>Net import, AF2016</c:v>
          </c:tx>
          <c:spPr>
            <a:ln>
              <a:solidFill>
                <a:schemeClr val="accent3"/>
              </a:solidFill>
              <a:prstDash val="sysDash"/>
            </a:ln>
          </c:spPr>
          <c:marker>
            <c:symbol val="none"/>
          </c:marker>
          <c:cat>
            <c:numRef>
              <c:f>'Gas data'!$E$68:$AB$68</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'Gas data'!$E$79:$AB$79</c:f>
              <c:numCache>
                <c:formatCode>#,##0</c:formatCode>
                <c:ptCount val="24"/>
                <c:pt idx="0">
                  <c:v>-2.3397871148382592</c:v>
                </c:pt>
                <c:pt idx="1">
                  <c:v>233.82565942606789</c:v>
                </c:pt>
                <c:pt idx="2">
                  <c:v>-53.55362500947615</c:v>
                </c:pt>
                <c:pt idx="3">
                  <c:v>25.657341390882493</c:v>
                </c:pt>
                <c:pt idx="4">
                  <c:v>221.25562314228466</c:v>
                </c:pt>
                <c:pt idx="5">
                  <c:v>344.38391078496755</c:v>
                </c:pt>
                <c:pt idx="6">
                  <c:v>641.26478693199385</c:v>
                </c:pt>
                <c:pt idx="7">
                  <c:v>922.46074152488382</c:v>
                </c:pt>
                <c:pt idx="8">
                  <c:v>897.7044024348952</c:v>
                </c:pt>
                <c:pt idx="9">
                  <c:v>1042.5609362708383</c:v>
                </c:pt>
                <c:pt idx="10">
                  <c:v>1040.928309647004</c:v>
                </c:pt>
                <c:pt idx="11">
                  <c:v>1111.5648304326714</c:v>
                </c:pt>
                <c:pt idx="12">
                  <c:v>1258.5824028883444</c:v>
                </c:pt>
                <c:pt idx="13">
                  <c:v>1365.1000737071536</c:v>
                </c:pt>
                <c:pt idx="14">
                  <c:v>1508.4056063493965</c:v>
                </c:pt>
                <c:pt idx="15">
                  <c:v>1630.9762696916446</c:v>
                </c:pt>
                <c:pt idx="16">
                  <c:v>1884.6603455882944</c:v>
                </c:pt>
                <c:pt idx="17">
                  <c:v>1886.5988643873497</c:v>
                </c:pt>
                <c:pt idx="18">
                  <c:v>1841.9200772705681</c:v>
                </c:pt>
                <c:pt idx="19">
                  <c:v>1781.9956168658368</c:v>
                </c:pt>
                <c:pt idx="20">
                  <c:v>1719.5588875208382</c:v>
                </c:pt>
                <c:pt idx="21">
                  <c:v>1653.2082303387485</c:v>
                </c:pt>
                <c:pt idx="22">
                  <c:v>1585.8378271005231</c:v>
                </c:pt>
                <c:pt idx="23">
                  <c:v>1554.882381759568</c:v>
                </c:pt>
              </c:numCache>
            </c:numRef>
          </c:val>
          <c:smooth val="0"/>
          <c:extLst>
            <c:ext xmlns:c16="http://schemas.microsoft.com/office/drawing/2014/chart" uri="{C3380CC4-5D6E-409C-BE32-E72D297353CC}">
              <c16:uniqueId val="{00000001-EDEC-4A41-AEC8-28AFAD8E550F}"/>
            </c:ext>
          </c:extLst>
        </c:ser>
        <c:dLbls>
          <c:showLegendKey val="0"/>
          <c:showVal val="0"/>
          <c:showCatName val="0"/>
          <c:showSerName val="0"/>
          <c:showPercent val="0"/>
          <c:showBubbleSize val="0"/>
        </c:dLbls>
        <c:smooth val="0"/>
        <c:axId val="127059840"/>
        <c:axId val="127061376"/>
      </c:lineChart>
      <c:catAx>
        <c:axId val="127059840"/>
        <c:scaling>
          <c:orientation val="minMax"/>
        </c:scaling>
        <c:delete val="0"/>
        <c:axPos val="b"/>
        <c:numFmt formatCode="General" sourceLinked="1"/>
        <c:majorTickMark val="out"/>
        <c:minorTickMark val="none"/>
        <c:tickLblPos val="nextTo"/>
        <c:crossAx val="127061376"/>
        <c:crosses val="autoZero"/>
        <c:auto val="1"/>
        <c:lblAlgn val="ctr"/>
        <c:lblOffset val="100"/>
        <c:tickLblSkip val="1"/>
        <c:noMultiLvlLbl val="0"/>
      </c:catAx>
      <c:valAx>
        <c:axId val="127061376"/>
        <c:scaling>
          <c:orientation val="minMax"/>
        </c:scaling>
        <c:delete val="0"/>
        <c:axPos val="l"/>
        <c:majorGridlines/>
        <c:title>
          <c:tx>
            <c:rich>
              <a:bodyPr rot="-5400000" vert="horz"/>
              <a:lstStyle/>
              <a:p>
                <a:pPr>
                  <a:defRPr/>
                </a:pPr>
                <a:r>
                  <a:rPr lang="en-US"/>
                  <a:t>Mio. Nm3</a:t>
                </a:r>
              </a:p>
            </c:rich>
          </c:tx>
          <c:overlay val="0"/>
        </c:title>
        <c:numFmt formatCode="#,##0" sourceLinked="1"/>
        <c:majorTickMark val="out"/>
        <c:minorTickMark val="none"/>
        <c:tickLblPos val="nextTo"/>
        <c:crossAx val="12705984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da-DK" sz="1400"/>
              <a:t>District heating</a:t>
            </a:r>
            <a:r>
              <a:rPr lang="da-DK" sz="1400" baseline="0"/>
              <a:t> consumption in Denmark</a:t>
            </a:r>
            <a:endParaRPr lang="da-DK" sz="1400"/>
          </a:p>
        </c:rich>
      </c:tx>
      <c:overlay val="0"/>
    </c:title>
    <c:autoTitleDeleted val="0"/>
    <c:plotArea>
      <c:layout/>
      <c:areaChart>
        <c:grouping val="stacked"/>
        <c:varyColors val="0"/>
        <c:ser>
          <c:idx val="0"/>
          <c:order val="0"/>
          <c:tx>
            <c:strRef>
              <c:f>'District heating'!$B$8</c:f>
              <c:strCache>
                <c:ptCount val="1"/>
                <c:pt idx="0">
                  <c:v>Households</c:v>
                </c:pt>
              </c:strCache>
            </c:strRef>
          </c:tx>
          <c:cat>
            <c:numRef>
              <c:f>'District heating'!$D$6:$AA$6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'District heating'!$D$17:$AA$17</c:f>
              <c:numCache>
                <c:formatCode>###0;;;@</c:formatCode>
                <c:ptCount val="24"/>
                <c:pt idx="0">
                  <c:v>18961.111111111113</c:v>
                </c:pt>
                <c:pt idx="1">
                  <c:v>18938.888888888891</c:v>
                </c:pt>
                <c:pt idx="2">
                  <c:v>18916.666666666664</c:v>
                </c:pt>
                <c:pt idx="3">
                  <c:v>18894.444444444442</c:v>
                </c:pt>
                <c:pt idx="4">
                  <c:v>18711.111111111113</c:v>
                </c:pt>
                <c:pt idx="5">
                  <c:v>18525</c:v>
                </c:pt>
                <c:pt idx="6">
                  <c:v>18338.888888888887</c:v>
                </c:pt>
                <c:pt idx="7">
                  <c:v>18155.555555555555</c:v>
                </c:pt>
                <c:pt idx="8">
                  <c:v>17969.444444444445</c:v>
                </c:pt>
                <c:pt idx="9">
                  <c:v>17794.444444444445</c:v>
                </c:pt>
                <c:pt idx="10">
                  <c:v>17616.666666666668</c:v>
                </c:pt>
                <c:pt idx="11">
                  <c:v>17441.666666666668</c:v>
                </c:pt>
                <c:pt idx="12">
                  <c:v>17263.888888888891</c:v>
                </c:pt>
                <c:pt idx="13">
                  <c:v>17088.888888888887</c:v>
                </c:pt>
                <c:pt idx="14">
                  <c:v>17088.888888888887</c:v>
                </c:pt>
                <c:pt idx="15">
                  <c:v>17088.888888888887</c:v>
                </c:pt>
                <c:pt idx="16">
                  <c:v>17088.888888888887</c:v>
                </c:pt>
                <c:pt idx="17">
                  <c:v>17088.888888888887</c:v>
                </c:pt>
                <c:pt idx="18">
                  <c:v>17088.888888888887</c:v>
                </c:pt>
                <c:pt idx="19">
                  <c:v>17088.888888888887</c:v>
                </c:pt>
                <c:pt idx="20">
                  <c:v>17088.888888888887</c:v>
                </c:pt>
                <c:pt idx="21">
                  <c:v>17088.888888888887</c:v>
                </c:pt>
                <c:pt idx="22">
                  <c:v>17088.888888888887</c:v>
                </c:pt>
                <c:pt idx="23">
                  <c:v>17088.888888888887</c:v>
                </c:pt>
              </c:numCache>
            </c:numRef>
          </c:val>
          <c:extLst>
            <c:ext xmlns:c16="http://schemas.microsoft.com/office/drawing/2014/chart" uri="{C3380CC4-5D6E-409C-BE32-E72D297353CC}">
              <c16:uniqueId val="{00000000-A6F5-4B4C-BED0-7751BC405FFC}"/>
            </c:ext>
          </c:extLst>
        </c:ser>
        <c:ser>
          <c:idx val="1"/>
          <c:order val="1"/>
          <c:tx>
            <c:strRef>
              <c:f>'District heating'!$B$9</c:f>
              <c:strCache>
                <c:ptCount val="1"/>
                <c:pt idx="0">
                  <c:v>Businesses and industry</c:v>
                </c:pt>
              </c:strCache>
            </c:strRef>
          </c:tx>
          <c:cat>
            <c:numRef>
              <c:f>'District heating'!$D$6:$AA$6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'District heating'!$D$18:$AA$18</c:f>
              <c:numCache>
                <c:formatCode>###0;;;@</c:formatCode>
                <c:ptCount val="24"/>
                <c:pt idx="0">
                  <c:v>13155.555555555555</c:v>
                </c:pt>
                <c:pt idx="1">
                  <c:v>13013.888888888889</c:v>
                </c:pt>
                <c:pt idx="2">
                  <c:v>12894.444444444443</c:v>
                </c:pt>
                <c:pt idx="3">
                  <c:v>12791.666666666666</c:v>
                </c:pt>
                <c:pt idx="4">
                  <c:v>12983.33333333333</c:v>
                </c:pt>
                <c:pt idx="5">
                  <c:v>13172.222222222223</c:v>
                </c:pt>
                <c:pt idx="6">
                  <c:v>13344.444444444443</c:v>
                </c:pt>
                <c:pt idx="7">
                  <c:v>13494.444444444443</c:v>
                </c:pt>
                <c:pt idx="8">
                  <c:v>13624.999999999998</c:v>
                </c:pt>
                <c:pt idx="9">
                  <c:v>13736.111111111111</c:v>
                </c:pt>
                <c:pt idx="10">
                  <c:v>13833.333333333332</c:v>
                </c:pt>
                <c:pt idx="11">
                  <c:v>13913.888888888891</c:v>
                </c:pt>
                <c:pt idx="12">
                  <c:v>13983.333333333334</c:v>
                </c:pt>
                <c:pt idx="13">
                  <c:v>14072.222222222221</c:v>
                </c:pt>
                <c:pt idx="14">
                  <c:v>14072.222222222221</c:v>
                </c:pt>
                <c:pt idx="15">
                  <c:v>14072.222222222221</c:v>
                </c:pt>
                <c:pt idx="16">
                  <c:v>14072.222222222221</c:v>
                </c:pt>
                <c:pt idx="17">
                  <c:v>14072.222222222221</c:v>
                </c:pt>
                <c:pt idx="18">
                  <c:v>14072.222222222221</c:v>
                </c:pt>
                <c:pt idx="19">
                  <c:v>14072.222222222221</c:v>
                </c:pt>
                <c:pt idx="20">
                  <c:v>14072.222222222221</c:v>
                </c:pt>
                <c:pt idx="21">
                  <c:v>14072.222222222221</c:v>
                </c:pt>
                <c:pt idx="22">
                  <c:v>14072.222222222221</c:v>
                </c:pt>
                <c:pt idx="23">
                  <c:v>14072.222222222221</c:v>
                </c:pt>
              </c:numCache>
            </c:numRef>
          </c:val>
          <c:extLst>
            <c:ext xmlns:c16="http://schemas.microsoft.com/office/drawing/2014/chart" uri="{C3380CC4-5D6E-409C-BE32-E72D297353CC}">
              <c16:uniqueId val="{00000001-A6F5-4B4C-BED0-7751BC405FFC}"/>
            </c:ext>
          </c:extLst>
        </c:ser>
        <c:ser>
          <c:idx val="2"/>
          <c:order val="2"/>
          <c:tx>
            <c:strRef>
              <c:f>'District heating'!$B$10</c:f>
              <c:strCache>
                <c:ptCount val="1"/>
                <c:pt idx="0">
                  <c:v>Loss</c:v>
                </c:pt>
              </c:strCache>
            </c:strRef>
          </c:tx>
          <c:spPr>
            <a:solidFill>
              <a:schemeClr val="accent6"/>
            </a:solidFill>
          </c:spPr>
          <c:cat>
            <c:numRef>
              <c:f>'District heating'!$D$6:$AA$6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'District heating'!$D$19:$AA$19</c:f>
              <c:numCache>
                <c:formatCode>###0;;;@</c:formatCode>
                <c:ptCount val="24"/>
                <c:pt idx="0">
                  <c:v>7197.2222222222217</c:v>
                </c:pt>
                <c:pt idx="1">
                  <c:v>7155.5555555555557</c:v>
                </c:pt>
                <c:pt idx="2">
                  <c:v>7119.4444444444434</c:v>
                </c:pt>
                <c:pt idx="3">
                  <c:v>7088.8888888888887</c:v>
                </c:pt>
                <c:pt idx="4">
                  <c:v>7088.8888888888887</c:v>
                </c:pt>
                <c:pt idx="5">
                  <c:v>7091.666666666667</c:v>
                </c:pt>
                <c:pt idx="6">
                  <c:v>7088.8888888888887</c:v>
                </c:pt>
                <c:pt idx="7">
                  <c:v>7077.7777777777774</c:v>
                </c:pt>
                <c:pt idx="8">
                  <c:v>7066.6666666666661</c:v>
                </c:pt>
                <c:pt idx="9">
                  <c:v>7050</c:v>
                </c:pt>
                <c:pt idx="10">
                  <c:v>7027.7777777777774</c:v>
                </c:pt>
                <c:pt idx="11">
                  <c:v>7005.5555555555547</c:v>
                </c:pt>
                <c:pt idx="12">
                  <c:v>6977.7777777777783</c:v>
                </c:pt>
                <c:pt idx="13">
                  <c:v>6955.5555555555547</c:v>
                </c:pt>
                <c:pt idx="14">
                  <c:v>6955.5555555555547</c:v>
                </c:pt>
                <c:pt idx="15">
                  <c:v>6955.5555555555547</c:v>
                </c:pt>
                <c:pt idx="16">
                  <c:v>6955.5555555555547</c:v>
                </c:pt>
                <c:pt idx="17">
                  <c:v>6955.5555555555547</c:v>
                </c:pt>
                <c:pt idx="18">
                  <c:v>6955.5555555555547</c:v>
                </c:pt>
                <c:pt idx="19">
                  <c:v>6955.5555555555547</c:v>
                </c:pt>
                <c:pt idx="20">
                  <c:v>6955.5555555555547</c:v>
                </c:pt>
                <c:pt idx="21">
                  <c:v>6955.5555555555547</c:v>
                </c:pt>
                <c:pt idx="22">
                  <c:v>6955.5555555555547</c:v>
                </c:pt>
                <c:pt idx="23">
                  <c:v>6955.5555555555547</c:v>
                </c:pt>
              </c:numCache>
            </c:numRef>
          </c:val>
          <c:extLst>
            <c:ext xmlns:c16="http://schemas.microsoft.com/office/drawing/2014/chart" uri="{C3380CC4-5D6E-409C-BE32-E72D297353CC}">
              <c16:uniqueId val="{00000002-A6F5-4B4C-BED0-7751BC405FFC}"/>
            </c:ext>
          </c:extLst>
        </c:ser>
        <c:dLbls>
          <c:showLegendKey val="0"/>
          <c:showVal val="0"/>
          <c:showCatName val="0"/>
          <c:showSerName val="0"/>
          <c:showPercent val="0"/>
          <c:showBubbleSize val="0"/>
        </c:dLbls>
        <c:axId val="128275584"/>
        <c:axId val="128277120"/>
      </c:areaChart>
      <c:lineChart>
        <c:grouping val="standard"/>
        <c:varyColors val="0"/>
        <c:ser>
          <c:idx val="3"/>
          <c:order val="3"/>
          <c:tx>
            <c:v>District heating, AF2016</c:v>
          </c:tx>
          <c:spPr>
            <a:ln>
              <a:solidFill>
                <a:schemeClr val="accent3"/>
              </a:solidFill>
              <a:prstDash val="sysDash"/>
            </a:ln>
          </c:spPr>
          <c:marker>
            <c:symbol val="none"/>
          </c:marker>
          <c:cat>
            <c:numRef>
              <c:f>'District heating'!$D$6:$AA$6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'District heating'!$D$26:$AA$26</c:f>
              <c:numCache>
                <c:formatCode>#,##0</c:formatCode>
                <c:ptCount val="24"/>
                <c:pt idx="0">
                  <c:v>36845.444281475691</c:v>
                </c:pt>
                <c:pt idx="1">
                  <c:v>36611.904970126197</c:v>
                </c:pt>
                <c:pt idx="2">
                  <c:v>36402.764622870731</c:v>
                </c:pt>
                <c:pt idx="3">
                  <c:v>36172.275260160473</c:v>
                </c:pt>
                <c:pt idx="4">
                  <c:v>36310.140907891866</c:v>
                </c:pt>
                <c:pt idx="5">
                  <c:v>36389.610576267049</c:v>
                </c:pt>
                <c:pt idx="6">
                  <c:v>36444.559065439789</c:v>
                </c:pt>
                <c:pt idx="7">
                  <c:v>36489.203933572702</c:v>
                </c:pt>
                <c:pt idx="8">
                  <c:v>36503.741748341658</c:v>
                </c:pt>
                <c:pt idx="9">
                  <c:v>36503.741748341658</c:v>
                </c:pt>
                <c:pt idx="10">
                  <c:v>36503.741748341658</c:v>
                </c:pt>
                <c:pt idx="11">
                  <c:v>36503.741748341658</c:v>
                </c:pt>
                <c:pt idx="12">
                  <c:v>36503.741748341658</c:v>
                </c:pt>
                <c:pt idx="13">
                  <c:v>36503.741748341658</c:v>
                </c:pt>
                <c:pt idx="14">
                  <c:v>36503.741748341658</c:v>
                </c:pt>
                <c:pt idx="15">
                  <c:v>36503.741748341658</c:v>
                </c:pt>
                <c:pt idx="16">
                  <c:v>36503.741748341658</c:v>
                </c:pt>
                <c:pt idx="17">
                  <c:v>36503.741748341658</c:v>
                </c:pt>
                <c:pt idx="18">
                  <c:v>36503.741748341658</c:v>
                </c:pt>
                <c:pt idx="19">
                  <c:v>36503.741748341658</c:v>
                </c:pt>
                <c:pt idx="20">
                  <c:v>36503.741748341658</c:v>
                </c:pt>
                <c:pt idx="21">
                  <c:v>36503.741748341658</c:v>
                </c:pt>
                <c:pt idx="22">
                  <c:v>36503.741748341658</c:v>
                </c:pt>
                <c:pt idx="23">
                  <c:v>36503.741748341658</c:v>
                </c:pt>
              </c:numCache>
            </c:numRef>
          </c:val>
          <c:smooth val="0"/>
          <c:extLst>
            <c:ext xmlns:c16="http://schemas.microsoft.com/office/drawing/2014/chart" uri="{C3380CC4-5D6E-409C-BE32-E72D297353CC}">
              <c16:uniqueId val="{00000003-A6F5-4B4C-BED0-7751BC405FFC}"/>
            </c:ext>
          </c:extLst>
        </c:ser>
        <c:dLbls>
          <c:showLegendKey val="0"/>
          <c:showVal val="0"/>
          <c:showCatName val="0"/>
          <c:showSerName val="0"/>
          <c:showPercent val="0"/>
          <c:showBubbleSize val="0"/>
        </c:dLbls>
        <c:marker val="1"/>
        <c:smooth val="0"/>
        <c:axId val="128275584"/>
        <c:axId val="128277120"/>
      </c:lineChart>
      <c:catAx>
        <c:axId val="128275584"/>
        <c:scaling>
          <c:orientation val="minMax"/>
        </c:scaling>
        <c:delete val="0"/>
        <c:axPos val="b"/>
        <c:numFmt formatCode="General" sourceLinked="1"/>
        <c:majorTickMark val="out"/>
        <c:minorTickMark val="none"/>
        <c:tickLblPos val="nextTo"/>
        <c:crossAx val="128277120"/>
        <c:crosses val="autoZero"/>
        <c:auto val="1"/>
        <c:lblAlgn val="ctr"/>
        <c:lblOffset val="100"/>
        <c:tickLblSkip val="1"/>
        <c:noMultiLvlLbl val="0"/>
      </c:catAx>
      <c:valAx>
        <c:axId val="128277120"/>
        <c:scaling>
          <c:orientation val="minMax"/>
        </c:scaling>
        <c:delete val="0"/>
        <c:axPos val="l"/>
        <c:majorGridlines/>
        <c:title>
          <c:tx>
            <c:rich>
              <a:bodyPr rot="-5400000" vert="horz"/>
              <a:lstStyle/>
              <a:p>
                <a:pPr>
                  <a:defRPr/>
                </a:pPr>
                <a:r>
                  <a:rPr lang="en-US"/>
                  <a:t>GWh</a:t>
                </a:r>
              </a:p>
            </c:rich>
          </c:tx>
          <c:overlay val="0"/>
        </c:title>
        <c:numFmt formatCode="#,##0" sourceLinked="0"/>
        <c:majorTickMark val="out"/>
        <c:minorTickMark val="none"/>
        <c:tickLblPos val="nextTo"/>
        <c:crossAx val="128275584"/>
        <c:crosses val="autoZero"/>
        <c:crossBetween val="midCat"/>
      </c:valAx>
    </c:plotArea>
    <c:legend>
      <c:legendPos val="b"/>
      <c:overlay val="0"/>
    </c:legend>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CO2</a:t>
            </a:r>
            <a:r>
              <a:rPr lang="da-DK" sz="1200" baseline="0"/>
              <a:t> emission allowance prices</a:t>
            </a:r>
            <a:endParaRPr lang="da-DK" sz="1200"/>
          </a:p>
        </c:rich>
      </c:tx>
      <c:overlay val="0"/>
    </c:title>
    <c:autoTitleDeleted val="0"/>
    <c:plotArea>
      <c:layout/>
      <c:lineChart>
        <c:grouping val="standard"/>
        <c:varyColors val="0"/>
        <c:ser>
          <c:idx val="0"/>
          <c:order val="0"/>
          <c:tx>
            <c:strRef>
              <c:f>'Fuel and CO2 emission prices'!$B$52</c:f>
              <c:strCache>
                <c:ptCount val="1"/>
                <c:pt idx="0">
                  <c:v>CO2 emission allowances</c:v>
                </c:pt>
              </c:strCache>
            </c:strRef>
          </c:tx>
          <c:marker>
            <c:symbol val="none"/>
          </c:marker>
          <c:cat>
            <c:numRef>
              <c:f>'Fuel and CO2 emission prices'!$E$51:$AB$51</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'Fuel and CO2 emission prices'!$E$52:$AB$52</c:f>
              <c:numCache>
                <c:formatCode>0.0</c:formatCode>
                <c:ptCount val="24"/>
                <c:pt idx="0">
                  <c:v>35.484029999999997</c:v>
                </c:pt>
                <c:pt idx="1">
                  <c:v>35.08204410552753</c:v>
                </c:pt>
                <c:pt idx="2">
                  <c:v>34.782462170087172</c:v>
                </c:pt>
                <c:pt idx="3">
                  <c:v>43.328910786835792</c:v>
                </c:pt>
                <c:pt idx="4">
                  <c:v>54.571348163755943</c:v>
                </c:pt>
                <c:pt idx="5">
                  <c:v>68.028312356984827</c:v>
                </c:pt>
                <c:pt idx="6">
                  <c:v>83.733306596717284</c:v>
                </c:pt>
                <c:pt idx="7">
                  <c:v>101.42554719682184</c:v>
                </c:pt>
                <c:pt idx="8">
                  <c:v>120.82674439796298</c:v>
                </c:pt>
                <c:pt idx="9">
                  <c:v>142.22922068136629</c:v>
                </c:pt>
                <c:pt idx="10">
                  <c:v>165.22141641937418</c:v>
                </c:pt>
                <c:pt idx="11">
                  <c:v>189.70731411284714</c:v>
                </c:pt>
                <c:pt idx="12">
                  <c:v>215.63382375151349</c:v>
                </c:pt>
                <c:pt idx="13">
                  <c:v>242.92557302401593</c:v>
                </c:pt>
                <c:pt idx="14">
                  <c:v>253.62834349439353</c:v>
                </c:pt>
                <c:pt idx="15">
                  <c:v>263.84738909052868</c:v>
                </c:pt>
                <c:pt idx="16">
                  <c:v>273.58901597023521</c:v>
                </c:pt>
                <c:pt idx="17">
                  <c:v>282.87777007405708</c:v>
                </c:pt>
                <c:pt idx="18">
                  <c:v>291.70497015971097</c:v>
                </c:pt>
                <c:pt idx="19">
                  <c:v>300.12791200871538</c:v>
                </c:pt>
                <c:pt idx="20">
                  <c:v>308.13663145908907</c:v>
                </c:pt>
                <c:pt idx="21">
                  <c:v>315.73784413506974</c:v>
                </c:pt>
                <c:pt idx="22">
                  <c:v>322.96033686331117</c:v>
                </c:pt>
                <c:pt idx="23">
                  <c:v>329.78313079551356</c:v>
                </c:pt>
              </c:numCache>
            </c:numRef>
          </c:val>
          <c:smooth val="0"/>
          <c:extLst>
            <c:ext xmlns:c16="http://schemas.microsoft.com/office/drawing/2014/chart" uri="{C3380CC4-5D6E-409C-BE32-E72D297353CC}">
              <c16:uniqueId val="{00000000-F25C-2C45-9804-1676FC251B7A}"/>
            </c:ext>
          </c:extLst>
        </c:ser>
        <c:ser>
          <c:idx val="1"/>
          <c:order val="1"/>
          <c:tx>
            <c:strRef>
              <c:f>'Fuel and CO2 emission prices'!$D$87</c:f>
              <c:strCache>
                <c:ptCount val="1"/>
                <c:pt idx="0">
                  <c:v>CO2 emission allowances - AF2016</c:v>
                </c:pt>
              </c:strCache>
            </c:strRef>
          </c:tx>
          <c:spPr>
            <a:ln>
              <a:solidFill>
                <a:schemeClr val="accent1"/>
              </a:solidFill>
              <a:prstDash val="dash"/>
            </a:ln>
          </c:spPr>
          <c:marker>
            <c:symbol val="none"/>
          </c:marker>
          <c:val>
            <c:numRef>
              <c:f>'Fuel and CO2 emission prices'!$E$87:$AB$87</c:f>
              <c:numCache>
                <c:formatCode>###0.0</c:formatCode>
                <c:ptCount val="24"/>
                <c:pt idx="0">
                  <c:v>36.720777164126659</c:v>
                </c:pt>
                <c:pt idx="1">
                  <c:v>36.401200011972705</c:v>
                </c:pt>
                <c:pt idx="2">
                  <c:v>42.812309371555884</c:v>
                </c:pt>
                <c:pt idx="3">
                  <c:v>51.761983289264492</c:v>
                </c:pt>
                <c:pt idx="4">
                  <c:v>62.163460933844341</c:v>
                </c:pt>
                <c:pt idx="5">
                  <c:v>74.18804634082781</c:v>
                </c:pt>
                <c:pt idx="6">
                  <c:v>87.722048849228287</c:v>
                </c:pt>
                <c:pt idx="7">
                  <c:v>102.6816293696499</c:v>
                </c:pt>
                <c:pt idx="8">
                  <c:v>118.9622854625181</c:v>
                </c:pt>
                <c:pt idx="9">
                  <c:v>136.46606284668266</c:v>
                </c:pt>
                <c:pt idx="10">
                  <c:v>155.10499788164276</c:v>
                </c:pt>
                <c:pt idx="11">
                  <c:v>174.76799287079265</c:v>
                </c:pt>
                <c:pt idx="12">
                  <c:v>195.40298134302651</c:v>
                </c:pt>
                <c:pt idx="13">
                  <c:v>217.03583858037547</c:v>
                </c:pt>
                <c:pt idx="14">
                  <c:v>226.47985529533059</c:v>
                </c:pt>
                <c:pt idx="15">
                  <c:v>235.45216616654969</c:v>
                </c:pt>
                <c:pt idx="16">
                  <c:v>243.9878223482965</c:v>
                </c:pt>
                <c:pt idx="17">
                  <c:v>252.12062331628755</c:v>
                </c:pt>
                <c:pt idx="18">
                  <c:v>259.87482489667377</c:v>
                </c:pt>
                <c:pt idx="19">
                  <c:v>267.24775909924801</c:v>
                </c:pt>
                <c:pt idx="20">
                  <c:v>274.26982105180821</c:v>
                </c:pt>
                <c:pt idx="21">
                  <c:v>280.9368804321644</c:v>
                </c:pt>
                <c:pt idx="22">
                  <c:v>287.2723312539257</c:v>
                </c:pt>
                <c:pt idx="23">
                  <c:v>293.29167375726428</c:v>
                </c:pt>
              </c:numCache>
            </c:numRef>
          </c:val>
          <c:smooth val="0"/>
          <c:extLst>
            <c:ext xmlns:c16="http://schemas.microsoft.com/office/drawing/2014/chart" uri="{C3380CC4-5D6E-409C-BE32-E72D297353CC}">
              <c16:uniqueId val="{00000001-F25C-2C45-9804-1676FC251B7A}"/>
            </c:ext>
          </c:extLst>
        </c:ser>
        <c:dLbls>
          <c:showLegendKey val="0"/>
          <c:showVal val="0"/>
          <c:showCatName val="0"/>
          <c:showSerName val="0"/>
          <c:showPercent val="0"/>
          <c:showBubbleSize val="0"/>
        </c:dLbls>
        <c:smooth val="0"/>
        <c:axId val="105825792"/>
        <c:axId val="105827328"/>
      </c:lineChart>
      <c:catAx>
        <c:axId val="105825792"/>
        <c:scaling>
          <c:orientation val="minMax"/>
        </c:scaling>
        <c:delete val="0"/>
        <c:axPos val="b"/>
        <c:numFmt formatCode="General" sourceLinked="1"/>
        <c:majorTickMark val="out"/>
        <c:minorTickMark val="none"/>
        <c:tickLblPos val="nextTo"/>
        <c:crossAx val="105827328"/>
        <c:crosses val="autoZero"/>
        <c:auto val="1"/>
        <c:lblAlgn val="ctr"/>
        <c:lblOffset val="100"/>
        <c:noMultiLvlLbl val="0"/>
      </c:catAx>
      <c:valAx>
        <c:axId val="105827328"/>
        <c:scaling>
          <c:orientation val="minMax"/>
        </c:scaling>
        <c:delete val="0"/>
        <c:axPos val="l"/>
        <c:majorGridlines/>
        <c:title>
          <c:tx>
            <c:strRef>
              <c:f>'Fuel and CO2 emission prices'!$E$138</c:f>
              <c:strCache>
                <c:ptCount val="1"/>
                <c:pt idx="0">
                  <c:v>DKK/tonne (2017 prices)</c:v>
                </c:pt>
              </c:strCache>
            </c:strRef>
          </c:tx>
          <c:overlay val="0"/>
          <c:txPr>
            <a:bodyPr rot="-5400000" vert="horz"/>
            <a:lstStyle/>
            <a:p>
              <a:pPr>
                <a:defRPr/>
              </a:pPr>
              <a:endParaRPr lang="en-US"/>
            </a:p>
          </c:txPr>
        </c:title>
        <c:numFmt formatCode="0" sourceLinked="0"/>
        <c:majorTickMark val="out"/>
        <c:minorTickMark val="none"/>
        <c:tickLblPos val="nextTo"/>
        <c:crossAx val="10582579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 spot prices in Denmark </a:t>
            </a:r>
          </a:p>
        </c:rich>
      </c:tx>
      <c:overlay val="0"/>
    </c:title>
    <c:autoTitleDeleted val="0"/>
    <c:plotArea>
      <c:layout/>
      <c:lineChart>
        <c:grouping val="standard"/>
        <c:varyColors val="0"/>
        <c:ser>
          <c:idx val="0"/>
          <c:order val="0"/>
          <c:tx>
            <c:v>Western Denmark (DK1)</c:v>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prices'!$E$7:$AB$7</c:f>
              <c:numCache>
                <c:formatCode>#,##0</c:formatCode>
                <c:ptCount val="24"/>
                <c:pt idx="0">
                  <c:v>188.99709999999999</c:v>
                </c:pt>
                <c:pt idx="1">
                  <c:v>174.35910000000001</c:v>
                </c:pt>
                <c:pt idx="2">
                  <c:v>160.476</c:v>
                </c:pt>
                <c:pt idx="3">
                  <c:v>219.33940000000001</c:v>
                </c:pt>
                <c:pt idx="4">
                  <c:v>241.43719999999999</c:v>
                </c:pt>
                <c:pt idx="5">
                  <c:v>263.21080000000001</c:v>
                </c:pt>
                <c:pt idx="6">
                  <c:v>287.69479999999999</c:v>
                </c:pt>
                <c:pt idx="7">
                  <c:v>309.6764</c:v>
                </c:pt>
                <c:pt idx="8">
                  <c:v>331.41609999999997</c:v>
                </c:pt>
                <c:pt idx="9">
                  <c:v>351.39490000000001</c:v>
                </c:pt>
                <c:pt idx="10">
                  <c:v>372.6576</c:v>
                </c:pt>
                <c:pt idx="11">
                  <c:v>395.54270000000002</c:v>
                </c:pt>
                <c:pt idx="12">
                  <c:v>416.81020000000001</c:v>
                </c:pt>
                <c:pt idx="13">
                  <c:v>438.48250000000002</c:v>
                </c:pt>
                <c:pt idx="14">
                  <c:v>445.78519999999997</c:v>
                </c:pt>
                <c:pt idx="15">
                  <c:v>452.76479999999998</c:v>
                </c:pt>
                <c:pt idx="16">
                  <c:v>460.76749999999998</c:v>
                </c:pt>
                <c:pt idx="17">
                  <c:v>468.14850000000001</c:v>
                </c:pt>
                <c:pt idx="18">
                  <c:v>476.90660000000003</c:v>
                </c:pt>
                <c:pt idx="19">
                  <c:v>484.62970000000001</c:v>
                </c:pt>
                <c:pt idx="20">
                  <c:v>492.1293</c:v>
                </c:pt>
                <c:pt idx="21">
                  <c:v>499.0992</c:v>
                </c:pt>
                <c:pt idx="22">
                  <c:v>507.51850000000002</c:v>
                </c:pt>
                <c:pt idx="23">
                  <c:v>514.54650000000004</c:v>
                </c:pt>
              </c:numCache>
            </c:numRef>
          </c:val>
          <c:smooth val="0"/>
          <c:extLst>
            <c:ext xmlns:c16="http://schemas.microsoft.com/office/drawing/2014/chart" uri="{C3380CC4-5D6E-409C-BE32-E72D297353CC}">
              <c16:uniqueId val="{00000000-3E2B-2644-A8F6-6C7543FD2401}"/>
            </c:ext>
          </c:extLst>
        </c:ser>
        <c:ser>
          <c:idx val="1"/>
          <c:order val="1"/>
          <c:tx>
            <c:v>Eastern Denmark (DK2)</c:v>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prices'!$E$8:$AB$8</c:f>
              <c:numCache>
                <c:formatCode>#,##0</c:formatCode>
                <c:ptCount val="24"/>
                <c:pt idx="0">
                  <c:v>203.53479999999999</c:v>
                </c:pt>
                <c:pt idx="1">
                  <c:v>188.3768</c:v>
                </c:pt>
                <c:pt idx="2">
                  <c:v>175.50040000000001</c:v>
                </c:pt>
                <c:pt idx="3">
                  <c:v>223.36869999999999</c:v>
                </c:pt>
                <c:pt idx="4">
                  <c:v>246.07589999999999</c:v>
                </c:pt>
                <c:pt idx="5">
                  <c:v>266.94279999999998</c:v>
                </c:pt>
                <c:pt idx="6">
                  <c:v>290.07510000000002</c:v>
                </c:pt>
                <c:pt idx="7">
                  <c:v>312.34879999999998</c:v>
                </c:pt>
                <c:pt idx="8">
                  <c:v>334.0924</c:v>
                </c:pt>
                <c:pt idx="9">
                  <c:v>362.0292</c:v>
                </c:pt>
                <c:pt idx="10">
                  <c:v>384.3954</c:v>
                </c:pt>
                <c:pt idx="11">
                  <c:v>408.05130000000003</c:v>
                </c:pt>
                <c:pt idx="12">
                  <c:v>436.01760000000002</c:v>
                </c:pt>
                <c:pt idx="13">
                  <c:v>460.84620000000001</c:v>
                </c:pt>
                <c:pt idx="14">
                  <c:v>469.08679999999998</c:v>
                </c:pt>
                <c:pt idx="15">
                  <c:v>477.21069999999997</c:v>
                </c:pt>
                <c:pt idx="16">
                  <c:v>485.7097</c:v>
                </c:pt>
                <c:pt idx="17">
                  <c:v>493.75470000000001</c:v>
                </c:pt>
                <c:pt idx="18">
                  <c:v>493.25799999999998</c:v>
                </c:pt>
                <c:pt idx="19">
                  <c:v>496.9742</c:v>
                </c:pt>
                <c:pt idx="20">
                  <c:v>506.61250000000001</c:v>
                </c:pt>
                <c:pt idx="21">
                  <c:v>515.18560000000002</c:v>
                </c:pt>
                <c:pt idx="22">
                  <c:v>522.37779999999998</c:v>
                </c:pt>
                <c:pt idx="23">
                  <c:v>529.16669999999999</c:v>
                </c:pt>
              </c:numCache>
            </c:numRef>
          </c:val>
          <c:smooth val="0"/>
          <c:extLst>
            <c:ext xmlns:c16="http://schemas.microsoft.com/office/drawing/2014/chart" uri="{C3380CC4-5D6E-409C-BE32-E72D297353CC}">
              <c16:uniqueId val="{00000001-3E2B-2644-A8F6-6C7543FD2401}"/>
            </c:ext>
          </c:extLst>
        </c:ser>
        <c:dLbls>
          <c:showLegendKey val="0"/>
          <c:showVal val="0"/>
          <c:showCatName val="0"/>
          <c:showSerName val="0"/>
          <c:showPercent val="0"/>
          <c:showBubbleSize val="0"/>
        </c:dLbls>
        <c:smooth val="0"/>
        <c:axId val="98955264"/>
        <c:axId val="98956800"/>
      </c:lineChart>
      <c:catAx>
        <c:axId val="98955264"/>
        <c:scaling>
          <c:orientation val="minMax"/>
        </c:scaling>
        <c:delete val="0"/>
        <c:axPos val="b"/>
        <c:numFmt formatCode="General" sourceLinked="1"/>
        <c:majorTickMark val="out"/>
        <c:minorTickMark val="none"/>
        <c:tickLblPos val="nextTo"/>
        <c:crossAx val="98956800"/>
        <c:crosses val="autoZero"/>
        <c:auto val="1"/>
        <c:lblAlgn val="ctr"/>
        <c:lblOffset val="100"/>
        <c:noMultiLvlLbl val="0"/>
      </c:catAx>
      <c:valAx>
        <c:axId val="98956800"/>
        <c:scaling>
          <c:orientation val="minMax"/>
          <c:max val="700"/>
        </c:scaling>
        <c:delete val="0"/>
        <c:axPos val="l"/>
        <c:majorGridlines/>
        <c:title>
          <c:tx>
            <c:strRef>
              <c:f>'Electricity prices'!$D$24</c:f>
              <c:strCache>
                <c:ptCount val="1"/>
                <c:pt idx="0">
                  <c:v>DKK/MWh (2017 prices)</c:v>
                </c:pt>
              </c:strCache>
            </c:strRef>
          </c:tx>
          <c:overlay val="0"/>
          <c:txPr>
            <a:bodyPr rot="-5400000" vert="horz"/>
            <a:lstStyle/>
            <a:p>
              <a:pPr>
                <a:defRPr/>
              </a:pPr>
              <a:endParaRPr lang="en-US"/>
            </a:p>
          </c:txPr>
        </c:title>
        <c:numFmt formatCode="#,##0" sourceLinked="1"/>
        <c:majorTickMark val="out"/>
        <c:minorTickMark val="none"/>
        <c:tickLblPos val="nextTo"/>
        <c:crossAx val="9895526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Electricity</a:t>
            </a:r>
            <a:r>
              <a:rPr lang="da-DK" sz="1200" baseline="0"/>
              <a:t> spot prices in Denmark's neighbouring regions</a:t>
            </a:r>
            <a:endParaRPr lang="da-DK" sz="1200"/>
          </a:p>
        </c:rich>
      </c:tx>
      <c:overlay val="0"/>
    </c:title>
    <c:autoTitleDeleted val="0"/>
    <c:plotArea>
      <c:layout/>
      <c:lineChart>
        <c:grouping val="standard"/>
        <c:varyColors val="0"/>
        <c:ser>
          <c:idx val="2"/>
          <c:order val="0"/>
          <c:tx>
            <c:strRef>
              <c:f>'Electricity prices'!$C$9</c:f>
              <c:strCache>
                <c:ptCount val="1"/>
                <c:pt idx="0">
                  <c:v>NL</c:v>
                </c:pt>
              </c:strCache>
            </c:strRef>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prices'!$E$9:$AB$9</c:f>
              <c:numCache>
                <c:formatCode>#,##0</c:formatCode>
                <c:ptCount val="24"/>
                <c:pt idx="0">
                  <c:v>259.42503600000003</c:v>
                </c:pt>
                <c:pt idx="1">
                  <c:v>235.65179644384341</c:v>
                </c:pt>
                <c:pt idx="2">
                  <c:v>216.82955292026344</c:v>
                </c:pt>
                <c:pt idx="3">
                  <c:v>232.18261715290646</c:v>
                </c:pt>
                <c:pt idx="4">
                  <c:v>253.58310036467554</c:v>
                </c:pt>
                <c:pt idx="5">
                  <c:v>274.98358357644463</c:v>
                </c:pt>
                <c:pt idx="6">
                  <c:v>296.38406678821372</c:v>
                </c:pt>
                <c:pt idx="7">
                  <c:v>317.7845499999828</c:v>
                </c:pt>
                <c:pt idx="8">
                  <c:v>339.18503321175189</c:v>
                </c:pt>
                <c:pt idx="9">
                  <c:v>360.58551642352097</c:v>
                </c:pt>
                <c:pt idx="10">
                  <c:v>381.98599963529006</c:v>
                </c:pt>
                <c:pt idx="11">
                  <c:v>403.38648284705914</c:v>
                </c:pt>
                <c:pt idx="12">
                  <c:v>424.78696605882823</c:v>
                </c:pt>
                <c:pt idx="13">
                  <c:v>446.18744927059731</c:v>
                </c:pt>
                <c:pt idx="14">
                  <c:v>454.34714509071199</c:v>
                </c:pt>
                <c:pt idx="15">
                  <c:v>462.50684091082667</c:v>
                </c:pt>
                <c:pt idx="16">
                  <c:v>470.66653673094135</c:v>
                </c:pt>
                <c:pt idx="17">
                  <c:v>478.82623255105602</c:v>
                </c:pt>
                <c:pt idx="18">
                  <c:v>486.9859283711707</c:v>
                </c:pt>
                <c:pt idx="19">
                  <c:v>495.14562419128538</c:v>
                </c:pt>
                <c:pt idx="20">
                  <c:v>503.30532001140006</c:v>
                </c:pt>
                <c:pt idx="21">
                  <c:v>511.46501583151473</c:v>
                </c:pt>
                <c:pt idx="22">
                  <c:v>519.62471165162947</c:v>
                </c:pt>
                <c:pt idx="23">
                  <c:v>527.78440747174409</c:v>
                </c:pt>
              </c:numCache>
            </c:numRef>
          </c:val>
          <c:smooth val="0"/>
          <c:extLst>
            <c:ext xmlns:c16="http://schemas.microsoft.com/office/drawing/2014/chart" uri="{C3380CC4-5D6E-409C-BE32-E72D297353CC}">
              <c16:uniqueId val="{00000000-3346-4143-A275-1F7D658F719B}"/>
            </c:ext>
          </c:extLst>
        </c:ser>
        <c:ser>
          <c:idx val="3"/>
          <c:order val="1"/>
          <c:tx>
            <c:strRef>
              <c:f>'Electricity prices'!$C$10</c:f>
              <c:strCache>
                <c:ptCount val="1"/>
                <c:pt idx="0">
                  <c:v>NSY</c:v>
                </c:pt>
              </c:strCache>
            </c:strRef>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prices'!$E$10:$AB$10</c:f>
              <c:numCache>
                <c:formatCode>#,##0</c:formatCode>
                <c:ptCount val="24"/>
                <c:pt idx="0">
                  <c:v>181.09400400000001</c:v>
                </c:pt>
                <c:pt idx="1">
                  <c:v>167.80158879902163</c:v>
                </c:pt>
                <c:pt idx="2">
                  <c:v>151.816408552079</c:v>
                </c:pt>
                <c:pt idx="3">
                  <c:v>224.15625999581326</c:v>
                </c:pt>
                <c:pt idx="4">
                  <c:v>247.27330660561341</c:v>
                </c:pt>
                <c:pt idx="5">
                  <c:v>270.39035321541354</c:v>
                </c:pt>
                <c:pt idx="6">
                  <c:v>293.50739982521367</c:v>
                </c:pt>
                <c:pt idx="7">
                  <c:v>316.62444643501379</c:v>
                </c:pt>
                <c:pt idx="8">
                  <c:v>339.74149304481392</c:v>
                </c:pt>
                <c:pt idx="9">
                  <c:v>362.85853965461405</c:v>
                </c:pt>
                <c:pt idx="10">
                  <c:v>385.97558626441418</c:v>
                </c:pt>
                <c:pt idx="11">
                  <c:v>409.0926328742143</c:v>
                </c:pt>
                <c:pt idx="12">
                  <c:v>432.20967948401443</c:v>
                </c:pt>
                <c:pt idx="13">
                  <c:v>455.32672609381478</c:v>
                </c:pt>
                <c:pt idx="14">
                  <c:v>462.81450157863145</c:v>
                </c:pt>
                <c:pt idx="15">
                  <c:v>470.30227706344812</c:v>
                </c:pt>
                <c:pt idx="16">
                  <c:v>477.79005254826478</c:v>
                </c:pt>
                <c:pt idx="17">
                  <c:v>485.27782803308145</c:v>
                </c:pt>
                <c:pt idx="18">
                  <c:v>492.76560351789811</c:v>
                </c:pt>
                <c:pt idx="19">
                  <c:v>500.25337900271478</c:v>
                </c:pt>
                <c:pt idx="20">
                  <c:v>507.74115448753145</c:v>
                </c:pt>
                <c:pt idx="21">
                  <c:v>515.22892997234817</c:v>
                </c:pt>
                <c:pt idx="22">
                  <c:v>522.71670545716484</c:v>
                </c:pt>
                <c:pt idx="23">
                  <c:v>530.2044809419815</c:v>
                </c:pt>
              </c:numCache>
            </c:numRef>
          </c:val>
          <c:smooth val="0"/>
          <c:extLst>
            <c:ext xmlns:c16="http://schemas.microsoft.com/office/drawing/2014/chart" uri="{C3380CC4-5D6E-409C-BE32-E72D297353CC}">
              <c16:uniqueId val="{00000001-3346-4143-A275-1F7D658F719B}"/>
            </c:ext>
          </c:extLst>
        </c:ser>
        <c:ser>
          <c:idx val="4"/>
          <c:order val="2"/>
          <c:tx>
            <c:strRef>
              <c:f>'Electricity prices'!$C$11</c:f>
              <c:strCache>
                <c:ptCount val="1"/>
                <c:pt idx="0">
                  <c:v>GB</c:v>
                </c:pt>
              </c:strCache>
            </c:strRef>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prices'!$E$11:$AB$11</c:f>
              <c:numCache>
                <c:formatCode>#,##0</c:formatCode>
                <c:ptCount val="24"/>
                <c:pt idx="0">
                  <c:v>371.04804999999999</c:v>
                </c:pt>
                <c:pt idx="1">
                  <c:v>347.536131125373</c:v>
                </c:pt>
                <c:pt idx="2">
                  <c:v>335.01046074828776</c:v>
                </c:pt>
                <c:pt idx="3">
                  <c:v>322.48479037120245</c:v>
                </c:pt>
                <c:pt idx="4">
                  <c:v>346.98341444568604</c:v>
                </c:pt>
                <c:pt idx="5">
                  <c:v>371.48203852016962</c:v>
                </c:pt>
                <c:pt idx="6">
                  <c:v>395.98066259465321</c:v>
                </c:pt>
                <c:pt idx="7">
                  <c:v>420.4792866691368</c:v>
                </c:pt>
                <c:pt idx="8">
                  <c:v>444.97791074362038</c:v>
                </c:pt>
                <c:pt idx="9">
                  <c:v>469.47653481810397</c:v>
                </c:pt>
                <c:pt idx="10">
                  <c:v>493.97515889258756</c:v>
                </c:pt>
                <c:pt idx="11">
                  <c:v>518.47378296707109</c:v>
                </c:pt>
                <c:pt idx="12">
                  <c:v>542.97240704155467</c:v>
                </c:pt>
                <c:pt idx="13">
                  <c:v>567.47103111603815</c:v>
                </c:pt>
                <c:pt idx="14">
                  <c:v>577.32953050763831</c:v>
                </c:pt>
                <c:pt idx="15">
                  <c:v>587.18802989923847</c:v>
                </c:pt>
                <c:pt idx="16">
                  <c:v>597.04652929083863</c:v>
                </c:pt>
                <c:pt idx="17">
                  <c:v>606.9050286824388</c:v>
                </c:pt>
                <c:pt idx="18">
                  <c:v>616.76352807403896</c:v>
                </c:pt>
                <c:pt idx="19">
                  <c:v>626.62202746563912</c:v>
                </c:pt>
                <c:pt idx="20">
                  <c:v>636.48052685723928</c:v>
                </c:pt>
                <c:pt idx="21">
                  <c:v>646.33902624883945</c:v>
                </c:pt>
                <c:pt idx="22">
                  <c:v>656.19752564043961</c:v>
                </c:pt>
                <c:pt idx="23">
                  <c:v>666.05602503204022</c:v>
                </c:pt>
              </c:numCache>
            </c:numRef>
          </c:val>
          <c:smooth val="0"/>
          <c:extLst>
            <c:ext xmlns:c16="http://schemas.microsoft.com/office/drawing/2014/chart" uri="{C3380CC4-5D6E-409C-BE32-E72D297353CC}">
              <c16:uniqueId val="{00000002-3346-4143-A275-1F7D658F719B}"/>
            </c:ext>
          </c:extLst>
        </c:ser>
        <c:ser>
          <c:idx val="5"/>
          <c:order val="3"/>
          <c:tx>
            <c:strRef>
              <c:f>'Electricity prices'!$C$12</c:f>
              <c:strCache>
                <c:ptCount val="1"/>
                <c:pt idx="0">
                  <c:v>SE3</c:v>
                </c:pt>
              </c:strCache>
            </c:strRef>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prices'!$E$12:$AB$12</c:f>
              <c:numCache>
                <c:formatCode>#,##0</c:formatCode>
                <c:ptCount val="24"/>
                <c:pt idx="0">
                  <c:v>196.89415199999999</c:v>
                </c:pt>
                <c:pt idx="1">
                  <c:v>182.46598851580569</c:v>
                </c:pt>
                <c:pt idx="2">
                  <c:v>168.24830218359813</c:v>
                </c:pt>
                <c:pt idx="3">
                  <c:v>223.38575272264873</c:v>
                </c:pt>
                <c:pt idx="4">
                  <c:v>245.78151691796813</c:v>
                </c:pt>
                <c:pt idx="5">
                  <c:v>268.17728111328751</c:v>
                </c:pt>
                <c:pt idx="6">
                  <c:v>290.57304530860688</c:v>
                </c:pt>
                <c:pt idx="7">
                  <c:v>312.96880950392625</c:v>
                </c:pt>
                <c:pt idx="8">
                  <c:v>335.36457369924562</c:v>
                </c:pt>
                <c:pt idx="9">
                  <c:v>357.760337894565</c:v>
                </c:pt>
                <c:pt idx="10">
                  <c:v>380.15610208988437</c:v>
                </c:pt>
                <c:pt idx="11">
                  <c:v>402.55186628520374</c:v>
                </c:pt>
                <c:pt idx="12">
                  <c:v>424.94763048052312</c:v>
                </c:pt>
                <c:pt idx="13">
                  <c:v>447.34339467584272</c:v>
                </c:pt>
                <c:pt idx="14">
                  <c:v>454.85554898113617</c:v>
                </c:pt>
                <c:pt idx="15">
                  <c:v>462.36770328642962</c:v>
                </c:pt>
                <c:pt idx="16">
                  <c:v>469.87985759172307</c:v>
                </c:pt>
                <c:pt idx="17">
                  <c:v>477.39201189701652</c:v>
                </c:pt>
                <c:pt idx="18">
                  <c:v>484.90416620230997</c:v>
                </c:pt>
                <c:pt idx="19">
                  <c:v>492.41632050760342</c:v>
                </c:pt>
                <c:pt idx="20">
                  <c:v>499.92847481289687</c:v>
                </c:pt>
                <c:pt idx="21">
                  <c:v>507.44062911819032</c:v>
                </c:pt>
                <c:pt idx="22">
                  <c:v>514.95278342348377</c:v>
                </c:pt>
                <c:pt idx="23">
                  <c:v>522.46493772877739</c:v>
                </c:pt>
              </c:numCache>
            </c:numRef>
          </c:val>
          <c:smooth val="0"/>
          <c:extLst>
            <c:ext xmlns:c16="http://schemas.microsoft.com/office/drawing/2014/chart" uri="{C3380CC4-5D6E-409C-BE32-E72D297353CC}">
              <c16:uniqueId val="{00000003-3346-4143-A275-1F7D658F719B}"/>
            </c:ext>
          </c:extLst>
        </c:ser>
        <c:ser>
          <c:idx val="6"/>
          <c:order val="4"/>
          <c:tx>
            <c:strRef>
              <c:f>'Electricity prices'!$C$13</c:f>
              <c:strCache>
                <c:ptCount val="1"/>
                <c:pt idx="0">
                  <c:v>SE4</c:v>
                </c:pt>
              </c:strCache>
            </c:strRef>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prices'!$E$13:$AB$13</c:f>
              <c:numCache>
                <c:formatCode>#,##0</c:formatCode>
                <c:ptCount val="24"/>
                <c:pt idx="0">
                  <c:v>199.54818</c:v>
                </c:pt>
                <c:pt idx="1">
                  <c:v>183.85217555371065</c:v>
                </c:pt>
                <c:pt idx="2">
                  <c:v>169.17706138885791</c:v>
                </c:pt>
                <c:pt idx="3">
                  <c:v>223.43460298172417</c:v>
                </c:pt>
                <c:pt idx="4">
                  <c:v>245.82876942850402</c:v>
                </c:pt>
                <c:pt idx="5">
                  <c:v>268.22293587528389</c:v>
                </c:pt>
                <c:pt idx="6">
                  <c:v>290.61710232206377</c:v>
                </c:pt>
                <c:pt idx="7">
                  <c:v>313.01126876884365</c:v>
                </c:pt>
                <c:pt idx="8">
                  <c:v>335.40543521562353</c:v>
                </c:pt>
                <c:pt idx="9">
                  <c:v>357.7996016624034</c:v>
                </c:pt>
                <c:pt idx="10">
                  <c:v>380.19376810918328</c:v>
                </c:pt>
                <c:pt idx="11">
                  <c:v>402.58793455596316</c:v>
                </c:pt>
                <c:pt idx="12">
                  <c:v>424.98210100274304</c:v>
                </c:pt>
                <c:pt idx="13">
                  <c:v>447.37626744952269</c:v>
                </c:pt>
                <c:pt idx="14">
                  <c:v>454.88918863551521</c:v>
                </c:pt>
                <c:pt idx="15">
                  <c:v>462.40210982150774</c:v>
                </c:pt>
                <c:pt idx="16">
                  <c:v>469.91503100750026</c:v>
                </c:pt>
                <c:pt idx="17">
                  <c:v>477.42795219349279</c:v>
                </c:pt>
                <c:pt idx="18">
                  <c:v>484.94087337948531</c:v>
                </c:pt>
                <c:pt idx="19">
                  <c:v>492.45379456547784</c:v>
                </c:pt>
                <c:pt idx="20">
                  <c:v>499.96671575147036</c:v>
                </c:pt>
                <c:pt idx="21">
                  <c:v>507.47963693746289</c:v>
                </c:pt>
                <c:pt idx="22">
                  <c:v>514.99255812345541</c:v>
                </c:pt>
                <c:pt idx="23">
                  <c:v>522.50547930944788</c:v>
                </c:pt>
              </c:numCache>
            </c:numRef>
          </c:val>
          <c:smooth val="0"/>
          <c:extLst>
            <c:ext xmlns:c16="http://schemas.microsoft.com/office/drawing/2014/chart" uri="{C3380CC4-5D6E-409C-BE32-E72D297353CC}">
              <c16:uniqueId val="{00000004-3346-4143-A275-1F7D658F719B}"/>
            </c:ext>
          </c:extLst>
        </c:ser>
        <c:ser>
          <c:idx val="7"/>
          <c:order val="5"/>
          <c:tx>
            <c:strRef>
              <c:f>'Electricity prices'!$C$14</c:f>
              <c:strCache>
                <c:ptCount val="1"/>
                <c:pt idx="0">
                  <c:v>DE</c:v>
                </c:pt>
              </c:strCache>
            </c:strRef>
          </c:tx>
          <c:marker>
            <c:symbol val="none"/>
          </c:marker>
          <c:cat>
            <c:numRef>
              <c:f>'Electricity prices'!$E$6:$AB$6</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prices'!$E$14:$AB$14</c:f>
              <c:numCache>
                <c:formatCode>#,##0</c:formatCode>
                <c:ptCount val="24"/>
                <c:pt idx="0">
                  <c:v>230.57798400000001</c:v>
                </c:pt>
                <c:pt idx="1">
                  <c:v>212.81618892467225</c:v>
                </c:pt>
                <c:pt idx="2">
                  <c:v>195.82530627823459</c:v>
                </c:pt>
                <c:pt idx="3">
                  <c:v>218.96414291928741</c:v>
                </c:pt>
                <c:pt idx="4">
                  <c:v>240.36877167517065</c:v>
                </c:pt>
                <c:pt idx="5">
                  <c:v>261.77340043105386</c:v>
                </c:pt>
                <c:pt idx="6">
                  <c:v>283.17802918693707</c:v>
                </c:pt>
                <c:pt idx="7">
                  <c:v>304.58265794282028</c:v>
                </c:pt>
                <c:pt idx="8">
                  <c:v>325.98728669870349</c:v>
                </c:pt>
                <c:pt idx="9">
                  <c:v>347.39191545458669</c:v>
                </c:pt>
                <c:pt idx="10">
                  <c:v>368.7965442104699</c:v>
                </c:pt>
                <c:pt idx="11">
                  <c:v>390.20117296635311</c:v>
                </c:pt>
                <c:pt idx="12">
                  <c:v>411.60580172223632</c:v>
                </c:pt>
                <c:pt idx="13">
                  <c:v>433.01043047811976</c:v>
                </c:pt>
                <c:pt idx="14">
                  <c:v>441.05407281992211</c:v>
                </c:pt>
                <c:pt idx="15">
                  <c:v>449.09771516172441</c:v>
                </c:pt>
                <c:pt idx="16">
                  <c:v>457.14135750352671</c:v>
                </c:pt>
                <c:pt idx="17">
                  <c:v>465.184999845329</c:v>
                </c:pt>
                <c:pt idx="18">
                  <c:v>473.2286421871313</c:v>
                </c:pt>
                <c:pt idx="19">
                  <c:v>481.2722845289336</c:v>
                </c:pt>
                <c:pt idx="20">
                  <c:v>489.31592687073589</c:v>
                </c:pt>
                <c:pt idx="21">
                  <c:v>497.35956921253819</c:v>
                </c:pt>
                <c:pt idx="22">
                  <c:v>505.40321155434049</c:v>
                </c:pt>
                <c:pt idx="23">
                  <c:v>513.44685389614301</c:v>
                </c:pt>
              </c:numCache>
            </c:numRef>
          </c:val>
          <c:smooth val="0"/>
          <c:extLst>
            <c:ext xmlns:c16="http://schemas.microsoft.com/office/drawing/2014/chart" uri="{C3380CC4-5D6E-409C-BE32-E72D297353CC}">
              <c16:uniqueId val="{00000005-3346-4143-A275-1F7D658F719B}"/>
            </c:ext>
          </c:extLst>
        </c:ser>
        <c:dLbls>
          <c:showLegendKey val="0"/>
          <c:showVal val="0"/>
          <c:showCatName val="0"/>
          <c:showSerName val="0"/>
          <c:showPercent val="0"/>
          <c:showBubbleSize val="0"/>
        </c:dLbls>
        <c:smooth val="0"/>
        <c:axId val="99001472"/>
        <c:axId val="99003008"/>
      </c:lineChart>
      <c:catAx>
        <c:axId val="99001472"/>
        <c:scaling>
          <c:orientation val="minMax"/>
        </c:scaling>
        <c:delete val="0"/>
        <c:axPos val="b"/>
        <c:numFmt formatCode="General" sourceLinked="1"/>
        <c:majorTickMark val="out"/>
        <c:minorTickMark val="none"/>
        <c:tickLblPos val="nextTo"/>
        <c:crossAx val="99003008"/>
        <c:crosses val="autoZero"/>
        <c:auto val="1"/>
        <c:lblAlgn val="ctr"/>
        <c:lblOffset val="100"/>
        <c:noMultiLvlLbl val="0"/>
      </c:catAx>
      <c:valAx>
        <c:axId val="99003008"/>
        <c:scaling>
          <c:orientation val="minMax"/>
        </c:scaling>
        <c:delete val="0"/>
        <c:axPos val="l"/>
        <c:majorGridlines/>
        <c:title>
          <c:tx>
            <c:strRef>
              <c:f>'Electricity prices'!$D$24</c:f>
              <c:strCache>
                <c:ptCount val="1"/>
                <c:pt idx="0">
                  <c:v>DKK/MWh (2017 prices)</c:v>
                </c:pt>
              </c:strCache>
            </c:strRef>
          </c:tx>
          <c:overlay val="0"/>
          <c:txPr>
            <a:bodyPr rot="-5400000" vert="horz"/>
            <a:lstStyle/>
            <a:p>
              <a:pPr>
                <a:defRPr/>
              </a:pPr>
              <a:endParaRPr lang="en-US"/>
            </a:p>
          </c:txPr>
        </c:title>
        <c:numFmt formatCode="#,##0" sourceLinked="1"/>
        <c:majorTickMark val="out"/>
        <c:minorTickMark val="none"/>
        <c:tickLblPos val="nextTo"/>
        <c:crossAx val="9900147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Net electricity consumption for household heat pumps</a:t>
            </a:r>
          </a:p>
        </c:rich>
      </c:tx>
      <c:overlay val="0"/>
    </c:title>
    <c:autoTitleDeleted val="0"/>
    <c:plotArea>
      <c:layout/>
      <c:areaChart>
        <c:grouping val="stacked"/>
        <c:varyColors val="0"/>
        <c:ser>
          <c:idx val="0"/>
          <c:order val="0"/>
          <c:tx>
            <c:v>Denmark</c:v>
          </c:tx>
          <c:cat>
            <c:numRef>
              <c:f>'Electricity consumption'!$D$35:$AA$35</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consumption'!$D$38:$AA$38</c:f>
              <c:numCache>
                <c:formatCode>#,##0</c:formatCode>
                <c:ptCount val="24"/>
                <c:pt idx="0">
                  <c:v>521.56776519760012</c:v>
                </c:pt>
                <c:pt idx="1">
                  <c:v>554.19818662290959</c:v>
                </c:pt>
                <c:pt idx="2">
                  <c:v>588.83070798926838</c:v>
                </c:pt>
                <c:pt idx="3">
                  <c:v>626.01073948971555</c:v>
                </c:pt>
                <c:pt idx="4">
                  <c:v>684.71689523268333</c:v>
                </c:pt>
                <c:pt idx="5">
                  <c:v>748.45688089308806</c:v>
                </c:pt>
                <c:pt idx="6">
                  <c:v>818.45188809197145</c:v>
                </c:pt>
                <c:pt idx="7">
                  <c:v>891.73846614108902</c:v>
                </c:pt>
                <c:pt idx="8">
                  <c:v>968.12439750721887</c:v>
                </c:pt>
                <c:pt idx="9">
                  <c:v>1047.4384726088638</c:v>
                </c:pt>
                <c:pt idx="10">
                  <c:v>1129.0443341058244</c:v>
                </c:pt>
                <c:pt idx="11">
                  <c:v>1213.3208615592071</c:v>
                </c:pt>
                <c:pt idx="12">
                  <c:v>1299.6006657305159</c:v>
                </c:pt>
                <c:pt idx="13">
                  <c:v>1385.1165901940242</c:v>
                </c:pt>
                <c:pt idx="14">
                  <c:v>1474.0063773922298</c:v>
                </c:pt>
                <c:pt idx="15">
                  <c:v>1570.1593831696641</c:v>
                </c:pt>
                <c:pt idx="16">
                  <c:v>1667.5578679746932</c:v>
                </c:pt>
                <c:pt idx="17">
                  <c:v>1730.2812894599297</c:v>
                </c:pt>
                <c:pt idx="18">
                  <c:v>1790.3617325936568</c:v>
                </c:pt>
                <c:pt idx="19">
                  <c:v>1850.5387431473157</c:v>
                </c:pt>
                <c:pt idx="20">
                  <c:v>1909.7931162907926</c:v>
                </c:pt>
                <c:pt idx="21">
                  <c:v>1968.0414583976205</c:v>
                </c:pt>
                <c:pt idx="22">
                  <c:v>2025.1970218071292</c:v>
                </c:pt>
                <c:pt idx="23">
                  <c:v>2081.1695936092933</c:v>
                </c:pt>
              </c:numCache>
            </c:numRef>
          </c:val>
          <c:extLst>
            <c:ext xmlns:c16="http://schemas.microsoft.com/office/drawing/2014/chart" uri="{C3380CC4-5D6E-409C-BE32-E72D297353CC}">
              <c16:uniqueId val="{00000000-97F3-CD4A-B547-85A9E6C45D19}"/>
            </c:ext>
          </c:extLst>
        </c:ser>
        <c:dLbls>
          <c:showLegendKey val="0"/>
          <c:showVal val="0"/>
          <c:showCatName val="0"/>
          <c:showSerName val="0"/>
          <c:showPercent val="0"/>
          <c:showBubbleSize val="0"/>
        </c:dLbls>
        <c:axId val="99022720"/>
        <c:axId val="99024256"/>
      </c:areaChart>
      <c:lineChart>
        <c:grouping val="standard"/>
        <c:varyColors val="0"/>
        <c:ser>
          <c:idx val="1"/>
          <c:order val="1"/>
          <c:tx>
            <c:v>Denmark, AF2016</c:v>
          </c:tx>
          <c:spPr>
            <a:ln>
              <a:solidFill>
                <a:schemeClr val="accent3"/>
              </a:solidFill>
              <a:prstDash val="dash"/>
            </a:ln>
          </c:spPr>
          <c:marker>
            <c:symbol val="none"/>
          </c:marker>
          <c:val>
            <c:numRef>
              <c:f>'Electricity consumption'!$D$293:$AA$293</c:f>
              <c:numCache>
                <c:formatCode>#,##0</c:formatCode>
                <c:ptCount val="24"/>
                <c:pt idx="0">
                  <c:v>521.56776519760012</c:v>
                </c:pt>
                <c:pt idx="1">
                  <c:v>554.19818662290959</c:v>
                </c:pt>
                <c:pt idx="2">
                  <c:v>588.83070798926838</c:v>
                </c:pt>
                <c:pt idx="3">
                  <c:v>626.01073948971555</c:v>
                </c:pt>
                <c:pt idx="4">
                  <c:v>684.71689523268333</c:v>
                </c:pt>
                <c:pt idx="5">
                  <c:v>748.45688089308806</c:v>
                </c:pt>
                <c:pt idx="6">
                  <c:v>818.45188809197145</c:v>
                </c:pt>
                <c:pt idx="7">
                  <c:v>891.73846614108902</c:v>
                </c:pt>
                <c:pt idx="8">
                  <c:v>968.12439750721887</c:v>
                </c:pt>
                <c:pt idx="9">
                  <c:v>1047.4384726088638</c:v>
                </c:pt>
                <c:pt idx="10">
                  <c:v>1129.0443341058244</c:v>
                </c:pt>
                <c:pt idx="11">
                  <c:v>1213.3208615592071</c:v>
                </c:pt>
                <c:pt idx="12">
                  <c:v>1299.6006657305159</c:v>
                </c:pt>
                <c:pt idx="13">
                  <c:v>1385.1165901940242</c:v>
                </c:pt>
                <c:pt idx="14">
                  <c:v>1474.0063773922298</c:v>
                </c:pt>
                <c:pt idx="15">
                  <c:v>1570.1593831696641</c:v>
                </c:pt>
                <c:pt idx="16">
                  <c:v>1667.5578679746932</c:v>
                </c:pt>
                <c:pt idx="17">
                  <c:v>1730.2812894599297</c:v>
                </c:pt>
                <c:pt idx="18">
                  <c:v>1790.3617325936571</c:v>
                </c:pt>
                <c:pt idx="19">
                  <c:v>1850.5387431473159</c:v>
                </c:pt>
                <c:pt idx="20">
                  <c:v>1909.7931162907926</c:v>
                </c:pt>
                <c:pt idx="21">
                  <c:v>1968.0414583976208</c:v>
                </c:pt>
                <c:pt idx="22">
                  <c:v>2025.1970218071292</c:v>
                </c:pt>
                <c:pt idx="23">
                  <c:v>2081.1695936092933</c:v>
                </c:pt>
              </c:numCache>
            </c:numRef>
          </c:val>
          <c:smooth val="0"/>
          <c:extLst>
            <c:ext xmlns:c16="http://schemas.microsoft.com/office/drawing/2014/chart" uri="{C3380CC4-5D6E-409C-BE32-E72D297353CC}">
              <c16:uniqueId val="{00000001-97F3-CD4A-B547-85A9E6C45D19}"/>
            </c:ext>
          </c:extLst>
        </c:ser>
        <c:dLbls>
          <c:showLegendKey val="0"/>
          <c:showVal val="0"/>
          <c:showCatName val="0"/>
          <c:showSerName val="0"/>
          <c:showPercent val="0"/>
          <c:showBubbleSize val="0"/>
        </c:dLbls>
        <c:marker val="1"/>
        <c:smooth val="0"/>
        <c:axId val="99022720"/>
        <c:axId val="99024256"/>
      </c:lineChart>
      <c:catAx>
        <c:axId val="99022720"/>
        <c:scaling>
          <c:orientation val="minMax"/>
        </c:scaling>
        <c:delete val="0"/>
        <c:axPos val="b"/>
        <c:numFmt formatCode="General" sourceLinked="1"/>
        <c:majorTickMark val="out"/>
        <c:minorTickMark val="none"/>
        <c:tickLblPos val="nextTo"/>
        <c:crossAx val="99024256"/>
        <c:crosses val="autoZero"/>
        <c:auto val="1"/>
        <c:lblAlgn val="ctr"/>
        <c:lblOffset val="100"/>
        <c:tickLblSkip val="1"/>
        <c:noMultiLvlLbl val="0"/>
      </c:catAx>
      <c:valAx>
        <c:axId val="99024256"/>
        <c:scaling>
          <c:orientation val="minMax"/>
        </c:scaling>
        <c:delete val="0"/>
        <c:axPos val="l"/>
        <c:majorGridlines/>
        <c:title>
          <c:tx>
            <c:rich>
              <a:bodyPr rot="-5400000" vert="horz"/>
              <a:lstStyle/>
              <a:p>
                <a:pPr>
                  <a:defRPr/>
                </a:pPr>
                <a:r>
                  <a:rPr lang="da-DK"/>
                  <a:t>GWh</a:t>
                </a:r>
              </a:p>
            </c:rich>
          </c:tx>
          <c:overlay val="0"/>
        </c:title>
        <c:numFmt formatCode="#,##0" sourceLinked="1"/>
        <c:majorTickMark val="out"/>
        <c:minorTickMark val="none"/>
        <c:tickLblPos val="nextTo"/>
        <c:crossAx val="9902272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baseline="0"/>
              <a:t>Electricity capacity for large central heat pumps</a:t>
            </a:r>
            <a:endParaRPr lang="da-DK" sz="1200"/>
          </a:p>
        </c:rich>
      </c:tx>
      <c:overlay val="0"/>
    </c:title>
    <c:autoTitleDeleted val="0"/>
    <c:plotArea>
      <c:layout/>
      <c:lineChart>
        <c:grouping val="standard"/>
        <c:varyColors val="0"/>
        <c:ser>
          <c:idx val="0"/>
          <c:order val="0"/>
          <c:tx>
            <c:v>Western Denmark</c:v>
          </c:tx>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consumption'!$D$52:$AA$52</c:f>
              <c:numCache>
                <c:formatCode>#,##0</c:formatCode>
                <c:ptCount val="24"/>
                <c:pt idx="0">
                  <c:v>0</c:v>
                </c:pt>
                <c:pt idx="1">
                  <c:v>0</c:v>
                </c:pt>
                <c:pt idx="2">
                  <c:v>0</c:v>
                </c:pt>
                <c:pt idx="3">
                  <c:v>0</c:v>
                </c:pt>
                <c:pt idx="4">
                  <c:v>0</c:v>
                </c:pt>
                <c:pt idx="5">
                  <c:v>0</c:v>
                </c:pt>
                <c:pt idx="6">
                  <c:v>15</c:v>
                </c:pt>
                <c:pt idx="7">
                  <c:v>15</c:v>
                </c:pt>
                <c:pt idx="8">
                  <c:v>15</c:v>
                </c:pt>
                <c:pt idx="9">
                  <c:v>15</c:v>
                </c:pt>
                <c:pt idx="10">
                  <c:v>35</c:v>
                </c:pt>
                <c:pt idx="11">
                  <c:v>75</c:v>
                </c:pt>
                <c:pt idx="12">
                  <c:v>75</c:v>
                </c:pt>
                <c:pt idx="13">
                  <c:v>135</c:v>
                </c:pt>
                <c:pt idx="14">
                  <c:v>135</c:v>
                </c:pt>
                <c:pt idx="15">
                  <c:v>135</c:v>
                </c:pt>
                <c:pt idx="16">
                  <c:v>135</c:v>
                </c:pt>
                <c:pt idx="17">
                  <c:v>135</c:v>
                </c:pt>
                <c:pt idx="18">
                  <c:v>135</c:v>
                </c:pt>
                <c:pt idx="19">
                  <c:v>135</c:v>
                </c:pt>
                <c:pt idx="20">
                  <c:v>135</c:v>
                </c:pt>
                <c:pt idx="21">
                  <c:v>135</c:v>
                </c:pt>
                <c:pt idx="22">
                  <c:v>135</c:v>
                </c:pt>
                <c:pt idx="23">
                  <c:v>135</c:v>
                </c:pt>
              </c:numCache>
            </c:numRef>
          </c:val>
          <c:smooth val="0"/>
          <c:extLst>
            <c:ext xmlns:c16="http://schemas.microsoft.com/office/drawing/2014/chart" uri="{C3380CC4-5D6E-409C-BE32-E72D297353CC}">
              <c16:uniqueId val="{00000000-C1A1-4441-A93A-00AFC34CD93E}"/>
            </c:ext>
          </c:extLst>
        </c:ser>
        <c:ser>
          <c:idx val="1"/>
          <c:order val="1"/>
          <c:tx>
            <c:v>Eastern Denmark</c:v>
          </c:tx>
          <c:marker>
            <c:symbol val="none"/>
          </c:marker>
          <c:cat>
            <c:numRef>
              <c:f>'Electricity consumption'!$D$50:$AA$50</c:f>
              <c:numCache>
                <c:formatCode>General</c:formatCode>
                <c:ptCount val="2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numCache>
            </c:numRef>
          </c:cat>
          <c:val>
            <c:numRef>
              <c:f>'Electricity consumption'!$D$57:$AA$57</c:f>
              <c:numCache>
                <c:formatCode>#,##0</c:formatCode>
                <c:ptCount val="24"/>
                <c:pt idx="0">
                  <c:v>0</c:v>
                </c:pt>
                <c:pt idx="1">
                  <c:v>0.7</c:v>
                </c:pt>
                <c:pt idx="2">
                  <c:v>0.7</c:v>
                </c:pt>
                <c:pt idx="3">
                  <c:v>0.7</c:v>
                </c:pt>
                <c:pt idx="4">
                  <c:v>0.7</c:v>
                </c:pt>
                <c:pt idx="5">
                  <c:v>0.7</c:v>
                </c:pt>
                <c:pt idx="6">
                  <c:v>0.7</c:v>
                </c:pt>
                <c:pt idx="7">
                  <c:v>0.7</c:v>
                </c:pt>
                <c:pt idx="8">
                  <c:v>0.7</c:v>
                </c:pt>
                <c:pt idx="9">
                  <c:v>0.7</c:v>
                </c:pt>
                <c:pt idx="10">
                  <c:v>0.7</c:v>
                </c:pt>
                <c:pt idx="11">
                  <c:v>0.7</c:v>
                </c:pt>
                <c:pt idx="12">
                  <c:v>0.7</c:v>
                </c:pt>
                <c:pt idx="13">
                  <c:v>45.7</c:v>
                </c:pt>
                <c:pt idx="14">
                  <c:v>45.7</c:v>
                </c:pt>
                <c:pt idx="15">
                  <c:v>45.7</c:v>
                </c:pt>
                <c:pt idx="16">
                  <c:v>45.7</c:v>
                </c:pt>
                <c:pt idx="17">
                  <c:v>45.7</c:v>
                </c:pt>
                <c:pt idx="18">
                  <c:v>45.7</c:v>
                </c:pt>
                <c:pt idx="19">
                  <c:v>45.7</c:v>
                </c:pt>
                <c:pt idx="20">
                  <c:v>45.7</c:v>
                </c:pt>
                <c:pt idx="21">
                  <c:v>45.7</c:v>
                </c:pt>
                <c:pt idx="22">
                  <c:v>45.7</c:v>
                </c:pt>
                <c:pt idx="23">
                  <c:v>45.7</c:v>
                </c:pt>
              </c:numCache>
            </c:numRef>
          </c:val>
          <c:smooth val="0"/>
          <c:extLst>
            <c:ext xmlns:c16="http://schemas.microsoft.com/office/drawing/2014/chart" uri="{C3380CC4-5D6E-409C-BE32-E72D297353CC}">
              <c16:uniqueId val="{00000001-C1A1-4441-A93A-00AFC34CD93E}"/>
            </c:ext>
          </c:extLst>
        </c:ser>
        <c:ser>
          <c:idx val="2"/>
          <c:order val="2"/>
          <c:tx>
            <c:v>Total</c:v>
          </c:tx>
          <c:marker>
            <c:symbol val="none"/>
          </c:marker>
          <c:val>
            <c:numRef>
              <c:f>'Electricity consumption'!$D$62:$AA$62</c:f>
              <c:numCache>
                <c:formatCode>#,##0</c:formatCode>
                <c:ptCount val="24"/>
                <c:pt idx="0">
                  <c:v>0</c:v>
                </c:pt>
                <c:pt idx="1">
                  <c:v>0.7</c:v>
                </c:pt>
                <c:pt idx="2">
                  <c:v>0.7</c:v>
                </c:pt>
                <c:pt idx="3">
                  <c:v>0.7</c:v>
                </c:pt>
                <c:pt idx="4">
                  <c:v>0.7</c:v>
                </c:pt>
                <c:pt idx="5">
                  <c:v>0.7</c:v>
                </c:pt>
                <c:pt idx="6">
                  <c:v>15.7</c:v>
                </c:pt>
                <c:pt idx="7">
                  <c:v>15.7</c:v>
                </c:pt>
                <c:pt idx="8">
                  <c:v>15.7</c:v>
                </c:pt>
                <c:pt idx="9">
                  <c:v>15.7</c:v>
                </c:pt>
                <c:pt idx="10">
                  <c:v>35.700000000000003</c:v>
                </c:pt>
                <c:pt idx="11">
                  <c:v>75.7</c:v>
                </c:pt>
                <c:pt idx="12">
                  <c:v>75.7</c:v>
                </c:pt>
                <c:pt idx="13">
                  <c:v>180.7</c:v>
                </c:pt>
                <c:pt idx="14">
                  <c:v>180.7</c:v>
                </c:pt>
                <c:pt idx="15">
                  <c:v>180.7</c:v>
                </c:pt>
                <c:pt idx="16">
                  <c:v>180.7</c:v>
                </c:pt>
                <c:pt idx="17">
                  <c:v>180.7</c:v>
                </c:pt>
                <c:pt idx="18">
                  <c:v>180.7</c:v>
                </c:pt>
                <c:pt idx="19">
                  <c:v>180.7</c:v>
                </c:pt>
                <c:pt idx="20">
                  <c:v>180.7</c:v>
                </c:pt>
                <c:pt idx="21">
                  <c:v>180.7</c:v>
                </c:pt>
                <c:pt idx="22">
                  <c:v>180.7</c:v>
                </c:pt>
                <c:pt idx="23">
                  <c:v>180.7</c:v>
                </c:pt>
              </c:numCache>
            </c:numRef>
          </c:val>
          <c:smooth val="0"/>
          <c:extLst>
            <c:ext xmlns:c16="http://schemas.microsoft.com/office/drawing/2014/chart" uri="{C3380CC4-5D6E-409C-BE32-E72D297353CC}">
              <c16:uniqueId val="{00000002-C1A1-4441-A93A-00AFC34CD93E}"/>
            </c:ext>
          </c:extLst>
        </c:ser>
        <c:dLbls>
          <c:showLegendKey val="0"/>
          <c:showVal val="0"/>
          <c:showCatName val="0"/>
          <c:showSerName val="0"/>
          <c:showPercent val="0"/>
          <c:showBubbleSize val="0"/>
        </c:dLbls>
        <c:smooth val="0"/>
        <c:axId val="108070784"/>
        <c:axId val="108072320"/>
      </c:lineChart>
      <c:catAx>
        <c:axId val="108070784"/>
        <c:scaling>
          <c:orientation val="minMax"/>
        </c:scaling>
        <c:delete val="0"/>
        <c:axPos val="b"/>
        <c:numFmt formatCode="General" sourceLinked="1"/>
        <c:majorTickMark val="out"/>
        <c:minorTickMark val="none"/>
        <c:tickLblPos val="nextTo"/>
        <c:crossAx val="108072320"/>
        <c:crosses val="autoZero"/>
        <c:auto val="1"/>
        <c:lblAlgn val="ctr"/>
        <c:lblOffset val="100"/>
        <c:noMultiLvlLbl val="0"/>
      </c:catAx>
      <c:valAx>
        <c:axId val="108072320"/>
        <c:scaling>
          <c:orientation val="minMax"/>
        </c:scaling>
        <c:delete val="0"/>
        <c:axPos val="l"/>
        <c:majorGridlines/>
        <c:title>
          <c:tx>
            <c:rich>
              <a:bodyPr rot="-5400000" vert="horz"/>
              <a:lstStyle/>
              <a:p>
                <a:pPr>
                  <a:defRPr/>
                </a:pPr>
                <a:r>
                  <a:rPr lang="da-DK"/>
                  <a:t>MWe</a:t>
                </a:r>
              </a:p>
            </c:rich>
          </c:tx>
          <c:overlay val="0"/>
        </c:title>
        <c:numFmt formatCode="#,##0" sourceLinked="1"/>
        <c:majorTickMark val="out"/>
        <c:minorTickMark val="none"/>
        <c:tickLblPos val="nextTo"/>
        <c:crossAx val="10807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10" Type="http://schemas.openxmlformats.org/officeDocument/2006/relationships/chart" Target="../charts/chart43.xml"/><Relationship Id="rId4" Type="http://schemas.openxmlformats.org/officeDocument/2006/relationships/chart" Target="../charts/chart37.xml"/><Relationship Id="rId9"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726141</xdr:colOff>
      <xdr:row>91</xdr:row>
      <xdr:rowOff>17929</xdr:rowOff>
    </xdr:from>
    <xdr:to>
      <xdr:col>14</xdr:col>
      <xdr:colOff>419858</xdr:colOff>
      <xdr:row>113</xdr:row>
      <xdr:rowOff>146929</xdr:rowOff>
    </xdr:to>
    <xdr:graphicFrame macro="">
      <xdr:nvGraphicFramePr>
        <xdr:cNvPr id="3" name="Diagram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91</xdr:row>
      <xdr:rowOff>0</xdr:rowOff>
    </xdr:from>
    <xdr:to>
      <xdr:col>25</xdr:col>
      <xdr:colOff>428823</xdr:colOff>
      <xdr:row>113</xdr:row>
      <xdr:rowOff>129000</xdr:rowOff>
    </xdr:to>
    <xdr:graphicFrame macro="">
      <xdr:nvGraphicFramePr>
        <xdr:cNvPr id="14" name="Diagram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114</xdr:row>
      <xdr:rowOff>0</xdr:rowOff>
    </xdr:from>
    <xdr:to>
      <xdr:col>25</xdr:col>
      <xdr:colOff>428823</xdr:colOff>
      <xdr:row>136</xdr:row>
      <xdr:rowOff>129000</xdr:rowOff>
    </xdr:to>
    <xdr:graphicFrame macro="">
      <xdr:nvGraphicFramePr>
        <xdr:cNvPr id="15" name="Diagram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114</xdr:row>
      <xdr:rowOff>0</xdr:rowOff>
    </xdr:from>
    <xdr:to>
      <xdr:col>14</xdr:col>
      <xdr:colOff>428823</xdr:colOff>
      <xdr:row>136</xdr:row>
      <xdr:rowOff>129000</xdr:rowOff>
    </xdr:to>
    <xdr:graphicFrame macro="">
      <xdr:nvGraphicFramePr>
        <xdr:cNvPr id="19" name="Diagram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137</xdr:row>
      <xdr:rowOff>0</xdr:rowOff>
    </xdr:from>
    <xdr:to>
      <xdr:col>14</xdr:col>
      <xdr:colOff>428823</xdr:colOff>
      <xdr:row>159</xdr:row>
      <xdr:rowOff>129000</xdr:rowOff>
    </xdr:to>
    <xdr:graphicFrame macro="">
      <xdr:nvGraphicFramePr>
        <xdr:cNvPr id="22" name="Diagram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29</xdr:row>
      <xdr:rowOff>0</xdr:rowOff>
    </xdr:from>
    <xdr:to>
      <xdr:col>9</xdr:col>
      <xdr:colOff>634253</xdr:colOff>
      <xdr:row>44</xdr:row>
      <xdr:rowOff>64994</xdr:rowOff>
    </xdr:to>
    <xdr:graphicFrame macro="">
      <xdr:nvGraphicFramePr>
        <xdr:cNvPr id="4" name="Diagram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23</xdr:row>
      <xdr:rowOff>0</xdr:rowOff>
    </xdr:from>
    <xdr:to>
      <xdr:col>10</xdr:col>
      <xdr:colOff>336177</xdr:colOff>
      <xdr:row>37</xdr:row>
      <xdr:rowOff>76200</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18</xdr:col>
      <xdr:colOff>336177</xdr:colOff>
      <xdr:row>37</xdr:row>
      <xdr:rowOff>76200</xdr:rowOff>
    </xdr:to>
    <xdr:graphicFrame macro="">
      <xdr:nvGraphicFramePr>
        <xdr:cNvPr id="4" name="Diagram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333</xdr:row>
      <xdr:rowOff>0</xdr:rowOff>
    </xdr:from>
    <xdr:to>
      <xdr:col>9</xdr:col>
      <xdr:colOff>336177</xdr:colOff>
      <xdr:row>347</xdr:row>
      <xdr:rowOff>76200</xdr:rowOff>
    </xdr:to>
    <xdr:graphicFrame macro="">
      <xdr:nvGraphicFramePr>
        <xdr:cNvPr id="3" name="Diagram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348</xdr:row>
      <xdr:rowOff>0</xdr:rowOff>
    </xdr:from>
    <xdr:to>
      <xdr:col>9</xdr:col>
      <xdr:colOff>336177</xdr:colOff>
      <xdr:row>362</xdr:row>
      <xdr:rowOff>76200</xdr:rowOff>
    </xdr:to>
    <xdr:graphicFrame macro="">
      <xdr:nvGraphicFramePr>
        <xdr:cNvPr id="5" name="Diagram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363</xdr:row>
      <xdr:rowOff>0</xdr:rowOff>
    </xdr:from>
    <xdr:to>
      <xdr:col>9</xdr:col>
      <xdr:colOff>336177</xdr:colOff>
      <xdr:row>377</xdr:row>
      <xdr:rowOff>76200</xdr:rowOff>
    </xdr:to>
    <xdr:graphicFrame macro="">
      <xdr:nvGraphicFramePr>
        <xdr:cNvPr id="7" name="Diagram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348</xdr:row>
      <xdr:rowOff>0</xdr:rowOff>
    </xdr:from>
    <xdr:to>
      <xdr:col>25</xdr:col>
      <xdr:colOff>336177</xdr:colOff>
      <xdr:row>362</xdr:row>
      <xdr:rowOff>76200</xdr:rowOff>
    </xdr:to>
    <xdr:graphicFrame macro="">
      <xdr:nvGraphicFramePr>
        <xdr:cNvPr id="8" name="Diagram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318</xdr:row>
      <xdr:rowOff>0</xdr:rowOff>
    </xdr:from>
    <xdr:to>
      <xdr:col>9</xdr:col>
      <xdr:colOff>336177</xdr:colOff>
      <xdr:row>332</xdr:row>
      <xdr:rowOff>76200</xdr:rowOff>
    </xdr:to>
    <xdr:graphicFrame macro="">
      <xdr:nvGraphicFramePr>
        <xdr:cNvPr id="12" name="Diagram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378</xdr:row>
      <xdr:rowOff>0</xdr:rowOff>
    </xdr:from>
    <xdr:to>
      <xdr:col>9</xdr:col>
      <xdr:colOff>336177</xdr:colOff>
      <xdr:row>392</xdr:row>
      <xdr:rowOff>76200</xdr:rowOff>
    </xdr:to>
    <xdr:graphicFrame macro="">
      <xdr:nvGraphicFramePr>
        <xdr:cNvPr id="13" name="Diagram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378</xdr:row>
      <xdr:rowOff>0</xdr:rowOff>
    </xdr:from>
    <xdr:to>
      <xdr:col>17</xdr:col>
      <xdr:colOff>336177</xdr:colOff>
      <xdr:row>392</xdr:row>
      <xdr:rowOff>76200</xdr:rowOff>
    </xdr:to>
    <xdr:graphicFrame macro="">
      <xdr:nvGraphicFramePr>
        <xdr:cNvPr id="14" name="Diagram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378</xdr:row>
      <xdr:rowOff>0</xdr:rowOff>
    </xdr:from>
    <xdr:to>
      <xdr:col>25</xdr:col>
      <xdr:colOff>336177</xdr:colOff>
      <xdr:row>392</xdr:row>
      <xdr:rowOff>76200</xdr:rowOff>
    </xdr:to>
    <xdr:graphicFrame macro="">
      <xdr:nvGraphicFramePr>
        <xdr:cNvPr id="15" name="Diagram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393</xdr:row>
      <xdr:rowOff>0</xdr:rowOff>
    </xdr:from>
    <xdr:to>
      <xdr:col>9</xdr:col>
      <xdr:colOff>336177</xdr:colOff>
      <xdr:row>407</xdr:row>
      <xdr:rowOff>76200</xdr:rowOff>
    </xdr:to>
    <xdr:graphicFrame macro="">
      <xdr:nvGraphicFramePr>
        <xdr:cNvPr id="16" name="Diagram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408</xdr:row>
      <xdr:rowOff>0</xdr:rowOff>
    </xdr:from>
    <xdr:to>
      <xdr:col>9</xdr:col>
      <xdr:colOff>336177</xdr:colOff>
      <xdr:row>422</xdr:row>
      <xdr:rowOff>76200</xdr:rowOff>
    </xdr:to>
    <xdr:graphicFrame macro="">
      <xdr:nvGraphicFramePr>
        <xdr:cNvPr id="17" name="Diagram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423</xdr:row>
      <xdr:rowOff>0</xdr:rowOff>
    </xdr:from>
    <xdr:to>
      <xdr:col>23</xdr:col>
      <xdr:colOff>428824</xdr:colOff>
      <xdr:row>446</xdr:row>
      <xdr:rowOff>118500</xdr:rowOff>
    </xdr:to>
    <xdr:graphicFrame macro="">
      <xdr:nvGraphicFramePr>
        <xdr:cNvPr id="22" name="Diagram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0</xdr:colOff>
      <xdr:row>423</xdr:row>
      <xdr:rowOff>0</xdr:rowOff>
    </xdr:from>
    <xdr:to>
      <xdr:col>34</xdr:col>
      <xdr:colOff>428824</xdr:colOff>
      <xdr:row>446</xdr:row>
      <xdr:rowOff>118500</xdr:rowOff>
    </xdr:to>
    <xdr:graphicFrame macro="">
      <xdr:nvGraphicFramePr>
        <xdr:cNvPr id="23" name="Diagram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423</xdr:row>
      <xdr:rowOff>0</xdr:rowOff>
    </xdr:from>
    <xdr:to>
      <xdr:col>12</xdr:col>
      <xdr:colOff>428824</xdr:colOff>
      <xdr:row>446</xdr:row>
      <xdr:rowOff>118500</xdr:rowOff>
    </xdr:to>
    <xdr:graphicFrame macro="">
      <xdr:nvGraphicFramePr>
        <xdr:cNvPr id="24" name="Diagram 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0</xdr:colOff>
      <xdr:row>348</xdr:row>
      <xdr:rowOff>0</xdr:rowOff>
    </xdr:from>
    <xdr:to>
      <xdr:col>33</xdr:col>
      <xdr:colOff>304800</xdr:colOff>
      <xdr:row>362</xdr:row>
      <xdr:rowOff>89647</xdr:rowOff>
    </xdr:to>
    <xdr:graphicFrame macro="">
      <xdr:nvGraphicFramePr>
        <xdr:cNvPr id="18" name="Diagram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363</xdr:row>
      <xdr:rowOff>0</xdr:rowOff>
    </xdr:from>
    <xdr:to>
      <xdr:col>17</xdr:col>
      <xdr:colOff>336177</xdr:colOff>
      <xdr:row>377</xdr:row>
      <xdr:rowOff>76200</xdr:rowOff>
    </xdr:to>
    <xdr:graphicFrame macro="">
      <xdr:nvGraphicFramePr>
        <xdr:cNvPr id="19" name="Diagram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0</xdr:colOff>
      <xdr:row>363</xdr:row>
      <xdr:rowOff>0</xdr:rowOff>
    </xdr:from>
    <xdr:to>
      <xdr:col>25</xdr:col>
      <xdr:colOff>336177</xdr:colOff>
      <xdr:row>377</xdr:row>
      <xdr:rowOff>76200</xdr:rowOff>
    </xdr:to>
    <xdr:graphicFrame macro="">
      <xdr:nvGraphicFramePr>
        <xdr:cNvPr id="20" name="Diagram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0</xdr:colOff>
      <xdr:row>348</xdr:row>
      <xdr:rowOff>0</xdr:rowOff>
    </xdr:from>
    <xdr:to>
      <xdr:col>41</xdr:col>
      <xdr:colOff>304800</xdr:colOff>
      <xdr:row>362</xdr:row>
      <xdr:rowOff>152400</xdr:rowOff>
    </xdr:to>
    <xdr:graphicFrame macro="">
      <xdr:nvGraphicFramePr>
        <xdr:cNvPr id="21" name="Diagram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0</xdr:colOff>
      <xdr:row>363</xdr:row>
      <xdr:rowOff>0</xdr:rowOff>
    </xdr:from>
    <xdr:to>
      <xdr:col>33</xdr:col>
      <xdr:colOff>336177</xdr:colOff>
      <xdr:row>377</xdr:row>
      <xdr:rowOff>76200</xdr:rowOff>
    </xdr:to>
    <xdr:graphicFrame macro="">
      <xdr:nvGraphicFramePr>
        <xdr:cNvPr id="28" name="Diagram 27">
          <a:extLst>
            <a:ext uri="{FF2B5EF4-FFF2-40B4-BE49-F238E27FC236}">
              <a16:creationId xmlns:a16="http://schemas.microsoft.com/office/drawing/2014/main" id="{00000000-0008-0000-04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0</xdr:colOff>
      <xdr:row>348</xdr:row>
      <xdr:rowOff>0</xdr:rowOff>
    </xdr:from>
    <xdr:to>
      <xdr:col>17</xdr:col>
      <xdr:colOff>336177</xdr:colOff>
      <xdr:row>362</xdr:row>
      <xdr:rowOff>76200</xdr:rowOff>
    </xdr:to>
    <xdr:graphicFrame macro="">
      <xdr:nvGraphicFramePr>
        <xdr:cNvPr id="6" name="Diagram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86</xdr:row>
      <xdr:rowOff>0</xdr:rowOff>
    </xdr:from>
    <xdr:to>
      <xdr:col>9</xdr:col>
      <xdr:colOff>336177</xdr:colOff>
      <xdr:row>100</xdr:row>
      <xdr:rowOff>76200</xdr:rowOff>
    </xdr:to>
    <xdr:graphicFrame macro="">
      <xdr:nvGraphicFramePr>
        <xdr:cNvPr id="6" name="Diagra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101</xdr:row>
      <xdr:rowOff>0</xdr:rowOff>
    </xdr:from>
    <xdr:to>
      <xdr:col>9</xdr:col>
      <xdr:colOff>336177</xdr:colOff>
      <xdr:row>115</xdr:row>
      <xdr:rowOff>76200</xdr:rowOff>
    </xdr:to>
    <xdr:graphicFrame macro="">
      <xdr:nvGraphicFramePr>
        <xdr:cNvPr id="8" name="Diagram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86</xdr:row>
      <xdr:rowOff>0</xdr:rowOff>
    </xdr:from>
    <xdr:to>
      <xdr:col>17</xdr:col>
      <xdr:colOff>587189</xdr:colOff>
      <xdr:row>100</xdr:row>
      <xdr:rowOff>76200</xdr:rowOff>
    </xdr:to>
    <xdr:graphicFrame macro="">
      <xdr:nvGraphicFramePr>
        <xdr:cNvPr id="11" name="Diagram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101</xdr:row>
      <xdr:rowOff>0</xdr:rowOff>
    </xdr:from>
    <xdr:to>
      <xdr:col>17</xdr:col>
      <xdr:colOff>587189</xdr:colOff>
      <xdr:row>115</xdr:row>
      <xdr:rowOff>76200</xdr:rowOff>
    </xdr:to>
    <xdr:graphicFrame macro="">
      <xdr:nvGraphicFramePr>
        <xdr:cNvPr id="12" name="Diagram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313764</xdr:colOff>
      <xdr:row>17</xdr:row>
      <xdr:rowOff>179294</xdr:rowOff>
    </xdr:from>
    <xdr:to>
      <xdr:col>13</xdr:col>
      <xdr:colOff>616624</xdr:colOff>
      <xdr:row>41</xdr:row>
      <xdr:rowOff>122647</xdr:rowOff>
    </xdr:to>
    <xdr:pic>
      <xdr:nvPicPr>
        <xdr:cNvPr id="3" name="Billed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4096870" y="3406588"/>
          <a:ext cx="6578154" cy="42553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90</xdr:row>
      <xdr:rowOff>0</xdr:rowOff>
    </xdr:from>
    <xdr:to>
      <xdr:col>13</xdr:col>
      <xdr:colOff>428824</xdr:colOff>
      <xdr:row>113</xdr:row>
      <xdr:rowOff>118500</xdr:rowOff>
    </xdr:to>
    <xdr:graphicFrame macro="">
      <xdr:nvGraphicFramePr>
        <xdr:cNvPr id="4" name="Diagram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90</xdr:row>
      <xdr:rowOff>0</xdr:rowOff>
    </xdr:from>
    <xdr:to>
      <xdr:col>24</xdr:col>
      <xdr:colOff>428824</xdr:colOff>
      <xdr:row>113</xdr:row>
      <xdr:rowOff>118500</xdr:rowOff>
    </xdr:to>
    <xdr:graphicFrame macro="">
      <xdr:nvGraphicFramePr>
        <xdr:cNvPr id="5" name="Diagram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90</xdr:row>
      <xdr:rowOff>0</xdr:rowOff>
    </xdr:from>
    <xdr:to>
      <xdr:col>35</xdr:col>
      <xdr:colOff>428824</xdr:colOff>
      <xdr:row>113</xdr:row>
      <xdr:rowOff>118500</xdr:rowOff>
    </xdr:to>
    <xdr:graphicFrame macro="">
      <xdr:nvGraphicFramePr>
        <xdr:cNvPr id="6" name="Diagram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10886</xdr:colOff>
      <xdr:row>301</xdr:row>
      <xdr:rowOff>32657</xdr:rowOff>
    </xdr:from>
    <xdr:to>
      <xdr:col>19</xdr:col>
      <xdr:colOff>270298</xdr:colOff>
      <xdr:row>333</xdr:row>
      <xdr:rowOff>56657</xdr:rowOff>
    </xdr:to>
    <xdr:graphicFrame macro="">
      <xdr:nvGraphicFramePr>
        <xdr:cNvPr id="16" name="Pladsholder til indhold 6">
          <a:extLst>
            <a:ext uri="{FF2B5EF4-FFF2-40B4-BE49-F238E27FC236}">
              <a16:creationId xmlns:a16="http://schemas.microsoft.com/office/drawing/2014/main" id="{00000000-0008-0000-0900-000010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334</xdr:row>
      <xdr:rowOff>0</xdr:rowOff>
    </xdr:from>
    <xdr:to>
      <xdr:col>19</xdr:col>
      <xdr:colOff>259412</xdr:colOff>
      <xdr:row>366</xdr:row>
      <xdr:rowOff>24000</xdr:rowOff>
    </xdr:to>
    <xdr:graphicFrame macro="">
      <xdr:nvGraphicFramePr>
        <xdr:cNvPr id="17" name="Pladsholder til indhold 6">
          <a:extLst>
            <a:ext uri="{FF2B5EF4-FFF2-40B4-BE49-F238E27FC236}">
              <a16:creationId xmlns:a16="http://schemas.microsoft.com/office/drawing/2014/main" id="{00000000-0008-0000-0900-000011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582704</xdr:colOff>
      <xdr:row>367</xdr:row>
      <xdr:rowOff>0</xdr:rowOff>
    </xdr:from>
    <xdr:to>
      <xdr:col>15</xdr:col>
      <xdr:colOff>70234</xdr:colOff>
      <xdr:row>390</xdr:row>
      <xdr:rowOff>118500</xdr:rowOff>
    </xdr:to>
    <xdr:graphicFrame macro="">
      <xdr:nvGraphicFramePr>
        <xdr:cNvPr id="18" name="Diagram 17">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301</xdr:row>
      <xdr:rowOff>0</xdr:rowOff>
    </xdr:from>
    <xdr:to>
      <xdr:col>28</xdr:col>
      <xdr:colOff>190767</xdr:colOff>
      <xdr:row>314</xdr:row>
      <xdr:rowOff>62002</xdr:rowOff>
    </xdr:to>
    <xdr:graphicFrame macro="">
      <xdr:nvGraphicFramePr>
        <xdr:cNvPr id="19" name="Diagram 18">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315</xdr:row>
      <xdr:rowOff>0</xdr:rowOff>
    </xdr:from>
    <xdr:to>
      <xdr:col>28</xdr:col>
      <xdr:colOff>188259</xdr:colOff>
      <xdr:row>328</xdr:row>
      <xdr:rowOff>62000</xdr:rowOff>
    </xdr:to>
    <xdr:graphicFrame macro="">
      <xdr:nvGraphicFramePr>
        <xdr:cNvPr id="20" name="Diagram 19">
          <a:extLst>
            <a:ext uri="{FF2B5EF4-FFF2-40B4-BE49-F238E27FC236}">
              <a16:creationId xmlns:a16="http://schemas.microsoft.com/office/drawing/2014/main" id="{00000000-0008-0000-09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329</xdr:row>
      <xdr:rowOff>0</xdr:rowOff>
    </xdr:from>
    <xdr:to>
      <xdr:col>28</xdr:col>
      <xdr:colOff>188259</xdr:colOff>
      <xdr:row>342</xdr:row>
      <xdr:rowOff>62001</xdr:rowOff>
    </xdr:to>
    <xdr:graphicFrame macro="">
      <xdr:nvGraphicFramePr>
        <xdr:cNvPr id="21" name="Diagram 20">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595312</xdr:colOff>
      <xdr:row>391</xdr:row>
      <xdr:rowOff>0</xdr:rowOff>
    </xdr:from>
    <xdr:to>
      <xdr:col>12</xdr:col>
      <xdr:colOff>385762</xdr:colOff>
      <xdr:row>406</xdr:row>
      <xdr:rowOff>41563</xdr:rowOff>
    </xdr:to>
    <xdr:graphicFrame macro="">
      <xdr:nvGraphicFramePr>
        <xdr:cNvPr id="23" name="Diagram 22">
          <a:extLst>
            <a:ext uri="{FF2B5EF4-FFF2-40B4-BE49-F238E27FC236}">
              <a16:creationId xmlns:a16="http://schemas.microsoft.com/office/drawing/2014/main" id="{00000000-0008-0000-09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233081</xdr:colOff>
      <xdr:row>301</xdr:row>
      <xdr:rowOff>17930</xdr:rowOff>
    </xdr:from>
    <xdr:to>
      <xdr:col>37</xdr:col>
      <xdr:colOff>466164</xdr:colOff>
      <xdr:row>318</xdr:row>
      <xdr:rowOff>53789</xdr:rowOff>
    </xdr:to>
    <xdr:graphicFrame macro="">
      <xdr:nvGraphicFramePr>
        <xdr:cNvPr id="14" name="Diagram 13">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224117</xdr:colOff>
      <xdr:row>318</xdr:row>
      <xdr:rowOff>80683</xdr:rowOff>
    </xdr:from>
    <xdr:to>
      <xdr:col>37</xdr:col>
      <xdr:colOff>457200</xdr:colOff>
      <xdr:row>334</xdr:row>
      <xdr:rowOff>125507</xdr:rowOff>
    </xdr:to>
    <xdr:graphicFrame macro="">
      <xdr:nvGraphicFramePr>
        <xdr:cNvPr id="15" name="Diagram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224118</xdr:colOff>
      <xdr:row>335</xdr:row>
      <xdr:rowOff>17930</xdr:rowOff>
    </xdr:from>
    <xdr:to>
      <xdr:col>37</xdr:col>
      <xdr:colOff>457201</xdr:colOff>
      <xdr:row>351</xdr:row>
      <xdr:rowOff>62754</xdr:rowOff>
    </xdr:to>
    <xdr:graphicFrame macro="">
      <xdr:nvGraphicFramePr>
        <xdr:cNvPr id="11" name="Diagram 10">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80</xdr:row>
      <xdr:rowOff>43541</xdr:rowOff>
    </xdr:from>
    <xdr:to>
      <xdr:col>4</xdr:col>
      <xdr:colOff>326572</xdr:colOff>
      <xdr:row>95</xdr:row>
      <xdr:rowOff>32657</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80</xdr:row>
      <xdr:rowOff>32657</xdr:rowOff>
    </xdr:from>
    <xdr:to>
      <xdr:col>12</xdr:col>
      <xdr:colOff>304800</xdr:colOff>
      <xdr:row>95</xdr:row>
      <xdr:rowOff>0</xdr:rowOff>
    </xdr:to>
    <xdr:graphicFrame macro="">
      <xdr:nvGraphicFramePr>
        <xdr:cNvPr id="5" name="Diagram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10886</xdr:colOff>
      <xdr:row>80</xdr:row>
      <xdr:rowOff>10885</xdr:rowOff>
    </xdr:from>
    <xdr:to>
      <xdr:col>20</xdr:col>
      <xdr:colOff>315686</xdr:colOff>
      <xdr:row>94</xdr:row>
      <xdr:rowOff>163285</xdr:rowOff>
    </xdr:to>
    <xdr:graphicFrame macro="">
      <xdr:nvGraphicFramePr>
        <xdr:cNvPr id="6" name="Diagram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228600</xdr:colOff>
      <xdr:row>3</xdr:row>
      <xdr:rowOff>104775</xdr:rowOff>
    </xdr:from>
    <xdr:to>
      <xdr:col>13</xdr:col>
      <xdr:colOff>285749</xdr:colOff>
      <xdr:row>31</xdr:row>
      <xdr:rowOff>161925</xdr:rowOff>
    </xdr:to>
    <xdr:pic>
      <xdr:nvPicPr>
        <xdr:cNvPr id="24" name="Picture 2">
          <a:extLst>
            <a:ext uri="{FF2B5EF4-FFF2-40B4-BE49-F238E27FC236}">
              <a16:creationId xmlns:a16="http://schemas.microsoft.com/office/drawing/2014/main" id="{00000000-0008-0000-0C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77800" y="737235"/>
          <a:ext cx="5055870" cy="517779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0</xdr:colOff>
      <xdr:row>10</xdr:row>
      <xdr:rowOff>47625</xdr:rowOff>
    </xdr:from>
    <xdr:to>
      <xdr:col>7</xdr:col>
      <xdr:colOff>0</xdr:colOff>
      <xdr:row>37</xdr:row>
      <xdr:rowOff>66675</xdr:rowOff>
    </xdr:to>
    <xdr:cxnSp macro="">
      <xdr:nvCxnSpPr>
        <xdr:cNvPr id="25" name="Lige forbindelse 24">
          <a:extLst>
            <a:ext uri="{FF2B5EF4-FFF2-40B4-BE49-F238E27FC236}">
              <a16:creationId xmlns:a16="http://schemas.microsoft.com/office/drawing/2014/main" id="{00000000-0008-0000-0C00-000019000000}"/>
            </a:ext>
          </a:extLst>
        </xdr:cNvPr>
        <xdr:cNvCxnSpPr>
          <a:cxnSpLocks noChangeShapeType="1"/>
        </xdr:cNvCxnSpPr>
      </xdr:nvCxnSpPr>
      <xdr:spPr bwMode="auto">
        <a:xfrm>
          <a:off x="13898880" y="1960245"/>
          <a:ext cx="0" cy="4956810"/>
        </a:xfrm>
        <a:prstGeom prst="line">
          <a:avLst/>
        </a:prstGeom>
        <a:noFill/>
        <a:ln w="38100" algn="ctr">
          <a:solidFill>
            <a:schemeClr val="accent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7</xdr:col>
      <xdr:colOff>0</xdr:colOff>
      <xdr:row>10</xdr:row>
      <xdr:rowOff>47625</xdr:rowOff>
    </xdr:from>
    <xdr:to>
      <xdr:col>9</xdr:col>
      <xdr:colOff>200025</xdr:colOff>
      <xdr:row>15</xdr:row>
      <xdr:rowOff>104775</xdr:rowOff>
    </xdr:to>
    <xdr:cxnSp macro="">
      <xdr:nvCxnSpPr>
        <xdr:cNvPr id="26" name="Lige forbindelse 25">
          <a:extLst>
            <a:ext uri="{FF2B5EF4-FFF2-40B4-BE49-F238E27FC236}">
              <a16:creationId xmlns:a16="http://schemas.microsoft.com/office/drawing/2014/main" id="{00000000-0008-0000-0C00-00001A000000}"/>
            </a:ext>
          </a:extLst>
        </xdr:cNvPr>
        <xdr:cNvCxnSpPr>
          <a:cxnSpLocks noChangeShapeType="1"/>
        </xdr:cNvCxnSpPr>
      </xdr:nvCxnSpPr>
      <xdr:spPr bwMode="auto">
        <a:xfrm flipH="1">
          <a:off x="13898880" y="1960245"/>
          <a:ext cx="1449705" cy="971550"/>
        </a:xfrm>
        <a:prstGeom prst="line">
          <a:avLst/>
        </a:prstGeom>
        <a:noFill/>
        <a:ln w="38100" algn="ctr">
          <a:solidFill>
            <a:schemeClr val="accent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11</xdr:col>
      <xdr:colOff>152400</xdr:colOff>
      <xdr:row>22</xdr:row>
      <xdr:rowOff>133350</xdr:rowOff>
    </xdr:from>
    <xdr:to>
      <xdr:col>11</xdr:col>
      <xdr:colOff>390525</xdr:colOff>
      <xdr:row>26</xdr:row>
      <xdr:rowOff>47625</xdr:rowOff>
    </xdr:to>
    <xdr:cxnSp macro="">
      <xdr:nvCxnSpPr>
        <xdr:cNvPr id="27" name="Lige forbindelse 26">
          <a:extLst>
            <a:ext uri="{FF2B5EF4-FFF2-40B4-BE49-F238E27FC236}">
              <a16:creationId xmlns:a16="http://schemas.microsoft.com/office/drawing/2014/main" id="{00000000-0008-0000-0C00-00001B000000}"/>
            </a:ext>
          </a:extLst>
        </xdr:cNvPr>
        <xdr:cNvCxnSpPr>
          <a:cxnSpLocks noChangeShapeType="1"/>
        </xdr:cNvCxnSpPr>
      </xdr:nvCxnSpPr>
      <xdr:spPr bwMode="auto">
        <a:xfrm>
          <a:off x="16550640" y="4240530"/>
          <a:ext cx="238125" cy="645795"/>
        </a:xfrm>
        <a:prstGeom prst="line">
          <a:avLst/>
        </a:prstGeom>
        <a:noFill/>
        <a:ln w="38100" algn="ctr">
          <a:solidFill>
            <a:schemeClr val="accent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3</xdr:col>
      <xdr:colOff>352425</xdr:colOff>
      <xdr:row>26</xdr:row>
      <xdr:rowOff>47625</xdr:rowOff>
    </xdr:from>
    <xdr:to>
      <xdr:col>15</xdr:col>
      <xdr:colOff>161925</xdr:colOff>
      <xdr:row>26</xdr:row>
      <xdr:rowOff>47625</xdr:rowOff>
    </xdr:to>
    <xdr:cxnSp macro="">
      <xdr:nvCxnSpPr>
        <xdr:cNvPr id="28" name="Lige forbindelse 27">
          <a:extLst>
            <a:ext uri="{FF2B5EF4-FFF2-40B4-BE49-F238E27FC236}">
              <a16:creationId xmlns:a16="http://schemas.microsoft.com/office/drawing/2014/main" id="{00000000-0008-0000-0C00-00001C000000}"/>
            </a:ext>
          </a:extLst>
        </xdr:cNvPr>
        <xdr:cNvCxnSpPr>
          <a:cxnSpLocks noChangeShapeType="1"/>
        </xdr:cNvCxnSpPr>
      </xdr:nvCxnSpPr>
      <xdr:spPr bwMode="auto">
        <a:xfrm flipV="1">
          <a:off x="11515725" y="4886325"/>
          <a:ext cx="7543800" cy="0"/>
        </a:xfrm>
        <a:prstGeom prst="line">
          <a:avLst/>
        </a:prstGeom>
        <a:noFill/>
        <a:ln w="38100" algn="ctr">
          <a:solidFill>
            <a:schemeClr val="accent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11</xdr:col>
      <xdr:colOff>276225</xdr:colOff>
      <xdr:row>22</xdr:row>
      <xdr:rowOff>85725</xdr:rowOff>
    </xdr:from>
    <xdr:to>
      <xdr:col>11</xdr:col>
      <xdr:colOff>476250</xdr:colOff>
      <xdr:row>24</xdr:row>
      <xdr:rowOff>152400</xdr:rowOff>
    </xdr:to>
    <xdr:cxnSp macro="">
      <xdr:nvCxnSpPr>
        <xdr:cNvPr id="29" name="Lige forbindelse 28">
          <a:extLst>
            <a:ext uri="{FF2B5EF4-FFF2-40B4-BE49-F238E27FC236}">
              <a16:creationId xmlns:a16="http://schemas.microsoft.com/office/drawing/2014/main" id="{00000000-0008-0000-0C00-00001D000000}"/>
            </a:ext>
          </a:extLst>
        </xdr:cNvPr>
        <xdr:cNvCxnSpPr>
          <a:cxnSpLocks noChangeShapeType="1"/>
        </xdr:cNvCxnSpPr>
      </xdr:nvCxnSpPr>
      <xdr:spPr bwMode="auto">
        <a:xfrm>
          <a:off x="16674465" y="4192905"/>
          <a:ext cx="200025" cy="432435"/>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7</xdr:col>
      <xdr:colOff>495300</xdr:colOff>
      <xdr:row>9</xdr:row>
      <xdr:rowOff>95250</xdr:rowOff>
    </xdr:from>
    <xdr:to>
      <xdr:col>8</xdr:col>
      <xdr:colOff>590550</xdr:colOff>
      <xdr:row>11</xdr:row>
      <xdr:rowOff>152400</xdr:rowOff>
    </xdr:to>
    <xdr:cxnSp macro="">
      <xdr:nvCxnSpPr>
        <xdr:cNvPr id="30" name="Lige forbindelse 29">
          <a:extLst>
            <a:ext uri="{FF2B5EF4-FFF2-40B4-BE49-F238E27FC236}">
              <a16:creationId xmlns:a16="http://schemas.microsoft.com/office/drawing/2014/main" id="{00000000-0008-0000-0C00-00001E000000}"/>
            </a:ext>
          </a:extLst>
        </xdr:cNvPr>
        <xdr:cNvCxnSpPr>
          <a:cxnSpLocks noChangeShapeType="1"/>
        </xdr:cNvCxnSpPr>
      </xdr:nvCxnSpPr>
      <xdr:spPr bwMode="auto">
        <a:xfrm flipH="1">
          <a:off x="14394180" y="1824990"/>
          <a:ext cx="720090" cy="42291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10</xdr:col>
      <xdr:colOff>590550</xdr:colOff>
      <xdr:row>22</xdr:row>
      <xdr:rowOff>123826</xdr:rowOff>
    </xdr:from>
    <xdr:to>
      <xdr:col>11</xdr:col>
      <xdr:colOff>161925</xdr:colOff>
      <xdr:row>25</xdr:row>
      <xdr:rowOff>28575</xdr:rowOff>
    </xdr:to>
    <xdr:cxnSp macro="">
      <xdr:nvCxnSpPr>
        <xdr:cNvPr id="31" name="Lige forbindelse 30">
          <a:extLst>
            <a:ext uri="{FF2B5EF4-FFF2-40B4-BE49-F238E27FC236}">
              <a16:creationId xmlns:a16="http://schemas.microsoft.com/office/drawing/2014/main" id="{00000000-0008-0000-0C00-00001F000000}"/>
            </a:ext>
          </a:extLst>
        </xdr:cNvPr>
        <xdr:cNvCxnSpPr>
          <a:cxnSpLocks noChangeShapeType="1"/>
        </xdr:cNvCxnSpPr>
      </xdr:nvCxnSpPr>
      <xdr:spPr bwMode="auto">
        <a:xfrm flipH="1" flipV="1">
          <a:off x="16363950" y="4231006"/>
          <a:ext cx="196215" cy="453389"/>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13</xdr:col>
      <xdr:colOff>495300</xdr:colOff>
      <xdr:row>25</xdr:row>
      <xdr:rowOff>28575</xdr:rowOff>
    </xdr:from>
    <xdr:to>
      <xdr:col>15</xdr:col>
      <xdr:colOff>161925</xdr:colOff>
      <xdr:row>25</xdr:row>
      <xdr:rowOff>28575</xdr:rowOff>
    </xdr:to>
    <xdr:cxnSp macro="">
      <xdr:nvCxnSpPr>
        <xdr:cNvPr id="32" name="Lige forbindelse 31">
          <a:extLst>
            <a:ext uri="{FF2B5EF4-FFF2-40B4-BE49-F238E27FC236}">
              <a16:creationId xmlns:a16="http://schemas.microsoft.com/office/drawing/2014/main" id="{00000000-0008-0000-0C00-000020000000}"/>
            </a:ext>
          </a:extLst>
        </xdr:cNvPr>
        <xdr:cNvCxnSpPr>
          <a:cxnSpLocks noChangeShapeType="1"/>
        </xdr:cNvCxnSpPr>
      </xdr:nvCxnSpPr>
      <xdr:spPr bwMode="auto">
        <a:xfrm flipH="1">
          <a:off x="18143220" y="4684395"/>
          <a:ext cx="916305" cy="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13</xdr:col>
      <xdr:colOff>523875</xdr:colOff>
      <xdr:row>27</xdr:row>
      <xdr:rowOff>104775</xdr:rowOff>
    </xdr:from>
    <xdr:to>
      <xdr:col>15</xdr:col>
      <xdr:colOff>209550</xdr:colOff>
      <xdr:row>27</xdr:row>
      <xdr:rowOff>104775</xdr:rowOff>
    </xdr:to>
    <xdr:cxnSp macro="">
      <xdr:nvCxnSpPr>
        <xdr:cNvPr id="33" name="Lige forbindelse 32">
          <a:extLst>
            <a:ext uri="{FF2B5EF4-FFF2-40B4-BE49-F238E27FC236}">
              <a16:creationId xmlns:a16="http://schemas.microsoft.com/office/drawing/2014/main" id="{00000000-0008-0000-0C00-000021000000}"/>
            </a:ext>
          </a:extLst>
        </xdr:cNvPr>
        <xdr:cNvCxnSpPr>
          <a:cxnSpLocks noChangeShapeType="1"/>
        </xdr:cNvCxnSpPr>
      </xdr:nvCxnSpPr>
      <xdr:spPr bwMode="auto">
        <a:xfrm>
          <a:off x="18171795" y="5126355"/>
          <a:ext cx="935355" cy="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6</xdr:col>
      <xdr:colOff>276225</xdr:colOff>
      <xdr:row>32</xdr:row>
      <xdr:rowOff>142875</xdr:rowOff>
    </xdr:from>
    <xdr:to>
      <xdr:col>6</xdr:col>
      <xdr:colOff>276225</xdr:colOff>
      <xdr:row>37</xdr:row>
      <xdr:rowOff>142875</xdr:rowOff>
    </xdr:to>
    <xdr:cxnSp macro="">
      <xdr:nvCxnSpPr>
        <xdr:cNvPr id="34" name="Lige forbindelse 33">
          <a:extLst>
            <a:ext uri="{FF2B5EF4-FFF2-40B4-BE49-F238E27FC236}">
              <a16:creationId xmlns:a16="http://schemas.microsoft.com/office/drawing/2014/main" id="{00000000-0008-0000-0C00-000022000000}"/>
            </a:ext>
          </a:extLst>
        </xdr:cNvPr>
        <xdr:cNvCxnSpPr>
          <a:cxnSpLocks noChangeShapeType="1"/>
        </xdr:cNvCxnSpPr>
      </xdr:nvCxnSpPr>
      <xdr:spPr bwMode="auto">
        <a:xfrm flipV="1">
          <a:off x="13550265" y="6078855"/>
          <a:ext cx="0" cy="91440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7</xdr:col>
      <xdr:colOff>428625</xdr:colOff>
      <xdr:row>33</xdr:row>
      <xdr:rowOff>28575</xdr:rowOff>
    </xdr:from>
    <xdr:to>
      <xdr:col>7</xdr:col>
      <xdr:colOff>428625</xdr:colOff>
      <xdr:row>38</xdr:row>
      <xdr:rowOff>9525</xdr:rowOff>
    </xdr:to>
    <xdr:cxnSp macro="">
      <xdr:nvCxnSpPr>
        <xdr:cNvPr id="35" name="Lige forbindelse 34">
          <a:extLst>
            <a:ext uri="{FF2B5EF4-FFF2-40B4-BE49-F238E27FC236}">
              <a16:creationId xmlns:a16="http://schemas.microsoft.com/office/drawing/2014/main" id="{00000000-0008-0000-0C00-000023000000}"/>
            </a:ext>
          </a:extLst>
        </xdr:cNvPr>
        <xdr:cNvCxnSpPr>
          <a:cxnSpLocks noChangeShapeType="1"/>
        </xdr:cNvCxnSpPr>
      </xdr:nvCxnSpPr>
      <xdr:spPr bwMode="auto">
        <a:xfrm>
          <a:off x="14327505" y="6147435"/>
          <a:ext cx="0" cy="89535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8</xdr:col>
      <xdr:colOff>66675</xdr:colOff>
      <xdr:row>11</xdr:row>
      <xdr:rowOff>152400</xdr:rowOff>
    </xdr:from>
    <xdr:to>
      <xdr:col>9</xdr:col>
      <xdr:colOff>257175</xdr:colOff>
      <xdr:row>14</xdr:row>
      <xdr:rowOff>85725</xdr:rowOff>
    </xdr:to>
    <xdr:cxnSp macro="">
      <xdr:nvCxnSpPr>
        <xdr:cNvPr id="36" name="Lige forbindelse 35">
          <a:extLst>
            <a:ext uri="{FF2B5EF4-FFF2-40B4-BE49-F238E27FC236}">
              <a16:creationId xmlns:a16="http://schemas.microsoft.com/office/drawing/2014/main" id="{00000000-0008-0000-0C00-000024000000}"/>
            </a:ext>
          </a:extLst>
        </xdr:cNvPr>
        <xdr:cNvCxnSpPr>
          <a:cxnSpLocks noChangeShapeType="1"/>
        </xdr:cNvCxnSpPr>
      </xdr:nvCxnSpPr>
      <xdr:spPr bwMode="auto">
        <a:xfrm flipV="1">
          <a:off x="14590395" y="2247900"/>
          <a:ext cx="815340" cy="481965"/>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3</xdr:col>
      <xdr:colOff>419100</xdr:colOff>
      <xdr:row>25</xdr:row>
      <xdr:rowOff>66675</xdr:rowOff>
    </xdr:from>
    <xdr:to>
      <xdr:col>5</xdr:col>
      <xdr:colOff>228600</xdr:colOff>
      <xdr:row>25</xdr:row>
      <xdr:rowOff>66675</xdr:rowOff>
    </xdr:to>
    <xdr:cxnSp macro="">
      <xdr:nvCxnSpPr>
        <xdr:cNvPr id="37" name="Lige forbindelse 36">
          <a:extLst>
            <a:ext uri="{FF2B5EF4-FFF2-40B4-BE49-F238E27FC236}">
              <a16:creationId xmlns:a16="http://schemas.microsoft.com/office/drawing/2014/main" id="{00000000-0008-0000-0C00-000025000000}"/>
            </a:ext>
          </a:extLst>
        </xdr:cNvPr>
        <xdr:cNvCxnSpPr>
          <a:cxnSpLocks noChangeShapeType="1"/>
        </xdr:cNvCxnSpPr>
      </xdr:nvCxnSpPr>
      <xdr:spPr bwMode="auto">
        <a:xfrm>
          <a:off x="11582400" y="4722495"/>
          <a:ext cx="1295400" cy="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3</xdr:col>
      <xdr:colOff>352425</xdr:colOff>
      <xdr:row>27</xdr:row>
      <xdr:rowOff>28575</xdr:rowOff>
    </xdr:from>
    <xdr:to>
      <xdr:col>5</xdr:col>
      <xdr:colOff>228600</xdr:colOff>
      <xdr:row>27</xdr:row>
      <xdr:rowOff>28575</xdr:rowOff>
    </xdr:to>
    <xdr:cxnSp macro="">
      <xdr:nvCxnSpPr>
        <xdr:cNvPr id="38" name="Lige forbindelse 37">
          <a:extLst>
            <a:ext uri="{FF2B5EF4-FFF2-40B4-BE49-F238E27FC236}">
              <a16:creationId xmlns:a16="http://schemas.microsoft.com/office/drawing/2014/main" id="{00000000-0008-0000-0C00-000026000000}"/>
            </a:ext>
          </a:extLst>
        </xdr:cNvPr>
        <xdr:cNvCxnSpPr>
          <a:cxnSpLocks noChangeShapeType="1"/>
        </xdr:cNvCxnSpPr>
      </xdr:nvCxnSpPr>
      <xdr:spPr bwMode="auto">
        <a:xfrm flipH="1">
          <a:off x="11515725" y="5050155"/>
          <a:ext cx="1362075" cy="0"/>
        </a:xfrm>
        <a:prstGeom prst="line">
          <a:avLst/>
        </a:prstGeom>
        <a:noFill/>
        <a:ln w="38100" algn="ctr">
          <a:solidFill>
            <a:schemeClr val="accent5"/>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cxnSp>
    <xdr:clientData/>
  </xdr:twoCellAnchor>
  <xdr:twoCellAnchor>
    <xdr:from>
      <xdr:col>4</xdr:col>
      <xdr:colOff>63499</xdr:colOff>
      <xdr:row>4</xdr:row>
      <xdr:rowOff>111125</xdr:rowOff>
    </xdr:from>
    <xdr:to>
      <xdr:col>8</xdr:col>
      <xdr:colOff>300588</xdr:colOff>
      <xdr:row>9</xdr:row>
      <xdr:rowOff>46779</xdr:rowOff>
    </xdr:to>
    <xdr:sp macro="" textlink="">
      <xdr:nvSpPr>
        <xdr:cNvPr id="39" name="Tekstboks 61">
          <a:extLst>
            <a:ext uri="{FF2B5EF4-FFF2-40B4-BE49-F238E27FC236}">
              <a16:creationId xmlns:a16="http://schemas.microsoft.com/office/drawing/2014/main" id="{00000000-0008-0000-0C00-000027000000}"/>
            </a:ext>
          </a:extLst>
        </xdr:cNvPr>
        <xdr:cNvSpPr txBox="1"/>
      </xdr:nvSpPr>
      <xdr:spPr>
        <a:xfrm>
          <a:off x="2636370" y="917949"/>
          <a:ext cx="2827889" cy="832124"/>
        </a:xfrm>
        <a:prstGeom prst="rect">
          <a:avLst/>
        </a:prstGeom>
        <a:solidFill>
          <a:schemeClr val="bg1"/>
        </a:solidFill>
        <a:ln>
          <a:solidFill>
            <a:schemeClr val="tx1"/>
          </a:solidFill>
        </a:ln>
      </xdr:spPr>
      <xdr:txBody>
        <a:bodyPr wrap="square" lIns="108000" tIns="108000" rIns="108000" bIns="108000">
          <a:sp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ts val="500"/>
            </a:lnSpc>
            <a:buFont typeface="Wingdings" pitchFamily="2" charset="2"/>
            <a:buNone/>
            <a:defRPr/>
          </a:pPr>
          <a:r>
            <a:rPr lang="da-DK" sz="1000" b="1" u="sng">
              <a:latin typeface="+mn-lt"/>
            </a:rPr>
            <a:t>Ll. Torup</a:t>
          </a:r>
          <a:r>
            <a:rPr lang="da-DK" sz="1000" b="1" u="sng" baseline="30000">
              <a:latin typeface="+mn-lt"/>
            </a:rPr>
            <a:t>2</a:t>
          </a:r>
        </a:p>
        <a:p>
          <a:pPr>
            <a:lnSpc>
              <a:spcPts val="2200"/>
            </a:lnSpc>
            <a:buFont typeface="Wingdings" pitchFamily="2" charset="2"/>
            <a:buNone/>
            <a:defRPr/>
          </a:pPr>
          <a:r>
            <a:rPr lang="da-DK" sz="1000">
              <a:solidFill>
                <a:srgbClr val="00B050"/>
              </a:solidFill>
              <a:latin typeface="+mn-lt"/>
            </a:rPr>
            <a:t>Entry (extraction) </a:t>
          </a:r>
          <a:r>
            <a:rPr lang="da-DK" sz="1000">
              <a:solidFill>
                <a:sysClr val="windowText" lastClr="000000"/>
              </a:solidFill>
              <a:latin typeface="+mn-lt"/>
            </a:rPr>
            <a:t>-</a:t>
          </a:r>
          <a:r>
            <a:rPr lang="da-DK" sz="1000" baseline="0">
              <a:solidFill>
                <a:sysClr val="windowText" lastClr="000000"/>
              </a:solidFill>
              <a:latin typeface="+mn-lt"/>
            </a:rPr>
            <a:t> </a:t>
          </a:r>
          <a:r>
            <a:rPr lang="da-DK" sz="1000">
              <a:solidFill>
                <a:sysClr val="windowText" lastClr="000000"/>
              </a:solidFill>
              <a:latin typeface="+mn-lt"/>
            </a:rPr>
            <a:t>Firm:            4,000 MWh/h</a:t>
          </a:r>
        </a:p>
        <a:p>
          <a:pPr>
            <a:lnSpc>
              <a:spcPts val="1600"/>
            </a:lnSpc>
            <a:buFont typeface="Wingdings" pitchFamily="2" charset="2"/>
            <a:buNone/>
            <a:defRPr/>
          </a:pPr>
          <a:r>
            <a:rPr lang="da-DK" sz="1000">
              <a:solidFill>
                <a:srgbClr val="FF0000"/>
              </a:solidFill>
              <a:latin typeface="+mn-lt"/>
            </a:rPr>
            <a:t>Exit (injection)</a:t>
          </a:r>
          <a:r>
            <a:rPr lang="da-DK" sz="1000" baseline="0">
              <a:solidFill>
                <a:srgbClr val="FF0000"/>
              </a:solidFill>
              <a:latin typeface="+mn-lt"/>
            </a:rPr>
            <a:t> </a:t>
          </a:r>
          <a:r>
            <a:rPr lang="da-DK" sz="1000" baseline="0">
              <a:solidFill>
                <a:sysClr val="windowText" lastClr="000000"/>
              </a:solidFill>
              <a:latin typeface="+mn-lt"/>
            </a:rPr>
            <a:t>- </a:t>
          </a:r>
          <a:r>
            <a:rPr lang="da-DK" sz="1000">
              <a:solidFill>
                <a:sysClr val="windowText" lastClr="000000"/>
              </a:solidFill>
              <a:latin typeface="+mn-lt"/>
            </a:rPr>
            <a:t>Interruptible </a:t>
          </a:r>
          <a:r>
            <a:rPr lang="da-DK" sz="1000" kern="1200">
              <a:solidFill>
                <a:sysClr val="windowText" lastClr="000000"/>
              </a:solidFill>
              <a:latin typeface="+mn-lt"/>
              <a:ea typeface="+mn-ea"/>
              <a:cs typeface="+mn-cs"/>
            </a:rPr>
            <a:t>:  1,820</a:t>
          </a:r>
          <a:r>
            <a:rPr lang="da-DK" sz="1000" kern="1200" baseline="0">
              <a:solidFill>
                <a:sysClr val="windowText" lastClr="000000"/>
              </a:solidFill>
              <a:latin typeface="+mn-lt"/>
              <a:ea typeface="+mn-ea"/>
              <a:cs typeface="+mn-cs"/>
            </a:rPr>
            <a:t> MWh/</a:t>
          </a:r>
          <a:r>
            <a:rPr lang="da-DK" sz="1000" kern="1200">
              <a:solidFill>
                <a:sysClr val="windowText" lastClr="000000"/>
              </a:solidFill>
              <a:latin typeface="+mn-lt"/>
              <a:ea typeface="+mn-ea"/>
              <a:cs typeface="+mn-cs"/>
            </a:rPr>
            <a:t>h</a:t>
          </a:r>
        </a:p>
      </xdr:txBody>
    </xdr:sp>
    <xdr:clientData/>
  </xdr:twoCellAnchor>
  <xdr:twoCellAnchor>
    <xdr:from>
      <xdr:col>11</xdr:col>
      <xdr:colOff>577850</xdr:colOff>
      <xdr:row>18</xdr:row>
      <xdr:rowOff>7938</xdr:rowOff>
    </xdr:from>
    <xdr:to>
      <xdr:col>15</xdr:col>
      <xdr:colOff>281379</xdr:colOff>
      <xdr:row>23</xdr:row>
      <xdr:rowOff>103121</xdr:rowOff>
    </xdr:to>
    <xdr:sp macro="" textlink="">
      <xdr:nvSpPr>
        <xdr:cNvPr id="40" name="Tekstboks 63">
          <a:extLst>
            <a:ext uri="{FF2B5EF4-FFF2-40B4-BE49-F238E27FC236}">
              <a16:creationId xmlns:a16="http://schemas.microsoft.com/office/drawing/2014/main" id="{00000000-0008-0000-0C00-000028000000}"/>
            </a:ext>
          </a:extLst>
        </xdr:cNvPr>
        <xdr:cNvSpPr txBox="1"/>
      </xdr:nvSpPr>
      <xdr:spPr>
        <a:xfrm>
          <a:off x="7624109" y="3324879"/>
          <a:ext cx="2213646" cy="991654"/>
        </a:xfrm>
        <a:prstGeom prst="rect">
          <a:avLst/>
        </a:prstGeom>
        <a:solidFill>
          <a:schemeClr val="bg1"/>
        </a:solidFill>
        <a:ln>
          <a:solidFill>
            <a:schemeClr val="tx1"/>
          </a:solidFill>
        </a:ln>
      </xdr:spPr>
      <xdr:txBody>
        <a:bodyPr wrap="square" lIns="108000" tIns="108000" rIns="108000" bIns="108000" numCol="1">
          <a:sp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ts val="500"/>
            </a:lnSpc>
            <a:buFont typeface="Wingdings" pitchFamily="2" charset="2"/>
            <a:buNone/>
            <a:defRPr/>
          </a:pPr>
          <a:r>
            <a:rPr lang="da-DK" sz="1000" b="1" u="sng">
              <a:latin typeface="+mn-lt"/>
            </a:rPr>
            <a:t>Dragør</a:t>
          </a:r>
        </a:p>
        <a:p>
          <a:pPr marL="0" indent="0" algn="l" rtl="0" fontAlgn="base">
            <a:lnSpc>
              <a:spcPts val="1600"/>
            </a:lnSpc>
            <a:spcBef>
              <a:spcPct val="20000"/>
            </a:spcBef>
            <a:spcAft>
              <a:spcPct val="0"/>
            </a:spcAft>
            <a:buSzPct val="90000"/>
            <a:buFont typeface="Wingdings" pitchFamily="2" charset="2"/>
            <a:buNone/>
            <a:defRPr/>
          </a:pPr>
          <a:r>
            <a:rPr lang="da-DK" sz="1000">
              <a:solidFill>
                <a:srgbClr val="00B050"/>
              </a:solidFill>
              <a:latin typeface="+mn-lt"/>
            </a:rPr>
            <a:t>Entry</a:t>
          </a:r>
          <a:r>
            <a:rPr lang="da-DK" sz="1000">
              <a:solidFill>
                <a:sysClr val="windowText" lastClr="000000"/>
              </a:solidFill>
              <a:latin typeface="+mn-lt"/>
            </a:rPr>
            <a:t> -</a:t>
          </a:r>
          <a:r>
            <a:rPr lang="da-DK" sz="1000" baseline="0">
              <a:solidFill>
                <a:sysClr val="windowText" lastClr="000000"/>
              </a:solidFill>
              <a:latin typeface="+mn-lt"/>
            </a:rPr>
            <a:t> </a:t>
          </a:r>
          <a:r>
            <a:rPr lang="da-DK" sz="1000" baseline="0">
              <a:latin typeface="+mn-lt"/>
            </a:rPr>
            <a:t>Interruptible</a:t>
          </a:r>
          <a:r>
            <a:rPr lang="da-DK" sz="1000" kern="1200" baseline="0">
              <a:solidFill>
                <a:schemeClr val="tx1"/>
              </a:solidFill>
              <a:latin typeface="+mn-lt"/>
              <a:ea typeface="+mn-ea"/>
              <a:cs typeface="+mn-cs"/>
            </a:rPr>
            <a:t>:    600 MWh/h</a:t>
          </a:r>
        </a:p>
        <a:p>
          <a:pPr>
            <a:lnSpc>
              <a:spcPts val="1600"/>
            </a:lnSpc>
            <a:buFont typeface="Wingdings" pitchFamily="2" charset="2"/>
            <a:buNone/>
            <a:defRPr/>
          </a:pPr>
          <a:r>
            <a:rPr lang="da-DK" sz="1000">
              <a:solidFill>
                <a:srgbClr val="FF0000"/>
              </a:solidFill>
              <a:latin typeface="+mn-lt"/>
            </a:rPr>
            <a:t>Exit</a:t>
          </a:r>
          <a:r>
            <a:rPr lang="da-DK" sz="1000" baseline="0">
              <a:solidFill>
                <a:srgbClr val="FF0000"/>
              </a:solidFill>
              <a:latin typeface="+mn-lt"/>
            </a:rPr>
            <a:t> </a:t>
          </a:r>
          <a:r>
            <a:rPr lang="da-DK" sz="1000" baseline="0">
              <a:solidFill>
                <a:sysClr val="windowText" lastClr="000000"/>
              </a:solidFill>
              <a:latin typeface="+mn-lt"/>
            </a:rPr>
            <a:t>- </a:t>
          </a:r>
          <a:r>
            <a:rPr lang="da-DK" sz="1000">
              <a:solidFill>
                <a:sysClr val="windowText" lastClr="000000"/>
              </a:solidFill>
              <a:latin typeface="+mn-lt"/>
            </a:rPr>
            <a:t>Firm</a:t>
          </a:r>
          <a:r>
            <a:rPr lang="da-DK" sz="1000" kern="1200" baseline="0">
              <a:solidFill>
                <a:schemeClr val="tx1"/>
              </a:solidFill>
              <a:latin typeface="+mn-lt"/>
              <a:ea typeface="+mn-ea"/>
              <a:cs typeface="+mn-cs"/>
            </a:rPr>
            <a:t>:                  3,066 MWh/h</a:t>
          </a:r>
        </a:p>
        <a:p>
          <a:pPr>
            <a:lnSpc>
              <a:spcPts val="1600"/>
            </a:lnSpc>
            <a:buFont typeface="Wingdings" pitchFamily="2" charset="2"/>
            <a:buNone/>
            <a:defRPr/>
          </a:pPr>
          <a:r>
            <a:rPr lang="da-DK" sz="1000">
              <a:solidFill>
                <a:srgbClr val="FF0000"/>
              </a:solidFill>
              <a:latin typeface="+mn-lt"/>
            </a:rPr>
            <a:t>Exit</a:t>
          </a:r>
          <a:r>
            <a:rPr lang="da-DK" sz="1000">
              <a:solidFill>
                <a:sysClr val="windowText" lastClr="000000"/>
              </a:solidFill>
              <a:latin typeface="+mn-lt"/>
            </a:rPr>
            <a:t> - Interruptible</a:t>
          </a:r>
          <a:r>
            <a:rPr lang="da-DK" sz="1000">
              <a:latin typeface="+mn-lt"/>
            </a:rPr>
            <a:t>:</a:t>
          </a:r>
          <a:r>
            <a:rPr lang="da-DK" sz="1000" baseline="0">
              <a:latin typeface="+mn-lt"/>
            </a:rPr>
            <a:t>      733 MWh/h</a:t>
          </a:r>
          <a:endParaRPr lang="da-DK" sz="1000">
            <a:latin typeface="+mn-lt"/>
          </a:endParaRPr>
        </a:p>
      </xdr:txBody>
    </xdr:sp>
    <xdr:clientData/>
  </xdr:twoCellAnchor>
  <xdr:twoCellAnchor>
    <xdr:from>
      <xdr:col>2</xdr:col>
      <xdr:colOff>738187</xdr:colOff>
      <xdr:row>31</xdr:row>
      <xdr:rowOff>60325</xdr:rowOff>
    </xdr:from>
    <xdr:to>
      <xdr:col>6</xdr:col>
      <xdr:colOff>35922</xdr:colOff>
      <xdr:row>35</xdr:row>
      <xdr:rowOff>136801</xdr:rowOff>
    </xdr:to>
    <xdr:sp macro="" textlink="">
      <xdr:nvSpPr>
        <xdr:cNvPr id="41" name="Tekstboks 65">
          <a:extLst>
            <a:ext uri="{FF2B5EF4-FFF2-40B4-BE49-F238E27FC236}">
              <a16:creationId xmlns:a16="http://schemas.microsoft.com/office/drawing/2014/main" id="{00000000-0008-0000-0C00-000029000000}"/>
            </a:ext>
          </a:extLst>
        </xdr:cNvPr>
        <xdr:cNvSpPr txBox="1"/>
      </xdr:nvSpPr>
      <xdr:spPr>
        <a:xfrm>
          <a:off x="1751199" y="5708090"/>
          <a:ext cx="2193335" cy="793652"/>
        </a:xfrm>
        <a:prstGeom prst="rect">
          <a:avLst/>
        </a:prstGeom>
        <a:solidFill>
          <a:sysClr val="window" lastClr="FFFFFF"/>
        </a:solidFill>
        <a:ln>
          <a:solidFill>
            <a:schemeClr val="tx1"/>
          </a:solidFill>
        </a:ln>
      </xdr:spPr>
      <xdr:txBody>
        <a:bodyPr wrap="square" lIns="108000" tIns="108000" rIns="108000" bIns="108000">
          <a:sp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ts val="400"/>
            </a:lnSpc>
            <a:buFont typeface="Wingdings" pitchFamily="2" charset="2"/>
            <a:buNone/>
            <a:defRPr/>
          </a:pPr>
          <a:r>
            <a:rPr lang="da-DK" sz="1000" b="1" u="sng">
              <a:latin typeface="+mn-lt"/>
            </a:rPr>
            <a:t>Ellund</a:t>
          </a:r>
          <a:r>
            <a:rPr lang="da-DK" sz="1000" b="1" u="sng" baseline="30000">
              <a:latin typeface="+mn-lt"/>
            </a:rPr>
            <a:t>1</a:t>
          </a:r>
        </a:p>
        <a:p>
          <a:pPr>
            <a:lnSpc>
              <a:spcPts val="1700"/>
            </a:lnSpc>
            <a:buFont typeface="Wingdings" pitchFamily="2" charset="2"/>
            <a:buNone/>
            <a:defRPr/>
          </a:pPr>
          <a:r>
            <a:rPr lang="da-DK" sz="1000">
              <a:solidFill>
                <a:srgbClr val="00B050"/>
              </a:solidFill>
              <a:latin typeface="+mn-lt"/>
            </a:rPr>
            <a:t>Entry</a:t>
          </a:r>
          <a:r>
            <a:rPr lang="da-DK" sz="1000">
              <a:latin typeface="+mn-lt"/>
            </a:rPr>
            <a:t> -</a:t>
          </a:r>
          <a:r>
            <a:rPr lang="da-DK" sz="1000" baseline="0">
              <a:latin typeface="+mn-lt"/>
            </a:rPr>
            <a:t> </a:t>
          </a:r>
          <a:r>
            <a:rPr lang="da-DK" sz="1000" kern="1200">
              <a:solidFill>
                <a:schemeClr val="tx1"/>
              </a:solidFill>
              <a:latin typeface="+mn-lt"/>
              <a:ea typeface="+mn-ea"/>
              <a:cs typeface="+mn-cs"/>
            </a:rPr>
            <a:t>Firm:            7,700 MWh/h</a:t>
          </a:r>
        </a:p>
        <a:p>
          <a:pPr>
            <a:lnSpc>
              <a:spcPts val="1900"/>
            </a:lnSpc>
            <a:buFont typeface="Wingdings" pitchFamily="2" charset="2"/>
            <a:buNone/>
            <a:defRPr/>
          </a:pPr>
          <a:r>
            <a:rPr lang="da-DK" sz="1000" kern="1200">
              <a:solidFill>
                <a:srgbClr val="FF0000"/>
              </a:solidFill>
              <a:latin typeface="+mn-lt"/>
              <a:ea typeface="+mn-ea"/>
              <a:cs typeface="+mn-cs"/>
            </a:rPr>
            <a:t>Exit</a:t>
          </a:r>
          <a:r>
            <a:rPr lang="da-DK" sz="1000" kern="1200" baseline="0">
              <a:solidFill>
                <a:srgbClr val="FF0000"/>
              </a:solidFill>
              <a:latin typeface="+mn-lt"/>
              <a:ea typeface="+mn-ea"/>
              <a:cs typeface="+mn-cs"/>
            </a:rPr>
            <a:t> </a:t>
          </a:r>
          <a:r>
            <a:rPr lang="da-DK" sz="1000" kern="1200" baseline="0">
              <a:solidFill>
                <a:schemeClr val="tx1"/>
              </a:solidFill>
              <a:latin typeface="+mn-lt"/>
              <a:ea typeface="+mn-ea"/>
              <a:cs typeface="+mn-cs"/>
            </a:rPr>
            <a:t>- </a:t>
          </a:r>
          <a:r>
            <a:rPr lang="da-DK" sz="1000" kern="1200">
              <a:solidFill>
                <a:schemeClr val="tx1"/>
              </a:solidFill>
              <a:latin typeface="+mn-lt"/>
              <a:ea typeface="+mn-ea"/>
              <a:cs typeface="+mn-cs"/>
            </a:rPr>
            <a:t>Firm:              10,000 MWh/h</a:t>
          </a:r>
        </a:p>
      </xdr:txBody>
    </xdr:sp>
    <xdr:clientData/>
  </xdr:twoCellAnchor>
  <xdr:twoCellAnchor>
    <xdr:from>
      <xdr:col>3</xdr:col>
      <xdr:colOff>280707</xdr:colOff>
      <xdr:row>19</xdr:row>
      <xdr:rowOff>53975</xdr:rowOff>
    </xdr:from>
    <xdr:to>
      <xdr:col>6</xdr:col>
      <xdr:colOff>545236</xdr:colOff>
      <xdr:row>23</xdr:row>
      <xdr:rowOff>168922</xdr:rowOff>
    </xdr:to>
    <xdr:sp macro="" textlink="">
      <xdr:nvSpPr>
        <xdr:cNvPr id="42" name="Tekstboks 67">
          <a:extLst>
            <a:ext uri="{FF2B5EF4-FFF2-40B4-BE49-F238E27FC236}">
              <a16:creationId xmlns:a16="http://schemas.microsoft.com/office/drawing/2014/main" id="{00000000-0008-0000-0C00-00002A000000}"/>
            </a:ext>
          </a:extLst>
        </xdr:cNvPr>
        <xdr:cNvSpPr txBox="1"/>
      </xdr:nvSpPr>
      <xdr:spPr>
        <a:xfrm>
          <a:off x="2073648" y="3550210"/>
          <a:ext cx="2380200" cy="832124"/>
        </a:xfrm>
        <a:prstGeom prst="rect">
          <a:avLst/>
        </a:prstGeom>
        <a:solidFill>
          <a:schemeClr val="bg1"/>
        </a:solidFill>
        <a:ln>
          <a:solidFill>
            <a:schemeClr val="tx1"/>
          </a:solidFill>
        </a:ln>
      </xdr:spPr>
      <xdr:txBody>
        <a:bodyPr wrap="square" lIns="108000" tIns="108000" rIns="108000" bIns="108000">
          <a:sp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ts val="500"/>
            </a:lnSpc>
            <a:buFont typeface="Wingdings" pitchFamily="2" charset="2"/>
            <a:buNone/>
            <a:defRPr/>
          </a:pPr>
          <a:r>
            <a:rPr lang="da-DK" sz="1000" b="1" u="sng" kern="1200">
              <a:solidFill>
                <a:schemeClr val="tx1"/>
              </a:solidFill>
              <a:latin typeface="+mn-lt"/>
              <a:ea typeface="+mn-ea"/>
              <a:cs typeface="+mn-cs"/>
            </a:rPr>
            <a:t>Nybro</a:t>
          </a:r>
        </a:p>
        <a:p>
          <a:pPr>
            <a:lnSpc>
              <a:spcPts val="2200"/>
            </a:lnSpc>
            <a:buFont typeface="Wingdings" pitchFamily="2" charset="2"/>
            <a:buNone/>
            <a:defRPr/>
          </a:pPr>
          <a:r>
            <a:rPr lang="da-DK" sz="1000">
              <a:solidFill>
                <a:srgbClr val="00B050"/>
              </a:solidFill>
              <a:latin typeface="+mn-lt"/>
            </a:rPr>
            <a:t>Entry</a:t>
          </a:r>
          <a:r>
            <a:rPr lang="da-DK" sz="1000">
              <a:latin typeface="+mn-lt"/>
            </a:rPr>
            <a:t> - Firm:             16,500 MWh/h</a:t>
          </a:r>
        </a:p>
        <a:p>
          <a:pPr>
            <a:lnSpc>
              <a:spcPts val="1600"/>
            </a:lnSpc>
            <a:buFont typeface="Wingdings" pitchFamily="2" charset="2"/>
            <a:buNone/>
            <a:defRPr/>
          </a:pPr>
          <a:r>
            <a:rPr lang="da-DK" sz="1000">
              <a:solidFill>
                <a:srgbClr val="FF0000"/>
              </a:solidFill>
              <a:latin typeface="+mn-lt"/>
            </a:rPr>
            <a:t>Exit</a:t>
          </a:r>
          <a:r>
            <a:rPr lang="da-DK" sz="1000" kern="1200">
              <a:solidFill>
                <a:schemeClr val="tx1"/>
              </a:solidFill>
              <a:latin typeface="+mn-lt"/>
              <a:ea typeface="+mn-ea"/>
              <a:cs typeface="+mn-cs"/>
            </a:rPr>
            <a:t>:                                      0 MWh/h</a:t>
          </a:r>
        </a:p>
      </xdr:txBody>
    </xdr:sp>
    <xdr:clientData/>
  </xdr:twoCellAnchor>
  <xdr:twoCellAnchor>
    <xdr:from>
      <xdr:col>7</xdr:col>
      <xdr:colOff>244476</xdr:colOff>
      <xdr:row>17</xdr:row>
      <xdr:rowOff>90488</xdr:rowOff>
    </xdr:from>
    <xdr:to>
      <xdr:col>11</xdr:col>
      <xdr:colOff>452006</xdr:colOff>
      <xdr:row>21</xdr:row>
      <xdr:rowOff>128490</xdr:rowOff>
    </xdr:to>
    <xdr:sp macro="" textlink="">
      <xdr:nvSpPr>
        <xdr:cNvPr id="43" name="Tekstboks 71">
          <a:extLst>
            <a:ext uri="{FF2B5EF4-FFF2-40B4-BE49-F238E27FC236}">
              <a16:creationId xmlns:a16="http://schemas.microsoft.com/office/drawing/2014/main" id="{00000000-0008-0000-0C00-00002B000000}"/>
            </a:ext>
          </a:extLst>
        </xdr:cNvPr>
        <xdr:cNvSpPr txBox="1"/>
      </xdr:nvSpPr>
      <xdr:spPr>
        <a:xfrm>
          <a:off x="4780617" y="3228135"/>
          <a:ext cx="2717648" cy="755179"/>
        </a:xfrm>
        <a:prstGeom prst="rect">
          <a:avLst/>
        </a:prstGeom>
        <a:solidFill>
          <a:schemeClr val="bg1"/>
        </a:solidFill>
        <a:ln>
          <a:solidFill>
            <a:schemeClr val="tx1"/>
          </a:solidFill>
        </a:ln>
      </xdr:spPr>
      <xdr:txBody>
        <a:bodyPr wrap="square" lIns="108000" tIns="108000" rIns="108000" bIns="108000">
          <a:sp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ts val="500"/>
            </a:lnSpc>
            <a:buFont typeface="Wingdings" pitchFamily="2" charset="2"/>
            <a:buNone/>
            <a:defRPr/>
          </a:pPr>
          <a:r>
            <a:rPr lang="da-DK" sz="1000" b="1" u="sng">
              <a:latin typeface="+mn-lt"/>
            </a:rPr>
            <a:t>Stenlille</a:t>
          </a:r>
          <a:r>
            <a:rPr lang="da-DK" sz="1000" b="1" u="sng" baseline="30000">
              <a:latin typeface="+mn-lt"/>
            </a:rPr>
            <a:t>2</a:t>
          </a:r>
        </a:p>
        <a:p>
          <a:pPr marL="0" indent="0" algn="l" rtl="0" fontAlgn="base">
            <a:lnSpc>
              <a:spcPts val="1600"/>
            </a:lnSpc>
            <a:spcBef>
              <a:spcPct val="20000"/>
            </a:spcBef>
            <a:spcAft>
              <a:spcPct val="0"/>
            </a:spcAft>
            <a:buSzPct val="90000"/>
            <a:buFont typeface="Wingdings" pitchFamily="2" charset="2"/>
            <a:buNone/>
            <a:defRPr/>
          </a:pPr>
          <a:r>
            <a:rPr lang="da-DK" sz="1000" kern="1200">
              <a:solidFill>
                <a:srgbClr val="00B050"/>
              </a:solidFill>
              <a:latin typeface="+mn-lt"/>
              <a:ea typeface="+mn-ea"/>
              <a:cs typeface="+mn-cs"/>
            </a:rPr>
            <a:t>Entry</a:t>
          </a:r>
          <a:r>
            <a:rPr lang="da-DK" sz="1000" kern="1200" baseline="0">
              <a:solidFill>
                <a:srgbClr val="00B050"/>
              </a:solidFill>
              <a:latin typeface="+mn-lt"/>
              <a:ea typeface="+mn-ea"/>
              <a:cs typeface="+mn-cs"/>
            </a:rPr>
            <a:t> (extraction)</a:t>
          </a:r>
          <a:r>
            <a:rPr lang="da-DK" sz="1000" kern="1200" baseline="0">
              <a:solidFill>
                <a:sysClr val="windowText" lastClr="000000"/>
              </a:solidFill>
              <a:latin typeface="+mn-lt"/>
              <a:ea typeface="+mn-ea"/>
              <a:cs typeface="+mn-cs"/>
            </a:rPr>
            <a:t> </a:t>
          </a:r>
          <a:r>
            <a:rPr lang="da-DK" sz="1000" kern="1200">
              <a:solidFill>
                <a:sysClr val="windowText" lastClr="000000"/>
              </a:solidFill>
              <a:latin typeface="+mn-lt"/>
              <a:ea typeface="+mn-ea"/>
              <a:cs typeface="+mn-cs"/>
            </a:rPr>
            <a:t>- Firm</a:t>
          </a:r>
          <a:r>
            <a:rPr lang="da-DK" sz="1000" kern="1200">
              <a:solidFill>
                <a:schemeClr val="tx1"/>
              </a:solidFill>
              <a:latin typeface="+mn-lt"/>
              <a:ea typeface="+mn-ea"/>
              <a:cs typeface="+mn-cs"/>
            </a:rPr>
            <a:t>:  4,100 MWh/h</a:t>
          </a:r>
        </a:p>
        <a:p>
          <a:pPr>
            <a:lnSpc>
              <a:spcPts val="1600"/>
            </a:lnSpc>
            <a:buFont typeface="Wingdings" pitchFamily="2" charset="2"/>
            <a:buNone/>
            <a:defRPr/>
          </a:pPr>
          <a:r>
            <a:rPr lang="da-DK" sz="1000">
              <a:solidFill>
                <a:srgbClr val="FF0000"/>
              </a:solidFill>
              <a:latin typeface="+mn-lt"/>
            </a:rPr>
            <a:t>Exit (injection) </a:t>
          </a:r>
          <a:r>
            <a:rPr lang="da-DK" sz="1000">
              <a:solidFill>
                <a:sysClr val="windowText" lastClr="000000"/>
              </a:solidFill>
              <a:latin typeface="+mn-lt"/>
            </a:rPr>
            <a:t>- </a:t>
          </a:r>
          <a:r>
            <a:rPr lang="da-DK" sz="1000" kern="1200">
              <a:solidFill>
                <a:schemeClr val="tx1"/>
              </a:solidFill>
              <a:latin typeface="+mn-lt"/>
              <a:ea typeface="+mn-ea"/>
              <a:cs typeface="+mn-cs"/>
            </a:rPr>
            <a:t>Firm :      2,390 MWh/h</a:t>
          </a:r>
        </a:p>
      </xdr:txBody>
    </xdr:sp>
    <xdr:clientData/>
  </xdr:twoCellAnchor>
  <xdr:twoCellAnchor>
    <xdr:from>
      <xdr:col>9</xdr:col>
      <xdr:colOff>285750</xdr:colOff>
      <xdr:row>7</xdr:row>
      <xdr:rowOff>98425</xdr:rowOff>
    </xdr:from>
    <xdr:to>
      <xdr:col>12</xdr:col>
      <xdr:colOff>522397</xdr:colOff>
      <xdr:row>10</xdr:row>
      <xdr:rowOff>130544</xdr:rowOff>
    </xdr:to>
    <xdr:sp macro="" textlink="">
      <xdr:nvSpPr>
        <xdr:cNvPr id="44" name="Tekstboks 50">
          <a:extLst>
            <a:ext uri="{FF2B5EF4-FFF2-40B4-BE49-F238E27FC236}">
              <a16:creationId xmlns:a16="http://schemas.microsoft.com/office/drawing/2014/main" id="{00000000-0008-0000-0C00-00002C000000}"/>
            </a:ext>
          </a:extLst>
        </xdr:cNvPr>
        <xdr:cNvSpPr txBox="1"/>
      </xdr:nvSpPr>
      <xdr:spPr>
        <a:xfrm>
          <a:off x="6076950" y="1443131"/>
          <a:ext cx="2119235" cy="570001"/>
        </a:xfrm>
        <a:prstGeom prst="rect">
          <a:avLst/>
        </a:prstGeom>
        <a:solidFill>
          <a:schemeClr val="bg1"/>
        </a:solidFill>
        <a:ln>
          <a:solidFill>
            <a:schemeClr val="tx1"/>
          </a:solidFill>
        </a:ln>
      </xdr:spPr>
      <xdr:txBody>
        <a:bodyPr wrap="square" lIns="108000" tIns="108000" rIns="108000" bIns="108000">
          <a:sp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ts val="400"/>
            </a:lnSpc>
            <a:buFont typeface="Wingdings" pitchFamily="2" charset="2"/>
            <a:buNone/>
            <a:defRPr/>
          </a:pPr>
          <a:r>
            <a:rPr lang="da-DK" sz="1000" b="1" u="sng">
              <a:solidFill>
                <a:sysClr val="windowText" lastClr="000000"/>
              </a:solidFill>
              <a:latin typeface="+mn-lt"/>
            </a:rPr>
            <a:t>Exit </a:t>
          </a:r>
          <a:r>
            <a:rPr lang="da-DK" sz="1000" b="1" u="sng">
              <a:latin typeface="+mn-lt"/>
            </a:rPr>
            <a:t>DK</a:t>
          </a:r>
        </a:p>
        <a:p>
          <a:pPr>
            <a:lnSpc>
              <a:spcPts val="2100"/>
            </a:lnSpc>
            <a:buFont typeface="Wingdings" pitchFamily="2" charset="2"/>
            <a:buNone/>
            <a:defRPr/>
          </a:pPr>
          <a:r>
            <a:rPr lang="da-DK" sz="1000">
              <a:solidFill>
                <a:srgbClr val="FF0000"/>
              </a:solidFill>
              <a:latin typeface="+mn-lt"/>
            </a:rPr>
            <a:t>Exit </a:t>
          </a:r>
          <a:r>
            <a:rPr lang="da-DK" sz="1000">
              <a:solidFill>
                <a:sysClr val="windowText" lastClr="000000"/>
              </a:solidFill>
              <a:latin typeface="+mn-lt"/>
            </a:rPr>
            <a:t>- </a:t>
          </a:r>
          <a:r>
            <a:rPr lang="da-DK" sz="1000">
              <a:latin typeface="+mn-lt"/>
            </a:rPr>
            <a:t>Firm:  12,984 MWh/h</a:t>
          </a:r>
          <a:endParaRPr lang="da-DK" sz="1000" kern="1200">
            <a:solidFill>
              <a:srgbClr val="FF0000"/>
            </a:solidFill>
            <a:latin typeface="+mn-lt"/>
            <a:ea typeface="+mn-ea"/>
            <a:cs typeface="+mn-cs"/>
          </a:endParaRPr>
        </a:p>
      </xdr:txBody>
    </xdr:sp>
    <xdr:clientData/>
  </xdr:twoCellAnchor>
  <xdr:twoCellAnchor>
    <xdr:from>
      <xdr:col>8</xdr:col>
      <xdr:colOff>342901</xdr:colOff>
      <xdr:row>29</xdr:row>
      <xdr:rowOff>28575</xdr:rowOff>
    </xdr:from>
    <xdr:to>
      <xdr:col>15</xdr:col>
      <xdr:colOff>175077</xdr:colOff>
      <xdr:row>40</xdr:row>
      <xdr:rowOff>28575</xdr:rowOff>
    </xdr:to>
    <xdr:sp macro="" textlink="">
      <xdr:nvSpPr>
        <xdr:cNvPr id="46" name="Tekstboks 61">
          <a:extLst>
            <a:ext uri="{FF2B5EF4-FFF2-40B4-BE49-F238E27FC236}">
              <a16:creationId xmlns:a16="http://schemas.microsoft.com/office/drawing/2014/main" id="{00000000-0008-0000-0C00-00002E000000}"/>
            </a:ext>
          </a:extLst>
        </xdr:cNvPr>
        <xdr:cNvSpPr txBox="1"/>
      </xdr:nvSpPr>
      <xdr:spPr>
        <a:xfrm>
          <a:off x="14866621" y="5415915"/>
          <a:ext cx="4206056" cy="2011680"/>
        </a:xfrm>
        <a:prstGeom prst="rect">
          <a:avLst/>
        </a:prstGeom>
        <a:solidFill>
          <a:schemeClr val="bg1"/>
        </a:solidFill>
        <a:ln>
          <a:solidFill>
            <a:schemeClr val="tx1"/>
          </a:solidFill>
        </a:ln>
      </xdr:spPr>
      <xdr:txBody>
        <a:bodyPr wrap="square" lIns="108000" tIns="108000" rIns="108000" bIns="108000">
          <a:noAutofit/>
        </a:bodyPr>
        <a:lstStyle>
          <a:defPPr>
            <a:defRPr lang="da-DK"/>
          </a:defPPr>
          <a:lvl1pPr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1pPr>
          <a:lvl2pPr marL="4572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2pPr>
          <a:lvl3pPr marL="9144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3pPr>
          <a:lvl4pPr marL="13716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4pPr>
          <a:lvl5pPr marL="1828800" algn="l" rtl="0" fontAlgn="base">
            <a:lnSpc>
              <a:spcPct val="120000"/>
            </a:lnSpc>
            <a:spcBef>
              <a:spcPct val="20000"/>
            </a:spcBef>
            <a:spcAft>
              <a:spcPct val="0"/>
            </a:spcAft>
            <a:buSzPct val="90000"/>
            <a:buFont typeface="Wingdings" pitchFamily="2" charset="2"/>
            <a:buChar char="§"/>
            <a:defRPr sz="2000" kern="1200">
              <a:solidFill>
                <a:schemeClr val="tx1"/>
              </a:solidFill>
              <a:latin typeface="Verdana" pitchFamily="34" charset="0"/>
              <a:ea typeface="+mn-ea"/>
              <a:cs typeface="+mn-cs"/>
            </a:defRPr>
          </a:lvl5pPr>
          <a:lvl6pPr marL="2286000" algn="l" defTabSz="914400" rtl="0" eaLnBrk="1" latinLnBrk="0" hangingPunct="1">
            <a:defRPr sz="2000" kern="1200">
              <a:solidFill>
                <a:schemeClr val="tx1"/>
              </a:solidFill>
              <a:latin typeface="Verdana" pitchFamily="34" charset="0"/>
              <a:ea typeface="+mn-ea"/>
              <a:cs typeface="+mn-cs"/>
            </a:defRPr>
          </a:lvl6pPr>
          <a:lvl7pPr marL="2743200" algn="l" defTabSz="914400" rtl="0" eaLnBrk="1" latinLnBrk="0" hangingPunct="1">
            <a:defRPr sz="2000" kern="1200">
              <a:solidFill>
                <a:schemeClr val="tx1"/>
              </a:solidFill>
              <a:latin typeface="Verdana" pitchFamily="34" charset="0"/>
              <a:ea typeface="+mn-ea"/>
              <a:cs typeface="+mn-cs"/>
            </a:defRPr>
          </a:lvl7pPr>
          <a:lvl8pPr marL="3200400" algn="l" defTabSz="914400" rtl="0" eaLnBrk="1" latinLnBrk="0" hangingPunct="1">
            <a:defRPr sz="2000" kern="1200">
              <a:solidFill>
                <a:schemeClr val="tx1"/>
              </a:solidFill>
              <a:latin typeface="Verdana" pitchFamily="34" charset="0"/>
              <a:ea typeface="+mn-ea"/>
              <a:cs typeface="+mn-cs"/>
            </a:defRPr>
          </a:lvl8pPr>
          <a:lvl9pPr marL="3657600" algn="l" defTabSz="914400" rtl="0" eaLnBrk="1" latinLnBrk="0" hangingPunct="1">
            <a:defRPr sz="2000" kern="1200">
              <a:solidFill>
                <a:schemeClr val="tx1"/>
              </a:solidFill>
              <a:latin typeface="Verdana" pitchFamily="34" charset="0"/>
              <a:ea typeface="+mn-ea"/>
              <a:cs typeface="+mn-cs"/>
            </a:defRPr>
          </a:lvl9pPr>
        </a:lstStyle>
        <a:p>
          <a:pPr>
            <a:lnSpc>
              <a:spcPct val="100000"/>
            </a:lnSpc>
            <a:buFont typeface="Wingdings" pitchFamily="2" charset="2"/>
            <a:buNone/>
            <a:defRPr/>
          </a:pPr>
          <a:r>
            <a:rPr lang="da-DK" sz="1000" b="1" u="sng" baseline="0">
              <a:latin typeface="+mn-lt"/>
            </a:rPr>
            <a:t>Notes</a:t>
          </a:r>
        </a:p>
        <a:p>
          <a:pPr marL="0" marR="0" indent="0" algn="l" defTabSz="914400" rtl="0" eaLnBrk="1" fontAlgn="base" latinLnBrk="0" hangingPunct="1">
            <a:lnSpc>
              <a:spcPct val="100000"/>
            </a:lnSpc>
            <a:spcBef>
              <a:spcPct val="20000"/>
            </a:spcBef>
            <a:spcAft>
              <a:spcPct val="0"/>
            </a:spcAft>
            <a:buClrTx/>
            <a:buSzPct val="90000"/>
            <a:buFont typeface="Wingdings" pitchFamily="2" charset="2"/>
            <a:buNone/>
            <a:tabLst/>
            <a:defRPr/>
          </a:pPr>
          <a:r>
            <a:rPr lang="da-DK" sz="1000" b="0" baseline="0">
              <a:latin typeface="+mn-lt"/>
            </a:rPr>
            <a:t>1: It is not possible to  deliver more than app. </a:t>
          </a:r>
          <a:r>
            <a:rPr lang="da-DK" sz="1000" b="0" kern="1200" baseline="0">
              <a:solidFill>
                <a:schemeClr val="tx1"/>
              </a:solidFill>
              <a:latin typeface="+mn-lt"/>
              <a:ea typeface="+mn-ea"/>
              <a:cs typeface="+mn-cs"/>
            </a:rPr>
            <a:t>5,189 MWh/h interruptible capacity from Germany. </a:t>
          </a:r>
        </a:p>
        <a:p>
          <a:pPr>
            <a:lnSpc>
              <a:spcPct val="100000"/>
            </a:lnSpc>
            <a:buFont typeface="Wingdings" pitchFamily="2" charset="2"/>
            <a:buNone/>
            <a:defRPr/>
          </a:pPr>
          <a:r>
            <a:rPr lang="da-DK" sz="1000" b="0" kern="1200" baseline="0">
              <a:solidFill>
                <a:schemeClr val="tx1"/>
              </a:solidFill>
              <a:latin typeface="+mn-lt"/>
              <a:ea typeface="+mn-ea"/>
              <a:cs typeface="+mn-cs"/>
            </a:rPr>
            <a:t>2: Information from Energinet Gaslager. It is not possible for </a:t>
          </a:r>
          <a:r>
            <a:rPr lang="da-DK" sz="1000" b="0" baseline="0">
              <a:latin typeface="+mn-lt"/>
            </a:rPr>
            <a:t>Energinet to support the listed injection capacity under all operational conditions.</a:t>
          </a:r>
        </a:p>
        <a:p>
          <a:pPr>
            <a:lnSpc>
              <a:spcPct val="100000"/>
            </a:lnSpc>
            <a:buFont typeface="Wingdings" pitchFamily="2" charset="2"/>
            <a:buNone/>
            <a:defRPr/>
          </a:pPr>
          <a:r>
            <a:rPr lang="da-DK" sz="1000" b="0" kern="1200" baseline="0">
              <a:solidFill>
                <a:sysClr val="windowText" lastClr="000000"/>
              </a:solidFill>
              <a:latin typeface="+mn-lt"/>
              <a:ea typeface="+mn-ea"/>
              <a:cs typeface="+mn-cs"/>
            </a:rPr>
            <a:t>Generally: Upper calorific value is used for natural gas. At the moment, the  calorific value is 12.1 kWh/m</a:t>
          </a:r>
          <a:r>
            <a:rPr lang="da-DK" sz="1000" b="0" kern="1200" baseline="30000">
              <a:solidFill>
                <a:sysClr val="windowText" lastClr="000000"/>
              </a:solidFill>
              <a:latin typeface="+mn-lt"/>
              <a:ea typeface="+mn-ea"/>
              <a:cs typeface="+mn-cs"/>
            </a:rPr>
            <a:t>3</a:t>
          </a:r>
          <a:r>
            <a:rPr lang="da-DK" sz="1000" b="0" kern="1200" baseline="0">
              <a:solidFill>
                <a:sysClr val="windowText" lastClr="000000"/>
              </a:solidFill>
              <a:latin typeface="+mn-lt"/>
              <a:ea typeface="+mn-ea"/>
              <a:cs typeface="+mn-cs"/>
            </a:rPr>
            <a:t>.  The value is </a:t>
          </a:r>
          <a:r>
            <a:rPr lang="da-DK" sz="1000" b="0" baseline="0">
              <a:solidFill>
                <a:sysClr val="windowText" lastClr="000000"/>
              </a:solidFill>
              <a:latin typeface="+mn-lt"/>
            </a:rPr>
            <a:t> 11.2 </a:t>
          </a:r>
          <a:r>
            <a:rPr lang="da-DK" sz="1000" b="0" kern="1200" baseline="0">
              <a:solidFill>
                <a:sysClr val="windowText" lastClr="000000"/>
              </a:solidFill>
              <a:latin typeface="+mn-lt"/>
              <a:ea typeface="+mn-ea"/>
              <a:cs typeface="+mn-cs"/>
            </a:rPr>
            <a:t>kWh/m3 f</a:t>
          </a:r>
          <a:r>
            <a:rPr lang="da-DK" sz="1000" b="0" kern="1200" baseline="0">
              <a:solidFill>
                <a:schemeClr val="tx1"/>
              </a:solidFill>
              <a:effectLst/>
              <a:latin typeface="+mn-lt"/>
              <a:ea typeface="+mn-ea"/>
              <a:cs typeface="+mn-cs"/>
            </a:rPr>
            <a:t>or natural gas from Germany</a:t>
          </a:r>
          <a:r>
            <a:rPr lang="da-DK" sz="1000" b="0" baseline="0">
              <a:latin typeface="+mn-lt"/>
            </a:rPr>
            <a:t>. </a:t>
          </a:r>
          <a:endParaRPr lang="da-DK" sz="1000" b="0" baseline="30000">
            <a:latin typeface="+mn-lt"/>
          </a:endParaRPr>
        </a:p>
      </xdr:txBody>
    </xdr:sp>
    <xdr:clientData/>
  </xdr:twoCellAnchor>
</xdr:wsDr>
</file>

<file path=xl/theme/theme1.xml><?xml version="1.0" encoding="utf-8"?>
<a:theme xmlns:a="http://schemas.openxmlformats.org/drawingml/2006/main" name="Kontortema">
  <a:themeElements>
    <a:clrScheme name="ENERGINET">
      <a:dk1>
        <a:sysClr val="windowText" lastClr="000000"/>
      </a:dk1>
      <a:lt1>
        <a:sysClr val="window" lastClr="FFFFFF"/>
      </a:lt1>
      <a:dk2>
        <a:srgbClr val="A0C1C2"/>
      </a:dk2>
      <a:lt2>
        <a:srgbClr val="A0CD92"/>
      </a:lt2>
      <a:accent1>
        <a:srgbClr val="008B8B"/>
      </a:accent1>
      <a:accent2>
        <a:srgbClr val="0A515D"/>
      </a:accent2>
      <a:accent3>
        <a:srgbClr val="FFD424"/>
      </a:accent3>
      <a:accent4>
        <a:srgbClr val="C2E5F1"/>
      </a:accent4>
      <a:accent5>
        <a:srgbClr val="00A98F"/>
      </a:accent5>
      <a:accent6>
        <a:srgbClr val="00A7BD"/>
      </a:accent6>
      <a:hlink>
        <a:srgbClr val="00A98F"/>
      </a:hlink>
      <a:folHlink>
        <a:srgbClr val="A0C1C2"/>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showGridLines="0" workbookViewId="0"/>
  </sheetViews>
  <sheetFormatPr baseColWidth="10" defaultColWidth="8.83203125" defaultRowHeight="15" x14ac:dyDescent="0.2"/>
  <sheetData>
    <row r="1" spans="1:2" s="68" customFormat="1" ht="21" x14ac:dyDescent="0.25">
      <c r="B1" s="68" t="s">
        <v>489</v>
      </c>
    </row>
    <row r="3" spans="1:2" x14ac:dyDescent="0.2">
      <c r="A3" s="248" t="s">
        <v>103</v>
      </c>
      <c r="B3" s="249" t="s">
        <v>276</v>
      </c>
    </row>
    <row r="4" spans="1:2" x14ac:dyDescent="0.2">
      <c r="A4" s="248" t="s">
        <v>104</v>
      </c>
      <c r="B4" s="249" t="s">
        <v>296</v>
      </c>
    </row>
    <row r="5" spans="1:2" x14ac:dyDescent="0.2">
      <c r="A5" s="248" t="s">
        <v>105</v>
      </c>
      <c r="B5" s="249" t="s">
        <v>297</v>
      </c>
    </row>
    <row r="6" spans="1:2" x14ac:dyDescent="0.2">
      <c r="A6" s="248" t="s">
        <v>106</v>
      </c>
      <c r="B6" s="249" t="s">
        <v>298</v>
      </c>
    </row>
    <row r="7" spans="1:2" x14ac:dyDescent="0.2">
      <c r="A7" s="248" t="s">
        <v>107</v>
      </c>
      <c r="B7" s="249" t="s">
        <v>299</v>
      </c>
    </row>
    <row r="8" spans="1:2" x14ac:dyDescent="0.2">
      <c r="A8" s="248" t="s">
        <v>108</v>
      </c>
      <c r="B8" s="249" t="s">
        <v>300</v>
      </c>
    </row>
    <row r="9" spans="1:2" x14ac:dyDescent="0.2">
      <c r="A9" s="248" t="s">
        <v>109</v>
      </c>
      <c r="B9" s="249" t="s">
        <v>301</v>
      </c>
    </row>
    <row r="10" spans="1:2" x14ac:dyDescent="0.2">
      <c r="A10" s="248" t="s">
        <v>110</v>
      </c>
      <c r="B10" s="249" t="s">
        <v>302</v>
      </c>
    </row>
    <row r="11" spans="1:2" x14ac:dyDescent="0.2">
      <c r="A11" s="248" t="s">
        <v>111</v>
      </c>
      <c r="B11" s="249" t="s">
        <v>303</v>
      </c>
    </row>
    <row r="12" spans="1:2" x14ac:dyDescent="0.2">
      <c r="A12" s="248" t="s">
        <v>112</v>
      </c>
      <c r="B12" s="249" t="s">
        <v>304</v>
      </c>
    </row>
    <row r="13" spans="1:2" x14ac:dyDescent="0.2">
      <c r="A13" s="248" t="s">
        <v>113</v>
      </c>
      <c r="B13" s="249" t="s">
        <v>305</v>
      </c>
    </row>
    <row r="14" spans="1:2" x14ac:dyDescent="0.2">
      <c r="A14" s="248" t="s">
        <v>114</v>
      </c>
      <c r="B14" s="249" t="s">
        <v>306</v>
      </c>
    </row>
    <row r="15" spans="1:2" x14ac:dyDescent="0.2">
      <c r="A15" s="248" t="s">
        <v>115</v>
      </c>
      <c r="B15" s="249" t="s">
        <v>307</v>
      </c>
    </row>
    <row r="16" spans="1:2" x14ac:dyDescent="0.2">
      <c r="A16" s="12"/>
    </row>
    <row r="17" spans="1:1" x14ac:dyDescent="0.2">
      <c r="A17" s="12"/>
    </row>
    <row r="18" spans="1:1" x14ac:dyDescent="0.2">
      <c r="A18" s="12"/>
    </row>
    <row r="19" spans="1:1" x14ac:dyDescent="0.2">
      <c r="A19" s="12"/>
    </row>
    <row r="20" spans="1:1" x14ac:dyDescent="0.2">
      <c r="A20" s="12"/>
    </row>
  </sheetData>
  <hyperlinks>
    <hyperlink ref="B3" location="'Økonomiske nøgletal'!A1" display="Økonomiske nøgletal" xr:uid="{00000000-0004-0000-0000-000000000000}"/>
    <hyperlink ref="B4" location="'Brændselspriser og CO2-kvoter'!A1" display="Brændselspriser og CO2-kvoter" xr:uid="{00000000-0004-0000-0000-000001000000}"/>
    <hyperlink ref="B5" location="Elpriser!A1" display="Elpriser" xr:uid="{00000000-0004-0000-0000-000002000000}"/>
    <hyperlink ref="B6" location="Elforbrug!A1" display="Elforbrug" xr:uid="{00000000-0004-0000-0000-000003000000}"/>
    <hyperlink ref="B7" location="Effektforbrug!A1" display="Effektforbrug" xr:uid="{00000000-0004-0000-0000-000004000000}"/>
    <hyperlink ref="B8" location="Kraftværksoversigt!A1" display="Kraftværksoversigt" xr:uid="{00000000-0004-0000-0000-000005000000}"/>
    <hyperlink ref="B9" location="Kraftværkskapaciteter!A1" display="Kraftværkskapaciteter" xr:uid="{00000000-0004-0000-0000-000006000000}"/>
    <hyperlink ref="B10" location="Solceller!A1" display="Solceller" xr:uid="{00000000-0004-0000-0000-000007000000}"/>
    <hyperlink ref="B11" location="Vindmøller!A1" display="Vindmøller" xr:uid="{00000000-0004-0000-0000-000008000000}"/>
    <hyperlink ref="B12" location="Udlandsforbindelser!A1" display="Udlandsforbindelser" xr:uid="{00000000-0004-0000-0000-000009000000}"/>
    <hyperlink ref="B13" location="'Centrale gasdata'!A1" display="Centrale gasdata" xr:uid="{00000000-0004-0000-0000-00000A000000}"/>
    <hyperlink ref="B14" location="Gasforbindelser!A1" display="Gasforbindelser" xr:uid="{00000000-0004-0000-0000-00000B000000}"/>
    <hyperlink ref="B15" location="Fjernvarme!A1" display="Fjernvarme" xr:uid="{00000000-0004-0000-0000-00000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22">
    <tabColor theme="6"/>
  </sheetPr>
  <dimension ref="A1:AN421"/>
  <sheetViews>
    <sheetView showGridLines="0" zoomScale="110" zoomScaleNormal="110" workbookViewId="0"/>
  </sheetViews>
  <sheetFormatPr baseColWidth="10" defaultColWidth="9.1640625" defaultRowHeight="15" outlineLevelRow="1" x14ac:dyDescent="0.2"/>
  <cols>
    <col min="1" max="1" width="5.6640625" style="19" customWidth="1"/>
    <col min="2" max="2" width="27.83203125" style="19" customWidth="1"/>
    <col min="3" max="3" width="9" style="19" customWidth="1"/>
    <col min="4" max="6" width="9.33203125" style="18" bestFit="1" customWidth="1"/>
    <col min="7" max="7" width="9.5" style="17" bestFit="1" customWidth="1"/>
    <col min="8" max="8" width="9.33203125" style="18" bestFit="1" customWidth="1"/>
    <col min="9" max="11" width="9.5" style="18" bestFit="1" customWidth="1"/>
    <col min="12" max="12" width="9.5" style="17" bestFit="1" customWidth="1"/>
    <col min="13" max="16" width="9.5" style="18" bestFit="1" customWidth="1"/>
    <col min="17" max="17" width="9.5" style="17" bestFit="1" customWidth="1"/>
    <col min="18" max="21" width="9.5" style="18" bestFit="1" customWidth="1"/>
    <col min="22" max="22" width="9.5" style="17" bestFit="1" customWidth="1"/>
    <col min="23" max="25" width="9.5" style="18" bestFit="1" customWidth="1"/>
    <col min="26" max="26" width="9.33203125" style="18" bestFit="1" customWidth="1"/>
    <col min="27" max="27" width="9.5" style="17" bestFit="1" customWidth="1"/>
    <col min="28" max="28" width="9.1640625" style="16" customWidth="1"/>
    <col min="29" max="38" width="9.1640625" style="19" customWidth="1"/>
    <col min="39" max="16384" width="9.1640625" style="19"/>
  </cols>
  <sheetData>
    <row r="1" spans="2:38" s="68" customFormat="1" ht="21" x14ac:dyDescent="0.25">
      <c r="B1" s="68" t="s">
        <v>468</v>
      </c>
    </row>
    <row r="4" spans="2:38" s="70" customFormat="1" x14ac:dyDescent="0.2">
      <c r="B4" s="70" t="s">
        <v>469</v>
      </c>
    </row>
    <row r="5" spans="2:38" s="15" customFormat="1" x14ac:dyDescent="0.2">
      <c r="D5" s="53"/>
      <c r="E5" s="14"/>
      <c r="F5" s="14"/>
      <c r="G5" s="14"/>
      <c r="H5" s="14"/>
      <c r="I5" s="14"/>
      <c r="J5" s="14"/>
      <c r="K5" s="14"/>
      <c r="L5" s="14"/>
      <c r="M5" s="14"/>
      <c r="N5" s="14"/>
      <c r="O5" s="14"/>
      <c r="P5" s="14"/>
      <c r="Q5" s="14"/>
      <c r="R5" s="14"/>
      <c r="S5" s="14"/>
      <c r="T5" s="14"/>
      <c r="U5" s="14"/>
      <c r="V5" s="14"/>
      <c r="W5" s="14"/>
      <c r="X5" s="14"/>
      <c r="Y5" s="14"/>
      <c r="Z5" s="14"/>
      <c r="AA5" s="14"/>
    </row>
    <row r="6" spans="2:38" s="36" customFormat="1" x14ac:dyDescent="0.2">
      <c r="B6" s="1" t="s">
        <v>245</v>
      </c>
      <c r="C6" s="1"/>
      <c r="D6" s="151">
        <v>2017</v>
      </c>
      <c r="E6" s="151">
        <v>2018</v>
      </c>
      <c r="F6" s="151">
        <v>2019</v>
      </c>
      <c r="G6" s="151">
        <v>2020</v>
      </c>
      <c r="H6" s="151">
        <v>2021</v>
      </c>
      <c r="I6" s="151">
        <v>2022</v>
      </c>
      <c r="J6" s="151">
        <v>2023</v>
      </c>
      <c r="K6" s="151">
        <v>2024</v>
      </c>
      <c r="L6" s="151">
        <v>2025</v>
      </c>
      <c r="M6" s="151">
        <v>2026</v>
      </c>
      <c r="N6" s="151">
        <v>2027</v>
      </c>
      <c r="O6" s="151">
        <v>2028</v>
      </c>
      <c r="P6" s="151">
        <v>2029</v>
      </c>
      <c r="Q6" s="151">
        <v>2030</v>
      </c>
      <c r="R6" s="151">
        <v>2031</v>
      </c>
      <c r="S6" s="151">
        <v>2032</v>
      </c>
      <c r="T6" s="151">
        <v>2033</v>
      </c>
      <c r="U6" s="151">
        <v>2034</v>
      </c>
      <c r="V6" s="151">
        <v>2035</v>
      </c>
      <c r="W6" s="151">
        <v>2036</v>
      </c>
      <c r="X6" s="151">
        <v>2037</v>
      </c>
      <c r="Y6" s="151">
        <v>2038</v>
      </c>
      <c r="Z6" s="151">
        <v>2039</v>
      </c>
      <c r="AA6" s="151">
        <v>2040</v>
      </c>
      <c r="AB6" s="151">
        <v>2041</v>
      </c>
      <c r="AC6" s="151">
        <v>2042</v>
      </c>
      <c r="AD6" s="151">
        <v>2043</v>
      </c>
      <c r="AE6" s="151">
        <v>2044</v>
      </c>
      <c r="AF6" s="151">
        <v>2045</v>
      </c>
      <c r="AG6" s="151">
        <v>2046</v>
      </c>
      <c r="AH6" s="151">
        <v>2047</v>
      </c>
      <c r="AI6" s="151">
        <v>2048</v>
      </c>
      <c r="AJ6" s="151">
        <v>2049</v>
      </c>
      <c r="AK6" s="151">
        <v>2050</v>
      </c>
      <c r="AL6" s="151">
        <v>2051</v>
      </c>
    </row>
    <row r="7" spans="2:38" s="4" customFormat="1" x14ac:dyDescent="0.2">
      <c r="B7" s="55" t="s">
        <v>470</v>
      </c>
      <c r="C7" s="55"/>
      <c r="D7" s="157"/>
      <c r="E7" s="157"/>
      <c r="F7" s="158">
        <v>84.361099999999993</v>
      </c>
      <c r="G7" s="159">
        <v>66.607885714285999</v>
      </c>
      <c r="H7" s="159">
        <v>116.607885714286</v>
      </c>
      <c r="I7" s="159">
        <v>43.542599999999894</v>
      </c>
      <c r="J7" s="159">
        <v>93.542599999999894</v>
      </c>
      <c r="K7" s="157">
        <f t="shared" ref="K7:W8" si="0">J7</f>
        <v>93.542599999999894</v>
      </c>
      <c r="L7" s="157">
        <f t="shared" si="0"/>
        <v>93.542599999999894</v>
      </c>
      <c r="M7" s="159">
        <v>75</v>
      </c>
      <c r="N7" s="157">
        <f t="shared" si="0"/>
        <v>75</v>
      </c>
      <c r="O7" s="157">
        <f t="shared" si="0"/>
        <v>75</v>
      </c>
      <c r="P7" s="157">
        <f t="shared" si="0"/>
        <v>75</v>
      </c>
      <c r="Q7" s="157">
        <f t="shared" si="0"/>
        <v>75</v>
      </c>
      <c r="R7" s="157">
        <f t="shared" si="0"/>
        <v>75</v>
      </c>
      <c r="S7" s="157">
        <f t="shared" si="0"/>
        <v>75</v>
      </c>
      <c r="T7" s="157">
        <f t="shared" si="0"/>
        <v>75</v>
      </c>
      <c r="U7" s="157">
        <f t="shared" si="0"/>
        <v>75</v>
      </c>
      <c r="V7" s="157">
        <f t="shared" si="0"/>
        <v>75</v>
      </c>
      <c r="W7" s="157">
        <f t="shared" si="0"/>
        <v>75</v>
      </c>
      <c r="X7" s="157">
        <f t="shared" ref="X7:AF8" si="1">W7</f>
        <v>75</v>
      </c>
      <c r="Y7" s="157">
        <f t="shared" si="1"/>
        <v>75</v>
      </c>
      <c r="Z7" s="157">
        <f t="shared" si="1"/>
        <v>75</v>
      </c>
      <c r="AA7" s="157">
        <f t="shared" si="1"/>
        <v>75</v>
      </c>
      <c r="AB7" s="157">
        <f t="shared" si="1"/>
        <v>75</v>
      </c>
      <c r="AC7" s="157">
        <f t="shared" si="1"/>
        <v>75</v>
      </c>
      <c r="AD7" s="157">
        <f t="shared" si="1"/>
        <v>75</v>
      </c>
      <c r="AE7" s="157">
        <f t="shared" si="1"/>
        <v>75</v>
      </c>
      <c r="AF7" s="157">
        <f t="shared" si="1"/>
        <v>75</v>
      </c>
      <c r="AG7" s="9"/>
      <c r="AH7" s="9"/>
      <c r="AI7" s="9"/>
      <c r="AJ7" s="9"/>
      <c r="AK7" s="9"/>
      <c r="AL7" s="9"/>
    </row>
    <row r="8" spans="2:38" s="6" customFormat="1" x14ac:dyDescent="0.2">
      <c r="B8" s="160" t="s">
        <v>336</v>
      </c>
      <c r="C8" s="160"/>
      <c r="D8" s="161"/>
      <c r="E8" s="161"/>
      <c r="F8" s="162">
        <v>0.8</v>
      </c>
      <c r="G8" s="161">
        <f t="shared" ref="G8:V8" si="2">F8</f>
        <v>0.8</v>
      </c>
      <c r="H8" s="161">
        <f t="shared" si="2"/>
        <v>0.8</v>
      </c>
      <c r="I8" s="161">
        <f t="shared" si="2"/>
        <v>0.8</v>
      </c>
      <c r="J8" s="161">
        <f t="shared" si="2"/>
        <v>0.8</v>
      </c>
      <c r="K8" s="161">
        <f t="shared" si="2"/>
        <v>0.8</v>
      </c>
      <c r="L8" s="161">
        <f t="shared" si="2"/>
        <v>0.8</v>
      </c>
      <c r="M8" s="161">
        <f t="shared" si="2"/>
        <v>0.8</v>
      </c>
      <c r="N8" s="161">
        <f t="shared" si="2"/>
        <v>0.8</v>
      </c>
      <c r="O8" s="161">
        <f t="shared" si="2"/>
        <v>0.8</v>
      </c>
      <c r="P8" s="161">
        <f t="shared" si="2"/>
        <v>0.8</v>
      </c>
      <c r="Q8" s="161">
        <f t="shared" si="2"/>
        <v>0.8</v>
      </c>
      <c r="R8" s="161">
        <f t="shared" si="2"/>
        <v>0.8</v>
      </c>
      <c r="S8" s="161">
        <f t="shared" si="2"/>
        <v>0.8</v>
      </c>
      <c r="T8" s="161">
        <f t="shared" si="2"/>
        <v>0.8</v>
      </c>
      <c r="U8" s="161">
        <f t="shared" si="2"/>
        <v>0.8</v>
      </c>
      <c r="V8" s="161">
        <f t="shared" si="2"/>
        <v>0.8</v>
      </c>
      <c r="W8" s="161">
        <f t="shared" si="0"/>
        <v>0.8</v>
      </c>
      <c r="X8" s="161">
        <f t="shared" si="1"/>
        <v>0.8</v>
      </c>
      <c r="Y8" s="161">
        <f t="shared" si="1"/>
        <v>0.8</v>
      </c>
      <c r="Z8" s="161">
        <f t="shared" si="1"/>
        <v>0.8</v>
      </c>
      <c r="AA8" s="161">
        <f t="shared" si="1"/>
        <v>0.8</v>
      </c>
      <c r="AB8" s="161">
        <f t="shared" si="1"/>
        <v>0.8</v>
      </c>
      <c r="AC8" s="161">
        <f t="shared" si="1"/>
        <v>0.8</v>
      </c>
      <c r="AD8" s="161">
        <f t="shared" si="1"/>
        <v>0.8</v>
      </c>
      <c r="AE8" s="161">
        <f t="shared" si="1"/>
        <v>0.8</v>
      </c>
      <c r="AF8" s="161">
        <f t="shared" si="1"/>
        <v>0.8</v>
      </c>
      <c r="AG8" s="26"/>
      <c r="AH8" s="26"/>
      <c r="AI8" s="26"/>
      <c r="AJ8" s="26"/>
      <c r="AK8" s="26"/>
      <c r="AL8" s="26"/>
    </row>
    <row r="9" spans="2:38" x14ac:dyDescent="0.2">
      <c r="B9" s="16"/>
      <c r="C9" s="16"/>
      <c r="D9" s="17"/>
      <c r="E9" s="17"/>
      <c r="F9" s="17"/>
      <c r="H9" s="17"/>
      <c r="I9" s="17"/>
      <c r="J9" s="17"/>
      <c r="K9" s="17"/>
      <c r="M9" s="17"/>
      <c r="N9" s="17"/>
      <c r="O9" s="17"/>
      <c r="P9" s="17"/>
      <c r="R9" s="17"/>
      <c r="S9" s="17"/>
      <c r="T9" s="17"/>
      <c r="U9" s="17"/>
      <c r="W9" s="17"/>
      <c r="X9" s="17"/>
      <c r="Y9" s="17"/>
      <c r="Z9" s="17"/>
      <c r="AB9" s="17"/>
      <c r="AC9" s="17"/>
      <c r="AD9" s="17"/>
      <c r="AE9" s="17"/>
      <c r="AF9" s="17"/>
      <c r="AG9" s="17"/>
      <c r="AH9" s="17"/>
      <c r="AI9" s="17"/>
      <c r="AJ9" s="17"/>
      <c r="AK9" s="17"/>
      <c r="AL9" s="17"/>
    </row>
    <row r="10" spans="2:38" s="7" customFormat="1" x14ac:dyDescent="0.2">
      <c r="B10" s="163" t="s">
        <v>192</v>
      </c>
      <c r="C10" s="163"/>
      <c r="D10" s="9"/>
      <c r="E10" s="9"/>
      <c r="F10" s="9"/>
      <c r="G10" s="9"/>
      <c r="H10" s="157"/>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2:38" s="7" customFormat="1" x14ac:dyDescent="0.2">
      <c r="B11" s="5" t="s">
        <v>337</v>
      </c>
      <c r="C11" s="5"/>
      <c r="D11" s="164">
        <v>452.89400000000001</v>
      </c>
      <c r="E11" s="159">
        <v>426.0573333333333</v>
      </c>
      <c r="F11" s="159">
        <v>405.226</v>
      </c>
      <c r="G11" s="159">
        <v>384.39466666666669</v>
      </c>
      <c r="H11" s="159">
        <v>359.39261904761906</v>
      </c>
      <c r="I11" s="159">
        <v>334.39057142857143</v>
      </c>
      <c r="J11" s="159">
        <v>307.28257142857143</v>
      </c>
      <c r="K11" s="159">
        <v>280.17457142857143</v>
      </c>
      <c r="L11" s="159">
        <v>253.06657142857148</v>
      </c>
      <c r="M11" s="159">
        <v>225.95857142857147</v>
      </c>
      <c r="N11" s="165">
        <f t="shared" ref="N11:T11" si="3">M11-$M11/7</f>
        <v>193.6787755102041</v>
      </c>
      <c r="O11" s="165">
        <f t="shared" si="3"/>
        <v>161.39897959183673</v>
      </c>
      <c r="P11" s="165">
        <f t="shared" si="3"/>
        <v>129.11918367346937</v>
      </c>
      <c r="Q11" s="165">
        <f t="shared" si="3"/>
        <v>96.83938775510201</v>
      </c>
      <c r="R11" s="165">
        <f t="shared" si="3"/>
        <v>64.559591836734654</v>
      </c>
      <c r="S11" s="165">
        <f t="shared" si="3"/>
        <v>32.279795918367299</v>
      </c>
      <c r="T11" s="165">
        <f t="shared" si="3"/>
        <v>-5.6843418860808015E-14</v>
      </c>
      <c r="U11" s="157">
        <v>0</v>
      </c>
      <c r="V11" s="157">
        <v>0</v>
      </c>
      <c r="W11" s="157">
        <v>0</v>
      </c>
      <c r="X11" s="157">
        <v>0</v>
      </c>
      <c r="Y11" s="157">
        <v>0</v>
      </c>
      <c r="Z11" s="157">
        <v>0</v>
      </c>
      <c r="AA11" s="157">
        <v>0</v>
      </c>
      <c r="AB11" s="157">
        <v>0</v>
      </c>
      <c r="AC11" s="157">
        <v>0</v>
      </c>
      <c r="AD11" s="157">
        <v>0</v>
      </c>
      <c r="AE11" s="157">
        <v>0</v>
      </c>
      <c r="AF11" s="157">
        <v>0</v>
      </c>
      <c r="AG11" s="9"/>
      <c r="AH11" s="9"/>
      <c r="AI11" s="9"/>
      <c r="AJ11" s="9"/>
      <c r="AK11" s="9"/>
      <c r="AL11" s="9"/>
    </row>
    <row r="12" spans="2:38" s="7" customFormat="1" x14ac:dyDescent="0.2">
      <c r="B12" s="55" t="s">
        <v>338</v>
      </c>
      <c r="C12" s="55"/>
      <c r="D12" s="164">
        <v>92.191999999999993</v>
      </c>
      <c r="E12" s="9">
        <f t="shared" ref="E12:T13" si="4">D12</f>
        <v>92.191999999999993</v>
      </c>
      <c r="F12" s="9">
        <f t="shared" si="4"/>
        <v>92.191999999999993</v>
      </c>
      <c r="G12" s="9">
        <f t="shared" si="4"/>
        <v>92.191999999999993</v>
      </c>
      <c r="H12" s="9">
        <f t="shared" si="4"/>
        <v>92.191999999999993</v>
      </c>
      <c r="I12" s="9">
        <f t="shared" si="4"/>
        <v>92.191999999999993</v>
      </c>
      <c r="J12" s="9">
        <f t="shared" si="4"/>
        <v>92.191999999999993</v>
      </c>
      <c r="K12" s="9">
        <f t="shared" si="4"/>
        <v>92.191999999999993</v>
      </c>
      <c r="L12" s="9">
        <f t="shared" si="4"/>
        <v>92.191999999999993</v>
      </c>
      <c r="M12" s="9">
        <f t="shared" si="4"/>
        <v>92.191999999999993</v>
      </c>
      <c r="N12" s="9">
        <f t="shared" si="4"/>
        <v>92.191999999999993</v>
      </c>
      <c r="O12" s="9">
        <f t="shared" si="4"/>
        <v>92.191999999999993</v>
      </c>
      <c r="P12" s="9">
        <f t="shared" si="4"/>
        <v>92.191999999999993</v>
      </c>
      <c r="Q12" s="9">
        <f t="shared" si="4"/>
        <v>92.191999999999993</v>
      </c>
      <c r="R12" s="9">
        <f t="shared" si="4"/>
        <v>92.191999999999993</v>
      </c>
      <c r="S12" s="9">
        <f t="shared" si="4"/>
        <v>92.191999999999993</v>
      </c>
      <c r="T12" s="9">
        <f t="shared" si="4"/>
        <v>92.191999999999993</v>
      </c>
      <c r="U12" s="165">
        <f t="shared" ref="U12:Z12" si="5">T12-$T12/6</f>
        <v>76.826666666666654</v>
      </c>
      <c r="V12" s="165">
        <f t="shared" si="5"/>
        <v>61.461333333333322</v>
      </c>
      <c r="W12" s="165">
        <f t="shared" si="5"/>
        <v>46.095999999999989</v>
      </c>
      <c r="X12" s="165">
        <f t="shared" si="5"/>
        <v>30.730666666666657</v>
      </c>
      <c r="Y12" s="165">
        <f t="shared" si="5"/>
        <v>15.365333333333325</v>
      </c>
      <c r="Z12" s="165">
        <f t="shared" si="5"/>
        <v>0</v>
      </c>
      <c r="AA12" s="157">
        <v>0</v>
      </c>
      <c r="AB12" s="157">
        <v>0</v>
      </c>
      <c r="AC12" s="157">
        <v>0</v>
      </c>
      <c r="AD12" s="157">
        <v>0</v>
      </c>
      <c r="AE12" s="157">
        <v>0</v>
      </c>
      <c r="AF12" s="157">
        <v>0</v>
      </c>
      <c r="AG12" s="9"/>
      <c r="AH12" s="9"/>
      <c r="AI12" s="9"/>
      <c r="AJ12" s="9"/>
      <c r="AK12" s="9"/>
      <c r="AL12" s="9"/>
    </row>
    <row r="13" spans="2:38" s="7" customFormat="1" x14ac:dyDescent="0.2">
      <c r="B13" s="55" t="s">
        <v>339</v>
      </c>
      <c r="C13" s="55"/>
      <c r="D13" s="164">
        <v>120.43</v>
      </c>
      <c r="E13" s="9">
        <f>+D13+D17</f>
        <v>180.43</v>
      </c>
      <c r="F13" s="9">
        <f>+E13+E17</f>
        <v>215.43</v>
      </c>
      <c r="G13" s="9">
        <f>+F13+F17</f>
        <v>245.43000000000004</v>
      </c>
      <c r="H13" s="9">
        <f>G13</f>
        <v>245.43000000000004</v>
      </c>
      <c r="I13" s="9">
        <f t="shared" si="4"/>
        <v>245.43000000000004</v>
      </c>
      <c r="J13" s="9">
        <f t="shared" si="4"/>
        <v>245.43000000000004</v>
      </c>
      <c r="K13" s="9">
        <f t="shared" si="4"/>
        <v>245.43000000000004</v>
      </c>
      <c r="L13" s="9">
        <f t="shared" si="4"/>
        <v>245.43000000000004</v>
      </c>
      <c r="M13" s="9">
        <f t="shared" si="4"/>
        <v>245.43000000000004</v>
      </c>
      <c r="N13" s="9">
        <f t="shared" si="4"/>
        <v>245.43000000000004</v>
      </c>
      <c r="O13" s="9">
        <f t="shared" si="4"/>
        <v>245.43000000000004</v>
      </c>
      <c r="P13" s="9">
        <f t="shared" si="4"/>
        <v>245.43000000000004</v>
      </c>
      <c r="Q13" s="9">
        <f t="shared" si="4"/>
        <v>245.43000000000004</v>
      </c>
      <c r="R13" s="9">
        <f t="shared" si="4"/>
        <v>245.43000000000004</v>
      </c>
      <c r="S13" s="9">
        <f t="shared" si="4"/>
        <v>245.43000000000004</v>
      </c>
      <c r="T13" s="9">
        <f t="shared" si="4"/>
        <v>245.43000000000004</v>
      </c>
      <c r="U13" s="9">
        <f t="shared" ref="U13:Z13" si="6">T13</f>
        <v>245.43000000000004</v>
      </c>
      <c r="V13" s="9">
        <f t="shared" si="6"/>
        <v>245.43000000000004</v>
      </c>
      <c r="W13" s="9">
        <f t="shared" si="6"/>
        <v>245.43000000000004</v>
      </c>
      <c r="X13" s="9">
        <f t="shared" si="6"/>
        <v>245.43000000000004</v>
      </c>
      <c r="Y13" s="9">
        <f t="shared" si="6"/>
        <v>245.43000000000004</v>
      </c>
      <c r="Z13" s="9">
        <f t="shared" si="6"/>
        <v>245.43000000000004</v>
      </c>
      <c r="AA13" s="165">
        <f t="shared" ref="AA13:AF13" si="7">Z13-$T13/6</f>
        <v>204.52500000000003</v>
      </c>
      <c r="AB13" s="165">
        <f t="shared" si="7"/>
        <v>163.62000000000003</v>
      </c>
      <c r="AC13" s="165">
        <f t="shared" si="7"/>
        <v>122.71500000000003</v>
      </c>
      <c r="AD13" s="165">
        <f t="shared" si="7"/>
        <v>81.810000000000031</v>
      </c>
      <c r="AE13" s="165">
        <f t="shared" si="7"/>
        <v>40.905000000000022</v>
      </c>
      <c r="AF13" s="165">
        <f t="shared" si="7"/>
        <v>0</v>
      </c>
      <c r="AG13" s="9"/>
      <c r="AH13" s="9"/>
      <c r="AI13" s="9"/>
      <c r="AJ13" s="9"/>
      <c r="AK13" s="9"/>
      <c r="AL13" s="9"/>
    </row>
    <row r="14" spans="2:38" s="7" customFormat="1" x14ac:dyDescent="0.2">
      <c r="B14" s="55" t="s">
        <v>340</v>
      </c>
      <c r="C14" s="55"/>
      <c r="D14" s="9"/>
      <c r="E14" s="9"/>
      <c r="F14" s="9"/>
      <c r="G14" s="9"/>
      <c r="H14" s="9">
        <f>G14+G18</f>
        <v>30.000000000000039</v>
      </c>
      <c r="I14" s="9">
        <f t="shared" ref="I14:AF14" si="8">H14+H18</f>
        <v>70.000000000000071</v>
      </c>
      <c r="J14" s="9">
        <f t="shared" si="8"/>
        <v>110.00000000000006</v>
      </c>
      <c r="K14" s="9">
        <f t="shared" si="8"/>
        <v>160</v>
      </c>
      <c r="L14" s="9">
        <f t="shared" si="8"/>
        <v>209.99999999999997</v>
      </c>
      <c r="M14" s="9">
        <f t="shared" si="8"/>
        <v>259.99999999999989</v>
      </c>
      <c r="N14" s="9">
        <f t="shared" si="8"/>
        <v>314.14624489795904</v>
      </c>
      <c r="O14" s="9">
        <f t="shared" si="8"/>
        <v>368.29248979591819</v>
      </c>
      <c r="P14" s="9">
        <f t="shared" si="8"/>
        <v>422.43873469387734</v>
      </c>
      <c r="Q14" s="9">
        <f t="shared" si="8"/>
        <v>476.58497959183654</v>
      </c>
      <c r="R14" s="9">
        <f t="shared" si="8"/>
        <v>530.73122448979575</v>
      </c>
      <c r="S14" s="9">
        <f t="shared" si="8"/>
        <v>584.8774693877549</v>
      </c>
      <c r="T14" s="9">
        <f t="shared" si="8"/>
        <v>639.02371428571405</v>
      </c>
      <c r="U14" s="9">
        <f t="shared" si="8"/>
        <v>688.42511428571402</v>
      </c>
      <c r="V14" s="9">
        <f t="shared" si="8"/>
        <v>737.82651428571398</v>
      </c>
      <c r="W14" s="9">
        <f t="shared" si="8"/>
        <v>787.22791428571395</v>
      </c>
      <c r="X14" s="9">
        <f t="shared" si="8"/>
        <v>836.62931428571392</v>
      </c>
      <c r="Y14" s="9">
        <f t="shared" si="8"/>
        <v>886.03071428571388</v>
      </c>
      <c r="Z14" s="9">
        <f t="shared" si="8"/>
        <v>935.43211428571385</v>
      </c>
      <c r="AA14" s="9">
        <f t="shared" si="8"/>
        <v>984.99984761904716</v>
      </c>
      <c r="AB14" s="9">
        <f t="shared" si="8"/>
        <v>1034.5675809523805</v>
      </c>
      <c r="AC14" s="9">
        <f t="shared" si="8"/>
        <v>1084.1353142857138</v>
      </c>
      <c r="AD14" s="9">
        <f t="shared" si="8"/>
        <v>1133.7030476190471</v>
      </c>
      <c r="AE14" s="9">
        <f t="shared" si="8"/>
        <v>1183.2707809523804</v>
      </c>
      <c r="AF14" s="9">
        <f t="shared" si="8"/>
        <v>1232.8385142857137</v>
      </c>
      <c r="AG14" s="9"/>
      <c r="AH14" s="9"/>
      <c r="AI14" s="9"/>
      <c r="AJ14" s="9"/>
      <c r="AK14" s="9"/>
      <c r="AL14" s="9"/>
    </row>
    <row r="15" spans="2:38" s="7" customFormat="1" x14ac:dyDescent="0.2">
      <c r="B15" s="5" t="s">
        <v>361</v>
      </c>
      <c r="C15" s="5"/>
      <c r="D15" s="157">
        <f t="shared" ref="D15:AE17" si="9">E11-D11</f>
        <v>-26.836666666666702</v>
      </c>
      <c r="E15" s="157">
        <f t="shared" si="9"/>
        <v>-20.831333333333305</v>
      </c>
      <c r="F15" s="157">
        <f t="shared" si="9"/>
        <v>-20.831333333333305</v>
      </c>
      <c r="G15" s="157">
        <f t="shared" si="9"/>
        <v>-25.00204761904763</v>
      </c>
      <c r="H15" s="157">
        <f t="shared" si="9"/>
        <v>-25.00204761904763</v>
      </c>
      <c r="I15" s="157">
        <f t="shared" si="9"/>
        <v>-27.108000000000004</v>
      </c>
      <c r="J15" s="157">
        <f t="shared" si="9"/>
        <v>-27.108000000000004</v>
      </c>
      <c r="K15" s="157">
        <f t="shared" si="9"/>
        <v>-27.107999999999947</v>
      </c>
      <c r="L15" s="157">
        <f t="shared" si="9"/>
        <v>-27.108000000000004</v>
      </c>
      <c r="M15" s="157">
        <f t="shared" si="9"/>
        <v>-32.27979591836737</v>
      </c>
      <c r="N15" s="157">
        <f t="shared" si="9"/>
        <v>-32.27979591836737</v>
      </c>
      <c r="O15" s="157">
        <f t="shared" si="9"/>
        <v>-32.27979591836737</v>
      </c>
      <c r="P15" s="157">
        <f t="shared" si="9"/>
        <v>-32.279795918367356</v>
      </c>
      <c r="Q15" s="157">
        <f t="shared" si="9"/>
        <v>-32.279795918367356</v>
      </c>
      <c r="R15" s="157">
        <f t="shared" si="9"/>
        <v>-32.279795918367356</v>
      </c>
      <c r="S15" s="157">
        <f t="shared" si="9"/>
        <v>-32.279795918367356</v>
      </c>
      <c r="T15" s="157">
        <f t="shared" si="9"/>
        <v>5.6843418860808015E-14</v>
      </c>
      <c r="U15" s="157">
        <f t="shared" si="9"/>
        <v>0</v>
      </c>
      <c r="V15" s="157">
        <f t="shared" si="9"/>
        <v>0</v>
      </c>
      <c r="W15" s="157">
        <f t="shared" si="9"/>
        <v>0</v>
      </c>
      <c r="X15" s="157">
        <f t="shared" si="9"/>
        <v>0</v>
      </c>
      <c r="Y15" s="157">
        <f t="shared" si="9"/>
        <v>0</v>
      </c>
      <c r="Z15" s="157">
        <f t="shared" si="9"/>
        <v>0</v>
      </c>
      <c r="AA15" s="157">
        <f t="shared" si="9"/>
        <v>0</v>
      </c>
      <c r="AB15" s="157">
        <f t="shared" si="9"/>
        <v>0</v>
      </c>
      <c r="AC15" s="157">
        <f t="shared" si="9"/>
        <v>0</v>
      </c>
      <c r="AD15" s="157">
        <f t="shared" si="9"/>
        <v>0</v>
      </c>
      <c r="AE15" s="157">
        <f t="shared" si="9"/>
        <v>0</v>
      </c>
      <c r="AF15" s="9"/>
      <c r="AG15" s="9"/>
      <c r="AH15" s="9"/>
      <c r="AI15" s="9"/>
      <c r="AJ15" s="9"/>
      <c r="AK15" s="9"/>
      <c r="AL15" s="9"/>
    </row>
    <row r="16" spans="2:38" s="7" customFormat="1" x14ac:dyDescent="0.2">
      <c r="B16" s="55" t="s">
        <v>362</v>
      </c>
      <c r="C16" s="55"/>
      <c r="D16" s="157">
        <f t="shared" si="9"/>
        <v>0</v>
      </c>
      <c r="E16" s="157">
        <f t="shared" si="9"/>
        <v>0</v>
      </c>
      <c r="F16" s="157">
        <f t="shared" si="9"/>
        <v>0</v>
      </c>
      <c r="G16" s="157">
        <f t="shared" si="9"/>
        <v>0</v>
      </c>
      <c r="H16" s="157">
        <f t="shared" si="9"/>
        <v>0</v>
      </c>
      <c r="I16" s="157">
        <f t="shared" si="9"/>
        <v>0</v>
      </c>
      <c r="J16" s="157">
        <f t="shared" si="9"/>
        <v>0</v>
      </c>
      <c r="K16" s="157">
        <f t="shared" si="9"/>
        <v>0</v>
      </c>
      <c r="L16" s="157">
        <f t="shared" si="9"/>
        <v>0</v>
      </c>
      <c r="M16" s="157">
        <f t="shared" si="9"/>
        <v>0</v>
      </c>
      <c r="N16" s="157">
        <f t="shared" si="9"/>
        <v>0</v>
      </c>
      <c r="O16" s="157">
        <f t="shared" si="9"/>
        <v>0</v>
      </c>
      <c r="P16" s="157">
        <f t="shared" si="9"/>
        <v>0</v>
      </c>
      <c r="Q16" s="157">
        <f t="shared" si="9"/>
        <v>0</v>
      </c>
      <c r="R16" s="157">
        <f t="shared" si="9"/>
        <v>0</v>
      </c>
      <c r="S16" s="157">
        <f t="shared" si="9"/>
        <v>0</v>
      </c>
      <c r="T16" s="157">
        <f t="shared" si="9"/>
        <v>-15.365333333333339</v>
      </c>
      <c r="U16" s="157">
        <f t="shared" si="9"/>
        <v>-15.365333333333332</v>
      </c>
      <c r="V16" s="157">
        <f t="shared" si="9"/>
        <v>-15.365333333333332</v>
      </c>
      <c r="W16" s="157">
        <f t="shared" si="9"/>
        <v>-15.365333333333332</v>
      </c>
      <c r="X16" s="157">
        <f t="shared" si="9"/>
        <v>-15.365333333333332</v>
      </c>
      <c r="Y16" s="157">
        <f t="shared" si="9"/>
        <v>-15.365333333333325</v>
      </c>
      <c r="Z16" s="157">
        <f t="shared" si="9"/>
        <v>0</v>
      </c>
      <c r="AA16" s="157">
        <f t="shared" si="9"/>
        <v>0</v>
      </c>
      <c r="AB16" s="157">
        <f t="shared" si="9"/>
        <v>0</v>
      </c>
      <c r="AC16" s="157">
        <f t="shared" si="9"/>
        <v>0</v>
      </c>
      <c r="AD16" s="157">
        <f t="shared" si="9"/>
        <v>0</v>
      </c>
      <c r="AE16" s="157">
        <f t="shared" si="9"/>
        <v>0</v>
      </c>
      <c r="AF16" s="9"/>
      <c r="AG16" s="9"/>
      <c r="AH16" s="9"/>
      <c r="AI16" s="9"/>
      <c r="AJ16" s="9"/>
      <c r="AK16" s="9"/>
      <c r="AL16" s="9"/>
    </row>
    <row r="17" spans="2:38" s="7" customFormat="1" x14ac:dyDescent="0.2">
      <c r="B17" s="55" t="s">
        <v>363</v>
      </c>
      <c r="C17" s="55"/>
      <c r="D17" s="159">
        <v>60</v>
      </c>
      <c r="E17" s="159">
        <v>35</v>
      </c>
      <c r="F17" s="9">
        <f>(F$7-F$34)*(1-F$8)</f>
        <v>30.000000000000021</v>
      </c>
      <c r="G17" s="157">
        <f t="shared" si="9"/>
        <v>0</v>
      </c>
      <c r="H17" s="157">
        <f t="shared" si="9"/>
        <v>0</v>
      </c>
      <c r="I17" s="157">
        <f t="shared" si="9"/>
        <v>0</v>
      </c>
      <c r="J17" s="157">
        <f t="shared" si="9"/>
        <v>0</v>
      </c>
      <c r="K17" s="157">
        <f t="shared" si="9"/>
        <v>0</v>
      </c>
      <c r="L17" s="157">
        <f t="shared" si="9"/>
        <v>0</v>
      </c>
      <c r="M17" s="157">
        <f t="shared" si="9"/>
        <v>0</v>
      </c>
      <c r="N17" s="157">
        <f t="shared" si="9"/>
        <v>0</v>
      </c>
      <c r="O17" s="157">
        <f t="shared" si="9"/>
        <v>0</v>
      </c>
      <c r="P17" s="157">
        <f t="shared" si="9"/>
        <v>0</v>
      </c>
      <c r="Q17" s="157">
        <f t="shared" si="9"/>
        <v>0</v>
      </c>
      <c r="R17" s="157">
        <f t="shared" si="9"/>
        <v>0</v>
      </c>
      <c r="S17" s="157">
        <f t="shared" si="9"/>
        <v>0</v>
      </c>
      <c r="T17" s="157">
        <f t="shared" si="9"/>
        <v>0</v>
      </c>
      <c r="U17" s="157">
        <f t="shared" si="9"/>
        <v>0</v>
      </c>
      <c r="V17" s="157">
        <f t="shared" si="9"/>
        <v>0</v>
      </c>
      <c r="W17" s="157">
        <f t="shared" si="9"/>
        <v>0</v>
      </c>
      <c r="X17" s="157">
        <f t="shared" si="9"/>
        <v>0</v>
      </c>
      <c r="Y17" s="157">
        <f t="shared" si="9"/>
        <v>0</v>
      </c>
      <c r="Z17" s="157">
        <f t="shared" si="9"/>
        <v>-40.905000000000001</v>
      </c>
      <c r="AA17" s="157">
        <f t="shared" si="9"/>
        <v>-40.905000000000001</v>
      </c>
      <c r="AB17" s="157">
        <f t="shared" si="9"/>
        <v>-40.905000000000001</v>
      </c>
      <c r="AC17" s="157">
        <f t="shared" si="9"/>
        <v>-40.905000000000001</v>
      </c>
      <c r="AD17" s="157">
        <f t="shared" si="9"/>
        <v>-40.905000000000008</v>
      </c>
      <c r="AE17" s="157">
        <f t="shared" si="9"/>
        <v>-40.905000000000022</v>
      </c>
      <c r="AF17" s="9"/>
      <c r="AG17" s="9"/>
      <c r="AH17" s="9"/>
      <c r="AI17" s="9"/>
      <c r="AJ17" s="9"/>
      <c r="AK17" s="9"/>
      <c r="AL17" s="9"/>
    </row>
    <row r="18" spans="2:38" s="7" customFormat="1" x14ac:dyDescent="0.2">
      <c r="B18" s="55" t="s">
        <v>364</v>
      </c>
      <c r="C18" s="55"/>
      <c r="D18" s="9"/>
      <c r="E18" s="9"/>
      <c r="F18" s="9"/>
      <c r="G18" s="9">
        <f t="shared" ref="G18:AE18" si="10">(G$7-G$34)*(1-G$8)</f>
        <v>30.000000000000039</v>
      </c>
      <c r="H18" s="9">
        <f t="shared" si="10"/>
        <v>40.000000000000036</v>
      </c>
      <c r="I18" s="9">
        <f t="shared" si="10"/>
        <v>39.999999999999979</v>
      </c>
      <c r="J18" s="9">
        <f t="shared" si="10"/>
        <v>49.999999999999929</v>
      </c>
      <c r="K18" s="9">
        <f t="shared" si="10"/>
        <v>49.999999999999964</v>
      </c>
      <c r="L18" s="9">
        <f t="shared" si="10"/>
        <v>49.999999999999929</v>
      </c>
      <c r="M18" s="9">
        <f t="shared" si="10"/>
        <v>54.146244897959171</v>
      </c>
      <c r="N18" s="9">
        <f t="shared" si="10"/>
        <v>54.146244897959171</v>
      </c>
      <c r="O18" s="9">
        <f t="shared" si="10"/>
        <v>54.146244897959171</v>
      </c>
      <c r="P18" s="9">
        <f t="shared" si="10"/>
        <v>54.146244897959185</v>
      </c>
      <c r="Q18" s="9">
        <f t="shared" si="10"/>
        <v>54.146244897959185</v>
      </c>
      <c r="R18" s="9">
        <f t="shared" si="10"/>
        <v>54.146244897959185</v>
      </c>
      <c r="S18" s="9">
        <f t="shared" si="10"/>
        <v>54.146244897959185</v>
      </c>
      <c r="T18" s="9">
        <f t="shared" si="10"/>
        <v>49.401400000000024</v>
      </c>
      <c r="U18" s="9">
        <f t="shared" si="10"/>
        <v>49.401399999999981</v>
      </c>
      <c r="V18" s="9">
        <f t="shared" si="10"/>
        <v>49.401399999999981</v>
      </c>
      <c r="W18" s="9">
        <f t="shared" si="10"/>
        <v>49.401399999999981</v>
      </c>
      <c r="X18" s="9">
        <f t="shared" si="10"/>
        <v>49.401399999999988</v>
      </c>
      <c r="Y18" s="9">
        <f t="shared" si="10"/>
        <v>49.401400000000002</v>
      </c>
      <c r="Z18" s="9">
        <f t="shared" si="10"/>
        <v>49.567733333333322</v>
      </c>
      <c r="AA18" s="9">
        <f t="shared" si="10"/>
        <v>49.567733333333322</v>
      </c>
      <c r="AB18" s="9">
        <f t="shared" si="10"/>
        <v>49.567733333333322</v>
      </c>
      <c r="AC18" s="9">
        <f t="shared" si="10"/>
        <v>49.567733333333322</v>
      </c>
      <c r="AD18" s="9">
        <f t="shared" si="10"/>
        <v>49.567733333333322</v>
      </c>
      <c r="AE18" s="9">
        <f t="shared" si="10"/>
        <v>49.567733333333329</v>
      </c>
      <c r="AF18" s="9"/>
      <c r="AG18" s="9"/>
      <c r="AH18" s="9"/>
      <c r="AI18" s="9"/>
      <c r="AJ18" s="9"/>
      <c r="AK18" s="9"/>
      <c r="AL18" s="9"/>
    </row>
    <row r="19" spans="2:38" s="7" customFormat="1" x14ac:dyDescent="0.2">
      <c r="B19" s="5" t="s">
        <v>370</v>
      </c>
      <c r="C19" s="5"/>
      <c r="D19" s="157">
        <f t="shared" ref="D19:V19" si="11">+SUM(D15:D18)</f>
        <v>33.163333333333298</v>
      </c>
      <c r="E19" s="157">
        <f t="shared" si="11"/>
        <v>14.168666666666695</v>
      </c>
      <c r="F19" s="157">
        <f t="shared" si="11"/>
        <v>9.1686666666667165</v>
      </c>
      <c r="G19" s="157">
        <f t="shared" si="11"/>
        <v>4.9979523809524089</v>
      </c>
      <c r="H19" s="157">
        <f t="shared" si="11"/>
        <v>14.997952380952405</v>
      </c>
      <c r="I19" s="157">
        <f t="shared" si="11"/>
        <v>12.891999999999975</v>
      </c>
      <c r="J19" s="157">
        <f t="shared" si="11"/>
        <v>22.891999999999925</v>
      </c>
      <c r="K19" s="157">
        <f t="shared" si="11"/>
        <v>22.892000000000017</v>
      </c>
      <c r="L19" s="157">
        <f t="shared" si="11"/>
        <v>22.891999999999925</v>
      </c>
      <c r="M19" s="157">
        <f t="shared" si="11"/>
        <v>21.866448979591802</v>
      </c>
      <c r="N19" s="157">
        <f t="shared" si="11"/>
        <v>21.866448979591802</v>
      </c>
      <c r="O19" s="157">
        <f t="shared" si="11"/>
        <v>21.866448979591802</v>
      </c>
      <c r="P19" s="157">
        <f t="shared" si="11"/>
        <v>21.86644897959183</v>
      </c>
      <c r="Q19" s="157">
        <f t="shared" si="11"/>
        <v>21.86644897959183</v>
      </c>
      <c r="R19" s="157">
        <f t="shared" si="11"/>
        <v>21.86644897959183</v>
      </c>
      <c r="S19" s="157">
        <f t="shared" si="11"/>
        <v>21.86644897959183</v>
      </c>
      <c r="T19" s="157">
        <f t="shared" si="11"/>
        <v>34.036066666666741</v>
      </c>
      <c r="U19" s="157">
        <f t="shared" si="11"/>
        <v>34.036066666666649</v>
      </c>
      <c r="V19" s="157">
        <f t="shared" si="11"/>
        <v>34.036066666666649</v>
      </c>
      <c r="W19" s="157">
        <f t="shared" ref="W19:AE19" si="12">+SUM(W15:W18)</f>
        <v>34.036066666666649</v>
      </c>
      <c r="X19" s="157">
        <f t="shared" si="12"/>
        <v>34.036066666666656</v>
      </c>
      <c r="Y19" s="157">
        <f t="shared" si="12"/>
        <v>34.036066666666677</v>
      </c>
      <c r="Z19" s="157">
        <f t="shared" si="12"/>
        <v>8.6627333333333212</v>
      </c>
      <c r="AA19" s="157">
        <f t="shared" si="12"/>
        <v>8.6627333333333212</v>
      </c>
      <c r="AB19" s="157">
        <f t="shared" si="12"/>
        <v>8.6627333333333212</v>
      </c>
      <c r="AC19" s="157">
        <f t="shared" si="12"/>
        <v>8.6627333333333212</v>
      </c>
      <c r="AD19" s="157">
        <f t="shared" si="12"/>
        <v>8.6627333333333141</v>
      </c>
      <c r="AE19" s="157">
        <f t="shared" si="12"/>
        <v>8.662733333333307</v>
      </c>
      <c r="AF19" s="9"/>
      <c r="AG19" s="9"/>
      <c r="AH19" s="9"/>
      <c r="AI19" s="9"/>
      <c r="AJ19" s="9"/>
      <c r="AK19" s="9"/>
      <c r="AL19" s="9"/>
    </row>
    <row r="20" spans="2:38" s="37" customFormat="1" x14ac:dyDescent="0.2">
      <c r="B20" s="163" t="str">
        <f>"Total, "&amp;B10</f>
        <v>Total, Eastern Denmark (DK2)</v>
      </c>
      <c r="C20" s="163"/>
      <c r="D20" s="38">
        <f t="shared" ref="D20:AF20" si="13">+SUM(D11:D14)</f>
        <v>665.51600000000008</v>
      </c>
      <c r="E20" s="38">
        <f t="shared" si="13"/>
        <v>698.67933333333326</v>
      </c>
      <c r="F20" s="38">
        <f t="shared" si="13"/>
        <v>712.84799999999996</v>
      </c>
      <c r="G20" s="38">
        <f t="shared" si="13"/>
        <v>722.01666666666677</v>
      </c>
      <c r="H20" s="38">
        <f t="shared" si="13"/>
        <v>727.01461904761914</v>
      </c>
      <c r="I20" s="38">
        <f t="shared" si="13"/>
        <v>742.01257142857162</v>
      </c>
      <c r="J20" s="38">
        <f t="shared" si="13"/>
        <v>754.90457142857144</v>
      </c>
      <c r="K20" s="38">
        <f t="shared" si="13"/>
        <v>777.7965714285715</v>
      </c>
      <c r="L20" s="38">
        <f t="shared" si="13"/>
        <v>800.68857142857155</v>
      </c>
      <c r="M20" s="38">
        <f t="shared" si="13"/>
        <v>823.58057142857137</v>
      </c>
      <c r="N20" s="38">
        <f t="shared" si="13"/>
        <v>845.44702040816321</v>
      </c>
      <c r="O20" s="38">
        <f t="shared" si="13"/>
        <v>867.31346938775494</v>
      </c>
      <c r="P20" s="38">
        <f t="shared" si="13"/>
        <v>889.17991836734677</v>
      </c>
      <c r="Q20" s="38">
        <f t="shared" si="13"/>
        <v>911.0463673469385</v>
      </c>
      <c r="R20" s="38">
        <f t="shared" si="13"/>
        <v>932.91281632653045</v>
      </c>
      <c r="S20" s="38">
        <f t="shared" si="13"/>
        <v>954.77926530612217</v>
      </c>
      <c r="T20" s="38">
        <f t="shared" si="13"/>
        <v>976.64571428571401</v>
      </c>
      <c r="U20" s="38">
        <f t="shared" si="13"/>
        <v>1010.6817809523807</v>
      </c>
      <c r="V20" s="38">
        <f t="shared" si="13"/>
        <v>1044.7178476190475</v>
      </c>
      <c r="W20" s="38">
        <f t="shared" si="13"/>
        <v>1078.753914285714</v>
      </c>
      <c r="X20" s="38">
        <f t="shared" si="13"/>
        <v>1112.7899809523806</v>
      </c>
      <c r="Y20" s="38">
        <f t="shared" si="13"/>
        <v>1146.8260476190471</v>
      </c>
      <c r="Z20" s="38">
        <f t="shared" si="13"/>
        <v>1180.8621142857139</v>
      </c>
      <c r="AA20" s="38">
        <f t="shared" si="13"/>
        <v>1189.5248476190473</v>
      </c>
      <c r="AB20" s="38">
        <f t="shared" si="13"/>
        <v>1198.1875809523806</v>
      </c>
      <c r="AC20" s="38">
        <f t="shared" si="13"/>
        <v>1206.8503142857139</v>
      </c>
      <c r="AD20" s="38">
        <f t="shared" si="13"/>
        <v>1215.513047619047</v>
      </c>
      <c r="AE20" s="38">
        <f t="shared" si="13"/>
        <v>1224.1757809523804</v>
      </c>
      <c r="AF20" s="38">
        <f t="shared" si="13"/>
        <v>1232.8385142857137</v>
      </c>
      <c r="AG20" s="38"/>
      <c r="AH20" s="38"/>
      <c r="AI20" s="38"/>
      <c r="AJ20" s="38"/>
      <c r="AK20" s="38"/>
      <c r="AL20" s="38"/>
    </row>
    <row r="21" spans="2:38" s="37" customFormat="1" x14ac:dyDescent="0.2">
      <c r="B21" s="163"/>
      <c r="C21" s="163"/>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row>
    <row r="22" spans="2:38" s="7" customFormat="1" x14ac:dyDescent="0.2">
      <c r="B22" s="163" t="s">
        <v>190</v>
      </c>
      <c r="C22" s="163"/>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2:38" s="7" customFormat="1" x14ac:dyDescent="0.2">
      <c r="B23" s="5" t="s">
        <v>337</v>
      </c>
      <c r="C23" s="5"/>
      <c r="D23" s="164">
        <v>1917.0730000000001</v>
      </c>
      <c r="E23" s="159">
        <v>1867.9528666666668</v>
      </c>
      <c r="F23" s="159">
        <v>1823.1453000000001</v>
      </c>
      <c r="G23" s="159">
        <v>1778.3377333333333</v>
      </c>
      <c r="H23" s="159">
        <v>1719.9476666666667</v>
      </c>
      <c r="I23" s="159">
        <v>1661.5576000000001</v>
      </c>
      <c r="J23" s="159">
        <v>1532.2082</v>
      </c>
      <c r="K23" s="159">
        <v>1402.8588000000002</v>
      </c>
      <c r="L23" s="159">
        <v>1273.5094000000001</v>
      </c>
      <c r="M23" s="159">
        <v>1144.1600000000003</v>
      </c>
      <c r="N23" s="165">
        <f t="shared" ref="N23:T23" si="14">M23-$M23/7</f>
        <v>980.70857142857176</v>
      </c>
      <c r="O23" s="165">
        <f t="shared" si="14"/>
        <v>817.25714285714321</v>
      </c>
      <c r="P23" s="165">
        <f t="shared" si="14"/>
        <v>653.80571428571466</v>
      </c>
      <c r="Q23" s="165">
        <f t="shared" si="14"/>
        <v>490.35428571428605</v>
      </c>
      <c r="R23" s="165">
        <f t="shared" si="14"/>
        <v>326.90285714285744</v>
      </c>
      <c r="S23" s="165">
        <f t="shared" si="14"/>
        <v>163.45142857142883</v>
      </c>
      <c r="T23" s="165">
        <f t="shared" si="14"/>
        <v>2.2737367544323206E-13</v>
      </c>
      <c r="U23" s="157">
        <v>0</v>
      </c>
      <c r="V23" s="157">
        <v>0</v>
      </c>
      <c r="W23" s="157">
        <v>0</v>
      </c>
      <c r="X23" s="157">
        <v>0</v>
      </c>
      <c r="Y23" s="157">
        <v>0</v>
      </c>
      <c r="Z23" s="157">
        <v>0</v>
      </c>
      <c r="AA23" s="157">
        <v>0</v>
      </c>
      <c r="AB23" s="157">
        <v>0</v>
      </c>
      <c r="AC23" s="157">
        <v>0</v>
      </c>
      <c r="AD23" s="157">
        <v>0</v>
      </c>
      <c r="AE23" s="157">
        <v>0</v>
      </c>
      <c r="AF23" s="157">
        <v>0</v>
      </c>
      <c r="AG23" s="9"/>
      <c r="AH23" s="9"/>
      <c r="AI23" s="9"/>
      <c r="AJ23" s="9"/>
      <c r="AK23" s="9"/>
      <c r="AL23" s="9"/>
    </row>
    <row r="24" spans="2:38" s="7" customFormat="1" x14ac:dyDescent="0.2">
      <c r="B24" s="55" t="s">
        <v>338</v>
      </c>
      <c r="C24" s="55"/>
      <c r="D24" s="164">
        <v>939.85</v>
      </c>
      <c r="E24" s="9">
        <f t="shared" ref="E24:T25" si="15">D24</f>
        <v>939.85</v>
      </c>
      <c r="F24" s="9">
        <f t="shared" si="15"/>
        <v>939.85</v>
      </c>
      <c r="G24" s="9">
        <f t="shared" si="15"/>
        <v>939.85</v>
      </c>
      <c r="H24" s="9">
        <f t="shared" si="15"/>
        <v>939.85</v>
      </c>
      <c r="I24" s="9">
        <f t="shared" si="15"/>
        <v>939.85</v>
      </c>
      <c r="J24" s="9">
        <f t="shared" si="15"/>
        <v>939.85</v>
      </c>
      <c r="K24" s="9">
        <f t="shared" si="15"/>
        <v>939.85</v>
      </c>
      <c r="L24" s="9">
        <f t="shared" si="15"/>
        <v>939.85</v>
      </c>
      <c r="M24" s="9">
        <f t="shared" si="15"/>
        <v>939.85</v>
      </c>
      <c r="N24" s="9">
        <f t="shared" si="15"/>
        <v>939.85</v>
      </c>
      <c r="O24" s="9">
        <f t="shared" si="15"/>
        <v>939.85</v>
      </c>
      <c r="P24" s="9">
        <f t="shared" si="15"/>
        <v>939.85</v>
      </c>
      <c r="Q24" s="9">
        <f t="shared" si="15"/>
        <v>939.85</v>
      </c>
      <c r="R24" s="9">
        <f t="shared" si="15"/>
        <v>939.85</v>
      </c>
      <c r="S24" s="9">
        <f t="shared" si="15"/>
        <v>939.85</v>
      </c>
      <c r="T24" s="9">
        <f t="shared" si="15"/>
        <v>939.85</v>
      </c>
      <c r="U24" s="165">
        <f t="shared" ref="U24:Z24" si="16">T24-$T24/6</f>
        <v>783.20833333333337</v>
      </c>
      <c r="V24" s="165">
        <f t="shared" si="16"/>
        <v>626.56666666666672</v>
      </c>
      <c r="W24" s="165">
        <f t="shared" si="16"/>
        <v>469.92500000000007</v>
      </c>
      <c r="X24" s="165">
        <f t="shared" si="16"/>
        <v>313.28333333333342</v>
      </c>
      <c r="Y24" s="165">
        <f t="shared" si="16"/>
        <v>156.64166666666674</v>
      </c>
      <c r="Z24" s="165">
        <f t="shared" si="16"/>
        <v>0</v>
      </c>
      <c r="AA24" s="157">
        <v>0</v>
      </c>
      <c r="AB24" s="157">
        <v>0</v>
      </c>
      <c r="AC24" s="157">
        <v>0</v>
      </c>
      <c r="AD24" s="157">
        <v>0</v>
      </c>
      <c r="AE24" s="157">
        <v>0</v>
      </c>
      <c r="AF24" s="157">
        <v>0</v>
      </c>
      <c r="AG24" s="9"/>
      <c r="AH24" s="9"/>
      <c r="AI24" s="9"/>
      <c r="AJ24" s="9"/>
      <c r="AK24" s="9"/>
      <c r="AL24" s="9"/>
    </row>
    <row r="25" spans="2:38" s="7" customFormat="1" x14ac:dyDescent="0.2">
      <c r="B25" s="55" t="s">
        <v>339</v>
      </c>
      <c r="C25" s="55"/>
      <c r="D25" s="164">
        <v>451.60199999999998</v>
      </c>
      <c r="E25" s="9">
        <f>+D25+D29</f>
        <v>611.60199999999998</v>
      </c>
      <c r="F25" s="9">
        <f>+E25+E29</f>
        <v>671.60199999999998</v>
      </c>
      <c r="G25" s="9">
        <f>+F25+F29</f>
        <v>791.60200000000009</v>
      </c>
      <c r="H25" s="9">
        <f>G25</f>
        <v>791.60200000000009</v>
      </c>
      <c r="I25" s="9">
        <f t="shared" si="15"/>
        <v>791.60200000000009</v>
      </c>
      <c r="J25" s="9">
        <f t="shared" si="15"/>
        <v>791.60200000000009</v>
      </c>
      <c r="K25" s="9">
        <f t="shared" si="15"/>
        <v>791.60200000000009</v>
      </c>
      <c r="L25" s="9">
        <f t="shared" si="15"/>
        <v>791.60200000000009</v>
      </c>
      <c r="M25" s="9">
        <f t="shared" si="15"/>
        <v>791.60200000000009</v>
      </c>
      <c r="N25" s="9">
        <f t="shared" si="15"/>
        <v>791.60200000000009</v>
      </c>
      <c r="O25" s="9">
        <f t="shared" si="15"/>
        <v>791.60200000000009</v>
      </c>
      <c r="P25" s="9">
        <f t="shared" si="15"/>
        <v>791.60200000000009</v>
      </c>
      <c r="Q25" s="9">
        <f t="shared" si="15"/>
        <v>791.60200000000009</v>
      </c>
      <c r="R25" s="9">
        <f t="shared" si="15"/>
        <v>791.60200000000009</v>
      </c>
      <c r="S25" s="9">
        <f t="shared" si="15"/>
        <v>791.60200000000009</v>
      </c>
      <c r="T25" s="9">
        <f t="shared" si="15"/>
        <v>791.60200000000009</v>
      </c>
      <c r="U25" s="9">
        <f t="shared" ref="U25:Z25" si="17">T25</f>
        <v>791.60200000000009</v>
      </c>
      <c r="V25" s="9">
        <f t="shared" si="17"/>
        <v>791.60200000000009</v>
      </c>
      <c r="W25" s="9">
        <f t="shared" si="17"/>
        <v>791.60200000000009</v>
      </c>
      <c r="X25" s="9">
        <f t="shared" si="17"/>
        <v>791.60200000000009</v>
      </c>
      <c r="Y25" s="9">
        <f t="shared" si="17"/>
        <v>791.60200000000009</v>
      </c>
      <c r="Z25" s="9">
        <f t="shared" si="17"/>
        <v>791.60200000000009</v>
      </c>
      <c r="AA25" s="165">
        <f t="shared" ref="AA25:AF25" si="18">Z25-$T25/6</f>
        <v>659.66833333333341</v>
      </c>
      <c r="AB25" s="165">
        <f t="shared" si="18"/>
        <v>527.73466666666673</v>
      </c>
      <c r="AC25" s="165">
        <f t="shared" si="18"/>
        <v>395.80100000000004</v>
      </c>
      <c r="AD25" s="165">
        <f t="shared" si="18"/>
        <v>263.86733333333336</v>
      </c>
      <c r="AE25" s="165">
        <f t="shared" si="18"/>
        <v>131.93366666666668</v>
      </c>
      <c r="AF25" s="165">
        <f t="shared" si="18"/>
        <v>0</v>
      </c>
      <c r="AG25" s="9"/>
      <c r="AH25" s="9"/>
      <c r="AI25" s="9"/>
      <c r="AJ25" s="9"/>
      <c r="AK25" s="9"/>
      <c r="AL25" s="9"/>
    </row>
    <row r="26" spans="2:38" s="7" customFormat="1" x14ac:dyDescent="0.2">
      <c r="B26" s="55" t="s">
        <v>340</v>
      </c>
      <c r="C26" s="55"/>
      <c r="D26" s="9"/>
      <c r="E26" s="9"/>
      <c r="F26" s="9"/>
      <c r="G26" s="9"/>
      <c r="H26" s="9">
        <f>G26+G30</f>
        <v>120.00000000000018</v>
      </c>
      <c r="I26" s="9">
        <f t="shared" ref="I26:AF26" si="19">H26+H30</f>
        <v>280.0000000000004</v>
      </c>
      <c r="J26" s="9">
        <f t="shared" si="19"/>
        <v>440.00000000000034</v>
      </c>
      <c r="K26" s="9">
        <f t="shared" si="19"/>
        <v>640.00000000000011</v>
      </c>
      <c r="L26" s="9">
        <f t="shared" si="19"/>
        <v>840</v>
      </c>
      <c r="M26" s="9">
        <f t="shared" si="19"/>
        <v>1039.9999999999998</v>
      </c>
      <c r="N26" s="9">
        <f t="shared" si="19"/>
        <v>1256.5849795918366</v>
      </c>
      <c r="O26" s="9">
        <f t="shared" si="19"/>
        <v>1473.1699591836734</v>
      </c>
      <c r="P26" s="9">
        <f t="shared" si="19"/>
        <v>1689.7549387755103</v>
      </c>
      <c r="Q26" s="9">
        <f t="shared" si="19"/>
        <v>1906.3399183673471</v>
      </c>
      <c r="R26" s="9">
        <f t="shared" si="19"/>
        <v>2122.9248979591839</v>
      </c>
      <c r="S26" s="9">
        <f t="shared" si="19"/>
        <v>2339.5098775510205</v>
      </c>
      <c r="T26" s="9">
        <f t="shared" si="19"/>
        <v>2556.0948571428571</v>
      </c>
      <c r="U26" s="9">
        <f t="shared" si="19"/>
        <v>2753.7004571428574</v>
      </c>
      <c r="V26" s="9">
        <f t="shared" si="19"/>
        <v>2951.3060571428573</v>
      </c>
      <c r="W26" s="9">
        <f t="shared" si="19"/>
        <v>3148.9116571428572</v>
      </c>
      <c r="X26" s="9">
        <f t="shared" si="19"/>
        <v>3346.517257142857</v>
      </c>
      <c r="Y26" s="9">
        <f t="shared" si="19"/>
        <v>3544.1228571428569</v>
      </c>
      <c r="Z26" s="9">
        <f t="shared" si="19"/>
        <v>3741.7284571428568</v>
      </c>
      <c r="AA26" s="9">
        <f t="shared" si="19"/>
        <v>3939.99939047619</v>
      </c>
      <c r="AB26" s="9">
        <f t="shared" si="19"/>
        <v>4138.2703238095237</v>
      </c>
      <c r="AC26" s="9">
        <f t="shared" si="19"/>
        <v>4336.5412571428569</v>
      </c>
      <c r="AD26" s="9">
        <f t="shared" si="19"/>
        <v>4534.8121904761902</v>
      </c>
      <c r="AE26" s="9">
        <f t="shared" si="19"/>
        <v>4733.0831238095234</v>
      </c>
      <c r="AF26" s="9">
        <f t="shared" si="19"/>
        <v>4931.3540571428566</v>
      </c>
      <c r="AG26" s="9"/>
      <c r="AH26" s="9"/>
      <c r="AI26" s="9"/>
      <c r="AJ26" s="9"/>
      <c r="AK26" s="9"/>
      <c r="AL26" s="9"/>
    </row>
    <row r="27" spans="2:38" s="7" customFormat="1" x14ac:dyDescent="0.2">
      <c r="B27" s="55" t="s">
        <v>361</v>
      </c>
      <c r="C27" s="55"/>
      <c r="D27" s="157">
        <f t="shared" ref="D27:AE29" si="20">E23-D23</f>
        <v>-49.120133333333342</v>
      </c>
      <c r="E27" s="157">
        <f t="shared" si="20"/>
        <v>-44.807566666666617</v>
      </c>
      <c r="F27" s="157">
        <f t="shared" si="20"/>
        <v>-44.807566666666844</v>
      </c>
      <c r="G27" s="157">
        <f t="shared" si="20"/>
        <v>-58.390066666666598</v>
      </c>
      <c r="H27" s="157">
        <f t="shared" si="20"/>
        <v>-58.390066666666598</v>
      </c>
      <c r="I27" s="157">
        <f t="shared" si="20"/>
        <v>-129.34940000000006</v>
      </c>
      <c r="J27" s="157">
        <f t="shared" si="20"/>
        <v>-129.34939999999983</v>
      </c>
      <c r="K27" s="157">
        <f t="shared" si="20"/>
        <v>-129.34940000000006</v>
      </c>
      <c r="L27" s="157">
        <f t="shared" si="20"/>
        <v>-129.34939999999983</v>
      </c>
      <c r="M27" s="157">
        <f t="shared" si="20"/>
        <v>-163.45142857142855</v>
      </c>
      <c r="N27" s="157">
        <f t="shared" si="20"/>
        <v>-163.45142857142855</v>
      </c>
      <c r="O27" s="157">
        <f t="shared" si="20"/>
        <v>-163.45142857142855</v>
      </c>
      <c r="P27" s="157">
        <f t="shared" si="20"/>
        <v>-163.45142857142861</v>
      </c>
      <c r="Q27" s="157">
        <f t="shared" si="20"/>
        <v>-163.45142857142861</v>
      </c>
      <c r="R27" s="157">
        <f t="shared" si="20"/>
        <v>-163.45142857142861</v>
      </c>
      <c r="S27" s="157">
        <f t="shared" si="20"/>
        <v>-163.45142857142861</v>
      </c>
      <c r="T27" s="157">
        <f t="shared" si="20"/>
        <v>-2.2737367544323206E-13</v>
      </c>
      <c r="U27" s="157">
        <f t="shared" si="20"/>
        <v>0</v>
      </c>
      <c r="V27" s="157">
        <f t="shared" si="20"/>
        <v>0</v>
      </c>
      <c r="W27" s="157">
        <f t="shared" si="20"/>
        <v>0</v>
      </c>
      <c r="X27" s="157">
        <f t="shared" si="20"/>
        <v>0</v>
      </c>
      <c r="Y27" s="157">
        <f t="shared" si="20"/>
        <v>0</v>
      </c>
      <c r="Z27" s="157">
        <f t="shared" si="20"/>
        <v>0</v>
      </c>
      <c r="AA27" s="157">
        <f t="shared" si="20"/>
        <v>0</v>
      </c>
      <c r="AB27" s="157">
        <f t="shared" si="20"/>
        <v>0</v>
      </c>
      <c r="AC27" s="157">
        <f t="shared" si="20"/>
        <v>0</v>
      </c>
      <c r="AD27" s="157">
        <f t="shared" si="20"/>
        <v>0</v>
      </c>
      <c r="AE27" s="157">
        <f t="shared" si="20"/>
        <v>0</v>
      </c>
      <c r="AF27" s="9"/>
      <c r="AG27" s="9"/>
      <c r="AH27" s="9"/>
      <c r="AI27" s="9"/>
      <c r="AJ27" s="9"/>
      <c r="AK27" s="9"/>
      <c r="AL27" s="9"/>
    </row>
    <row r="28" spans="2:38" s="7" customFormat="1" x14ac:dyDescent="0.2">
      <c r="B28" s="55" t="s">
        <v>362</v>
      </c>
      <c r="C28" s="55"/>
      <c r="D28" s="157">
        <f t="shared" si="20"/>
        <v>0</v>
      </c>
      <c r="E28" s="157">
        <f t="shared" si="20"/>
        <v>0</v>
      </c>
      <c r="F28" s="157">
        <f t="shared" si="20"/>
        <v>0</v>
      </c>
      <c r="G28" s="157">
        <f t="shared" si="20"/>
        <v>0</v>
      </c>
      <c r="H28" s="157">
        <f t="shared" si="20"/>
        <v>0</v>
      </c>
      <c r="I28" s="157">
        <f t="shared" si="20"/>
        <v>0</v>
      </c>
      <c r="J28" s="157">
        <f t="shared" si="20"/>
        <v>0</v>
      </c>
      <c r="K28" s="157">
        <f t="shared" si="20"/>
        <v>0</v>
      </c>
      <c r="L28" s="157">
        <f t="shared" si="20"/>
        <v>0</v>
      </c>
      <c r="M28" s="157">
        <f t="shared" si="20"/>
        <v>0</v>
      </c>
      <c r="N28" s="157">
        <f t="shared" si="20"/>
        <v>0</v>
      </c>
      <c r="O28" s="157">
        <f t="shared" si="20"/>
        <v>0</v>
      </c>
      <c r="P28" s="157">
        <f t="shared" si="20"/>
        <v>0</v>
      </c>
      <c r="Q28" s="157">
        <f t="shared" si="20"/>
        <v>0</v>
      </c>
      <c r="R28" s="157">
        <f t="shared" si="20"/>
        <v>0</v>
      </c>
      <c r="S28" s="157">
        <f t="shared" si="20"/>
        <v>0</v>
      </c>
      <c r="T28" s="157">
        <f t="shared" si="20"/>
        <v>-156.64166666666665</v>
      </c>
      <c r="U28" s="157">
        <f t="shared" si="20"/>
        <v>-156.64166666666665</v>
      </c>
      <c r="V28" s="157">
        <f t="shared" si="20"/>
        <v>-156.64166666666665</v>
      </c>
      <c r="W28" s="157">
        <f t="shared" si="20"/>
        <v>-156.64166666666665</v>
      </c>
      <c r="X28" s="157">
        <f t="shared" si="20"/>
        <v>-156.64166666666668</v>
      </c>
      <c r="Y28" s="157">
        <f t="shared" si="20"/>
        <v>-156.64166666666674</v>
      </c>
      <c r="Z28" s="157">
        <f t="shared" si="20"/>
        <v>0</v>
      </c>
      <c r="AA28" s="157">
        <f t="shared" si="20"/>
        <v>0</v>
      </c>
      <c r="AB28" s="157">
        <f t="shared" si="20"/>
        <v>0</v>
      </c>
      <c r="AC28" s="157">
        <f t="shared" si="20"/>
        <v>0</v>
      </c>
      <c r="AD28" s="157">
        <f t="shared" si="20"/>
        <v>0</v>
      </c>
      <c r="AE28" s="157">
        <f t="shared" si="20"/>
        <v>0</v>
      </c>
      <c r="AF28" s="9"/>
      <c r="AG28" s="9"/>
      <c r="AH28" s="9"/>
      <c r="AI28" s="9"/>
      <c r="AJ28" s="9"/>
      <c r="AK28" s="9"/>
      <c r="AL28" s="9"/>
    </row>
    <row r="29" spans="2:38" s="7" customFormat="1" x14ac:dyDescent="0.2">
      <c r="B29" s="55" t="s">
        <v>363</v>
      </c>
      <c r="C29" s="55"/>
      <c r="D29" s="159">
        <v>160</v>
      </c>
      <c r="E29" s="159">
        <v>60</v>
      </c>
      <c r="F29" s="9">
        <f>(F$7-F$34)*F$8</f>
        <v>120.00000000000011</v>
      </c>
      <c r="G29" s="157">
        <f t="shared" si="20"/>
        <v>0</v>
      </c>
      <c r="H29" s="157">
        <f t="shared" si="20"/>
        <v>0</v>
      </c>
      <c r="I29" s="157">
        <f t="shared" si="20"/>
        <v>0</v>
      </c>
      <c r="J29" s="157">
        <f t="shared" si="20"/>
        <v>0</v>
      </c>
      <c r="K29" s="157">
        <f t="shared" si="20"/>
        <v>0</v>
      </c>
      <c r="L29" s="157">
        <f t="shared" si="20"/>
        <v>0</v>
      </c>
      <c r="M29" s="157">
        <f t="shared" si="20"/>
        <v>0</v>
      </c>
      <c r="N29" s="157">
        <f t="shared" si="20"/>
        <v>0</v>
      </c>
      <c r="O29" s="157">
        <f t="shared" si="20"/>
        <v>0</v>
      </c>
      <c r="P29" s="157">
        <f t="shared" si="20"/>
        <v>0</v>
      </c>
      <c r="Q29" s="157">
        <f t="shared" si="20"/>
        <v>0</v>
      </c>
      <c r="R29" s="157">
        <f t="shared" si="20"/>
        <v>0</v>
      </c>
      <c r="S29" s="157">
        <f t="shared" si="20"/>
        <v>0</v>
      </c>
      <c r="T29" s="157">
        <f t="shared" si="20"/>
        <v>0</v>
      </c>
      <c r="U29" s="157">
        <f t="shared" si="20"/>
        <v>0</v>
      </c>
      <c r="V29" s="157">
        <f t="shared" si="20"/>
        <v>0</v>
      </c>
      <c r="W29" s="157">
        <f t="shared" si="20"/>
        <v>0</v>
      </c>
      <c r="X29" s="157">
        <f t="shared" si="20"/>
        <v>0</v>
      </c>
      <c r="Y29" s="157">
        <f t="shared" si="20"/>
        <v>0</v>
      </c>
      <c r="Z29" s="157">
        <f t="shared" si="20"/>
        <v>-131.93366666666668</v>
      </c>
      <c r="AA29" s="157">
        <f t="shared" si="20"/>
        <v>-131.93366666666668</v>
      </c>
      <c r="AB29" s="157">
        <f t="shared" si="20"/>
        <v>-131.93366666666668</v>
      </c>
      <c r="AC29" s="157">
        <f t="shared" si="20"/>
        <v>-131.93366666666668</v>
      </c>
      <c r="AD29" s="157">
        <f t="shared" si="20"/>
        <v>-131.93366666666668</v>
      </c>
      <c r="AE29" s="157">
        <f t="shared" si="20"/>
        <v>-131.93366666666668</v>
      </c>
      <c r="AF29" s="38"/>
      <c r="AG29" s="9"/>
      <c r="AH29" s="9"/>
      <c r="AI29" s="9"/>
      <c r="AJ29" s="9"/>
      <c r="AK29" s="9"/>
      <c r="AL29" s="9"/>
    </row>
    <row r="30" spans="2:38" s="7" customFormat="1" x14ac:dyDescent="0.2">
      <c r="B30" s="55" t="s">
        <v>364</v>
      </c>
      <c r="C30" s="55"/>
      <c r="D30" s="9"/>
      <c r="E30" s="9"/>
      <c r="F30" s="9"/>
      <c r="G30" s="9">
        <f t="shared" ref="G30:AE30" si="21">(G$7-G$34)*G$8</f>
        <v>120.00000000000018</v>
      </c>
      <c r="H30" s="9">
        <f t="shared" si="21"/>
        <v>160.0000000000002</v>
      </c>
      <c r="I30" s="9">
        <f t="shared" si="21"/>
        <v>159.99999999999997</v>
      </c>
      <c r="J30" s="9">
        <f t="shared" si="21"/>
        <v>199.99999999999977</v>
      </c>
      <c r="K30" s="9">
        <f t="shared" si="21"/>
        <v>199.99999999999991</v>
      </c>
      <c r="L30" s="9">
        <f t="shared" si="21"/>
        <v>199.99999999999977</v>
      </c>
      <c r="M30" s="9">
        <f t="shared" si="21"/>
        <v>216.58497959183674</v>
      </c>
      <c r="N30" s="9">
        <f t="shared" si="21"/>
        <v>216.58497959183674</v>
      </c>
      <c r="O30" s="9">
        <f t="shared" si="21"/>
        <v>216.58497959183674</v>
      </c>
      <c r="P30" s="9">
        <f t="shared" si="21"/>
        <v>216.5849795918368</v>
      </c>
      <c r="Q30" s="9">
        <f t="shared" si="21"/>
        <v>216.5849795918368</v>
      </c>
      <c r="R30" s="9">
        <f t="shared" si="21"/>
        <v>216.5849795918368</v>
      </c>
      <c r="S30" s="9">
        <f t="shared" si="21"/>
        <v>216.5849795918368</v>
      </c>
      <c r="T30" s="9">
        <f t="shared" si="21"/>
        <v>197.60560000000015</v>
      </c>
      <c r="U30" s="9">
        <f t="shared" si="21"/>
        <v>197.60559999999998</v>
      </c>
      <c r="V30" s="9">
        <f t="shared" si="21"/>
        <v>197.60559999999998</v>
      </c>
      <c r="W30" s="9">
        <f t="shared" si="21"/>
        <v>197.60559999999998</v>
      </c>
      <c r="X30" s="9">
        <f t="shared" si="21"/>
        <v>197.60560000000001</v>
      </c>
      <c r="Y30" s="9">
        <f t="shared" si="21"/>
        <v>197.60560000000007</v>
      </c>
      <c r="Z30" s="9">
        <f t="shared" si="21"/>
        <v>198.27093333333335</v>
      </c>
      <c r="AA30" s="9">
        <f t="shared" si="21"/>
        <v>198.27093333333335</v>
      </c>
      <c r="AB30" s="9">
        <f t="shared" si="21"/>
        <v>198.27093333333335</v>
      </c>
      <c r="AC30" s="9">
        <f t="shared" si="21"/>
        <v>198.27093333333335</v>
      </c>
      <c r="AD30" s="9">
        <f t="shared" si="21"/>
        <v>198.27093333333335</v>
      </c>
      <c r="AE30" s="9">
        <f t="shared" si="21"/>
        <v>198.27093333333337</v>
      </c>
      <c r="AF30" s="38"/>
      <c r="AG30" s="38"/>
      <c r="AH30" s="38"/>
      <c r="AI30" s="38"/>
      <c r="AJ30" s="38"/>
      <c r="AK30" s="38"/>
      <c r="AL30" s="38"/>
    </row>
    <row r="31" spans="2:38" s="7" customFormat="1" x14ac:dyDescent="0.2">
      <c r="B31" s="5" t="s">
        <v>370</v>
      </c>
      <c r="C31" s="5"/>
      <c r="D31" s="9">
        <f t="shared" ref="D31:AE31" si="22">+SUM(D27:D30)</f>
        <v>110.87986666666666</v>
      </c>
      <c r="E31" s="9">
        <f t="shared" si="22"/>
        <v>15.192433333333383</v>
      </c>
      <c r="F31" s="9">
        <f t="shared" si="22"/>
        <v>75.19243333333327</v>
      </c>
      <c r="G31" s="9">
        <f t="shared" si="22"/>
        <v>61.609933333333586</v>
      </c>
      <c r="H31" s="9">
        <f t="shared" si="22"/>
        <v>101.6099333333336</v>
      </c>
      <c r="I31" s="9">
        <f t="shared" si="22"/>
        <v>30.650599999999912</v>
      </c>
      <c r="J31" s="9">
        <f t="shared" si="22"/>
        <v>70.65059999999994</v>
      </c>
      <c r="K31" s="9">
        <f t="shared" si="22"/>
        <v>70.650599999999855</v>
      </c>
      <c r="L31" s="9">
        <f t="shared" si="22"/>
        <v>70.65059999999994</v>
      </c>
      <c r="M31" s="9">
        <f t="shared" si="22"/>
        <v>53.133551020408191</v>
      </c>
      <c r="N31" s="9">
        <f t="shared" si="22"/>
        <v>53.133551020408191</v>
      </c>
      <c r="O31" s="9">
        <f t="shared" si="22"/>
        <v>53.133551020408191</v>
      </c>
      <c r="P31" s="9">
        <f t="shared" si="22"/>
        <v>53.133551020408191</v>
      </c>
      <c r="Q31" s="9">
        <f t="shared" si="22"/>
        <v>53.133551020408191</v>
      </c>
      <c r="R31" s="9">
        <f t="shared" si="22"/>
        <v>53.133551020408191</v>
      </c>
      <c r="S31" s="9">
        <f t="shared" si="22"/>
        <v>53.133551020408191</v>
      </c>
      <c r="T31" s="9">
        <f t="shared" si="22"/>
        <v>40.963933333333273</v>
      </c>
      <c r="U31" s="9">
        <f t="shared" si="22"/>
        <v>40.96393333333333</v>
      </c>
      <c r="V31" s="9">
        <f t="shared" si="22"/>
        <v>40.96393333333333</v>
      </c>
      <c r="W31" s="9">
        <f t="shared" si="22"/>
        <v>40.96393333333333</v>
      </c>
      <c r="X31" s="9">
        <f t="shared" si="22"/>
        <v>40.96393333333333</v>
      </c>
      <c r="Y31" s="9">
        <f t="shared" si="22"/>
        <v>40.96393333333333</v>
      </c>
      <c r="Z31" s="9">
        <f t="shared" si="22"/>
        <v>66.337266666666665</v>
      </c>
      <c r="AA31" s="9">
        <f t="shared" si="22"/>
        <v>66.337266666666665</v>
      </c>
      <c r="AB31" s="9">
        <f t="shared" si="22"/>
        <v>66.337266666666665</v>
      </c>
      <c r="AC31" s="9">
        <f t="shared" si="22"/>
        <v>66.337266666666665</v>
      </c>
      <c r="AD31" s="9">
        <f t="shared" si="22"/>
        <v>66.337266666666665</v>
      </c>
      <c r="AE31" s="9">
        <f t="shared" si="22"/>
        <v>66.337266666666693</v>
      </c>
      <c r="AF31" s="9"/>
      <c r="AG31" s="38"/>
      <c r="AH31" s="38"/>
      <c r="AI31" s="38"/>
      <c r="AJ31" s="38"/>
      <c r="AK31" s="38"/>
      <c r="AL31" s="38"/>
    </row>
    <row r="32" spans="2:38" s="37" customFormat="1" x14ac:dyDescent="0.2">
      <c r="B32" s="163" t="str">
        <f>"Total, "&amp;B22</f>
        <v>Total, Western Denmark (DK1)</v>
      </c>
      <c r="C32" s="163"/>
      <c r="D32" s="38">
        <f t="shared" ref="D32:V32" si="23">+SUM(D23:D26)</f>
        <v>3308.5250000000001</v>
      </c>
      <c r="E32" s="38">
        <f t="shared" si="23"/>
        <v>3419.4048666666667</v>
      </c>
      <c r="F32" s="38">
        <f t="shared" si="23"/>
        <v>3434.5972999999999</v>
      </c>
      <c r="G32" s="38">
        <f t="shared" si="23"/>
        <v>3509.7897333333331</v>
      </c>
      <c r="H32" s="38">
        <f t="shared" si="23"/>
        <v>3571.3996666666671</v>
      </c>
      <c r="I32" s="38">
        <f t="shared" si="23"/>
        <v>3673.0096000000008</v>
      </c>
      <c r="J32" s="38">
        <f t="shared" si="23"/>
        <v>3703.6602000000007</v>
      </c>
      <c r="K32" s="38">
        <f t="shared" si="23"/>
        <v>3774.3108000000002</v>
      </c>
      <c r="L32" s="38">
        <f t="shared" si="23"/>
        <v>3844.9614000000001</v>
      </c>
      <c r="M32" s="38">
        <f t="shared" si="23"/>
        <v>3915.6120000000001</v>
      </c>
      <c r="N32" s="38">
        <f t="shared" si="23"/>
        <v>3968.7455510204081</v>
      </c>
      <c r="O32" s="38">
        <f t="shared" si="23"/>
        <v>4021.8791020408162</v>
      </c>
      <c r="P32" s="38">
        <f t="shared" si="23"/>
        <v>4075.0126530612247</v>
      </c>
      <c r="Q32" s="38">
        <f t="shared" si="23"/>
        <v>4128.1462040816332</v>
      </c>
      <c r="R32" s="38">
        <f t="shared" si="23"/>
        <v>4181.2797551020412</v>
      </c>
      <c r="S32" s="38">
        <f t="shared" si="23"/>
        <v>4234.4133061224493</v>
      </c>
      <c r="T32" s="38">
        <f t="shared" si="23"/>
        <v>4287.5468571428573</v>
      </c>
      <c r="U32" s="38">
        <f t="shared" si="23"/>
        <v>4328.5107904761908</v>
      </c>
      <c r="V32" s="38">
        <f t="shared" si="23"/>
        <v>4369.4747238095242</v>
      </c>
      <c r="W32" s="38">
        <f>+SUM(W23:W26)</f>
        <v>4410.4386571428568</v>
      </c>
      <c r="X32" s="38">
        <f t="shared" ref="X32:AF32" si="24">+SUM(X23:X26)</f>
        <v>4451.4025904761911</v>
      </c>
      <c r="Y32" s="38">
        <f t="shared" si="24"/>
        <v>4492.3665238095236</v>
      </c>
      <c r="Z32" s="38">
        <f t="shared" si="24"/>
        <v>4533.3304571428571</v>
      </c>
      <c r="AA32" s="38">
        <f t="shared" si="24"/>
        <v>4599.6677238095235</v>
      </c>
      <c r="AB32" s="38">
        <f t="shared" si="24"/>
        <v>4666.0049904761909</v>
      </c>
      <c r="AC32" s="38">
        <f t="shared" si="24"/>
        <v>4732.3422571428573</v>
      </c>
      <c r="AD32" s="38">
        <f t="shared" si="24"/>
        <v>4798.6795238095237</v>
      </c>
      <c r="AE32" s="38">
        <f t="shared" si="24"/>
        <v>4865.0167904761902</v>
      </c>
      <c r="AF32" s="38">
        <f t="shared" si="24"/>
        <v>4931.3540571428566</v>
      </c>
      <c r="AG32" s="38"/>
      <c r="AH32" s="38"/>
      <c r="AI32" s="38"/>
      <c r="AJ32" s="38"/>
      <c r="AK32" s="38"/>
      <c r="AL32" s="38"/>
    </row>
    <row r="33" spans="1:38" s="37" customFormat="1" x14ac:dyDescent="0.2">
      <c r="B33" s="163"/>
      <c r="C33" s="163"/>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row>
    <row r="34" spans="1:38" s="37" customFormat="1" x14ac:dyDescent="0.2">
      <c r="B34" s="55" t="s">
        <v>367</v>
      </c>
      <c r="C34" s="55"/>
      <c r="D34" s="157">
        <f t="shared" ref="D34:Y34" si="25">D15+D16+D27+D28</f>
        <v>-75.956800000000044</v>
      </c>
      <c r="E34" s="157">
        <f t="shared" si="25"/>
        <v>-65.638899999999921</v>
      </c>
      <c r="F34" s="157">
        <f t="shared" si="25"/>
        <v>-65.638900000000149</v>
      </c>
      <c r="G34" s="157">
        <f t="shared" si="25"/>
        <v>-83.392114285714229</v>
      </c>
      <c r="H34" s="157">
        <f t="shared" si="25"/>
        <v>-83.392114285714229</v>
      </c>
      <c r="I34" s="157">
        <f t="shared" si="25"/>
        <v>-156.45740000000006</v>
      </c>
      <c r="J34" s="157">
        <f t="shared" si="25"/>
        <v>-156.45739999999984</v>
      </c>
      <c r="K34" s="157">
        <f t="shared" si="25"/>
        <v>-156.45740000000001</v>
      </c>
      <c r="L34" s="157">
        <f t="shared" si="25"/>
        <v>-156.45739999999984</v>
      </c>
      <c r="M34" s="157">
        <f t="shared" si="25"/>
        <v>-195.73122448979592</v>
      </c>
      <c r="N34" s="157">
        <f t="shared" si="25"/>
        <v>-195.73122448979592</v>
      </c>
      <c r="O34" s="157">
        <f t="shared" si="25"/>
        <v>-195.73122448979592</v>
      </c>
      <c r="P34" s="157">
        <f t="shared" si="25"/>
        <v>-195.73122448979598</v>
      </c>
      <c r="Q34" s="157">
        <f t="shared" si="25"/>
        <v>-195.73122448979598</v>
      </c>
      <c r="R34" s="157">
        <f t="shared" si="25"/>
        <v>-195.73122448979598</v>
      </c>
      <c r="S34" s="157">
        <f t="shared" si="25"/>
        <v>-195.73122448979598</v>
      </c>
      <c r="T34" s="157">
        <f t="shared" si="25"/>
        <v>-172.00700000000018</v>
      </c>
      <c r="U34" s="157">
        <f t="shared" si="25"/>
        <v>-172.00699999999998</v>
      </c>
      <c r="V34" s="157">
        <f t="shared" si="25"/>
        <v>-172.00699999999998</v>
      </c>
      <c r="W34" s="157">
        <f t="shared" si="25"/>
        <v>-172.00699999999998</v>
      </c>
      <c r="X34" s="157">
        <f t="shared" si="25"/>
        <v>-172.00700000000001</v>
      </c>
      <c r="Y34" s="157">
        <f t="shared" si="25"/>
        <v>-172.00700000000006</v>
      </c>
      <c r="Z34" s="157">
        <f t="shared" ref="Z34:AE34" si="26">Z15+Z16+Z17+Z27+Z28+Z29</f>
        <v>-172.83866666666668</v>
      </c>
      <c r="AA34" s="157">
        <f t="shared" si="26"/>
        <v>-172.83866666666668</v>
      </c>
      <c r="AB34" s="157">
        <f t="shared" si="26"/>
        <v>-172.83866666666668</v>
      </c>
      <c r="AC34" s="157">
        <f t="shared" si="26"/>
        <v>-172.83866666666668</v>
      </c>
      <c r="AD34" s="157">
        <f t="shared" si="26"/>
        <v>-172.83866666666668</v>
      </c>
      <c r="AE34" s="157">
        <f t="shared" si="26"/>
        <v>-172.83866666666671</v>
      </c>
      <c r="AF34" s="38"/>
      <c r="AG34" s="38"/>
      <c r="AH34" s="38"/>
      <c r="AI34" s="38"/>
      <c r="AJ34" s="38"/>
      <c r="AK34" s="38"/>
      <c r="AL34" s="38"/>
    </row>
    <row r="35" spans="1:38" s="37" customFormat="1" x14ac:dyDescent="0.2">
      <c r="B35" s="55" t="s">
        <v>369</v>
      </c>
      <c r="C35" s="55"/>
      <c r="D35" s="157">
        <f t="shared" ref="D35:Y35" si="27">D17+D18+D29+D30</f>
        <v>220</v>
      </c>
      <c r="E35" s="157">
        <f t="shared" si="27"/>
        <v>95</v>
      </c>
      <c r="F35" s="157">
        <f t="shared" si="27"/>
        <v>150.00000000000014</v>
      </c>
      <c r="G35" s="157">
        <f t="shared" si="27"/>
        <v>150.00000000000023</v>
      </c>
      <c r="H35" s="157">
        <f t="shared" si="27"/>
        <v>200.00000000000023</v>
      </c>
      <c r="I35" s="157">
        <f t="shared" si="27"/>
        <v>199.99999999999994</v>
      </c>
      <c r="J35" s="157">
        <f t="shared" si="27"/>
        <v>249.99999999999972</v>
      </c>
      <c r="K35" s="157">
        <f t="shared" si="27"/>
        <v>249.99999999999989</v>
      </c>
      <c r="L35" s="157">
        <f t="shared" si="27"/>
        <v>249.99999999999972</v>
      </c>
      <c r="M35" s="157">
        <f t="shared" si="27"/>
        <v>270.73122448979592</v>
      </c>
      <c r="N35" s="157">
        <f t="shared" si="27"/>
        <v>270.73122448979592</v>
      </c>
      <c r="O35" s="157">
        <f t="shared" si="27"/>
        <v>270.73122448979592</v>
      </c>
      <c r="P35" s="157">
        <f t="shared" si="27"/>
        <v>270.73122448979598</v>
      </c>
      <c r="Q35" s="157">
        <f t="shared" si="27"/>
        <v>270.73122448979598</v>
      </c>
      <c r="R35" s="157">
        <f t="shared" si="27"/>
        <v>270.73122448979598</v>
      </c>
      <c r="S35" s="157">
        <f t="shared" si="27"/>
        <v>270.73122448979598</v>
      </c>
      <c r="T35" s="157">
        <f t="shared" si="27"/>
        <v>247.00700000000018</v>
      </c>
      <c r="U35" s="157">
        <f t="shared" si="27"/>
        <v>247.00699999999995</v>
      </c>
      <c r="V35" s="157">
        <f t="shared" si="27"/>
        <v>247.00699999999995</v>
      </c>
      <c r="W35" s="157">
        <f t="shared" si="27"/>
        <v>247.00699999999995</v>
      </c>
      <c r="X35" s="157">
        <f t="shared" si="27"/>
        <v>247.00700000000001</v>
      </c>
      <c r="Y35" s="157">
        <f t="shared" si="27"/>
        <v>247.00700000000006</v>
      </c>
      <c r="Z35" s="157">
        <f t="shared" ref="Z35:AE35" si="28">Z18+Z30</f>
        <v>247.83866666666665</v>
      </c>
      <c r="AA35" s="157">
        <f t="shared" si="28"/>
        <v>247.83866666666665</v>
      </c>
      <c r="AB35" s="157">
        <f t="shared" si="28"/>
        <v>247.83866666666665</v>
      </c>
      <c r="AC35" s="157">
        <f t="shared" si="28"/>
        <v>247.83866666666665</v>
      </c>
      <c r="AD35" s="157">
        <f t="shared" si="28"/>
        <v>247.83866666666665</v>
      </c>
      <c r="AE35" s="157">
        <f t="shared" si="28"/>
        <v>247.83866666666671</v>
      </c>
      <c r="AF35" s="38"/>
      <c r="AG35" s="38"/>
      <c r="AH35" s="38"/>
      <c r="AI35" s="38"/>
      <c r="AJ35" s="38"/>
      <c r="AK35" s="38"/>
      <c r="AL35" s="38"/>
    </row>
    <row r="36" spans="1:38" s="7" customFormat="1" x14ac:dyDescent="0.2">
      <c r="B36" s="163" t="s">
        <v>368</v>
      </c>
      <c r="C36" s="163"/>
      <c r="D36" s="167">
        <f t="shared" ref="D36:AE36" si="29">D34+D35</f>
        <v>144.04319999999996</v>
      </c>
      <c r="E36" s="167">
        <f t="shared" si="29"/>
        <v>29.361100000000079</v>
      </c>
      <c r="F36" s="167">
        <f t="shared" si="29"/>
        <v>84.361099999999993</v>
      </c>
      <c r="G36" s="167">
        <f t="shared" si="29"/>
        <v>66.607885714285999</v>
      </c>
      <c r="H36" s="167">
        <f t="shared" si="29"/>
        <v>116.607885714286</v>
      </c>
      <c r="I36" s="167">
        <f t="shared" si="29"/>
        <v>43.542599999999879</v>
      </c>
      <c r="J36" s="167">
        <f t="shared" si="29"/>
        <v>93.542599999999879</v>
      </c>
      <c r="K36" s="167">
        <f t="shared" si="29"/>
        <v>93.542599999999879</v>
      </c>
      <c r="L36" s="167">
        <f t="shared" si="29"/>
        <v>93.542599999999879</v>
      </c>
      <c r="M36" s="167">
        <f t="shared" si="29"/>
        <v>75</v>
      </c>
      <c r="N36" s="167">
        <f t="shared" si="29"/>
        <v>75</v>
      </c>
      <c r="O36" s="167">
        <f t="shared" si="29"/>
        <v>75</v>
      </c>
      <c r="P36" s="167">
        <f t="shared" si="29"/>
        <v>75</v>
      </c>
      <c r="Q36" s="167">
        <f t="shared" si="29"/>
        <v>75</v>
      </c>
      <c r="R36" s="167">
        <f t="shared" si="29"/>
        <v>75</v>
      </c>
      <c r="S36" s="167">
        <f t="shared" si="29"/>
        <v>75</v>
      </c>
      <c r="T36" s="167">
        <f t="shared" si="29"/>
        <v>75</v>
      </c>
      <c r="U36" s="167">
        <f t="shared" si="29"/>
        <v>74.999999999999972</v>
      </c>
      <c r="V36" s="167">
        <f t="shared" si="29"/>
        <v>74.999999999999972</v>
      </c>
      <c r="W36" s="167">
        <f t="shared" si="29"/>
        <v>74.999999999999972</v>
      </c>
      <c r="X36" s="167">
        <f t="shared" si="29"/>
        <v>75</v>
      </c>
      <c r="Y36" s="167">
        <f t="shared" si="29"/>
        <v>75</v>
      </c>
      <c r="Z36" s="167">
        <f t="shared" si="29"/>
        <v>74.999999999999972</v>
      </c>
      <c r="AA36" s="167">
        <f t="shared" si="29"/>
        <v>74.999999999999972</v>
      </c>
      <c r="AB36" s="167">
        <f t="shared" si="29"/>
        <v>74.999999999999972</v>
      </c>
      <c r="AC36" s="167">
        <f t="shared" si="29"/>
        <v>74.999999999999972</v>
      </c>
      <c r="AD36" s="167">
        <f t="shared" si="29"/>
        <v>74.999999999999972</v>
      </c>
      <c r="AE36" s="167">
        <f t="shared" si="29"/>
        <v>75</v>
      </c>
      <c r="AF36" s="167"/>
      <c r="AG36" s="9"/>
      <c r="AH36" s="9"/>
      <c r="AI36" s="9"/>
      <c r="AJ36" s="9"/>
      <c r="AK36" s="9"/>
      <c r="AL36" s="9"/>
    </row>
    <row r="37" spans="1:38" s="7" customFormat="1" x14ac:dyDescent="0.2">
      <c r="B37" s="163"/>
      <c r="C37" s="163"/>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c r="AG37" s="9"/>
      <c r="AH37" s="9"/>
      <c r="AI37" s="9"/>
      <c r="AJ37" s="9"/>
      <c r="AK37" s="9"/>
      <c r="AL37" s="9"/>
    </row>
    <row r="38" spans="1:38" s="37" customFormat="1" x14ac:dyDescent="0.2">
      <c r="B38" s="168" t="s">
        <v>198</v>
      </c>
      <c r="C38" s="168"/>
      <c r="D38" s="169">
        <f t="shared" ref="D38:V38" si="30">SUM(D23:D26)+SUM(D11:D14)</f>
        <v>3974.0410000000002</v>
      </c>
      <c r="E38" s="169">
        <f t="shared" si="30"/>
        <v>4118.0842000000002</v>
      </c>
      <c r="F38" s="169">
        <f t="shared" si="30"/>
        <v>4147.4452999999994</v>
      </c>
      <c r="G38" s="169">
        <f t="shared" si="30"/>
        <v>4231.8063999999995</v>
      </c>
      <c r="H38" s="169">
        <f t="shared" si="30"/>
        <v>4298.4142857142861</v>
      </c>
      <c r="I38" s="169">
        <f t="shared" si="30"/>
        <v>4415.0221714285726</v>
      </c>
      <c r="J38" s="169">
        <f t="shared" si="30"/>
        <v>4458.5647714285724</v>
      </c>
      <c r="K38" s="169">
        <f t="shared" si="30"/>
        <v>4552.1073714285722</v>
      </c>
      <c r="L38" s="169">
        <f t="shared" si="30"/>
        <v>4645.6499714285719</v>
      </c>
      <c r="M38" s="169">
        <f t="shared" si="30"/>
        <v>4739.1925714285717</v>
      </c>
      <c r="N38" s="169">
        <f t="shared" si="30"/>
        <v>4814.1925714285717</v>
      </c>
      <c r="O38" s="169">
        <f t="shared" si="30"/>
        <v>4889.1925714285708</v>
      </c>
      <c r="P38" s="169">
        <f t="shared" si="30"/>
        <v>4964.1925714285717</v>
      </c>
      <c r="Q38" s="169">
        <f t="shared" si="30"/>
        <v>5039.1925714285717</v>
      </c>
      <c r="R38" s="169">
        <f t="shared" si="30"/>
        <v>5114.1925714285717</v>
      </c>
      <c r="S38" s="169">
        <f t="shared" si="30"/>
        <v>5189.1925714285717</v>
      </c>
      <c r="T38" s="169">
        <f t="shared" si="30"/>
        <v>5264.1925714285717</v>
      </c>
      <c r="U38" s="169">
        <f t="shared" si="30"/>
        <v>5339.1925714285717</v>
      </c>
      <c r="V38" s="169">
        <f t="shared" si="30"/>
        <v>5414.1925714285717</v>
      </c>
      <c r="W38" s="169">
        <f>SUM(W23:W26)+SUM(W11:W14)</f>
        <v>5489.1925714285708</v>
      </c>
      <c r="X38" s="169">
        <f t="shared" ref="X38:AF38" si="31">SUM(X23:X26)+SUM(X11:X14)</f>
        <v>5564.1925714285717</v>
      </c>
      <c r="Y38" s="169">
        <f t="shared" si="31"/>
        <v>5639.1925714285708</v>
      </c>
      <c r="Z38" s="169">
        <f t="shared" si="31"/>
        <v>5714.1925714285708</v>
      </c>
      <c r="AA38" s="169">
        <f t="shared" si="31"/>
        <v>5789.1925714285708</v>
      </c>
      <c r="AB38" s="169">
        <f t="shared" si="31"/>
        <v>5864.1925714285717</v>
      </c>
      <c r="AC38" s="169">
        <f t="shared" si="31"/>
        <v>5939.1925714285717</v>
      </c>
      <c r="AD38" s="169">
        <f t="shared" si="31"/>
        <v>6014.1925714285708</v>
      </c>
      <c r="AE38" s="169">
        <f t="shared" si="31"/>
        <v>6089.1925714285708</v>
      </c>
      <c r="AF38" s="169">
        <f t="shared" si="31"/>
        <v>6164.1925714285699</v>
      </c>
      <c r="AG38" s="169"/>
      <c r="AH38" s="169"/>
      <c r="AI38" s="169"/>
      <c r="AJ38" s="169"/>
      <c r="AK38" s="169"/>
      <c r="AL38" s="169"/>
    </row>
    <row r="39" spans="1:38" customFormat="1" x14ac:dyDescent="0.2">
      <c r="A39" s="12"/>
      <c r="B39" s="258" t="s">
        <v>471</v>
      </c>
      <c r="C39" s="56"/>
    </row>
    <row r="40" spans="1:38" s="39" customFormat="1" x14ac:dyDescent="0.2">
      <c r="B40" s="257" t="s">
        <v>472</v>
      </c>
      <c r="C40" s="40"/>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38" s="39" customFormat="1" x14ac:dyDescent="0.2">
      <c r="B41" s="40"/>
      <c r="C41" s="40"/>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38" s="70" customFormat="1" x14ac:dyDescent="0.2">
      <c r="B42" s="70" t="s">
        <v>473</v>
      </c>
    </row>
    <row r="43" spans="1:38" s="16" customFormat="1" x14ac:dyDescent="0.2">
      <c r="B43" s="41"/>
      <c r="C43" s="41"/>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38" s="21" customFormat="1" x14ac:dyDescent="0.2">
      <c r="B44" s="1" t="s">
        <v>246</v>
      </c>
      <c r="C44" s="1"/>
      <c r="D44" s="151">
        <f t="shared" ref="D44:AA44" si="32">D$6</f>
        <v>2017</v>
      </c>
      <c r="E44" s="151">
        <f t="shared" si="32"/>
        <v>2018</v>
      </c>
      <c r="F44" s="151">
        <f t="shared" si="32"/>
        <v>2019</v>
      </c>
      <c r="G44" s="151">
        <f t="shared" si="32"/>
        <v>2020</v>
      </c>
      <c r="H44" s="151">
        <f t="shared" si="32"/>
        <v>2021</v>
      </c>
      <c r="I44" s="151">
        <f t="shared" si="32"/>
        <v>2022</v>
      </c>
      <c r="J44" s="151">
        <f t="shared" si="32"/>
        <v>2023</v>
      </c>
      <c r="K44" s="151">
        <f t="shared" si="32"/>
        <v>2024</v>
      </c>
      <c r="L44" s="151">
        <f t="shared" si="32"/>
        <v>2025</v>
      </c>
      <c r="M44" s="151">
        <f t="shared" si="32"/>
        <v>2026</v>
      </c>
      <c r="N44" s="151">
        <f t="shared" si="32"/>
        <v>2027</v>
      </c>
      <c r="O44" s="151">
        <f t="shared" si="32"/>
        <v>2028</v>
      </c>
      <c r="P44" s="151">
        <f t="shared" si="32"/>
        <v>2029</v>
      </c>
      <c r="Q44" s="151">
        <f t="shared" si="32"/>
        <v>2030</v>
      </c>
      <c r="R44" s="151">
        <f t="shared" si="32"/>
        <v>2031</v>
      </c>
      <c r="S44" s="151">
        <f t="shared" si="32"/>
        <v>2032</v>
      </c>
      <c r="T44" s="151">
        <f t="shared" si="32"/>
        <v>2033</v>
      </c>
      <c r="U44" s="151">
        <f t="shared" si="32"/>
        <v>2034</v>
      </c>
      <c r="V44" s="151">
        <f t="shared" si="32"/>
        <v>2035</v>
      </c>
      <c r="W44" s="151">
        <f t="shared" si="32"/>
        <v>2036</v>
      </c>
      <c r="X44" s="151">
        <f t="shared" si="32"/>
        <v>2037</v>
      </c>
      <c r="Y44" s="151">
        <f t="shared" si="32"/>
        <v>2038</v>
      </c>
      <c r="Z44" s="151">
        <f t="shared" si="32"/>
        <v>2039</v>
      </c>
      <c r="AA44" s="151">
        <f t="shared" si="32"/>
        <v>2040</v>
      </c>
      <c r="AB44" s="15"/>
    </row>
    <row r="45" spans="1:38" s="37" customFormat="1" x14ac:dyDescent="0.2">
      <c r="B45" s="163" t="s">
        <v>192</v>
      </c>
      <c r="C45" s="163"/>
      <c r="D45" s="38"/>
      <c r="E45" s="38"/>
      <c r="F45" s="38"/>
      <c r="G45" s="38"/>
      <c r="H45" s="38"/>
      <c r="I45" s="38"/>
      <c r="J45" s="38"/>
      <c r="K45" s="38"/>
      <c r="L45" s="38"/>
      <c r="M45" s="38"/>
      <c r="N45" s="38"/>
      <c r="O45" s="38"/>
      <c r="P45" s="38"/>
      <c r="Q45" s="38"/>
      <c r="R45" s="38"/>
      <c r="S45" s="38"/>
      <c r="T45" s="38"/>
      <c r="U45" s="38"/>
      <c r="V45" s="38"/>
      <c r="W45" s="38"/>
      <c r="X45" s="38"/>
      <c r="Y45" s="38"/>
      <c r="Z45" s="38"/>
      <c r="AA45" s="38"/>
      <c r="AB45" s="39"/>
    </row>
    <row r="46" spans="1:38" s="7" customFormat="1" x14ac:dyDescent="0.2">
      <c r="B46" s="23" t="s">
        <v>48</v>
      </c>
      <c r="C46" s="23"/>
      <c r="D46" s="9"/>
      <c r="E46" s="9"/>
      <c r="F46" s="9"/>
      <c r="G46" s="9"/>
      <c r="H46" s="9"/>
      <c r="I46" s="9"/>
      <c r="J46" s="9"/>
      <c r="K46" s="9"/>
      <c r="L46" s="9"/>
      <c r="M46" s="9"/>
      <c r="N46" s="9"/>
      <c r="O46" s="9"/>
      <c r="P46" s="9"/>
      <c r="Q46" s="9"/>
      <c r="R46" s="9"/>
      <c r="S46" s="9"/>
      <c r="T46" s="9"/>
      <c r="U46" s="9"/>
      <c r="V46" s="9"/>
      <c r="W46" s="9"/>
      <c r="X46" s="9"/>
      <c r="Y46" s="9"/>
      <c r="Z46" s="9"/>
      <c r="AA46" s="9"/>
      <c r="AB46" s="10"/>
    </row>
    <row r="47" spans="1:38" s="7" customFormat="1" x14ac:dyDescent="0.2">
      <c r="B47" s="23" t="s">
        <v>49</v>
      </c>
      <c r="C47" s="23"/>
      <c r="D47" s="158">
        <v>40</v>
      </c>
      <c r="E47" s="9">
        <f t="shared" ref="E47:Q52" si="33">D47</f>
        <v>40</v>
      </c>
      <c r="F47" s="9">
        <f t="shared" si="33"/>
        <v>40</v>
      </c>
      <c r="G47" s="9">
        <f t="shared" si="33"/>
        <v>40</v>
      </c>
      <c r="H47" s="9">
        <f t="shared" si="33"/>
        <v>40</v>
      </c>
      <c r="I47" s="9">
        <f t="shared" si="33"/>
        <v>40</v>
      </c>
      <c r="J47" s="9">
        <f t="shared" si="33"/>
        <v>40</v>
      </c>
      <c r="K47" s="9">
        <f t="shared" si="33"/>
        <v>40</v>
      </c>
      <c r="L47" s="9">
        <f t="shared" si="33"/>
        <v>40</v>
      </c>
      <c r="M47" s="9"/>
      <c r="N47" s="9"/>
      <c r="O47" s="9"/>
      <c r="P47" s="9"/>
      <c r="Q47" s="9"/>
      <c r="R47" s="9"/>
      <c r="S47" s="9"/>
      <c r="T47" s="9"/>
      <c r="U47" s="9"/>
      <c r="V47" s="9"/>
      <c r="W47" s="9"/>
      <c r="X47" s="9"/>
      <c r="Y47" s="9"/>
      <c r="Z47" s="9"/>
      <c r="AA47" s="9"/>
      <c r="AB47" s="10"/>
    </row>
    <row r="48" spans="1:38" s="7" customFormat="1" x14ac:dyDescent="0.2">
      <c r="B48" s="23" t="s">
        <v>50</v>
      </c>
      <c r="C48" s="23"/>
      <c r="D48" s="158">
        <v>7.2</v>
      </c>
      <c r="E48" s="9">
        <f t="shared" si="33"/>
        <v>7.2</v>
      </c>
      <c r="F48" s="9">
        <f t="shared" si="33"/>
        <v>7.2</v>
      </c>
      <c r="G48" s="9">
        <f t="shared" si="33"/>
        <v>7.2</v>
      </c>
      <c r="H48" s="9">
        <f t="shared" si="33"/>
        <v>7.2</v>
      </c>
      <c r="I48" s="9">
        <f t="shared" si="33"/>
        <v>7.2</v>
      </c>
      <c r="J48" s="9">
        <f t="shared" si="33"/>
        <v>7.2</v>
      </c>
      <c r="K48" s="9">
        <f t="shared" si="33"/>
        <v>7.2</v>
      </c>
      <c r="L48" s="9">
        <f t="shared" si="33"/>
        <v>7.2</v>
      </c>
      <c r="M48" s="9">
        <f t="shared" si="33"/>
        <v>7.2</v>
      </c>
      <c r="N48" s="9">
        <f t="shared" si="33"/>
        <v>7.2</v>
      </c>
      <c r="O48" s="9">
        <f t="shared" si="33"/>
        <v>7.2</v>
      </c>
      <c r="P48" s="9">
        <f t="shared" si="33"/>
        <v>7.2</v>
      </c>
      <c r="Q48" s="9">
        <f t="shared" si="33"/>
        <v>7.2</v>
      </c>
      <c r="R48" s="9">
        <f t="shared" ref="R48:AA52" si="34">Q48</f>
        <v>7.2</v>
      </c>
      <c r="S48" s="9">
        <f t="shared" si="34"/>
        <v>7.2</v>
      </c>
      <c r="T48" s="9">
        <f t="shared" si="34"/>
        <v>7.2</v>
      </c>
      <c r="U48" s="9">
        <f t="shared" si="34"/>
        <v>7.2</v>
      </c>
      <c r="V48" s="9"/>
      <c r="W48" s="9"/>
      <c r="X48" s="9"/>
      <c r="Y48" s="9"/>
      <c r="Z48" s="9"/>
      <c r="AA48" s="9"/>
      <c r="AB48" s="10"/>
    </row>
    <row r="49" spans="2:28" s="7" customFormat="1" x14ac:dyDescent="0.2">
      <c r="B49" s="23" t="s">
        <v>51</v>
      </c>
      <c r="C49" s="23"/>
      <c r="D49" s="158">
        <v>3.6</v>
      </c>
      <c r="E49" s="9">
        <f t="shared" si="33"/>
        <v>3.6</v>
      </c>
      <c r="F49" s="9">
        <f t="shared" si="33"/>
        <v>3.6</v>
      </c>
      <c r="G49" s="9">
        <f t="shared" si="33"/>
        <v>3.6</v>
      </c>
      <c r="H49" s="9">
        <f t="shared" si="33"/>
        <v>3.6</v>
      </c>
      <c r="I49" s="9">
        <f t="shared" si="33"/>
        <v>3.6</v>
      </c>
      <c r="J49" s="9">
        <f t="shared" si="33"/>
        <v>3.6</v>
      </c>
      <c r="K49" s="9">
        <f t="shared" si="33"/>
        <v>3.6</v>
      </c>
      <c r="L49" s="9">
        <f t="shared" si="33"/>
        <v>3.6</v>
      </c>
      <c r="M49" s="9">
        <f t="shared" si="33"/>
        <v>3.6</v>
      </c>
      <c r="N49" s="9">
        <f t="shared" si="33"/>
        <v>3.6</v>
      </c>
      <c r="O49" s="9">
        <f t="shared" si="33"/>
        <v>3.6</v>
      </c>
      <c r="P49" s="9">
        <f t="shared" si="33"/>
        <v>3.6</v>
      </c>
      <c r="Q49" s="9">
        <f t="shared" si="33"/>
        <v>3.6</v>
      </c>
      <c r="R49" s="9">
        <f t="shared" si="34"/>
        <v>3.6</v>
      </c>
      <c r="S49" s="9">
        <f t="shared" si="34"/>
        <v>3.6</v>
      </c>
      <c r="T49" s="9">
        <f t="shared" si="34"/>
        <v>3.6</v>
      </c>
      <c r="U49" s="9">
        <f t="shared" si="34"/>
        <v>3.6</v>
      </c>
      <c r="V49" s="9">
        <f t="shared" si="34"/>
        <v>3.6</v>
      </c>
      <c r="W49" s="9">
        <f t="shared" si="34"/>
        <v>3.6</v>
      </c>
      <c r="X49" s="9"/>
      <c r="Y49" s="9"/>
      <c r="Z49" s="9"/>
      <c r="AA49" s="9"/>
      <c r="AB49" s="10"/>
    </row>
    <row r="50" spans="2:28" s="7" customFormat="1" x14ac:dyDescent="0.2">
      <c r="B50" s="55" t="s">
        <v>374</v>
      </c>
      <c r="C50" s="55"/>
      <c r="D50" s="9"/>
      <c r="E50" s="9"/>
      <c r="F50" s="9"/>
      <c r="G50" s="158">
        <v>0</v>
      </c>
      <c r="H50" s="9">
        <f>G50</f>
        <v>0</v>
      </c>
      <c r="I50" s="9">
        <f t="shared" si="33"/>
        <v>0</v>
      </c>
      <c r="J50" s="9">
        <f t="shared" si="33"/>
        <v>0</v>
      </c>
      <c r="K50" s="9">
        <f t="shared" si="33"/>
        <v>0</v>
      </c>
      <c r="L50" s="9">
        <f t="shared" si="33"/>
        <v>0</v>
      </c>
      <c r="M50" s="9">
        <f t="shared" si="33"/>
        <v>0</v>
      </c>
      <c r="N50" s="9">
        <f t="shared" si="33"/>
        <v>0</v>
      </c>
      <c r="O50" s="9">
        <f t="shared" si="33"/>
        <v>0</v>
      </c>
      <c r="P50" s="9">
        <f t="shared" si="33"/>
        <v>0</v>
      </c>
      <c r="Q50" s="9">
        <f t="shared" si="33"/>
        <v>0</v>
      </c>
      <c r="R50" s="9">
        <f t="shared" si="34"/>
        <v>0</v>
      </c>
      <c r="S50" s="9">
        <f t="shared" si="34"/>
        <v>0</v>
      </c>
      <c r="T50" s="9">
        <f t="shared" si="34"/>
        <v>0</v>
      </c>
      <c r="U50" s="9">
        <f t="shared" si="34"/>
        <v>0</v>
      </c>
      <c r="V50" s="9">
        <f t="shared" si="34"/>
        <v>0</v>
      </c>
      <c r="W50" s="9">
        <f t="shared" si="34"/>
        <v>0</v>
      </c>
      <c r="X50" s="9">
        <f t="shared" si="34"/>
        <v>0</v>
      </c>
      <c r="Y50" s="9">
        <f t="shared" si="34"/>
        <v>0</v>
      </c>
      <c r="Z50" s="9">
        <f t="shared" si="34"/>
        <v>0</v>
      </c>
      <c r="AA50" s="9">
        <f t="shared" si="34"/>
        <v>0</v>
      </c>
      <c r="AB50" s="10"/>
    </row>
    <row r="51" spans="2:28" s="7" customFormat="1" x14ac:dyDescent="0.2">
      <c r="B51" s="55" t="s">
        <v>365</v>
      </c>
      <c r="C51" s="55"/>
      <c r="D51" s="9"/>
      <c r="E51" s="9"/>
      <c r="F51" s="9"/>
      <c r="G51" s="158">
        <v>0</v>
      </c>
      <c r="H51" s="9">
        <f>G51</f>
        <v>0</v>
      </c>
      <c r="I51" s="9">
        <f t="shared" si="33"/>
        <v>0</v>
      </c>
      <c r="J51" s="9">
        <f t="shared" si="33"/>
        <v>0</v>
      </c>
      <c r="K51" s="9">
        <f t="shared" si="33"/>
        <v>0</v>
      </c>
      <c r="L51" s="9">
        <f t="shared" si="33"/>
        <v>0</v>
      </c>
      <c r="M51" s="9">
        <f>L51</f>
        <v>0</v>
      </c>
      <c r="N51" s="9">
        <f t="shared" si="33"/>
        <v>0</v>
      </c>
      <c r="O51" s="9">
        <f t="shared" si="33"/>
        <v>0</v>
      </c>
      <c r="P51" s="9">
        <f t="shared" si="33"/>
        <v>0</v>
      </c>
      <c r="Q51" s="9">
        <f t="shared" si="33"/>
        <v>0</v>
      </c>
      <c r="R51" s="9">
        <f t="shared" si="34"/>
        <v>0</v>
      </c>
      <c r="S51" s="9">
        <f t="shared" si="34"/>
        <v>0</v>
      </c>
      <c r="T51" s="9">
        <f t="shared" si="34"/>
        <v>0</v>
      </c>
      <c r="U51" s="9">
        <f t="shared" si="34"/>
        <v>0</v>
      </c>
      <c r="V51" s="9">
        <f t="shared" si="34"/>
        <v>0</v>
      </c>
      <c r="W51" s="9">
        <f t="shared" si="34"/>
        <v>0</v>
      </c>
      <c r="X51" s="9">
        <f t="shared" si="34"/>
        <v>0</v>
      </c>
      <c r="Y51" s="9">
        <f t="shared" si="34"/>
        <v>0</v>
      </c>
      <c r="Z51" s="9">
        <f t="shared" si="34"/>
        <v>0</v>
      </c>
      <c r="AA51" s="9">
        <f t="shared" si="34"/>
        <v>0</v>
      </c>
      <c r="AB51" s="10"/>
    </row>
    <row r="52" spans="2:28" s="4" customFormat="1" x14ac:dyDescent="0.2">
      <c r="B52" s="55" t="s">
        <v>366</v>
      </c>
      <c r="C52" s="55"/>
      <c r="D52" s="9"/>
      <c r="E52" s="9"/>
      <c r="F52" s="176"/>
      <c r="G52" s="9"/>
      <c r="H52" s="9"/>
      <c r="I52" s="9"/>
      <c r="J52" s="9"/>
      <c r="K52" s="9"/>
      <c r="L52" s="159">
        <v>100</v>
      </c>
      <c r="M52" s="9">
        <f t="shared" si="33"/>
        <v>100</v>
      </c>
      <c r="N52" s="9">
        <f t="shared" si="33"/>
        <v>100</v>
      </c>
      <c r="O52" s="9">
        <f t="shared" si="33"/>
        <v>100</v>
      </c>
      <c r="P52" s="9">
        <f t="shared" si="33"/>
        <v>100</v>
      </c>
      <c r="Q52" s="159">
        <v>200</v>
      </c>
      <c r="R52" s="9">
        <f t="shared" si="34"/>
        <v>200</v>
      </c>
      <c r="S52" s="9">
        <f t="shared" si="34"/>
        <v>200</v>
      </c>
      <c r="T52" s="9">
        <f t="shared" si="34"/>
        <v>200</v>
      </c>
      <c r="U52" s="9">
        <f t="shared" si="34"/>
        <v>200</v>
      </c>
      <c r="V52" s="159">
        <v>300</v>
      </c>
      <c r="W52" s="9">
        <f t="shared" si="34"/>
        <v>300</v>
      </c>
      <c r="X52" s="9">
        <f t="shared" si="34"/>
        <v>300</v>
      </c>
      <c r="Y52" s="9">
        <f t="shared" si="34"/>
        <v>300</v>
      </c>
      <c r="Z52" s="9">
        <f t="shared" si="34"/>
        <v>300</v>
      </c>
      <c r="AA52" s="159">
        <v>400</v>
      </c>
      <c r="AB52" s="5"/>
    </row>
    <row r="53" spans="2:28" s="4" customFormat="1" x14ac:dyDescent="0.2">
      <c r="B53" s="163" t="str">
        <f>"Total, "&amp;B45</f>
        <v>Total, Eastern Denmark (DK2)</v>
      </c>
      <c r="C53" s="163"/>
      <c r="D53" s="38">
        <f t="shared" ref="D53:AA53" si="35">SUM(D46:D52)</f>
        <v>50.800000000000004</v>
      </c>
      <c r="E53" s="38">
        <f t="shared" si="35"/>
        <v>50.800000000000004</v>
      </c>
      <c r="F53" s="38">
        <f t="shared" si="35"/>
        <v>50.800000000000004</v>
      </c>
      <c r="G53" s="38">
        <f t="shared" si="35"/>
        <v>50.800000000000004</v>
      </c>
      <c r="H53" s="38">
        <f t="shared" si="35"/>
        <v>50.800000000000004</v>
      </c>
      <c r="I53" s="38">
        <f t="shared" si="35"/>
        <v>50.800000000000004</v>
      </c>
      <c r="J53" s="38">
        <f t="shared" si="35"/>
        <v>50.800000000000004</v>
      </c>
      <c r="K53" s="38">
        <f t="shared" si="35"/>
        <v>50.800000000000004</v>
      </c>
      <c r="L53" s="38">
        <f t="shared" si="35"/>
        <v>150.80000000000001</v>
      </c>
      <c r="M53" s="38">
        <f t="shared" si="35"/>
        <v>110.8</v>
      </c>
      <c r="N53" s="38">
        <f t="shared" si="35"/>
        <v>110.8</v>
      </c>
      <c r="O53" s="38">
        <f t="shared" si="35"/>
        <v>110.8</v>
      </c>
      <c r="P53" s="38">
        <f t="shared" si="35"/>
        <v>110.8</v>
      </c>
      <c r="Q53" s="38">
        <f t="shared" si="35"/>
        <v>210.8</v>
      </c>
      <c r="R53" s="38">
        <f t="shared" si="35"/>
        <v>210.8</v>
      </c>
      <c r="S53" s="38">
        <f t="shared" si="35"/>
        <v>210.8</v>
      </c>
      <c r="T53" s="38">
        <f t="shared" si="35"/>
        <v>210.8</v>
      </c>
      <c r="U53" s="38">
        <f t="shared" si="35"/>
        <v>210.8</v>
      </c>
      <c r="V53" s="38">
        <f t="shared" si="35"/>
        <v>303.60000000000002</v>
      </c>
      <c r="W53" s="38">
        <f t="shared" si="35"/>
        <v>303.60000000000002</v>
      </c>
      <c r="X53" s="38">
        <f t="shared" si="35"/>
        <v>300</v>
      </c>
      <c r="Y53" s="38">
        <f t="shared" si="35"/>
        <v>300</v>
      </c>
      <c r="Z53" s="38">
        <f t="shared" si="35"/>
        <v>300</v>
      </c>
      <c r="AA53" s="38">
        <f t="shared" si="35"/>
        <v>400</v>
      </c>
      <c r="AB53" s="5"/>
    </row>
    <row r="54" spans="2:28" s="4" customFormat="1" x14ac:dyDescent="0.2">
      <c r="B54" s="55"/>
      <c r="C54" s="55"/>
      <c r="D54" s="9"/>
      <c r="E54" s="9"/>
      <c r="F54" s="176"/>
      <c r="G54" s="9"/>
      <c r="H54" s="9"/>
      <c r="I54" s="9"/>
      <c r="J54" s="9"/>
      <c r="K54" s="9"/>
      <c r="L54" s="9"/>
      <c r="M54" s="9"/>
      <c r="N54" s="9"/>
      <c r="O54" s="9"/>
      <c r="P54" s="9"/>
      <c r="Q54" s="9"/>
      <c r="R54" s="9"/>
      <c r="S54" s="9"/>
      <c r="T54" s="9"/>
      <c r="U54" s="9"/>
      <c r="V54" s="9"/>
      <c r="W54" s="9"/>
      <c r="X54" s="9"/>
      <c r="Y54" s="9"/>
      <c r="Z54" s="9"/>
      <c r="AA54" s="9"/>
      <c r="AB54" s="5"/>
    </row>
    <row r="55" spans="2:28" s="37" customFormat="1" x14ac:dyDescent="0.2">
      <c r="B55" s="163" t="s">
        <v>190</v>
      </c>
      <c r="C55" s="163"/>
      <c r="D55" s="38"/>
      <c r="E55" s="38"/>
      <c r="F55" s="38"/>
      <c r="G55" s="38"/>
      <c r="H55" s="38"/>
      <c r="I55" s="38"/>
      <c r="J55" s="38"/>
      <c r="K55" s="38"/>
      <c r="L55" s="38"/>
      <c r="M55" s="38"/>
      <c r="N55" s="38"/>
      <c r="O55" s="38"/>
      <c r="P55" s="38"/>
      <c r="Q55" s="38"/>
      <c r="R55" s="38"/>
      <c r="S55" s="38"/>
      <c r="T55" s="38"/>
      <c r="U55" s="38"/>
      <c r="V55" s="38"/>
      <c r="W55" s="38"/>
      <c r="X55" s="38"/>
      <c r="Y55" s="38"/>
      <c r="Z55" s="38"/>
      <c r="AA55" s="38"/>
      <c r="AB55" s="39"/>
    </row>
    <row r="56" spans="2:28" s="7" customFormat="1" x14ac:dyDescent="0.2">
      <c r="B56" s="23" t="s">
        <v>52</v>
      </c>
      <c r="C56" s="23"/>
      <c r="D56" s="158">
        <v>5</v>
      </c>
      <c r="E56" s="9">
        <f t="shared" ref="E56:P63" si="36">D56</f>
        <v>5</v>
      </c>
      <c r="F56" s="9">
        <f t="shared" si="36"/>
        <v>5</v>
      </c>
      <c r="G56" s="9">
        <f t="shared" si="36"/>
        <v>5</v>
      </c>
      <c r="H56" s="9"/>
      <c r="I56" s="9"/>
      <c r="J56" s="9"/>
      <c r="K56" s="9"/>
      <c r="L56" s="9"/>
      <c r="M56" s="9"/>
      <c r="N56" s="9"/>
      <c r="O56" s="9"/>
      <c r="P56" s="9"/>
      <c r="Q56" s="9"/>
      <c r="R56" s="9"/>
      <c r="S56" s="9"/>
      <c r="T56" s="9"/>
      <c r="U56" s="9"/>
      <c r="V56" s="9"/>
      <c r="W56" s="9"/>
      <c r="X56" s="9"/>
      <c r="Y56" s="9"/>
      <c r="Z56" s="9"/>
      <c r="AA56" s="9"/>
      <c r="AB56" s="10"/>
    </row>
    <row r="57" spans="2:28" s="7" customFormat="1" x14ac:dyDescent="0.2">
      <c r="B57" s="23" t="s">
        <v>53</v>
      </c>
      <c r="C57" s="23"/>
      <c r="D57" s="158">
        <v>17.199999999999996</v>
      </c>
      <c r="E57" s="9">
        <f t="shared" si="36"/>
        <v>17.199999999999996</v>
      </c>
      <c r="F57" s="9">
        <f t="shared" si="36"/>
        <v>17.199999999999996</v>
      </c>
      <c r="G57" s="9">
        <f t="shared" si="36"/>
        <v>17.199999999999996</v>
      </c>
      <c r="H57" s="9">
        <f t="shared" si="36"/>
        <v>17.199999999999996</v>
      </c>
      <c r="I57" s="9">
        <f t="shared" si="36"/>
        <v>17.199999999999996</v>
      </c>
      <c r="J57" s="9">
        <f t="shared" si="36"/>
        <v>17.199999999999996</v>
      </c>
      <c r="K57" s="9">
        <f t="shared" si="36"/>
        <v>17.199999999999996</v>
      </c>
      <c r="L57" s="9">
        <f t="shared" si="36"/>
        <v>17.199999999999996</v>
      </c>
      <c r="M57" s="9">
        <f t="shared" si="36"/>
        <v>17.199999999999996</v>
      </c>
      <c r="N57" s="9">
        <f t="shared" si="36"/>
        <v>17.199999999999996</v>
      </c>
      <c r="O57" s="9">
        <f t="shared" si="36"/>
        <v>17.199999999999996</v>
      </c>
      <c r="P57" s="9"/>
      <c r="Q57" s="9"/>
      <c r="R57" s="9"/>
      <c r="S57" s="9"/>
      <c r="T57" s="9"/>
      <c r="U57" s="9"/>
      <c r="V57" s="9"/>
      <c r="W57" s="9"/>
      <c r="X57" s="9"/>
      <c r="Y57" s="9"/>
      <c r="Z57" s="9"/>
      <c r="AA57" s="9"/>
      <c r="AB57" s="10"/>
    </row>
    <row r="58" spans="2:28" s="7" customFormat="1" x14ac:dyDescent="0.2">
      <c r="B58" s="23" t="s">
        <v>54</v>
      </c>
      <c r="C58" s="23"/>
      <c r="D58" s="158">
        <v>23</v>
      </c>
      <c r="E58" s="9">
        <f t="shared" si="36"/>
        <v>23</v>
      </c>
      <c r="F58" s="9">
        <f t="shared" si="36"/>
        <v>23</v>
      </c>
      <c r="G58" s="9">
        <f t="shared" si="36"/>
        <v>23</v>
      </c>
      <c r="H58" s="9">
        <f t="shared" si="36"/>
        <v>23</v>
      </c>
      <c r="I58" s="9">
        <f t="shared" si="36"/>
        <v>23</v>
      </c>
      <c r="J58" s="9">
        <f t="shared" si="36"/>
        <v>23</v>
      </c>
      <c r="K58" s="9">
        <f t="shared" si="36"/>
        <v>23</v>
      </c>
      <c r="L58" s="9">
        <f t="shared" si="36"/>
        <v>23</v>
      </c>
      <c r="M58" s="9">
        <f t="shared" si="36"/>
        <v>23</v>
      </c>
      <c r="N58" s="9">
        <f t="shared" si="36"/>
        <v>23</v>
      </c>
      <c r="O58" s="9">
        <f t="shared" si="36"/>
        <v>23</v>
      </c>
      <c r="P58" s="9"/>
      <c r="Q58" s="9"/>
      <c r="R58" s="9"/>
      <c r="S58" s="9"/>
      <c r="T58" s="9"/>
      <c r="U58" s="9"/>
      <c r="V58" s="9"/>
      <c r="W58" s="9"/>
      <c r="X58" s="9"/>
      <c r="Y58" s="9"/>
      <c r="Z58" s="9"/>
      <c r="AA58" s="9"/>
      <c r="AB58" s="10"/>
    </row>
    <row r="59" spans="2:28" s="7" customFormat="1" x14ac:dyDescent="0.2">
      <c r="B59" s="23" t="s">
        <v>55</v>
      </c>
      <c r="C59" s="23"/>
      <c r="D59" s="158">
        <v>7.6</v>
      </c>
      <c r="E59" s="9">
        <f t="shared" si="36"/>
        <v>7.6</v>
      </c>
      <c r="F59" s="9">
        <f t="shared" si="36"/>
        <v>7.6</v>
      </c>
      <c r="G59" s="9">
        <f t="shared" si="36"/>
        <v>7.6</v>
      </c>
      <c r="H59" s="9">
        <f t="shared" si="36"/>
        <v>7.6</v>
      </c>
      <c r="I59" s="9">
        <f t="shared" si="36"/>
        <v>7.6</v>
      </c>
      <c r="J59" s="9">
        <f t="shared" si="36"/>
        <v>7.6</v>
      </c>
      <c r="K59" s="9">
        <f t="shared" si="36"/>
        <v>7.6</v>
      </c>
      <c r="L59" s="9">
        <f t="shared" si="36"/>
        <v>7.6</v>
      </c>
      <c r="M59" s="9">
        <f t="shared" si="36"/>
        <v>7.6</v>
      </c>
      <c r="N59" s="9">
        <f t="shared" si="36"/>
        <v>7.6</v>
      </c>
      <c r="O59" s="9">
        <f t="shared" si="36"/>
        <v>7.6</v>
      </c>
      <c r="P59" s="9"/>
      <c r="Q59" s="9"/>
      <c r="R59" s="9"/>
      <c r="S59" s="9"/>
      <c r="T59" s="9"/>
      <c r="U59" s="9"/>
      <c r="V59" s="9"/>
      <c r="W59" s="9"/>
      <c r="X59" s="9"/>
      <c r="Y59" s="9"/>
      <c r="Z59" s="9"/>
      <c r="AA59" s="9"/>
      <c r="AB59" s="10"/>
    </row>
    <row r="60" spans="2:28" s="7" customFormat="1" x14ac:dyDescent="0.2">
      <c r="B60" s="23" t="s">
        <v>56</v>
      </c>
      <c r="C60" s="23"/>
      <c r="D60" s="158">
        <v>21</v>
      </c>
      <c r="E60" s="9">
        <f t="shared" si="36"/>
        <v>21</v>
      </c>
      <c r="F60" s="9">
        <f t="shared" si="36"/>
        <v>21</v>
      </c>
      <c r="G60" s="9">
        <f t="shared" si="36"/>
        <v>21</v>
      </c>
      <c r="H60" s="9">
        <f t="shared" si="36"/>
        <v>21</v>
      </c>
      <c r="I60" s="9">
        <f t="shared" si="36"/>
        <v>21</v>
      </c>
      <c r="J60" s="9">
        <f t="shared" si="36"/>
        <v>21</v>
      </c>
      <c r="K60" s="9">
        <f t="shared" si="36"/>
        <v>21</v>
      </c>
      <c r="L60" s="9">
        <f t="shared" si="36"/>
        <v>21</v>
      </c>
      <c r="M60" s="9">
        <f t="shared" si="36"/>
        <v>21</v>
      </c>
      <c r="N60" s="9">
        <f t="shared" si="36"/>
        <v>21</v>
      </c>
      <c r="O60" s="9">
        <f t="shared" si="36"/>
        <v>21</v>
      </c>
      <c r="P60" s="9">
        <f t="shared" si="36"/>
        <v>21</v>
      </c>
      <c r="Q60" s="9">
        <f t="shared" ref="Q60:AA63" si="37">P60</f>
        <v>21</v>
      </c>
      <c r="R60" s="9">
        <f t="shared" si="37"/>
        <v>21</v>
      </c>
      <c r="S60" s="9">
        <f t="shared" si="37"/>
        <v>21</v>
      </c>
      <c r="T60" s="9">
        <f t="shared" si="37"/>
        <v>21</v>
      </c>
      <c r="U60" s="9">
        <f t="shared" si="37"/>
        <v>21</v>
      </c>
      <c r="V60" s="9"/>
      <c r="W60" s="9"/>
      <c r="X60" s="9"/>
      <c r="Y60" s="9"/>
      <c r="Z60" s="9"/>
      <c r="AA60" s="9"/>
      <c r="AB60" s="10"/>
    </row>
    <row r="61" spans="2:28" s="7" customFormat="1" x14ac:dyDescent="0.2">
      <c r="B61" s="55" t="s">
        <v>374</v>
      </c>
      <c r="C61" s="55"/>
      <c r="D61" s="9"/>
      <c r="E61" s="9"/>
      <c r="F61" s="9"/>
      <c r="G61" s="158">
        <v>350</v>
      </c>
      <c r="H61" s="9">
        <f>G61</f>
        <v>350</v>
      </c>
      <c r="I61" s="9">
        <f t="shared" si="36"/>
        <v>350</v>
      </c>
      <c r="J61" s="9">
        <f t="shared" si="36"/>
        <v>350</v>
      </c>
      <c r="K61" s="9">
        <f t="shared" si="36"/>
        <v>350</v>
      </c>
      <c r="L61" s="9">
        <f t="shared" si="36"/>
        <v>350</v>
      </c>
      <c r="M61" s="9">
        <f t="shared" si="36"/>
        <v>350</v>
      </c>
      <c r="N61" s="9">
        <f t="shared" si="36"/>
        <v>350</v>
      </c>
      <c r="O61" s="9">
        <f t="shared" si="36"/>
        <v>350</v>
      </c>
      <c r="P61" s="9">
        <f t="shared" si="36"/>
        <v>350</v>
      </c>
      <c r="Q61" s="9">
        <f t="shared" si="37"/>
        <v>350</v>
      </c>
      <c r="R61" s="9">
        <f t="shared" si="37"/>
        <v>350</v>
      </c>
      <c r="S61" s="9">
        <f t="shared" si="37"/>
        <v>350</v>
      </c>
      <c r="T61" s="9">
        <f t="shared" si="37"/>
        <v>350</v>
      </c>
      <c r="U61" s="9">
        <f t="shared" si="37"/>
        <v>350</v>
      </c>
      <c r="V61" s="9">
        <f t="shared" si="37"/>
        <v>350</v>
      </c>
      <c r="W61" s="9">
        <f t="shared" si="37"/>
        <v>350</v>
      </c>
      <c r="X61" s="9">
        <f t="shared" si="37"/>
        <v>350</v>
      </c>
      <c r="Y61" s="9">
        <f t="shared" si="37"/>
        <v>350</v>
      </c>
      <c r="Z61" s="9">
        <f t="shared" si="37"/>
        <v>350</v>
      </c>
      <c r="AA61" s="9">
        <f t="shared" si="37"/>
        <v>350</v>
      </c>
      <c r="AB61" s="10"/>
    </row>
    <row r="62" spans="2:28" s="7" customFormat="1" x14ac:dyDescent="0.2">
      <c r="B62" s="55" t="s">
        <v>365</v>
      </c>
      <c r="C62" s="55"/>
      <c r="D62" s="9"/>
      <c r="E62" s="9"/>
      <c r="F62" s="9"/>
      <c r="G62" s="158">
        <v>28</v>
      </c>
      <c r="H62" s="9">
        <f>G62</f>
        <v>28</v>
      </c>
      <c r="I62" s="9">
        <f t="shared" si="36"/>
        <v>28</v>
      </c>
      <c r="J62" s="9">
        <f t="shared" si="36"/>
        <v>28</v>
      </c>
      <c r="K62" s="9">
        <f t="shared" si="36"/>
        <v>28</v>
      </c>
      <c r="L62" s="9">
        <f t="shared" si="36"/>
        <v>28</v>
      </c>
      <c r="M62" s="9">
        <f t="shared" si="36"/>
        <v>28</v>
      </c>
      <c r="N62" s="9">
        <f t="shared" si="36"/>
        <v>28</v>
      </c>
      <c r="O62" s="9">
        <f t="shared" si="36"/>
        <v>28</v>
      </c>
      <c r="P62" s="9">
        <f t="shared" si="36"/>
        <v>28</v>
      </c>
      <c r="Q62" s="9">
        <f t="shared" si="37"/>
        <v>28</v>
      </c>
      <c r="R62" s="9">
        <f t="shared" si="37"/>
        <v>28</v>
      </c>
      <c r="S62" s="9">
        <f t="shared" si="37"/>
        <v>28</v>
      </c>
      <c r="T62" s="9">
        <f t="shared" si="37"/>
        <v>28</v>
      </c>
      <c r="U62" s="9">
        <f t="shared" si="37"/>
        <v>28</v>
      </c>
      <c r="V62" s="9">
        <f t="shared" si="37"/>
        <v>28</v>
      </c>
      <c r="W62" s="9">
        <f t="shared" si="37"/>
        <v>28</v>
      </c>
      <c r="X62" s="9">
        <f t="shared" si="37"/>
        <v>28</v>
      </c>
      <c r="Y62" s="9">
        <f t="shared" si="37"/>
        <v>28</v>
      </c>
      <c r="Z62" s="9">
        <f t="shared" si="37"/>
        <v>28</v>
      </c>
      <c r="AA62" s="9">
        <f t="shared" si="37"/>
        <v>28</v>
      </c>
      <c r="AB62" s="10"/>
    </row>
    <row r="63" spans="2:28" s="4" customFormat="1" x14ac:dyDescent="0.2">
      <c r="B63" s="55" t="s">
        <v>366</v>
      </c>
      <c r="C63" s="55"/>
      <c r="D63" s="9"/>
      <c r="E63" s="9"/>
      <c r="F63" s="9"/>
      <c r="G63" s="9"/>
      <c r="H63" s="9"/>
      <c r="I63" s="9"/>
      <c r="J63" s="9"/>
      <c r="K63" s="9"/>
      <c r="L63" s="159">
        <v>50</v>
      </c>
      <c r="M63" s="9">
        <f t="shared" si="36"/>
        <v>50</v>
      </c>
      <c r="N63" s="9">
        <f t="shared" si="36"/>
        <v>50</v>
      </c>
      <c r="O63" s="9">
        <f t="shared" si="36"/>
        <v>50</v>
      </c>
      <c r="P63" s="9">
        <f t="shared" si="36"/>
        <v>50</v>
      </c>
      <c r="Q63" s="159">
        <v>100</v>
      </c>
      <c r="R63" s="9">
        <f t="shared" si="37"/>
        <v>100</v>
      </c>
      <c r="S63" s="9">
        <f t="shared" si="37"/>
        <v>100</v>
      </c>
      <c r="T63" s="9">
        <f t="shared" si="37"/>
        <v>100</v>
      </c>
      <c r="U63" s="9">
        <f t="shared" si="37"/>
        <v>100</v>
      </c>
      <c r="V63" s="159">
        <v>150</v>
      </c>
      <c r="W63" s="9">
        <f t="shared" si="37"/>
        <v>150</v>
      </c>
      <c r="X63" s="9">
        <f t="shared" si="37"/>
        <v>150</v>
      </c>
      <c r="Y63" s="9">
        <f t="shared" si="37"/>
        <v>150</v>
      </c>
      <c r="Z63" s="9">
        <f t="shared" si="37"/>
        <v>150</v>
      </c>
      <c r="AA63" s="159">
        <v>200</v>
      </c>
      <c r="AB63" s="5"/>
    </row>
    <row r="64" spans="2:28" s="4" customFormat="1" x14ac:dyDescent="0.2">
      <c r="B64" s="163" t="str">
        <f>"Total, "&amp;B55</f>
        <v>Total, Western Denmark (DK1)</v>
      </c>
      <c r="C64" s="163"/>
      <c r="D64" s="38">
        <f t="shared" ref="D64:AA64" si="38">SUM(D56:D63)</f>
        <v>73.8</v>
      </c>
      <c r="E64" s="38">
        <f t="shared" si="38"/>
        <v>73.8</v>
      </c>
      <c r="F64" s="38">
        <f t="shared" si="38"/>
        <v>73.8</v>
      </c>
      <c r="G64" s="38">
        <f t="shared" si="38"/>
        <v>451.8</v>
      </c>
      <c r="H64" s="38">
        <f t="shared" si="38"/>
        <v>446.8</v>
      </c>
      <c r="I64" s="38">
        <f t="shared" si="38"/>
        <v>446.8</v>
      </c>
      <c r="J64" s="38">
        <f t="shared" si="38"/>
        <v>446.8</v>
      </c>
      <c r="K64" s="38">
        <f t="shared" si="38"/>
        <v>446.8</v>
      </c>
      <c r="L64" s="38">
        <f t="shared" si="38"/>
        <v>496.8</v>
      </c>
      <c r="M64" s="38">
        <f t="shared" si="38"/>
        <v>496.8</v>
      </c>
      <c r="N64" s="38">
        <f t="shared" si="38"/>
        <v>496.8</v>
      </c>
      <c r="O64" s="38">
        <f t="shared" si="38"/>
        <v>496.8</v>
      </c>
      <c r="P64" s="38">
        <f t="shared" si="38"/>
        <v>449</v>
      </c>
      <c r="Q64" s="38">
        <f t="shared" si="38"/>
        <v>499</v>
      </c>
      <c r="R64" s="38">
        <f t="shared" si="38"/>
        <v>499</v>
      </c>
      <c r="S64" s="38">
        <f t="shared" si="38"/>
        <v>499</v>
      </c>
      <c r="T64" s="38">
        <f t="shared" si="38"/>
        <v>499</v>
      </c>
      <c r="U64" s="38">
        <f t="shared" si="38"/>
        <v>499</v>
      </c>
      <c r="V64" s="38">
        <f t="shared" si="38"/>
        <v>528</v>
      </c>
      <c r="W64" s="38">
        <f t="shared" si="38"/>
        <v>528</v>
      </c>
      <c r="X64" s="38">
        <f t="shared" si="38"/>
        <v>528</v>
      </c>
      <c r="Y64" s="38">
        <f t="shared" si="38"/>
        <v>528</v>
      </c>
      <c r="Z64" s="38">
        <f t="shared" si="38"/>
        <v>528</v>
      </c>
      <c r="AA64" s="38">
        <f t="shared" si="38"/>
        <v>578</v>
      </c>
      <c r="AB64" s="5"/>
    </row>
    <row r="65" spans="2:28" s="4" customFormat="1" x14ac:dyDescent="0.2">
      <c r="B65" s="55"/>
      <c r="C65" s="55"/>
      <c r="D65" s="9"/>
      <c r="E65" s="9"/>
      <c r="F65" s="9"/>
      <c r="G65" s="9"/>
      <c r="H65" s="166"/>
      <c r="I65" s="9"/>
      <c r="J65" s="9"/>
      <c r="K65" s="9"/>
      <c r="L65" s="9"/>
      <c r="M65" s="9"/>
      <c r="N65" s="9"/>
      <c r="O65" s="9"/>
      <c r="P65" s="9"/>
      <c r="Q65" s="9"/>
      <c r="R65" s="9"/>
      <c r="S65" s="9"/>
      <c r="T65" s="9"/>
      <c r="U65" s="9"/>
      <c r="V65" s="9"/>
      <c r="W65" s="9"/>
      <c r="X65" s="9"/>
      <c r="Y65" s="9"/>
      <c r="Z65" s="9"/>
      <c r="AA65" s="9"/>
      <c r="AB65" s="5"/>
    </row>
    <row r="66" spans="2:28" s="37" customFormat="1" x14ac:dyDescent="0.2">
      <c r="B66" s="168" t="s">
        <v>198</v>
      </c>
      <c r="C66" s="168"/>
      <c r="D66" s="169">
        <f t="shared" ref="D66:AA66" si="39">D53+D64</f>
        <v>124.6</v>
      </c>
      <c r="E66" s="169">
        <f t="shared" si="39"/>
        <v>124.6</v>
      </c>
      <c r="F66" s="169">
        <f t="shared" si="39"/>
        <v>124.6</v>
      </c>
      <c r="G66" s="169">
        <f t="shared" si="39"/>
        <v>502.6</v>
      </c>
      <c r="H66" s="169">
        <f t="shared" si="39"/>
        <v>497.6</v>
      </c>
      <c r="I66" s="169">
        <f t="shared" si="39"/>
        <v>497.6</v>
      </c>
      <c r="J66" s="169">
        <f t="shared" si="39"/>
        <v>497.6</v>
      </c>
      <c r="K66" s="169">
        <f t="shared" si="39"/>
        <v>497.6</v>
      </c>
      <c r="L66" s="169">
        <f t="shared" si="39"/>
        <v>647.6</v>
      </c>
      <c r="M66" s="169">
        <f t="shared" si="39"/>
        <v>607.6</v>
      </c>
      <c r="N66" s="169">
        <f t="shared" si="39"/>
        <v>607.6</v>
      </c>
      <c r="O66" s="169">
        <f t="shared" si="39"/>
        <v>607.6</v>
      </c>
      <c r="P66" s="169">
        <f t="shared" si="39"/>
        <v>559.79999999999995</v>
      </c>
      <c r="Q66" s="169">
        <f t="shared" si="39"/>
        <v>709.8</v>
      </c>
      <c r="R66" s="169">
        <f t="shared" si="39"/>
        <v>709.8</v>
      </c>
      <c r="S66" s="169">
        <f t="shared" si="39"/>
        <v>709.8</v>
      </c>
      <c r="T66" s="169">
        <f t="shared" si="39"/>
        <v>709.8</v>
      </c>
      <c r="U66" s="169">
        <f t="shared" si="39"/>
        <v>709.8</v>
      </c>
      <c r="V66" s="169">
        <f t="shared" si="39"/>
        <v>831.6</v>
      </c>
      <c r="W66" s="169">
        <f t="shared" si="39"/>
        <v>831.6</v>
      </c>
      <c r="X66" s="169">
        <f t="shared" si="39"/>
        <v>828</v>
      </c>
      <c r="Y66" s="169">
        <f t="shared" si="39"/>
        <v>828</v>
      </c>
      <c r="Z66" s="169">
        <f t="shared" si="39"/>
        <v>828</v>
      </c>
      <c r="AA66" s="169">
        <f t="shared" si="39"/>
        <v>978</v>
      </c>
      <c r="AB66" s="39"/>
    </row>
    <row r="67" spans="2:28" s="16" customFormat="1" x14ac:dyDescent="0.2">
      <c r="B67" s="57" t="s">
        <v>474</v>
      </c>
      <c r="C67" s="57"/>
      <c r="D67" s="17"/>
      <c r="E67" s="17"/>
      <c r="F67" s="17"/>
      <c r="G67" s="17"/>
      <c r="H67" s="17"/>
      <c r="I67" s="17"/>
      <c r="J67" s="17"/>
      <c r="K67" s="17"/>
      <c r="L67" s="17"/>
      <c r="M67" s="17"/>
      <c r="N67" s="17"/>
      <c r="O67" s="17"/>
      <c r="P67" s="17"/>
      <c r="Q67" s="17"/>
      <c r="R67" s="17"/>
      <c r="S67" s="17"/>
      <c r="T67" s="17"/>
      <c r="U67" s="17"/>
      <c r="V67" s="17"/>
      <c r="W67" s="17"/>
      <c r="X67" s="17"/>
      <c r="Y67" s="17"/>
      <c r="Z67" s="17"/>
      <c r="AA67" s="17"/>
    </row>
    <row r="68" spans="2:28" s="39" customFormat="1" x14ac:dyDescent="0.2">
      <c r="D68" s="42"/>
      <c r="E68" s="42"/>
      <c r="F68" s="42"/>
      <c r="G68" s="42"/>
      <c r="H68" s="38"/>
      <c r="I68" s="38"/>
      <c r="J68" s="38"/>
      <c r="K68" s="38"/>
      <c r="L68" s="38"/>
      <c r="M68" s="38"/>
      <c r="N68" s="38"/>
      <c r="O68" s="38"/>
      <c r="P68" s="38"/>
      <c r="Q68" s="38"/>
      <c r="R68" s="38"/>
      <c r="S68" s="38"/>
      <c r="T68" s="38"/>
      <c r="U68" s="38"/>
      <c r="V68" s="38"/>
      <c r="W68" s="38"/>
      <c r="X68" s="38"/>
      <c r="Y68" s="38"/>
      <c r="Z68" s="38"/>
      <c r="AA68" s="38"/>
    </row>
    <row r="69" spans="2:28" s="39" customFormat="1" x14ac:dyDescent="0.2">
      <c r="D69" s="42"/>
      <c r="E69" s="42"/>
      <c r="F69" s="42"/>
      <c r="G69" s="42"/>
      <c r="H69" s="38"/>
      <c r="I69" s="38"/>
      <c r="J69" s="38"/>
      <c r="K69" s="38"/>
      <c r="L69" s="38"/>
      <c r="M69" s="38"/>
      <c r="N69" s="38"/>
      <c r="O69" s="38"/>
      <c r="P69" s="38"/>
      <c r="Q69" s="38"/>
      <c r="R69" s="38"/>
      <c r="S69" s="38"/>
      <c r="T69" s="38"/>
      <c r="U69" s="38"/>
      <c r="V69" s="38"/>
      <c r="W69" s="38"/>
      <c r="X69" s="38"/>
      <c r="Y69" s="38"/>
      <c r="Z69" s="38"/>
      <c r="AA69" s="38"/>
    </row>
    <row r="70" spans="2:28" s="70" customFormat="1" x14ac:dyDescent="0.2">
      <c r="B70" s="70" t="s">
        <v>475</v>
      </c>
    </row>
    <row r="71" spans="2:28" s="16" customFormat="1" x14ac:dyDescent="0.2">
      <c r="B71" s="41"/>
      <c r="C71" s="41"/>
      <c r="D71" s="43"/>
      <c r="E71" s="43"/>
      <c r="F71" s="43"/>
      <c r="G71" s="43"/>
      <c r="H71" s="43"/>
      <c r="I71" s="43"/>
      <c r="J71" s="43"/>
      <c r="K71" s="43"/>
      <c r="L71" s="17"/>
      <c r="M71" s="17"/>
      <c r="N71" s="17"/>
      <c r="O71" s="17"/>
      <c r="P71" s="17"/>
      <c r="Q71" s="17"/>
      <c r="R71" s="17"/>
      <c r="S71" s="17"/>
      <c r="T71" s="17"/>
      <c r="U71" s="17"/>
      <c r="V71" s="17"/>
      <c r="W71" s="17"/>
      <c r="X71" s="17"/>
      <c r="Y71" s="17"/>
      <c r="Z71" s="17"/>
      <c r="AA71" s="17"/>
    </row>
    <row r="72" spans="2:28" s="21" customFormat="1" x14ac:dyDescent="0.2">
      <c r="B72" s="1" t="s">
        <v>247</v>
      </c>
      <c r="C72" s="1" t="s">
        <v>348</v>
      </c>
      <c r="D72" s="151">
        <f t="shared" ref="D72:AA72" si="40">D$6</f>
        <v>2017</v>
      </c>
      <c r="E72" s="151">
        <f t="shared" si="40"/>
        <v>2018</v>
      </c>
      <c r="F72" s="151">
        <f t="shared" si="40"/>
        <v>2019</v>
      </c>
      <c r="G72" s="151">
        <f t="shared" si="40"/>
        <v>2020</v>
      </c>
      <c r="H72" s="151">
        <f t="shared" si="40"/>
        <v>2021</v>
      </c>
      <c r="I72" s="151">
        <f t="shared" si="40"/>
        <v>2022</v>
      </c>
      <c r="J72" s="151">
        <f t="shared" si="40"/>
        <v>2023</v>
      </c>
      <c r="K72" s="151">
        <f t="shared" si="40"/>
        <v>2024</v>
      </c>
      <c r="L72" s="151">
        <f t="shared" si="40"/>
        <v>2025</v>
      </c>
      <c r="M72" s="151">
        <f t="shared" si="40"/>
        <v>2026</v>
      </c>
      <c r="N72" s="151">
        <f t="shared" si="40"/>
        <v>2027</v>
      </c>
      <c r="O72" s="151">
        <f t="shared" si="40"/>
        <v>2028</v>
      </c>
      <c r="P72" s="151">
        <f t="shared" si="40"/>
        <v>2029</v>
      </c>
      <c r="Q72" s="151">
        <f t="shared" si="40"/>
        <v>2030</v>
      </c>
      <c r="R72" s="151">
        <f t="shared" si="40"/>
        <v>2031</v>
      </c>
      <c r="S72" s="151">
        <f t="shared" si="40"/>
        <v>2032</v>
      </c>
      <c r="T72" s="151">
        <f t="shared" si="40"/>
        <v>2033</v>
      </c>
      <c r="U72" s="151">
        <f t="shared" si="40"/>
        <v>2034</v>
      </c>
      <c r="V72" s="151">
        <f t="shared" si="40"/>
        <v>2035</v>
      </c>
      <c r="W72" s="151">
        <f t="shared" si="40"/>
        <v>2036</v>
      </c>
      <c r="X72" s="151">
        <f t="shared" si="40"/>
        <v>2037</v>
      </c>
      <c r="Y72" s="151">
        <f t="shared" si="40"/>
        <v>2038</v>
      </c>
      <c r="Z72" s="151">
        <f t="shared" si="40"/>
        <v>2039</v>
      </c>
      <c r="AA72" s="151">
        <f t="shared" si="40"/>
        <v>2040</v>
      </c>
      <c r="AB72" s="15"/>
    </row>
    <row r="73" spans="2:28" s="7" customFormat="1" x14ac:dyDescent="0.2">
      <c r="B73" s="55" t="s">
        <v>57</v>
      </c>
      <c r="C73" s="55" t="s">
        <v>65</v>
      </c>
      <c r="D73" s="158">
        <v>160</v>
      </c>
      <c r="E73" s="9">
        <f t="shared" ref="E73:O74" si="41">D73</f>
        <v>160</v>
      </c>
      <c r="F73" s="9">
        <f t="shared" si="41"/>
        <v>160</v>
      </c>
      <c r="G73" s="9">
        <f t="shared" si="41"/>
        <v>160</v>
      </c>
      <c r="H73" s="9">
        <f t="shared" si="41"/>
        <v>160</v>
      </c>
      <c r="I73" s="9">
        <f t="shared" si="41"/>
        <v>160</v>
      </c>
      <c r="J73" s="9">
        <f t="shared" si="41"/>
        <v>160</v>
      </c>
      <c r="K73" s="9">
        <f t="shared" si="41"/>
        <v>160</v>
      </c>
      <c r="L73" s="9">
        <f t="shared" si="41"/>
        <v>160</v>
      </c>
      <c r="M73" s="9">
        <f t="shared" si="41"/>
        <v>160</v>
      </c>
      <c r="N73" s="9">
        <f t="shared" si="41"/>
        <v>160</v>
      </c>
      <c r="O73" s="9"/>
      <c r="P73" s="9"/>
      <c r="Q73" s="9"/>
      <c r="R73" s="9"/>
      <c r="S73" s="9"/>
      <c r="T73" s="9"/>
      <c r="U73" s="9"/>
      <c r="V73" s="9"/>
      <c r="W73" s="9"/>
      <c r="X73" s="9"/>
      <c r="Y73" s="9"/>
      <c r="Z73" s="9"/>
      <c r="AA73" s="9"/>
      <c r="AB73" s="10"/>
    </row>
    <row r="74" spans="2:28" s="7" customFormat="1" x14ac:dyDescent="0.2">
      <c r="B74" s="55" t="s">
        <v>58</v>
      </c>
      <c r="C74" s="55" t="s">
        <v>66</v>
      </c>
      <c r="D74" s="158">
        <v>165.6</v>
      </c>
      <c r="E74" s="9">
        <f t="shared" si="41"/>
        <v>165.6</v>
      </c>
      <c r="F74" s="9">
        <f t="shared" si="41"/>
        <v>165.6</v>
      </c>
      <c r="G74" s="9">
        <f t="shared" si="41"/>
        <v>165.6</v>
      </c>
      <c r="H74" s="9">
        <f t="shared" si="41"/>
        <v>165.6</v>
      </c>
      <c r="I74" s="9">
        <f t="shared" si="41"/>
        <v>165.6</v>
      </c>
      <c r="J74" s="9">
        <f t="shared" si="41"/>
        <v>165.6</v>
      </c>
      <c r="K74" s="9">
        <f t="shared" si="41"/>
        <v>165.6</v>
      </c>
      <c r="L74" s="9">
        <f t="shared" si="41"/>
        <v>165.6</v>
      </c>
      <c r="M74" s="9">
        <f t="shared" si="41"/>
        <v>165.6</v>
      </c>
      <c r="N74" s="9">
        <f t="shared" si="41"/>
        <v>165.6</v>
      </c>
      <c r="O74" s="9">
        <f t="shared" si="41"/>
        <v>165.6</v>
      </c>
      <c r="P74" s="9"/>
      <c r="Q74" s="9"/>
      <c r="R74" s="9"/>
      <c r="S74" s="9"/>
      <c r="T74" s="9"/>
      <c r="U74" s="9"/>
      <c r="V74" s="9"/>
      <c r="W74" s="9"/>
      <c r="X74" s="9"/>
      <c r="Y74" s="9"/>
      <c r="Z74" s="9"/>
      <c r="AA74" s="9"/>
      <c r="AB74" s="10"/>
    </row>
    <row r="75" spans="2:28" s="7" customFormat="1" x14ac:dyDescent="0.2">
      <c r="B75" s="55" t="s">
        <v>59</v>
      </c>
      <c r="C75" s="55" t="s">
        <v>65</v>
      </c>
      <c r="D75" s="158">
        <v>209.3</v>
      </c>
      <c r="E75" s="9">
        <f t="shared" ref="E75:P79" si="42">D75</f>
        <v>209.3</v>
      </c>
      <c r="F75" s="9">
        <f t="shared" si="42"/>
        <v>209.3</v>
      </c>
      <c r="G75" s="9">
        <f t="shared" si="42"/>
        <v>209.3</v>
      </c>
      <c r="H75" s="9">
        <f t="shared" si="42"/>
        <v>209.3</v>
      </c>
      <c r="I75" s="9">
        <f t="shared" si="42"/>
        <v>209.3</v>
      </c>
      <c r="J75" s="9">
        <f t="shared" si="42"/>
        <v>209.3</v>
      </c>
      <c r="K75" s="9">
        <f t="shared" si="42"/>
        <v>209.3</v>
      </c>
      <c r="L75" s="9">
        <f t="shared" si="42"/>
        <v>209.3</v>
      </c>
      <c r="M75" s="9">
        <f t="shared" si="42"/>
        <v>209.3</v>
      </c>
      <c r="N75" s="9">
        <f t="shared" si="42"/>
        <v>209.3</v>
      </c>
      <c r="O75" s="9">
        <f t="shared" si="42"/>
        <v>209.3</v>
      </c>
      <c r="P75" s="9">
        <f t="shared" si="42"/>
        <v>209.3</v>
      </c>
      <c r="Q75" s="9">
        <f t="shared" ref="O75:AA84" si="43">P75</f>
        <v>209.3</v>
      </c>
      <c r="R75" s="9">
        <f t="shared" si="43"/>
        <v>209.3</v>
      </c>
      <c r="S75" s="9">
        <f t="shared" si="43"/>
        <v>209.3</v>
      </c>
      <c r="T75" s="9">
        <f t="shared" si="43"/>
        <v>209.3</v>
      </c>
      <c r="U75" s="9">
        <f t="shared" si="43"/>
        <v>209.3</v>
      </c>
      <c r="V75" s="9"/>
      <c r="W75" s="9"/>
      <c r="X75" s="9"/>
      <c r="Y75" s="9"/>
      <c r="Z75" s="9"/>
      <c r="AA75" s="9"/>
      <c r="AB75" s="10"/>
    </row>
    <row r="76" spans="2:28" s="7" customFormat="1" x14ac:dyDescent="0.2">
      <c r="B76" s="55" t="s">
        <v>60</v>
      </c>
      <c r="C76" s="55" t="s">
        <v>66</v>
      </c>
      <c r="D76" s="158">
        <v>207</v>
      </c>
      <c r="E76" s="9">
        <f t="shared" si="42"/>
        <v>207</v>
      </c>
      <c r="F76" s="9">
        <f t="shared" si="42"/>
        <v>207</v>
      </c>
      <c r="G76" s="9">
        <f t="shared" si="42"/>
        <v>207</v>
      </c>
      <c r="H76" s="9">
        <f t="shared" si="42"/>
        <v>207</v>
      </c>
      <c r="I76" s="9">
        <f t="shared" si="42"/>
        <v>207</v>
      </c>
      <c r="J76" s="9">
        <f t="shared" si="42"/>
        <v>207</v>
      </c>
      <c r="K76" s="9">
        <f t="shared" si="42"/>
        <v>207</v>
      </c>
      <c r="L76" s="9">
        <f t="shared" si="42"/>
        <v>207</v>
      </c>
      <c r="M76" s="9">
        <f t="shared" si="42"/>
        <v>207</v>
      </c>
      <c r="N76" s="9">
        <f t="shared" si="42"/>
        <v>207</v>
      </c>
      <c r="O76" s="9">
        <f t="shared" si="42"/>
        <v>207</v>
      </c>
      <c r="P76" s="9">
        <f t="shared" si="42"/>
        <v>207</v>
      </c>
      <c r="Q76" s="9">
        <f t="shared" si="43"/>
        <v>207</v>
      </c>
      <c r="R76" s="9">
        <f t="shared" si="43"/>
        <v>207</v>
      </c>
      <c r="S76" s="9">
        <f t="shared" si="43"/>
        <v>207</v>
      </c>
      <c r="T76" s="9">
        <f t="shared" si="43"/>
        <v>207</v>
      </c>
      <c r="U76" s="9">
        <f t="shared" si="43"/>
        <v>207</v>
      </c>
      <c r="V76" s="9">
        <f t="shared" si="43"/>
        <v>207</v>
      </c>
      <c r="W76" s="9"/>
      <c r="X76" s="9"/>
      <c r="Y76" s="9"/>
      <c r="Z76" s="9"/>
      <c r="AA76" s="9"/>
      <c r="AB76" s="10"/>
    </row>
    <row r="77" spans="2:28" s="7" customFormat="1" x14ac:dyDescent="0.2">
      <c r="B77" s="55" t="s">
        <v>61</v>
      </c>
      <c r="C77" s="55" t="s">
        <v>65</v>
      </c>
      <c r="D77" s="158">
        <v>399.6</v>
      </c>
      <c r="E77" s="9">
        <f t="shared" si="42"/>
        <v>399.6</v>
      </c>
      <c r="F77" s="9">
        <f t="shared" si="42"/>
        <v>399.6</v>
      </c>
      <c r="G77" s="9">
        <f t="shared" si="42"/>
        <v>399.6</v>
      </c>
      <c r="H77" s="9">
        <f t="shared" si="42"/>
        <v>399.6</v>
      </c>
      <c r="I77" s="9">
        <f t="shared" si="42"/>
        <v>399.6</v>
      </c>
      <c r="J77" s="9">
        <f t="shared" si="42"/>
        <v>399.6</v>
      </c>
      <c r="K77" s="9">
        <f t="shared" si="42"/>
        <v>399.6</v>
      </c>
      <c r="L77" s="9">
        <f t="shared" si="42"/>
        <v>399.6</v>
      </c>
      <c r="M77" s="9">
        <f t="shared" si="42"/>
        <v>399.6</v>
      </c>
      <c r="N77" s="9">
        <f t="shared" si="42"/>
        <v>399.6</v>
      </c>
      <c r="O77" s="9">
        <f t="shared" si="42"/>
        <v>399.6</v>
      </c>
      <c r="P77" s="9">
        <f t="shared" si="42"/>
        <v>399.6</v>
      </c>
      <c r="Q77" s="9">
        <f t="shared" si="43"/>
        <v>399.6</v>
      </c>
      <c r="R77" s="9">
        <f t="shared" si="43"/>
        <v>399.6</v>
      </c>
      <c r="S77" s="9">
        <f t="shared" si="43"/>
        <v>399.6</v>
      </c>
      <c r="T77" s="9">
        <f t="shared" si="43"/>
        <v>399.6</v>
      </c>
      <c r="U77" s="9">
        <f t="shared" si="43"/>
        <v>399.6</v>
      </c>
      <c r="V77" s="9">
        <f t="shared" si="43"/>
        <v>399.6</v>
      </c>
      <c r="W77" s="9">
        <f t="shared" si="43"/>
        <v>399.6</v>
      </c>
      <c r="X77" s="9">
        <f t="shared" si="43"/>
        <v>399.6</v>
      </c>
      <c r="Y77" s="9">
        <f t="shared" si="43"/>
        <v>399.6</v>
      </c>
      <c r="Z77" s="9"/>
      <c r="AA77" s="9"/>
      <c r="AB77" s="10"/>
    </row>
    <row r="78" spans="2:28" s="7" customFormat="1" x14ac:dyDescent="0.2">
      <c r="B78" s="55" t="s">
        <v>62</v>
      </c>
      <c r="C78" s="55" t="s">
        <v>65</v>
      </c>
      <c r="D78" s="9"/>
      <c r="E78" s="166"/>
      <c r="F78" s="158">
        <v>406.7</v>
      </c>
      <c r="G78" s="166">
        <f>F78</f>
        <v>406.7</v>
      </c>
      <c r="H78" s="9">
        <f t="shared" si="42"/>
        <v>406.7</v>
      </c>
      <c r="I78" s="9">
        <f t="shared" si="42"/>
        <v>406.7</v>
      </c>
      <c r="J78" s="9">
        <f t="shared" si="42"/>
        <v>406.7</v>
      </c>
      <c r="K78" s="9">
        <f>J78</f>
        <v>406.7</v>
      </c>
      <c r="L78" s="9">
        <f t="shared" si="42"/>
        <v>406.7</v>
      </c>
      <c r="M78" s="9">
        <f>L78</f>
        <v>406.7</v>
      </c>
      <c r="N78" s="9">
        <f t="shared" si="42"/>
        <v>406.7</v>
      </c>
      <c r="O78" s="9">
        <f t="shared" si="42"/>
        <v>406.7</v>
      </c>
      <c r="P78" s="9">
        <f t="shared" si="42"/>
        <v>406.7</v>
      </c>
      <c r="Q78" s="9">
        <f t="shared" si="43"/>
        <v>406.7</v>
      </c>
      <c r="R78" s="9">
        <f t="shared" si="43"/>
        <v>406.7</v>
      </c>
      <c r="S78" s="9">
        <f t="shared" si="43"/>
        <v>406.7</v>
      </c>
      <c r="T78" s="9">
        <f t="shared" si="43"/>
        <v>406.7</v>
      </c>
      <c r="U78" s="9">
        <f t="shared" si="43"/>
        <v>406.7</v>
      </c>
      <c r="V78" s="9">
        <f t="shared" si="43"/>
        <v>406.7</v>
      </c>
      <c r="W78" s="9">
        <f>V78</f>
        <v>406.7</v>
      </c>
      <c r="X78" s="9">
        <f t="shared" si="43"/>
        <v>406.7</v>
      </c>
      <c r="Y78" s="9">
        <f t="shared" si="43"/>
        <v>406.7</v>
      </c>
      <c r="Z78" s="9">
        <f t="shared" si="43"/>
        <v>406.7</v>
      </c>
      <c r="AA78" s="9">
        <f t="shared" si="43"/>
        <v>406.7</v>
      </c>
      <c r="AB78" s="10"/>
    </row>
    <row r="79" spans="2:28" s="7" customFormat="1" x14ac:dyDescent="0.2">
      <c r="B79" s="5" t="s">
        <v>67</v>
      </c>
      <c r="C79" s="5" t="s">
        <v>66</v>
      </c>
      <c r="D79" s="9"/>
      <c r="E79" s="9"/>
      <c r="F79" s="9"/>
      <c r="G79" s="166"/>
      <c r="H79" s="166"/>
      <c r="I79" s="158">
        <v>600</v>
      </c>
      <c r="J79" s="9">
        <f t="shared" si="42"/>
        <v>600</v>
      </c>
      <c r="K79" s="9">
        <f t="shared" si="42"/>
        <v>600</v>
      </c>
      <c r="L79" s="9">
        <f t="shared" si="42"/>
        <v>600</v>
      </c>
      <c r="M79" s="9">
        <f t="shared" si="42"/>
        <v>600</v>
      </c>
      <c r="N79" s="9">
        <f t="shared" si="42"/>
        <v>600</v>
      </c>
      <c r="O79" s="9">
        <f t="shared" si="42"/>
        <v>600</v>
      </c>
      <c r="P79" s="9">
        <f t="shared" si="42"/>
        <v>600</v>
      </c>
      <c r="Q79" s="9">
        <f t="shared" si="43"/>
        <v>600</v>
      </c>
      <c r="R79" s="9">
        <f t="shared" si="43"/>
        <v>600</v>
      </c>
      <c r="S79" s="9">
        <f t="shared" si="43"/>
        <v>600</v>
      </c>
      <c r="T79" s="9">
        <f t="shared" si="43"/>
        <v>600</v>
      </c>
      <c r="U79" s="9">
        <f t="shared" si="43"/>
        <v>600</v>
      </c>
      <c r="V79" s="9">
        <f t="shared" si="43"/>
        <v>600</v>
      </c>
      <c r="W79" s="9">
        <f t="shared" si="43"/>
        <v>600</v>
      </c>
      <c r="X79" s="9">
        <f t="shared" si="43"/>
        <v>600</v>
      </c>
      <c r="Y79" s="9">
        <f t="shared" si="43"/>
        <v>600</v>
      </c>
      <c r="Z79" s="9">
        <f t="shared" si="43"/>
        <v>600</v>
      </c>
      <c r="AA79" s="9">
        <f t="shared" si="43"/>
        <v>600</v>
      </c>
      <c r="AB79" s="10"/>
    </row>
    <row r="80" spans="2:28" s="7" customFormat="1" x14ac:dyDescent="0.2">
      <c r="B80" s="55" t="s">
        <v>476</v>
      </c>
      <c r="C80" s="55" t="s">
        <v>65</v>
      </c>
      <c r="D80" s="9"/>
      <c r="E80" s="9"/>
      <c r="F80" s="9"/>
      <c r="G80" s="9"/>
      <c r="H80" s="9"/>
      <c r="I80" s="9"/>
      <c r="J80" s="9"/>
      <c r="K80" s="9"/>
      <c r="L80" s="9"/>
      <c r="M80" s="159">
        <v>300</v>
      </c>
      <c r="N80" s="158">
        <v>600</v>
      </c>
      <c r="O80" s="9">
        <f t="shared" si="43"/>
        <v>600</v>
      </c>
      <c r="P80" s="9">
        <f t="shared" si="43"/>
        <v>600</v>
      </c>
      <c r="Q80" s="9">
        <f t="shared" si="43"/>
        <v>600</v>
      </c>
      <c r="R80" s="9">
        <f t="shared" si="43"/>
        <v>600</v>
      </c>
      <c r="S80" s="9">
        <f t="shared" si="43"/>
        <v>600</v>
      </c>
      <c r="T80" s="9">
        <f t="shared" si="43"/>
        <v>600</v>
      </c>
      <c r="U80" s="9">
        <f t="shared" si="43"/>
        <v>600</v>
      </c>
      <c r="V80" s="9">
        <f t="shared" si="43"/>
        <v>600</v>
      </c>
      <c r="W80" s="9">
        <f t="shared" si="43"/>
        <v>600</v>
      </c>
      <c r="X80" s="9">
        <f t="shared" si="43"/>
        <v>600</v>
      </c>
      <c r="Y80" s="9">
        <f t="shared" si="43"/>
        <v>600</v>
      </c>
      <c r="Z80" s="9">
        <f t="shared" si="43"/>
        <v>600</v>
      </c>
      <c r="AA80" s="9">
        <f t="shared" si="43"/>
        <v>600</v>
      </c>
      <c r="AB80" s="10"/>
    </row>
    <row r="81" spans="2:28" s="7" customFormat="1" x14ac:dyDescent="0.2">
      <c r="B81" s="5" t="s">
        <v>375</v>
      </c>
      <c r="C81" s="5" t="s">
        <v>65</v>
      </c>
      <c r="D81" s="9"/>
      <c r="E81" s="9"/>
      <c r="F81" s="9"/>
      <c r="G81" s="9"/>
      <c r="H81" s="9"/>
      <c r="I81" s="9"/>
      <c r="J81" s="9"/>
      <c r="K81" s="157"/>
      <c r="L81" s="157"/>
      <c r="M81" s="157"/>
      <c r="N81" s="157"/>
      <c r="O81" s="157"/>
      <c r="P81" s="159">
        <v>300</v>
      </c>
      <c r="Q81" s="158">
        <v>600</v>
      </c>
      <c r="R81" s="9">
        <f t="shared" si="43"/>
        <v>600</v>
      </c>
      <c r="S81" s="157">
        <f t="shared" si="43"/>
        <v>600</v>
      </c>
      <c r="T81" s="157">
        <f t="shared" si="43"/>
        <v>600</v>
      </c>
      <c r="U81" s="157">
        <f t="shared" si="43"/>
        <v>600</v>
      </c>
      <c r="V81" s="157">
        <f t="shared" si="43"/>
        <v>600</v>
      </c>
      <c r="W81" s="157">
        <f t="shared" si="43"/>
        <v>600</v>
      </c>
      <c r="X81" s="157">
        <f t="shared" si="43"/>
        <v>600</v>
      </c>
      <c r="Y81" s="157">
        <f t="shared" si="43"/>
        <v>600</v>
      </c>
      <c r="Z81" s="157">
        <f t="shared" si="43"/>
        <v>600</v>
      </c>
      <c r="AA81" s="157">
        <f t="shared" si="43"/>
        <v>600</v>
      </c>
      <c r="AB81" s="10"/>
    </row>
    <row r="82" spans="2:28" s="7" customFormat="1" x14ac:dyDescent="0.2">
      <c r="B82" s="5" t="s">
        <v>477</v>
      </c>
      <c r="C82" s="5" t="s">
        <v>65</v>
      </c>
      <c r="D82" s="9"/>
      <c r="E82" s="9"/>
      <c r="F82" s="9"/>
      <c r="G82" s="9"/>
      <c r="H82" s="9"/>
      <c r="I82" s="9"/>
      <c r="J82" s="9"/>
      <c r="K82" s="9"/>
      <c r="L82" s="9"/>
      <c r="M82" s="9"/>
      <c r="N82" s="38"/>
      <c r="O82" s="38"/>
      <c r="P82" s="9"/>
      <c r="Q82" s="38"/>
      <c r="R82" s="9"/>
      <c r="S82" s="159">
        <v>300</v>
      </c>
      <c r="T82" s="158">
        <v>600</v>
      </c>
      <c r="U82" s="9">
        <f t="shared" si="43"/>
        <v>600</v>
      </c>
      <c r="V82" s="157">
        <f t="shared" si="43"/>
        <v>600</v>
      </c>
      <c r="W82" s="157">
        <f t="shared" si="43"/>
        <v>600</v>
      </c>
      <c r="X82" s="157">
        <f t="shared" si="43"/>
        <v>600</v>
      </c>
      <c r="Y82" s="157">
        <f t="shared" si="43"/>
        <v>600</v>
      </c>
      <c r="Z82" s="157">
        <f t="shared" si="43"/>
        <v>600</v>
      </c>
      <c r="AA82" s="157">
        <f t="shared" si="43"/>
        <v>600</v>
      </c>
      <c r="AB82" s="10"/>
    </row>
    <row r="83" spans="2:28" s="7" customFormat="1" x14ac:dyDescent="0.2">
      <c r="B83" s="5" t="s">
        <v>478</v>
      </c>
      <c r="C83" s="5" t="s">
        <v>66</v>
      </c>
      <c r="D83" s="9"/>
      <c r="E83" s="9"/>
      <c r="F83" s="9"/>
      <c r="G83" s="9"/>
      <c r="H83" s="9"/>
      <c r="I83" s="9"/>
      <c r="J83" s="9"/>
      <c r="K83" s="9"/>
      <c r="L83" s="157"/>
      <c r="M83" s="157"/>
      <c r="N83" s="157"/>
      <c r="O83" s="157"/>
      <c r="P83" s="157"/>
      <c r="Q83" s="157"/>
      <c r="R83" s="157"/>
      <c r="S83" s="157"/>
      <c r="T83" s="157"/>
      <c r="U83" s="157"/>
      <c r="V83" s="159">
        <v>300</v>
      </c>
      <c r="W83" s="158">
        <v>600</v>
      </c>
      <c r="X83" s="157">
        <f t="shared" si="43"/>
        <v>600</v>
      </c>
      <c r="Y83" s="157">
        <f t="shared" si="43"/>
        <v>600</v>
      </c>
      <c r="Z83" s="157">
        <f t="shared" si="43"/>
        <v>600</v>
      </c>
      <c r="AA83" s="157">
        <f t="shared" si="43"/>
        <v>600</v>
      </c>
      <c r="AB83" s="10"/>
    </row>
    <row r="84" spans="2:28" s="7" customFormat="1" x14ac:dyDescent="0.2">
      <c r="B84" s="5" t="s">
        <v>375</v>
      </c>
      <c r="C84" s="5" t="s">
        <v>65</v>
      </c>
      <c r="D84" s="9"/>
      <c r="E84" s="9"/>
      <c r="F84" s="9"/>
      <c r="G84" s="9"/>
      <c r="H84" s="9"/>
      <c r="I84" s="9"/>
      <c r="J84" s="9"/>
      <c r="K84" s="9"/>
      <c r="L84" s="157"/>
      <c r="M84" s="157"/>
      <c r="N84" s="157"/>
      <c r="O84" s="157"/>
      <c r="P84" s="157"/>
      <c r="Q84" s="157"/>
      <c r="R84" s="157"/>
      <c r="S84" s="157"/>
      <c r="T84" s="157"/>
      <c r="U84" s="157"/>
      <c r="V84" s="157"/>
      <c r="W84" s="157"/>
      <c r="X84" s="157"/>
      <c r="Y84" s="159">
        <v>300</v>
      </c>
      <c r="Z84" s="158">
        <v>600</v>
      </c>
      <c r="AA84" s="157">
        <f t="shared" si="43"/>
        <v>600</v>
      </c>
      <c r="AB84" s="10"/>
    </row>
    <row r="85" spans="2:28" s="7" customFormat="1" x14ac:dyDescent="0.2">
      <c r="B85" s="5"/>
      <c r="C85" s="5"/>
      <c r="D85" s="9"/>
      <c r="E85" s="9"/>
      <c r="F85" s="9"/>
      <c r="G85" s="9"/>
      <c r="H85" s="9"/>
      <c r="I85" s="9"/>
      <c r="J85" s="9"/>
      <c r="K85" s="9"/>
      <c r="L85" s="157"/>
      <c r="M85" s="157"/>
      <c r="N85" s="157"/>
      <c r="O85" s="157"/>
      <c r="P85" s="157"/>
      <c r="Q85" s="157"/>
      <c r="R85" s="157"/>
      <c r="S85" s="157"/>
      <c r="T85" s="157"/>
      <c r="U85" s="157"/>
      <c r="V85" s="157"/>
      <c r="W85" s="157"/>
      <c r="X85" s="157"/>
      <c r="Y85" s="159"/>
      <c r="Z85" s="158"/>
      <c r="AA85" s="157"/>
      <c r="AB85" s="10"/>
    </row>
    <row r="86" spans="2:28" s="7" customFormat="1" x14ac:dyDescent="0.2">
      <c r="B86" s="175" t="s">
        <v>200</v>
      </c>
      <c r="C86" s="175"/>
      <c r="D86" s="167">
        <f t="shared" ref="D86:AA86" si="44">SUMIF($C$73:$C$84,"DK2",D$73:D$84)</f>
        <v>372.6</v>
      </c>
      <c r="E86" s="167">
        <f t="shared" si="44"/>
        <v>372.6</v>
      </c>
      <c r="F86" s="167">
        <f t="shared" si="44"/>
        <v>372.6</v>
      </c>
      <c r="G86" s="167">
        <f t="shared" si="44"/>
        <v>372.6</v>
      </c>
      <c r="H86" s="167">
        <f t="shared" si="44"/>
        <v>372.6</v>
      </c>
      <c r="I86" s="167">
        <f t="shared" si="44"/>
        <v>972.6</v>
      </c>
      <c r="J86" s="167">
        <f t="shared" si="44"/>
        <v>972.6</v>
      </c>
      <c r="K86" s="167">
        <f t="shared" si="44"/>
        <v>972.6</v>
      </c>
      <c r="L86" s="167">
        <f t="shared" si="44"/>
        <v>972.6</v>
      </c>
      <c r="M86" s="167">
        <f t="shared" si="44"/>
        <v>972.6</v>
      </c>
      <c r="N86" s="167">
        <f t="shared" si="44"/>
        <v>972.6</v>
      </c>
      <c r="O86" s="167">
        <f t="shared" si="44"/>
        <v>972.6</v>
      </c>
      <c r="P86" s="167">
        <f t="shared" si="44"/>
        <v>807</v>
      </c>
      <c r="Q86" s="167">
        <f t="shared" si="44"/>
        <v>807</v>
      </c>
      <c r="R86" s="167">
        <f t="shared" si="44"/>
        <v>807</v>
      </c>
      <c r="S86" s="167">
        <f t="shared" si="44"/>
        <v>807</v>
      </c>
      <c r="T86" s="167">
        <f t="shared" si="44"/>
        <v>807</v>
      </c>
      <c r="U86" s="167">
        <f t="shared" si="44"/>
        <v>807</v>
      </c>
      <c r="V86" s="167">
        <f t="shared" si="44"/>
        <v>1107</v>
      </c>
      <c r="W86" s="167">
        <f t="shared" si="44"/>
        <v>1200</v>
      </c>
      <c r="X86" s="167">
        <f t="shared" si="44"/>
        <v>1200</v>
      </c>
      <c r="Y86" s="167">
        <f t="shared" si="44"/>
        <v>1200</v>
      </c>
      <c r="Z86" s="167">
        <f t="shared" si="44"/>
        <v>1200</v>
      </c>
      <c r="AA86" s="167">
        <f t="shared" si="44"/>
        <v>1200</v>
      </c>
      <c r="AB86" s="10"/>
    </row>
    <row r="87" spans="2:28" s="7" customFormat="1" x14ac:dyDescent="0.2">
      <c r="B87" s="175" t="s">
        <v>199</v>
      </c>
      <c r="C87" s="175"/>
      <c r="D87" s="167">
        <f t="shared" ref="D87:AA87" si="45">SUMIF($C$73:$C$84,"DK1",D$73:D$84)</f>
        <v>768.90000000000009</v>
      </c>
      <c r="E87" s="167">
        <f t="shared" si="45"/>
        <v>768.90000000000009</v>
      </c>
      <c r="F87" s="167">
        <f t="shared" si="45"/>
        <v>1175.6000000000001</v>
      </c>
      <c r="G87" s="167">
        <f t="shared" si="45"/>
        <v>1175.6000000000001</v>
      </c>
      <c r="H87" s="167">
        <f t="shared" si="45"/>
        <v>1175.6000000000001</v>
      </c>
      <c r="I87" s="167">
        <f t="shared" si="45"/>
        <v>1175.6000000000001</v>
      </c>
      <c r="J87" s="167">
        <f t="shared" si="45"/>
        <v>1175.6000000000001</v>
      </c>
      <c r="K87" s="167">
        <f t="shared" si="45"/>
        <v>1175.6000000000001</v>
      </c>
      <c r="L87" s="167">
        <f t="shared" si="45"/>
        <v>1175.6000000000001</v>
      </c>
      <c r="M87" s="167">
        <f t="shared" si="45"/>
        <v>1475.6000000000001</v>
      </c>
      <c r="N87" s="167">
        <f t="shared" si="45"/>
        <v>1775.6000000000001</v>
      </c>
      <c r="O87" s="167">
        <f t="shared" si="45"/>
        <v>1615.6000000000001</v>
      </c>
      <c r="P87" s="167">
        <f t="shared" si="45"/>
        <v>1915.6000000000001</v>
      </c>
      <c r="Q87" s="167">
        <f t="shared" si="45"/>
        <v>2215.6000000000004</v>
      </c>
      <c r="R87" s="167">
        <f t="shared" si="45"/>
        <v>2215.6000000000004</v>
      </c>
      <c r="S87" s="167">
        <f t="shared" si="45"/>
        <v>2515.6000000000004</v>
      </c>
      <c r="T87" s="167">
        <f t="shared" si="45"/>
        <v>2815.6000000000004</v>
      </c>
      <c r="U87" s="167">
        <f t="shared" si="45"/>
        <v>2815.6000000000004</v>
      </c>
      <c r="V87" s="167">
        <f t="shared" si="45"/>
        <v>2606.3000000000002</v>
      </c>
      <c r="W87" s="167">
        <f t="shared" si="45"/>
        <v>2606.3000000000002</v>
      </c>
      <c r="X87" s="167">
        <f t="shared" si="45"/>
        <v>2606.3000000000002</v>
      </c>
      <c r="Y87" s="167">
        <f t="shared" si="45"/>
        <v>2906.3</v>
      </c>
      <c r="Z87" s="167">
        <f t="shared" si="45"/>
        <v>2806.7</v>
      </c>
      <c r="AA87" s="167">
        <f t="shared" si="45"/>
        <v>2806.7</v>
      </c>
      <c r="AB87" s="10"/>
    </row>
    <row r="88" spans="2:28" s="7" customFormat="1" x14ac:dyDescent="0.2">
      <c r="B88" s="175"/>
      <c r="C88" s="175"/>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c r="AB88" s="10"/>
    </row>
    <row r="89" spans="2:28" s="37" customFormat="1" x14ac:dyDescent="0.2">
      <c r="B89" s="168" t="s">
        <v>198</v>
      </c>
      <c r="C89" s="168"/>
      <c r="D89" s="169">
        <f t="shared" ref="D89:AA89" si="46">D86+D87</f>
        <v>1141.5</v>
      </c>
      <c r="E89" s="169">
        <f t="shared" si="46"/>
        <v>1141.5</v>
      </c>
      <c r="F89" s="169">
        <f t="shared" si="46"/>
        <v>1548.2000000000003</v>
      </c>
      <c r="G89" s="169">
        <f t="shared" si="46"/>
        <v>1548.2000000000003</v>
      </c>
      <c r="H89" s="169">
        <f t="shared" si="46"/>
        <v>1548.2000000000003</v>
      </c>
      <c r="I89" s="169">
        <f t="shared" si="46"/>
        <v>2148.2000000000003</v>
      </c>
      <c r="J89" s="169">
        <f t="shared" si="46"/>
        <v>2148.2000000000003</v>
      </c>
      <c r="K89" s="169">
        <f t="shared" si="46"/>
        <v>2148.2000000000003</v>
      </c>
      <c r="L89" s="169">
        <f t="shared" si="46"/>
        <v>2148.2000000000003</v>
      </c>
      <c r="M89" s="169">
        <f t="shared" si="46"/>
        <v>2448.2000000000003</v>
      </c>
      <c r="N89" s="169">
        <f t="shared" si="46"/>
        <v>2748.2000000000003</v>
      </c>
      <c r="O89" s="169">
        <f t="shared" si="46"/>
        <v>2588.2000000000003</v>
      </c>
      <c r="P89" s="169">
        <f t="shared" si="46"/>
        <v>2722.6000000000004</v>
      </c>
      <c r="Q89" s="169">
        <f t="shared" si="46"/>
        <v>3022.6000000000004</v>
      </c>
      <c r="R89" s="169">
        <f t="shared" si="46"/>
        <v>3022.6000000000004</v>
      </c>
      <c r="S89" s="169">
        <f t="shared" si="46"/>
        <v>3322.6000000000004</v>
      </c>
      <c r="T89" s="169">
        <f t="shared" si="46"/>
        <v>3622.6000000000004</v>
      </c>
      <c r="U89" s="169">
        <f t="shared" si="46"/>
        <v>3622.6000000000004</v>
      </c>
      <c r="V89" s="169">
        <f t="shared" si="46"/>
        <v>3713.3</v>
      </c>
      <c r="W89" s="169">
        <f t="shared" si="46"/>
        <v>3806.3</v>
      </c>
      <c r="X89" s="169">
        <f t="shared" si="46"/>
        <v>3806.3</v>
      </c>
      <c r="Y89" s="169">
        <f t="shared" si="46"/>
        <v>4106.3</v>
      </c>
      <c r="Z89" s="169">
        <f t="shared" si="46"/>
        <v>4006.7</v>
      </c>
      <c r="AA89" s="169">
        <f t="shared" si="46"/>
        <v>4006.7</v>
      </c>
      <c r="AB89" s="39"/>
    </row>
    <row r="90" spans="2:28" s="16" customFormat="1" x14ac:dyDescent="0.2">
      <c r="B90" s="58" t="s">
        <v>479</v>
      </c>
      <c r="C90" s="58"/>
      <c r="D90" s="43"/>
      <c r="E90" s="43"/>
      <c r="F90" s="43"/>
      <c r="G90" s="43"/>
      <c r="H90" s="43"/>
      <c r="I90" s="43"/>
      <c r="J90" s="43"/>
      <c r="K90" s="43"/>
      <c r="L90" s="17"/>
      <c r="M90" s="17"/>
      <c r="N90" s="17"/>
      <c r="O90" s="17"/>
      <c r="P90" s="17"/>
      <c r="Q90" s="17"/>
      <c r="R90" s="17"/>
      <c r="S90" s="17"/>
      <c r="T90" s="17"/>
      <c r="U90" s="17"/>
      <c r="V90" s="17"/>
      <c r="W90" s="17"/>
      <c r="X90" s="17"/>
      <c r="Y90" s="17"/>
      <c r="Z90" s="17"/>
      <c r="AA90" s="17"/>
    </row>
    <row r="91" spans="2:28" s="16" customFormat="1" x14ac:dyDescent="0.2">
      <c r="D91" s="17"/>
      <c r="E91" s="17"/>
      <c r="F91" s="17"/>
      <c r="G91" s="17"/>
      <c r="H91" s="17"/>
      <c r="I91" s="17"/>
      <c r="J91" s="17"/>
      <c r="K91" s="17"/>
      <c r="L91" s="17"/>
      <c r="M91" s="17"/>
      <c r="N91" s="17"/>
      <c r="O91" s="17"/>
      <c r="P91" s="17"/>
      <c r="Q91" s="17"/>
      <c r="R91" s="17"/>
      <c r="S91" s="17"/>
      <c r="T91" s="17"/>
      <c r="U91" s="17"/>
      <c r="V91" s="17"/>
      <c r="W91" s="17"/>
      <c r="X91" s="17"/>
      <c r="Y91" s="17"/>
      <c r="Z91" s="17"/>
      <c r="AA91" s="17"/>
    </row>
    <row r="92" spans="2:28" s="16" customFormat="1" x14ac:dyDescent="0.2">
      <c r="D92" s="17"/>
      <c r="E92" s="17"/>
      <c r="F92" s="17"/>
      <c r="G92" s="17"/>
      <c r="H92" s="17"/>
      <c r="I92" s="17"/>
      <c r="J92" s="17"/>
      <c r="K92" s="17"/>
      <c r="L92" s="17"/>
      <c r="M92" s="17"/>
      <c r="N92" s="17"/>
      <c r="O92" s="17"/>
      <c r="P92" s="17"/>
      <c r="Q92" s="17"/>
      <c r="R92" s="17"/>
      <c r="S92" s="17"/>
      <c r="T92" s="17"/>
      <c r="U92" s="17"/>
      <c r="V92" s="17"/>
      <c r="W92" s="17"/>
      <c r="X92" s="17"/>
      <c r="Y92" s="17"/>
      <c r="Z92" s="17"/>
      <c r="AA92" s="17"/>
    </row>
    <row r="93" spans="2:28" s="70" customFormat="1" x14ac:dyDescent="0.2">
      <c r="B93" s="70" t="s">
        <v>480</v>
      </c>
    </row>
    <row r="94" spans="2:28" s="12" customFormat="1" x14ac:dyDescent="0.2"/>
    <row r="95" spans="2:28" s="37" customFormat="1" x14ac:dyDescent="0.2">
      <c r="B95" s="1" t="s">
        <v>481</v>
      </c>
      <c r="C95" s="1"/>
      <c r="D95" s="151">
        <f t="shared" ref="D95:AA95" si="47">D$6</f>
        <v>2017</v>
      </c>
      <c r="E95" s="151">
        <f t="shared" si="47"/>
        <v>2018</v>
      </c>
      <c r="F95" s="151">
        <f t="shared" si="47"/>
        <v>2019</v>
      </c>
      <c r="G95" s="151">
        <f t="shared" si="47"/>
        <v>2020</v>
      </c>
      <c r="H95" s="151">
        <f t="shared" si="47"/>
        <v>2021</v>
      </c>
      <c r="I95" s="151">
        <f t="shared" si="47"/>
        <v>2022</v>
      </c>
      <c r="J95" s="151">
        <f t="shared" si="47"/>
        <v>2023</v>
      </c>
      <c r="K95" s="151">
        <f t="shared" si="47"/>
        <v>2024</v>
      </c>
      <c r="L95" s="151">
        <f t="shared" si="47"/>
        <v>2025</v>
      </c>
      <c r="M95" s="151">
        <f t="shared" si="47"/>
        <v>2026</v>
      </c>
      <c r="N95" s="151">
        <f t="shared" si="47"/>
        <v>2027</v>
      </c>
      <c r="O95" s="151">
        <f t="shared" si="47"/>
        <v>2028</v>
      </c>
      <c r="P95" s="151">
        <f t="shared" si="47"/>
        <v>2029</v>
      </c>
      <c r="Q95" s="151">
        <f t="shared" si="47"/>
        <v>2030</v>
      </c>
      <c r="R95" s="151">
        <f t="shared" si="47"/>
        <v>2031</v>
      </c>
      <c r="S95" s="151">
        <f t="shared" si="47"/>
        <v>2032</v>
      </c>
      <c r="T95" s="151">
        <f t="shared" si="47"/>
        <v>2033</v>
      </c>
      <c r="U95" s="151">
        <f t="shared" si="47"/>
        <v>2034</v>
      </c>
      <c r="V95" s="151">
        <f t="shared" si="47"/>
        <v>2035</v>
      </c>
      <c r="W95" s="151">
        <f t="shared" si="47"/>
        <v>2036</v>
      </c>
      <c r="X95" s="151">
        <f t="shared" si="47"/>
        <v>2037</v>
      </c>
      <c r="Y95" s="151">
        <f t="shared" si="47"/>
        <v>2038</v>
      </c>
      <c r="Z95" s="151">
        <f t="shared" si="47"/>
        <v>2039</v>
      </c>
      <c r="AA95" s="151">
        <f t="shared" si="47"/>
        <v>2040</v>
      </c>
      <c r="AB95" s="39"/>
    </row>
    <row r="96" spans="2:28" s="37" customFormat="1" x14ac:dyDescent="0.2">
      <c r="B96" s="163" t="s">
        <v>192</v>
      </c>
      <c r="C96" s="174"/>
      <c r="D96" s="38"/>
      <c r="E96" s="38"/>
      <c r="F96" s="38"/>
      <c r="G96" s="38"/>
      <c r="H96" s="38"/>
      <c r="I96" s="38"/>
      <c r="J96" s="38"/>
      <c r="K96" s="38"/>
      <c r="L96" s="38"/>
      <c r="M96" s="38"/>
      <c r="N96" s="38"/>
      <c r="O96" s="38"/>
      <c r="P96" s="38"/>
      <c r="Q96" s="38"/>
      <c r="R96" s="38"/>
      <c r="S96" s="38"/>
      <c r="T96" s="38"/>
      <c r="U96" s="38"/>
      <c r="V96" s="38"/>
      <c r="W96" s="38"/>
      <c r="X96" s="38"/>
      <c r="Y96" s="38"/>
      <c r="Z96" s="38"/>
      <c r="AA96" s="38"/>
      <c r="AB96" s="39"/>
    </row>
    <row r="97" spans="2:28" s="37" customFormat="1" x14ac:dyDescent="0.2">
      <c r="B97" s="55" t="s">
        <v>378</v>
      </c>
      <c r="C97" s="55"/>
      <c r="D97" s="158">
        <v>1850</v>
      </c>
      <c r="E97" s="157">
        <f t="shared" ref="E97:Q100" si="48">D97</f>
        <v>1850</v>
      </c>
      <c r="F97" s="157">
        <f t="shared" si="48"/>
        <v>1850</v>
      </c>
      <c r="G97" s="157">
        <f t="shared" si="48"/>
        <v>1850</v>
      </c>
      <c r="H97" s="157">
        <f t="shared" si="48"/>
        <v>1850</v>
      </c>
      <c r="I97" s="157">
        <f t="shared" si="48"/>
        <v>1850</v>
      </c>
      <c r="J97" s="157">
        <f t="shared" si="48"/>
        <v>1850</v>
      </c>
      <c r="K97" s="157">
        <f t="shared" si="48"/>
        <v>1850</v>
      </c>
      <c r="L97" s="157">
        <f t="shared" si="48"/>
        <v>1850</v>
      </c>
      <c r="M97" s="157">
        <f t="shared" si="48"/>
        <v>1850</v>
      </c>
      <c r="N97" s="157">
        <f t="shared" si="48"/>
        <v>1850</v>
      </c>
      <c r="O97" s="157">
        <f t="shared" si="48"/>
        <v>1850</v>
      </c>
      <c r="P97" s="157">
        <f t="shared" si="48"/>
        <v>1850</v>
      </c>
      <c r="Q97" s="157">
        <f t="shared" si="48"/>
        <v>1850</v>
      </c>
      <c r="R97" s="157">
        <f t="shared" ref="R97:AA100" si="49">Q97</f>
        <v>1850</v>
      </c>
      <c r="S97" s="157">
        <f t="shared" si="49"/>
        <v>1850</v>
      </c>
      <c r="T97" s="157">
        <f t="shared" si="49"/>
        <v>1850</v>
      </c>
      <c r="U97" s="157">
        <f t="shared" si="49"/>
        <v>1850</v>
      </c>
      <c r="V97" s="157">
        <f t="shared" si="49"/>
        <v>1850</v>
      </c>
      <c r="W97" s="157">
        <f t="shared" si="49"/>
        <v>1850</v>
      </c>
      <c r="X97" s="157">
        <f t="shared" si="49"/>
        <v>1850</v>
      </c>
      <c r="Y97" s="157">
        <f t="shared" si="49"/>
        <v>1850</v>
      </c>
      <c r="Z97" s="157">
        <f t="shared" si="49"/>
        <v>1850</v>
      </c>
      <c r="AA97" s="157">
        <f t="shared" si="49"/>
        <v>1850</v>
      </c>
      <c r="AB97" s="39"/>
    </row>
    <row r="98" spans="2:28" s="37" customFormat="1" x14ac:dyDescent="0.2">
      <c r="B98" s="55" t="s">
        <v>342</v>
      </c>
      <c r="C98" s="55"/>
      <c r="D98" s="158">
        <v>2700</v>
      </c>
      <c r="E98" s="157">
        <f t="shared" si="48"/>
        <v>2700</v>
      </c>
      <c r="F98" s="157">
        <f t="shared" si="48"/>
        <v>2700</v>
      </c>
      <c r="G98" s="157">
        <f t="shared" si="48"/>
        <v>2700</v>
      </c>
      <c r="H98" s="157">
        <f t="shared" si="48"/>
        <v>2700</v>
      </c>
      <c r="I98" s="157">
        <f t="shared" si="48"/>
        <v>2700</v>
      </c>
      <c r="J98" s="157">
        <f t="shared" si="48"/>
        <v>2700</v>
      </c>
      <c r="K98" s="157">
        <f t="shared" si="48"/>
        <v>2700</v>
      </c>
      <c r="L98" s="157">
        <f t="shared" si="48"/>
        <v>2700</v>
      </c>
      <c r="M98" s="157">
        <f t="shared" si="48"/>
        <v>2700</v>
      </c>
      <c r="N98" s="157">
        <f t="shared" si="48"/>
        <v>2700</v>
      </c>
      <c r="O98" s="157">
        <f t="shared" si="48"/>
        <v>2700</v>
      </c>
      <c r="P98" s="157">
        <f t="shared" si="48"/>
        <v>2700</v>
      </c>
      <c r="Q98" s="157">
        <f t="shared" si="48"/>
        <v>2700</v>
      </c>
      <c r="R98" s="157">
        <f t="shared" si="49"/>
        <v>2700</v>
      </c>
      <c r="S98" s="157">
        <f t="shared" si="49"/>
        <v>2700</v>
      </c>
      <c r="T98" s="157">
        <f t="shared" si="49"/>
        <v>2700</v>
      </c>
      <c r="U98" s="157">
        <f t="shared" si="49"/>
        <v>2700</v>
      </c>
      <c r="V98" s="157">
        <f t="shared" si="49"/>
        <v>2700</v>
      </c>
      <c r="W98" s="157">
        <f t="shared" si="49"/>
        <v>2700</v>
      </c>
      <c r="X98" s="157">
        <f t="shared" si="49"/>
        <v>2700</v>
      </c>
      <c r="Y98" s="157">
        <f t="shared" si="49"/>
        <v>2700</v>
      </c>
      <c r="Z98" s="157">
        <f t="shared" si="49"/>
        <v>2700</v>
      </c>
      <c r="AA98" s="157">
        <f t="shared" si="49"/>
        <v>2700</v>
      </c>
      <c r="AB98" s="39"/>
    </row>
    <row r="99" spans="2:28" s="37" customFormat="1" x14ac:dyDescent="0.2">
      <c r="B99" s="55" t="s">
        <v>343</v>
      </c>
      <c r="C99" s="55"/>
      <c r="D99" s="158">
        <v>3000</v>
      </c>
      <c r="E99" s="157">
        <f t="shared" si="48"/>
        <v>3000</v>
      </c>
      <c r="F99" s="157">
        <f t="shared" si="48"/>
        <v>3000</v>
      </c>
      <c r="G99" s="157">
        <f t="shared" si="48"/>
        <v>3000</v>
      </c>
      <c r="H99" s="157">
        <f t="shared" si="48"/>
        <v>3000</v>
      </c>
      <c r="I99" s="157">
        <f t="shared" si="48"/>
        <v>3000</v>
      </c>
      <c r="J99" s="157">
        <f t="shared" si="48"/>
        <v>3000</v>
      </c>
      <c r="K99" s="157">
        <f t="shared" si="48"/>
        <v>3000</v>
      </c>
      <c r="L99" s="157">
        <f t="shared" si="48"/>
        <v>3000</v>
      </c>
      <c r="M99" s="157">
        <f t="shared" si="48"/>
        <v>3000</v>
      </c>
      <c r="N99" s="157">
        <f t="shared" si="48"/>
        <v>3000</v>
      </c>
      <c r="O99" s="157">
        <f t="shared" si="48"/>
        <v>3000</v>
      </c>
      <c r="P99" s="157">
        <f t="shared" si="48"/>
        <v>3000</v>
      </c>
      <c r="Q99" s="157">
        <f t="shared" si="48"/>
        <v>3000</v>
      </c>
      <c r="R99" s="157">
        <f t="shared" si="49"/>
        <v>3000</v>
      </c>
      <c r="S99" s="157">
        <f t="shared" si="49"/>
        <v>3000</v>
      </c>
      <c r="T99" s="157">
        <f t="shared" si="49"/>
        <v>3000</v>
      </c>
      <c r="U99" s="157">
        <f t="shared" si="49"/>
        <v>3000</v>
      </c>
      <c r="V99" s="157">
        <f t="shared" si="49"/>
        <v>3000</v>
      </c>
      <c r="W99" s="157">
        <f t="shared" si="49"/>
        <v>3000</v>
      </c>
      <c r="X99" s="157">
        <f t="shared" si="49"/>
        <v>3000</v>
      </c>
      <c r="Y99" s="157">
        <f t="shared" si="49"/>
        <v>3000</v>
      </c>
      <c r="Z99" s="157">
        <f t="shared" si="49"/>
        <v>3000</v>
      </c>
      <c r="AA99" s="157">
        <f t="shared" si="49"/>
        <v>3000</v>
      </c>
      <c r="AB99" s="39"/>
    </row>
    <row r="100" spans="2:28" s="37" customFormat="1" x14ac:dyDescent="0.2">
      <c r="B100" s="55" t="s">
        <v>344</v>
      </c>
      <c r="C100" s="55"/>
      <c r="D100" s="38"/>
      <c r="E100" s="38"/>
      <c r="F100" s="38"/>
      <c r="G100" s="158">
        <v>3150</v>
      </c>
      <c r="H100" s="157">
        <f t="shared" si="48"/>
        <v>3150</v>
      </c>
      <c r="I100" s="157">
        <f t="shared" si="48"/>
        <v>3150</v>
      </c>
      <c r="J100" s="157">
        <f t="shared" si="48"/>
        <v>3150</v>
      </c>
      <c r="K100" s="157">
        <f t="shared" si="48"/>
        <v>3150</v>
      </c>
      <c r="L100" s="157">
        <f t="shared" si="48"/>
        <v>3150</v>
      </c>
      <c r="M100" s="157">
        <f t="shared" si="48"/>
        <v>3150</v>
      </c>
      <c r="N100" s="157">
        <f t="shared" si="48"/>
        <v>3150</v>
      </c>
      <c r="O100" s="157">
        <f t="shared" si="48"/>
        <v>3150</v>
      </c>
      <c r="P100" s="157">
        <f t="shared" si="48"/>
        <v>3150</v>
      </c>
      <c r="Q100" s="157">
        <f t="shared" si="48"/>
        <v>3150</v>
      </c>
      <c r="R100" s="157">
        <f t="shared" si="49"/>
        <v>3150</v>
      </c>
      <c r="S100" s="157">
        <f t="shared" si="49"/>
        <v>3150</v>
      </c>
      <c r="T100" s="157">
        <f t="shared" si="49"/>
        <v>3150</v>
      </c>
      <c r="U100" s="157">
        <f t="shared" si="49"/>
        <v>3150</v>
      </c>
      <c r="V100" s="157">
        <f t="shared" si="49"/>
        <v>3150</v>
      </c>
      <c r="W100" s="157">
        <f t="shared" si="49"/>
        <v>3150</v>
      </c>
      <c r="X100" s="157">
        <f t="shared" si="49"/>
        <v>3150</v>
      </c>
      <c r="Y100" s="157">
        <f t="shared" si="49"/>
        <v>3150</v>
      </c>
      <c r="Z100" s="157">
        <f t="shared" si="49"/>
        <v>3150</v>
      </c>
      <c r="AA100" s="157">
        <f t="shared" si="49"/>
        <v>3150</v>
      </c>
      <c r="AB100" s="39"/>
    </row>
    <row r="101" spans="2:28" s="37" customFormat="1" x14ac:dyDescent="0.2">
      <c r="B101" s="55"/>
      <c r="C101" s="55"/>
      <c r="D101" s="38"/>
      <c r="E101" s="38"/>
      <c r="F101" s="38"/>
      <c r="G101" s="158"/>
      <c r="H101" s="157"/>
      <c r="I101" s="157"/>
      <c r="J101" s="157"/>
      <c r="K101" s="157"/>
      <c r="L101" s="157"/>
      <c r="M101" s="157"/>
      <c r="N101" s="157"/>
      <c r="O101" s="157"/>
      <c r="P101" s="157"/>
      <c r="Q101" s="157"/>
      <c r="R101" s="157"/>
      <c r="S101" s="157"/>
      <c r="T101" s="157"/>
      <c r="U101" s="157"/>
      <c r="V101" s="157"/>
      <c r="W101" s="157"/>
      <c r="X101" s="157"/>
      <c r="Y101" s="157"/>
      <c r="Z101" s="157"/>
      <c r="AA101" s="157"/>
      <c r="AB101" s="39"/>
    </row>
    <row r="102" spans="2:28" s="37" customFormat="1" x14ac:dyDescent="0.2">
      <c r="B102" s="163" t="s">
        <v>190</v>
      </c>
      <c r="C102" s="174"/>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row>
    <row r="103" spans="2:28" s="37" customFormat="1" x14ac:dyDescent="0.2">
      <c r="B103" s="55" t="s">
        <v>378</v>
      </c>
      <c r="C103" s="55"/>
      <c r="D103" s="158">
        <v>1950</v>
      </c>
      <c r="E103" s="157">
        <f t="shared" ref="E103:Q106" si="50">D103</f>
        <v>1950</v>
      </c>
      <c r="F103" s="157">
        <f t="shared" si="50"/>
        <v>1950</v>
      </c>
      <c r="G103" s="157">
        <f t="shared" si="50"/>
        <v>1950</v>
      </c>
      <c r="H103" s="157">
        <f t="shared" si="50"/>
        <v>1950</v>
      </c>
      <c r="I103" s="157">
        <f t="shared" si="50"/>
        <v>1950</v>
      </c>
      <c r="J103" s="157">
        <f t="shared" si="50"/>
        <v>1950</v>
      </c>
      <c r="K103" s="157">
        <f t="shared" si="50"/>
        <v>1950</v>
      </c>
      <c r="L103" s="157">
        <f t="shared" si="50"/>
        <v>1950</v>
      </c>
      <c r="M103" s="157">
        <f t="shared" si="50"/>
        <v>1950</v>
      </c>
      <c r="N103" s="157">
        <f t="shared" si="50"/>
        <v>1950</v>
      </c>
      <c r="O103" s="157">
        <f t="shared" si="50"/>
        <v>1950</v>
      </c>
      <c r="P103" s="157">
        <f t="shared" si="50"/>
        <v>1950</v>
      </c>
      <c r="Q103" s="157">
        <f t="shared" si="50"/>
        <v>1950</v>
      </c>
      <c r="R103" s="157">
        <f t="shared" ref="R103:AA106" si="51">Q103</f>
        <v>1950</v>
      </c>
      <c r="S103" s="157">
        <f t="shared" si="51"/>
        <v>1950</v>
      </c>
      <c r="T103" s="157">
        <f t="shared" si="51"/>
        <v>1950</v>
      </c>
      <c r="U103" s="157">
        <f t="shared" si="51"/>
        <v>1950</v>
      </c>
      <c r="V103" s="157">
        <f t="shared" si="51"/>
        <v>1950</v>
      </c>
      <c r="W103" s="157">
        <f t="shared" si="51"/>
        <v>1950</v>
      </c>
      <c r="X103" s="157">
        <f t="shared" si="51"/>
        <v>1950</v>
      </c>
      <c r="Y103" s="157">
        <f t="shared" si="51"/>
        <v>1950</v>
      </c>
      <c r="Z103" s="157">
        <f t="shared" si="51"/>
        <v>1950</v>
      </c>
      <c r="AA103" s="157">
        <f t="shared" si="51"/>
        <v>1950</v>
      </c>
      <c r="AB103" s="39"/>
    </row>
    <row r="104" spans="2:28" s="37" customFormat="1" x14ac:dyDescent="0.2">
      <c r="B104" s="55" t="s">
        <v>342</v>
      </c>
      <c r="C104" s="55"/>
      <c r="D104" s="158">
        <v>2950</v>
      </c>
      <c r="E104" s="157">
        <f t="shared" si="50"/>
        <v>2950</v>
      </c>
      <c r="F104" s="157">
        <f t="shared" si="50"/>
        <v>2950</v>
      </c>
      <c r="G104" s="157">
        <f t="shared" si="50"/>
        <v>2950</v>
      </c>
      <c r="H104" s="157">
        <f t="shared" si="50"/>
        <v>2950</v>
      </c>
      <c r="I104" s="157">
        <f t="shared" si="50"/>
        <v>2950</v>
      </c>
      <c r="J104" s="157">
        <f t="shared" si="50"/>
        <v>2950</v>
      </c>
      <c r="K104" s="157">
        <f t="shared" si="50"/>
        <v>2950</v>
      </c>
      <c r="L104" s="157">
        <f t="shared" si="50"/>
        <v>2950</v>
      </c>
      <c r="M104" s="157">
        <f t="shared" si="50"/>
        <v>2950</v>
      </c>
      <c r="N104" s="157">
        <f t="shared" si="50"/>
        <v>2950</v>
      </c>
      <c r="O104" s="157">
        <f t="shared" si="50"/>
        <v>2950</v>
      </c>
      <c r="P104" s="157">
        <f t="shared" si="50"/>
        <v>2950</v>
      </c>
      <c r="Q104" s="157">
        <f t="shared" si="50"/>
        <v>2950</v>
      </c>
      <c r="R104" s="157">
        <f t="shared" si="51"/>
        <v>2950</v>
      </c>
      <c r="S104" s="157">
        <f t="shared" si="51"/>
        <v>2950</v>
      </c>
      <c r="T104" s="157">
        <f t="shared" si="51"/>
        <v>2950</v>
      </c>
      <c r="U104" s="157">
        <f t="shared" si="51"/>
        <v>2950</v>
      </c>
      <c r="V104" s="157">
        <f t="shared" si="51"/>
        <v>2950</v>
      </c>
      <c r="W104" s="157">
        <f t="shared" si="51"/>
        <v>2950</v>
      </c>
      <c r="X104" s="157">
        <f t="shared" si="51"/>
        <v>2950</v>
      </c>
      <c r="Y104" s="157">
        <f t="shared" si="51"/>
        <v>2950</v>
      </c>
      <c r="Z104" s="157">
        <f t="shared" si="51"/>
        <v>2950</v>
      </c>
      <c r="AA104" s="157">
        <f t="shared" si="51"/>
        <v>2950</v>
      </c>
      <c r="AB104" s="39"/>
    </row>
    <row r="105" spans="2:28" s="37" customFormat="1" x14ac:dyDescent="0.2">
      <c r="B105" s="55" t="s">
        <v>343</v>
      </c>
      <c r="C105" s="55"/>
      <c r="D105" s="158">
        <v>3150</v>
      </c>
      <c r="E105" s="157">
        <f t="shared" si="50"/>
        <v>3150</v>
      </c>
      <c r="F105" s="157">
        <f t="shared" si="50"/>
        <v>3150</v>
      </c>
      <c r="G105" s="157">
        <f t="shared" si="50"/>
        <v>3150</v>
      </c>
      <c r="H105" s="157">
        <f t="shared" si="50"/>
        <v>3150</v>
      </c>
      <c r="I105" s="157">
        <f t="shared" si="50"/>
        <v>3150</v>
      </c>
      <c r="J105" s="157">
        <f t="shared" si="50"/>
        <v>3150</v>
      </c>
      <c r="K105" s="157">
        <f t="shared" si="50"/>
        <v>3150</v>
      </c>
      <c r="L105" s="157">
        <f t="shared" si="50"/>
        <v>3150</v>
      </c>
      <c r="M105" s="157">
        <f t="shared" si="50"/>
        <v>3150</v>
      </c>
      <c r="N105" s="157">
        <f t="shared" si="50"/>
        <v>3150</v>
      </c>
      <c r="O105" s="157">
        <f t="shared" si="50"/>
        <v>3150</v>
      </c>
      <c r="P105" s="157">
        <f t="shared" si="50"/>
        <v>3150</v>
      </c>
      <c r="Q105" s="157">
        <f t="shared" si="50"/>
        <v>3150</v>
      </c>
      <c r="R105" s="157">
        <f t="shared" si="51"/>
        <v>3150</v>
      </c>
      <c r="S105" s="157">
        <f t="shared" si="51"/>
        <v>3150</v>
      </c>
      <c r="T105" s="157">
        <f t="shared" si="51"/>
        <v>3150</v>
      </c>
      <c r="U105" s="157">
        <f t="shared" si="51"/>
        <v>3150</v>
      </c>
      <c r="V105" s="157">
        <f t="shared" si="51"/>
        <v>3150</v>
      </c>
      <c r="W105" s="157">
        <f t="shared" si="51"/>
        <v>3150</v>
      </c>
      <c r="X105" s="157">
        <f t="shared" si="51"/>
        <v>3150</v>
      </c>
      <c r="Y105" s="157">
        <f t="shared" si="51"/>
        <v>3150</v>
      </c>
      <c r="Z105" s="157">
        <f t="shared" si="51"/>
        <v>3150</v>
      </c>
      <c r="AA105" s="157">
        <f t="shared" si="51"/>
        <v>3150</v>
      </c>
      <c r="AB105" s="39"/>
    </row>
    <row r="106" spans="2:28" s="37" customFormat="1" x14ac:dyDescent="0.2">
      <c r="B106" s="55" t="s">
        <v>344</v>
      </c>
      <c r="C106" s="55"/>
      <c r="D106" s="38"/>
      <c r="E106" s="38"/>
      <c r="F106" s="38"/>
      <c r="G106" s="158">
        <v>3300</v>
      </c>
      <c r="H106" s="157">
        <f t="shared" si="50"/>
        <v>3300</v>
      </c>
      <c r="I106" s="157">
        <f t="shared" si="50"/>
        <v>3300</v>
      </c>
      <c r="J106" s="157">
        <f t="shared" si="50"/>
        <v>3300</v>
      </c>
      <c r="K106" s="157">
        <f t="shared" si="50"/>
        <v>3300</v>
      </c>
      <c r="L106" s="157">
        <f t="shared" si="50"/>
        <v>3300</v>
      </c>
      <c r="M106" s="157">
        <f t="shared" si="50"/>
        <v>3300</v>
      </c>
      <c r="N106" s="157">
        <f t="shared" si="50"/>
        <v>3300</v>
      </c>
      <c r="O106" s="157">
        <f t="shared" si="50"/>
        <v>3300</v>
      </c>
      <c r="P106" s="157">
        <f t="shared" si="50"/>
        <v>3300</v>
      </c>
      <c r="Q106" s="157">
        <f t="shared" si="50"/>
        <v>3300</v>
      </c>
      <c r="R106" s="157">
        <f t="shared" si="51"/>
        <v>3300</v>
      </c>
      <c r="S106" s="157">
        <f t="shared" si="51"/>
        <v>3300</v>
      </c>
      <c r="T106" s="157">
        <f t="shared" si="51"/>
        <v>3300</v>
      </c>
      <c r="U106" s="157">
        <f t="shared" si="51"/>
        <v>3300</v>
      </c>
      <c r="V106" s="157">
        <f t="shared" si="51"/>
        <v>3300</v>
      </c>
      <c r="W106" s="157">
        <f t="shared" si="51"/>
        <v>3300</v>
      </c>
      <c r="X106" s="157">
        <f t="shared" si="51"/>
        <v>3300</v>
      </c>
      <c r="Y106" s="157">
        <f t="shared" si="51"/>
        <v>3300</v>
      </c>
      <c r="Z106" s="157">
        <f t="shared" si="51"/>
        <v>3300</v>
      </c>
      <c r="AA106" s="157">
        <f t="shared" si="51"/>
        <v>3300</v>
      </c>
      <c r="AB106" s="39"/>
    </row>
    <row r="107" spans="2:28" s="37" customFormat="1" x14ac:dyDescent="0.2">
      <c r="B107" s="54"/>
      <c r="C107" s="54"/>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42"/>
      <c r="AB107" s="39"/>
    </row>
    <row r="108" spans="2:28" s="37" customFormat="1" x14ac:dyDescent="0.2">
      <c r="B108" s="54"/>
      <c r="C108" s="54"/>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42"/>
      <c r="AB108" s="39"/>
    </row>
    <row r="109" spans="2:28" s="37" customFormat="1" x14ac:dyDescent="0.2">
      <c r="B109" s="1" t="s">
        <v>248</v>
      </c>
      <c r="C109" s="1"/>
      <c r="D109" s="151">
        <f t="shared" ref="D109:AA109" si="52">D$6</f>
        <v>2017</v>
      </c>
      <c r="E109" s="151">
        <f t="shared" si="52"/>
        <v>2018</v>
      </c>
      <c r="F109" s="151">
        <f t="shared" si="52"/>
        <v>2019</v>
      </c>
      <c r="G109" s="151">
        <f t="shared" si="52"/>
        <v>2020</v>
      </c>
      <c r="H109" s="151">
        <f t="shared" si="52"/>
        <v>2021</v>
      </c>
      <c r="I109" s="151">
        <f t="shared" si="52"/>
        <v>2022</v>
      </c>
      <c r="J109" s="151">
        <f t="shared" si="52"/>
        <v>2023</v>
      </c>
      <c r="K109" s="151">
        <f t="shared" si="52"/>
        <v>2024</v>
      </c>
      <c r="L109" s="151">
        <f t="shared" si="52"/>
        <v>2025</v>
      </c>
      <c r="M109" s="151">
        <f t="shared" si="52"/>
        <v>2026</v>
      </c>
      <c r="N109" s="151">
        <f t="shared" si="52"/>
        <v>2027</v>
      </c>
      <c r="O109" s="151">
        <f t="shared" si="52"/>
        <v>2028</v>
      </c>
      <c r="P109" s="151">
        <f t="shared" si="52"/>
        <v>2029</v>
      </c>
      <c r="Q109" s="151">
        <f t="shared" si="52"/>
        <v>2030</v>
      </c>
      <c r="R109" s="151">
        <f t="shared" si="52"/>
        <v>2031</v>
      </c>
      <c r="S109" s="151">
        <f t="shared" si="52"/>
        <v>2032</v>
      </c>
      <c r="T109" s="151">
        <f t="shared" si="52"/>
        <v>2033</v>
      </c>
      <c r="U109" s="151">
        <f t="shared" si="52"/>
        <v>2034</v>
      </c>
      <c r="V109" s="151">
        <f t="shared" si="52"/>
        <v>2035</v>
      </c>
      <c r="W109" s="151">
        <f t="shared" si="52"/>
        <v>2036</v>
      </c>
      <c r="X109" s="151">
        <f t="shared" si="52"/>
        <v>2037</v>
      </c>
      <c r="Y109" s="151">
        <f t="shared" si="52"/>
        <v>2038</v>
      </c>
      <c r="Z109" s="151">
        <f t="shared" si="52"/>
        <v>2039</v>
      </c>
      <c r="AA109" s="151">
        <f t="shared" si="52"/>
        <v>2040</v>
      </c>
      <c r="AB109" s="39"/>
    </row>
    <row r="110" spans="2:28" s="37" customFormat="1" x14ac:dyDescent="0.2">
      <c r="B110" s="163" t="s">
        <v>192</v>
      </c>
      <c r="C110" s="174"/>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9"/>
    </row>
    <row r="111" spans="2:28" s="37" customFormat="1" x14ac:dyDescent="0.2">
      <c r="B111" s="55" t="s">
        <v>378</v>
      </c>
      <c r="C111" s="55"/>
      <c r="D111" s="9">
        <f t="shared" ref="D111:AA111" si="53">+D11*D97/1000</f>
        <v>837.85390000000007</v>
      </c>
      <c r="E111" s="9">
        <f t="shared" si="53"/>
        <v>788.20606666666663</v>
      </c>
      <c r="F111" s="9">
        <f t="shared" si="53"/>
        <v>749.66809999999998</v>
      </c>
      <c r="G111" s="9">
        <f t="shared" si="53"/>
        <v>711.13013333333345</v>
      </c>
      <c r="H111" s="9">
        <f t="shared" si="53"/>
        <v>664.87634523809527</v>
      </c>
      <c r="I111" s="9">
        <f t="shared" si="53"/>
        <v>618.62255714285709</v>
      </c>
      <c r="J111" s="9">
        <f t="shared" si="53"/>
        <v>568.47275714285718</v>
      </c>
      <c r="K111" s="9">
        <f t="shared" si="53"/>
        <v>518.32295714285715</v>
      </c>
      <c r="L111" s="9">
        <f t="shared" si="53"/>
        <v>468.17315714285718</v>
      </c>
      <c r="M111" s="9">
        <f t="shared" si="53"/>
        <v>418.02335714285721</v>
      </c>
      <c r="N111" s="9">
        <f t="shared" si="53"/>
        <v>358.30573469387758</v>
      </c>
      <c r="O111" s="9">
        <f t="shared" si="53"/>
        <v>298.58811224489801</v>
      </c>
      <c r="P111" s="9">
        <f t="shared" si="53"/>
        <v>238.8704897959183</v>
      </c>
      <c r="Q111" s="9">
        <f t="shared" si="53"/>
        <v>179.15286734693873</v>
      </c>
      <c r="R111" s="9">
        <f t="shared" si="53"/>
        <v>119.43524489795911</v>
      </c>
      <c r="S111" s="9">
        <f t="shared" si="53"/>
        <v>59.717622448979505</v>
      </c>
      <c r="T111" s="9">
        <f t="shared" si="53"/>
        <v>-1.0516032489249483E-13</v>
      </c>
      <c r="U111" s="9">
        <f t="shared" si="53"/>
        <v>0</v>
      </c>
      <c r="V111" s="9">
        <f t="shared" si="53"/>
        <v>0</v>
      </c>
      <c r="W111" s="9">
        <f t="shared" si="53"/>
        <v>0</v>
      </c>
      <c r="X111" s="9">
        <f t="shared" si="53"/>
        <v>0</v>
      </c>
      <c r="Y111" s="9">
        <f t="shared" si="53"/>
        <v>0</v>
      </c>
      <c r="Z111" s="9">
        <f t="shared" si="53"/>
        <v>0</v>
      </c>
      <c r="AA111" s="9">
        <f t="shared" si="53"/>
        <v>0</v>
      </c>
      <c r="AB111" s="39"/>
    </row>
    <row r="112" spans="2:28" s="37" customFormat="1" x14ac:dyDescent="0.2">
      <c r="B112" s="55" t="s">
        <v>342</v>
      </c>
      <c r="C112" s="55"/>
      <c r="D112" s="9">
        <f t="shared" ref="D112:AA112" si="54">+D12*D98/1000</f>
        <v>248.91839999999999</v>
      </c>
      <c r="E112" s="9">
        <f t="shared" si="54"/>
        <v>248.91839999999999</v>
      </c>
      <c r="F112" s="9">
        <f t="shared" si="54"/>
        <v>248.91839999999999</v>
      </c>
      <c r="G112" s="9">
        <f t="shared" si="54"/>
        <v>248.91839999999999</v>
      </c>
      <c r="H112" s="9">
        <f t="shared" si="54"/>
        <v>248.91839999999999</v>
      </c>
      <c r="I112" s="9">
        <f t="shared" si="54"/>
        <v>248.91839999999999</v>
      </c>
      <c r="J112" s="9">
        <f t="shared" si="54"/>
        <v>248.91839999999999</v>
      </c>
      <c r="K112" s="9">
        <f t="shared" si="54"/>
        <v>248.91839999999999</v>
      </c>
      <c r="L112" s="9">
        <f t="shared" si="54"/>
        <v>248.91839999999999</v>
      </c>
      <c r="M112" s="9">
        <f t="shared" si="54"/>
        <v>248.91839999999999</v>
      </c>
      <c r="N112" s="9">
        <f t="shared" si="54"/>
        <v>248.91839999999999</v>
      </c>
      <c r="O112" s="9">
        <f t="shared" si="54"/>
        <v>248.91839999999999</v>
      </c>
      <c r="P112" s="9">
        <f t="shared" si="54"/>
        <v>248.91839999999999</v>
      </c>
      <c r="Q112" s="9">
        <f t="shared" si="54"/>
        <v>248.91839999999999</v>
      </c>
      <c r="R112" s="9">
        <f t="shared" si="54"/>
        <v>248.91839999999999</v>
      </c>
      <c r="S112" s="9">
        <f t="shared" si="54"/>
        <v>248.91839999999999</v>
      </c>
      <c r="T112" s="9">
        <f t="shared" si="54"/>
        <v>248.91839999999999</v>
      </c>
      <c r="U112" s="9">
        <f t="shared" si="54"/>
        <v>207.43199999999996</v>
      </c>
      <c r="V112" s="9">
        <f t="shared" si="54"/>
        <v>165.94559999999998</v>
      </c>
      <c r="W112" s="9">
        <f t="shared" si="54"/>
        <v>124.45919999999997</v>
      </c>
      <c r="X112" s="9">
        <f t="shared" si="54"/>
        <v>82.972799999999978</v>
      </c>
      <c r="Y112" s="9">
        <f t="shared" si="54"/>
        <v>41.486399999999982</v>
      </c>
      <c r="Z112" s="9">
        <f t="shared" si="54"/>
        <v>0</v>
      </c>
      <c r="AA112" s="9">
        <f t="shared" si="54"/>
        <v>0</v>
      </c>
      <c r="AB112" s="39"/>
    </row>
    <row r="113" spans="2:28" s="37" customFormat="1" x14ac:dyDescent="0.2">
      <c r="B113" s="55" t="s">
        <v>343</v>
      </c>
      <c r="C113" s="55"/>
      <c r="D113" s="9">
        <f t="shared" ref="D113:AA113" si="55">+D13*D99/1000</f>
        <v>361.29</v>
      </c>
      <c r="E113" s="9">
        <f t="shared" si="55"/>
        <v>541.29</v>
      </c>
      <c r="F113" s="9">
        <f t="shared" si="55"/>
        <v>646.29</v>
      </c>
      <c r="G113" s="9">
        <f t="shared" si="55"/>
        <v>736.29000000000008</v>
      </c>
      <c r="H113" s="9">
        <f t="shared" si="55"/>
        <v>736.29000000000008</v>
      </c>
      <c r="I113" s="9">
        <f t="shared" si="55"/>
        <v>736.29000000000008</v>
      </c>
      <c r="J113" s="9">
        <f t="shared" si="55"/>
        <v>736.29000000000008</v>
      </c>
      <c r="K113" s="9">
        <f t="shared" si="55"/>
        <v>736.29000000000008</v>
      </c>
      <c r="L113" s="9">
        <f t="shared" si="55"/>
        <v>736.29000000000008</v>
      </c>
      <c r="M113" s="9">
        <f t="shared" si="55"/>
        <v>736.29000000000008</v>
      </c>
      <c r="N113" s="9">
        <f t="shared" si="55"/>
        <v>736.29000000000008</v>
      </c>
      <c r="O113" s="9">
        <f t="shared" si="55"/>
        <v>736.29000000000008</v>
      </c>
      <c r="P113" s="9">
        <f t="shared" si="55"/>
        <v>736.29000000000008</v>
      </c>
      <c r="Q113" s="9">
        <f t="shared" si="55"/>
        <v>736.29000000000008</v>
      </c>
      <c r="R113" s="9">
        <f t="shared" si="55"/>
        <v>736.29000000000008</v>
      </c>
      <c r="S113" s="9">
        <f t="shared" si="55"/>
        <v>736.29000000000008</v>
      </c>
      <c r="T113" s="9">
        <f t="shared" si="55"/>
        <v>736.29000000000008</v>
      </c>
      <c r="U113" s="9">
        <f t="shared" si="55"/>
        <v>736.29000000000008</v>
      </c>
      <c r="V113" s="9">
        <f t="shared" si="55"/>
        <v>736.29000000000008</v>
      </c>
      <c r="W113" s="9">
        <f t="shared" si="55"/>
        <v>736.29000000000008</v>
      </c>
      <c r="X113" s="9">
        <f t="shared" si="55"/>
        <v>736.29000000000008</v>
      </c>
      <c r="Y113" s="9">
        <f t="shared" si="55"/>
        <v>736.29000000000008</v>
      </c>
      <c r="Z113" s="9">
        <f t="shared" si="55"/>
        <v>736.29000000000008</v>
      </c>
      <c r="AA113" s="9">
        <f t="shared" si="55"/>
        <v>613.57500000000016</v>
      </c>
      <c r="AB113" s="39"/>
    </row>
    <row r="114" spans="2:28" s="37" customFormat="1" x14ac:dyDescent="0.2">
      <c r="B114" s="55" t="s">
        <v>344</v>
      </c>
      <c r="C114" s="55"/>
      <c r="D114" s="9">
        <f t="shared" ref="D114:AA114" si="56">+D14*D100/1000</f>
        <v>0</v>
      </c>
      <c r="E114" s="9">
        <f t="shared" si="56"/>
        <v>0</v>
      </c>
      <c r="F114" s="9">
        <f t="shared" si="56"/>
        <v>0</v>
      </c>
      <c r="G114" s="9">
        <f t="shared" si="56"/>
        <v>0</v>
      </c>
      <c r="H114" s="9">
        <f t="shared" si="56"/>
        <v>94.500000000000114</v>
      </c>
      <c r="I114" s="9">
        <f t="shared" si="56"/>
        <v>220.50000000000023</v>
      </c>
      <c r="J114" s="9">
        <f t="shared" si="56"/>
        <v>346.50000000000017</v>
      </c>
      <c r="K114" s="9">
        <f t="shared" si="56"/>
        <v>504</v>
      </c>
      <c r="L114" s="9">
        <f t="shared" si="56"/>
        <v>661.49999999999989</v>
      </c>
      <c r="M114" s="9">
        <f t="shared" si="56"/>
        <v>818.99999999999966</v>
      </c>
      <c r="N114" s="9">
        <f t="shared" si="56"/>
        <v>989.56067142857103</v>
      </c>
      <c r="O114" s="9">
        <f t="shared" si="56"/>
        <v>1160.1213428571423</v>
      </c>
      <c r="P114" s="9">
        <f t="shared" si="56"/>
        <v>1330.6820142857136</v>
      </c>
      <c r="Q114" s="9">
        <f t="shared" si="56"/>
        <v>1501.242685714285</v>
      </c>
      <c r="R114" s="9">
        <f t="shared" si="56"/>
        <v>1671.8033571428566</v>
      </c>
      <c r="S114" s="9">
        <f t="shared" si="56"/>
        <v>1842.364028571428</v>
      </c>
      <c r="T114" s="9">
        <f t="shared" si="56"/>
        <v>2012.9246999999993</v>
      </c>
      <c r="U114" s="9">
        <f t="shared" si="56"/>
        <v>2168.5391099999988</v>
      </c>
      <c r="V114" s="9">
        <f t="shared" si="56"/>
        <v>2324.1535199999989</v>
      </c>
      <c r="W114" s="9">
        <f t="shared" si="56"/>
        <v>2479.7679299999986</v>
      </c>
      <c r="X114" s="9">
        <f t="shared" si="56"/>
        <v>2635.3823399999987</v>
      </c>
      <c r="Y114" s="9">
        <f t="shared" si="56"/>
        <v>2790.9967499999984</v>
      </c>
      <c r="Z114" s="9">
        <f t="shared" si="56"/>
        <v>2946.6111599999986</v>
      </c>
      <c r="AA114" s="9">
        <f t="shared" si="56"/>
        <v>3102.7495199999985</v>
      </c>
      <c r="AB114" s="39"/>
    </row>
    <row r="115" spans="2:28" s="37" customFormat="1" x14ac:dyDescent="0.2">
      <c r="B115" s="163" t="str">
        <f>"Total, "&amp;B110</f>
        <v>Total, Eastern Denmark (DK2)</v>
      </c>
      <c r="C115" s="55"/>
      <c r="D115" s="9">
        <f t="shared" ref="D115:AA115" si="57">SUM(D111:D114)</f>
        <v>1448.0623000000001</v>
      </c>
      <c r="E115" s="9">
        <f t="shared" si="57"/>
        <v>1578.4144666666666</v>
      </c>
      <c r="F115" s="9">
        <f t="shared" si="57"/>
        <v>1644.8764999999999</v>
      </c>
      <c r="G115" s="9">
        <f t="shared" si="57"/>
        <v>1696.3385333333335</v>
      </c>
      <c r="H115" s="9">
        <f t="shared" si="57"/>
        <v>1744.5847452380954</v>
      </c>
      <c r="I115" s="9">
        <f t="shared" si="57"/>
        <v>1824.3309571428574</v>
      </c>
      <c r="J115" s="9">
        <f t="shared" si="57"/>
        <v>1900.1811571428575</v>
      </c>
      <c r="K115" s="9">
        <f t="shared" si="57"/>
        <v>2007.5313571428574</v>
      </c>
      <c r="L115" s="9">
        <f t="shared" si="57"/>
        <v>2114.8815571428572</v>
      </c>
      <c r="M115" s="9">
        <f t="shared" si="57"/>
        <v>2222.2317571428571</v>
      </c>
      <c r="N115" s="9">
        <f t="shared" si="57"/>
        <v>2333.0748061224485</v>
      </c>
      <c r="O115" s="9">
        <f t="shared" si="57"/>
        <v>2443.9178551020404</v>
      </c>
      <c r="P115" s="9">
        <f t="shared" si="57"/>
        <v>2554.7609040816319</v>
      </c>
      <c r="Q115" s="9">
        <f t="shared" si="57"/>
        <v>2665.6039530612238</v>
      </c>
      <c r="R115" s="9">
        <f t="shared" si="57"/>
        <v>2776.4470020408157</v>
      </c>
      <c r="S115" s="9">
        <f t="shared" si="57"/>
        <v>2887.2900510204072</v>
      </c>
      <c r="T115" s="9">
        <f t="shared" si="57"/>
        <v>2998.1330999999991</v>
      </c>
      <c r="U115" s="9">
        <f t="shared" si="57"/>
        <v>3112.2611099999986</v>
      </c>
      <c r="V115" s="9">
        <f t="shared" si="57"/>
        <v>3226.3891199999989</v>
      </c>
      <c r="W115" s="9">
        <f t="shared" si="57"/>
        <v>3340.5171299999988</v>
      </c>
      <c r="X115" s="9">
        <f t="shared" si="57"/>
        <v>3454.6451399999987</v>
      </c>
      <c r="Y115" s="9">
        <f t="shared" si="57"/>
        <v>3568.7731499999986</v>
      </c>
      <c r="Z115" s="9">
        <f t="shared" si="57"/>
        <v>3682.9011599999985</v>
      </c>
      <c r="AA115" s="9">
        <f t="shared" si="57"/>
        <v>3716.3245199999988</v>
      </c>
      <c r="AB115" s="39"/>
    </row>
    <row r="116" spans="2:28" s="37" customFormat="1" x14ac:dyDescent="0.2">
      <c r="B116" s="55"/>
      <c r="C116" s="55"/>
      <c r="D116" s="9"/>
      <c r="E116" s="9"/>
      <c r="F116" s="9"/>
      <c r="G116" s="9"/>
      <c r="H116" s="9"/>
      <c r="I116" s="9"/>
      <c r="J116" s="9"/>
      <c r="K116" s="9"/>
      <c r="L116" s="9"/>
      <c r="M116" s="9"/>
      <c r="N116" s="9"/>
      <c r="O116" s="9"/>
      <c r="P116" s="9"/>
      <c r="Q116" s="9"/>
      <c r="R116" s="9"/>
      <c r="S116" s="9"/>
      <c r="T116" s="9"/>
      <c r="U116" s="9"/>
      <c r="V116" s="9"/>
      <c r="W116" s="9"/>
      <c r="X116" s="9"/>
      <c r="Y116" s="9"/>
      <c r="Z116" s="9"/>
      <c r="AA116" s="9"/>
      <c r="AB116" s="39"/>
    </row>
    <row r="117" spans="2:28" s="37" customFormat="1" x14ac:dyDescent="0.2">
      <c r="B117" s="163" t="s">
        <v>190</v>
      </c>
      <c r="C117" s="174"/>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9"/>
    </row>
    <row r="118" spans="2:28" s="37" customFormat="1" x14ac:dyDescent="0.2">
      <c r="B118" s="55" t="s">
        <v>378</v>
      </c>
      <c r="C118" s="55"/>
      <c r="D118" s="9">
        <f t="shared" ref="D118:AA118" si="58">+D23*D103/1000</f>
        <v>3738.2923500000002</v>
      </c>
      <c r="E118" s="9">
        <f t="shared" si="58"/>
        <v>3642.5080900000003</v>
      </c>
      <c r="F118" s="9">
        <f t="shared" si="58"/>
        <v>3555.1333350000004</v>
      </c>
      <c r="G118" s="9">
        <f t="shared" si="58"/>
        <v>3467.7585800000002</v>
      </c>
      <c r="H118" s="9">
        <f t="shared" si="58"/>
        <v>3353.89795</v>
      </c>
      <c r="I118" s="9">
        <f t="shared" si="58"/>
        <v>3240.0373200000004</v>
      </c>
      <c r="J118" s="9">
        <f t="shared" si="58"/>
        <v>2987.8059900000003</v>
      </c>
      <c r="K118" s="9">
        <f t="shared" si="58"/>
        <v>2735.5746600000007</v>
      </c>
      <c r="L118" s="9">
        <f t="shared" si="58"/>
        <v>2483.3433300000002</v>
      </c>
      <c r="M118" s="9">
        <f t="shared" si="58"/>
        <v>2231.1120000000005</v>
      </c>
      <c r="N118" s="9">
        <f t="shared" si="58"/>
        <v>1912.3817142857149</v>
      </c>
      <c r="O118" s="9">
        <f t="shared" si="58"/>
        <v>1593.6514285714293</v>
      </c>
      <c r="P118" s="9">
        <f t="shared" si="58"/>
        <v>1274.9211428571436</v>
      </c>
      <c r="Q118" s="9">
        <f t="shared" si="58"/>
        <v>956.19085714285779</v>
      </c>
      <c r="R118" s="9">
        <f t="shared" si="58"/>
        <v>637.46057142857205</v>
      </c>
      <c r="S118" s="9">
        <f t="shared" si="58"/>
        <v>318.7302857142862</v>
      </c>
      <c r="T118" s="9">
        <f t="shared" si="58"/>
        <v>4.4337866711430251E-13</v>
      </c>
      <c r="U118" s="9">
        <f t="shared" si="58"/>
        <v>0</v>
      </c>
      <c r="V118" s="9">
        <f t="shared" si="58"/>
        <v>0</v>
      </c>
      <c r="W118" s="9">
        <f t="shared" si="58"/>
        <v>0</v>
      </c>
      <c r="X118" s="9">
        <f t="shared" si="58"/>
        <v>0</v>
      </c>
      <c r="Y118" s="9">
        <f t="shared" si="58"/>
        <v>0</v>
      </c>
      <c r="Z118" s="9">
        <f t="shared" si="58"/>
        <v>0</v>
      </c>
      <c r="AA118" s="9">
        <f t="shared" si="58"/>
        <v>0</v>
      </c>
      <c r="AB118" s="39"/>
    </row>
    <row r="119" spans="2:28" s="37" customFormat="1" x14ac:dyDescent="0.2">
      <c r="B119" s="55" t="s">
        <v>342</v>
      </c>
      <c r="C119" s="55"/>
      <c r="D119" s="9">
        <f t="shared" ref="D119:AA119" si="59">+D24*D104/1000</f>
        <v>2772.5574999999999</v>
      </c>
      <c r="E119" s="9">
        <f t="shared" si="59"/>
        <v>2772.5574999999999</v>
      </c>
      <c r="F119" s="9">
        <f t="shared" si="59"/>
        <v>2772.5574999999999</v>
      </c>
      <c r="G119" s="9">
        <f t="shared" si="59"/>
        <v>2772.5574999999999</v>
      </c>
      <c r="H119" s="9">
        <f t="shared" si="59"/>
        <v>2772.5574999999999</v>
      </c>
      <c r="I119" s="9">
        <f t="shared" si="59"/>
        <v>2772.5574999999999</v>
      </c>
      <c r="J119" s="9">
        <f t="shared" si="59"/>
        <v>2772.5574999999999</v>
      </c>
      <c r="K119" s="9">
        <f t="shared" si="59"/>
        <v>2772.5574999999999</v>
      </c>
      <c r="L119" s="9">
        <f t="shared" si="59"/>
        <v>2772.5574999999999</v>
      </c>
      <c r="M119" s="9">
        <f t="shared" si="59"/>
        <v>2772.5574999999999</v>
      </c>
      <c r="N119" s="9">
        <f t="shared" si="59"/>
        <v>2772.5574999999999</v>
      </c>
      <c r="O119" s="9">
        <f t="shared" si="59"/>
        <v>2772.5574999999999</v>
      </c>
      <c r="P119" s="9">
        <f t="shared" si="59"/>
        <v>2772.5574999999999</v>
      </c>
      <c r="Q119" s="9">
        <f t="shared" si="59"/>
        <v>2772.5574999999999</v>
      </c>
      <c r="R119" s="9">
        <f t="shared" si="59"/>
        <v>2772.5574999999999</v>
      </c>
      <c r="S119" s="9">
        <f t="shared" si="59"/>
        <v>2772.5574999999999</v>
      </c>
      <c r="T119" s="9">
        <f t="shared" si="59"/>
        <v>2772.5574999999999</v>
      </c>
      <c r="U119" s="9">
        <f t="shared" si="59"/>
        <v>2310.4645833333334</v>
      </c>
      <c r="V119" s="9">
        <f t="shared" si="59"/>
        <v>1848.3716666666667</v>
      </c>
      <c r="W119" s="9">
        <f t="shared" si="59"/>
        <v>1386.2787500000002</v>
      </c>
      <c r="X119" s="9">
        <f t="shared" si="59"/>
        <v>924.18583333333356</v>
      </c>
      <c r="Y119" s="9">
        <f t="shared" si="59"/>
        <v>462.09291666666684</v>
      </c>
      <c r="Z119" s="9">
        <f t="shared" si="59"/>
        <v>0</v>
      </c>
      <c r="AA119" s="9">
        <f t="shared" si="59"/>
        <v>0</v>
      </c>
      <c r="AB119" s="39"/>
    </row>
    <row r="120" spans="2:28" s="37" customFormat="1" x14ac:dyDescent="0.2">
      <c r="B120" s="55" t="s">
        <v>343</v>
      </c>
      <c r="C120" s="55"/>
      <c r="D120" s="9">
        <f t="shared" ref="D120:AA120" si="60">+D25*D105/1000</f>
        <v>1422.5462999999997</v>
      </c>
      <c r="E120" s="9">
        <f t="shared" si="60"/>
        <v>1926.5462999999997</v>
      </c>
      <c r="F120" s="9">
        <f t="shared" si="60"/>
        <v>2115.5463</v>
      </c>
      <c r="G120" s="9">
        <f t="shared" si="60"/>
        <v>2493.5463000000004</v>
      </c>
      <c r="H120" s="9">
        <f t="shared" si="60"/>
        <v>2493.5463000000004</v>
      </c>
      <c r="I120" s="9">
        <f t="shared" si="60"/>
        <v>2493.5463000000004</v>
      </c>
      <c r="J120" s="9">
        <f t="shared" si="60"/>
        <v>2493.5463000000004</v>
      </c>
      <c r="K120" s="9">
        <f t="shared" si="60"/>
        <v>2493.5463000000004</v>
      </c>
      <c r="L120" s="9">
        <f t="shared" si="60"/>
        <v>2493.5463000000004</v>
      </c>
      <c r="M120" s="9">
        <f t="shared" si="60"/>
        <v>2493.5463000000004</v>
      </c>
      <c r="N120" s="9">
        <f t="shared" si="60"/>
        <v>2493.5463000000004</v>
      </c>
      <c r="O120" s="9">
        <f t="shared" si="60"/>
        <v>2493.5463000000004</v>
      </c>
      <c r="P120" s="9">
        <f t="shared" si="60"/>
        <v>2493.5463000000004</v>
      </c>
      <c r="Q120" s="9">
        <f t="shared" si="60"/>
        <v>2493.5463000000004</v>
      </c>
      <c r="R120" s="9">
        <f t="shared" si="60"/>
        <v>2493.5463000000004</v>
      </c>
      <c r="S120" s="9">
        <f t="shared" si="60"/>
        <v>2493.5463000000004</v>
      </c>
      <c r="T120" s="9">
        <f t="shared" si="60"/>
        <v>2493.5463000000004</v>
      </c>
      <c r="U120" s="9">
        <f t="shared" si="60"/>
        <v>2493.5463000000004</v>
      </c>
      <c r="V120" s="9">
        <f t="shared" si="60"/>
        <v>2493.5463000000004</v>
      </c>
      <c r="W120" s="9">
        <f t="shared" si="60"/>
        <v>2493.5463000000004</v>
      </c>
      <c r="X120" s="9">
        <f t="shared" si="60"/>
        <v>2493.5463000000004</v>
      </c>
      <c r="Y120" s="9">
        <f t="shared" si="60"/>
        <v>2493.5463000000004</v>
      </c>
      <c r="Z120" s="9">
        <f t="shared" si="60"/>
        <v>2493.5463000000004</v>
      </c>
      <c r="AA120" s="9">
        <f t="shared" si="60"/>
        <v>2077.9552500000004</v>
      </c>
      <c r="AB120" s="39"/>
    </row>
    <row r="121" spans="2:28" s="37" customFormat="1" x14ac:dyDescent="0.2">
      <c r="B121" s="55" t="s">
        <v>344</v>
      </c>
      <c r="C121" s="55"/>
      <c r="D121" s="9">
        <f t="shared" ref="D121:AA121" si="61">+D26*D106/1000</f>
        <v>0</v>
      </c>
      <c r="E121" s="9">
        <f t="shared" si="61"/>
        <v>0</v>
      </c>
      <c r="F121" s="9">
        <f t="shared" si="61"/>
        <v>0</v>
      </c>
      <c r="G121" s="9">
        <f t="shared" si="61"/>
        <v>0</v>
      </c>
      <c r="H121" s="9">
        <f t="shared" si="61"/>
        <v>396.00000000000057</v>
      </c>
      <c r="I121" s="9">
        <f t="shared" si="61"/>
        <v>924.00000000000125</v>
      </c>
      <c r="J121" s="9">
        <f t="shared" si="61"/>
        <v>1452.0000000000011</v>
      </c>
      <c r="K121" s="9">
        <f t="shared" si="61"/>
        <v>2112.0000000000005</v>
      </c>
      <c r="L121" s="9">
        <f t="shared" si="61"/>
        <v>2772</v>
      </c>
      <c r="M121" s="9">
        <f t="shared" si="61"/>
        <v>3431.9999999999991</v>
      </c>
      <c r="N121" s="9">
        <f t="shared" si="61"/>
        <v>4146.7304326530602</v>
      </c>
      <c r="O121" s="9">
        <f t="shared" si="61"/>
        <v>4861.4608653061223</v>
      </c>
      <c r="P121" s="9">
        <f t="shared" si="61"/>
        <v>5576.1912979591843</v>
      </c>
      <c r="Q121" s="9">
        <f t="shared" si="61"/>
        <v>6290.9217306122455</v>
      </c>
      <c r="R121" s="9">
        <f t="shared" si="61"/>
        <v>7005.6521632653066</v>
      </c>
      <c r="S121" s="9">
        <f t="shared" si="61"/>
        <v>7720.3825959183678</v>
      </c>
      <c r="T121" s="9">
        <f t="shared" si="61"/>
        <v>8435.113028571428</v>
      </c>
      <c r="U121" s="9">
        <f t="shared" si="61"/>
        <v>9087.2115085714286</v>
      </c>
      <c r="V121" s="9">
        <f t="shared" si="61"/>
        <v>9739.3099885714291</v>
      </c>
      <c r="W121" s="9">
        <f t="shared" si="61"/>
        <v>10391.408468571428</v>
      </c>
      <c r="X121" s="9">
        <f t="shared" si="61"/>
        <v>11043.506948571428</v>
      </c>
      <c r="Y121" s="9">
        <f t="shared" si="61"/>
        <v>11695.605428571427</v>
      </c>
      <c r="Z121" s="9">
        <f t="shared" si="61"/>
        <v>12347.703908571428</v>
      </c>
      <c r="AA121" s="9">
        <f t="shared" si="61"/>
        <v>13001.997988571427</v>
      </c>
      <c r="AB121" s="39"/>
    </row>
    <row r="122" spans="2:28" s="37" customFormat="1" x14ac:dyDescent="0.2">
      <c r="B122" s="163" t="str">
        <f>"Total, "&amp;B117</f>
        <v>Total, Western Denmark (DK1)</v>
      </c>
      <c r="C122" s="55"/>
      <c r="D122" s="9">
        <f t="shared" ref="D122:AA122" si="62">SUM(D118:D121)</f>
        <v>7933.3961500000005</v>
      </c>
      <c r="E122" s="9">
        <f t="shared" si="62"/>
        <v>8341.6118900000001</v>
      </c>
      <c r="F122" s="9">
        <f t="shared" si="62"/>
        <v>8443.2371349999994</v>
      </c>
      <c r="G122" s="9">
        <f t="shared" si="62"/>
        <v>8733.8623800000005</v>
      </c>
      <c r="H122" s="9">
        <f t="shared" si="62"/>
        <v>9016.0017499999994</v>
      </c>
      <c r="I122" s="9">
        <f t="shared" si="62"/>
        <v>9430.141120000002</v>
      </c>
      <c r="J122" s="9">
        <f t="shared" si="62"/>
        <v>9705.9097900000015</v>
      </c>
      <c r="K122" s="9">
        <f t="shared" si="62"/>
        <v>10113.678460000001</v>
      </c>
      <c r="L122" s="9">
        <f t="shared" si="62"/>
        <v>10521.44713</v>
      </c>
      <c r="M122" s="9">
        <f t="shared" si="62"/>
        <v>10929.215799999998</v>
      </c>
      <c r="N122" s="9">
        <f t="shared" si="62"/>
        <v>11325.215946938777</v>
      </c>
      <c r="O122" s="9">
        <f t="shared" si="62"/>
        <v>11721.216093877552</v>
      </c>
      <c r="P122" s="9">
        <f t="shared" si="62"/>
        <v>12117.216240816328</v>
      </c>
      <c r="Q122" s="9">
        <f t="shared" si="62"/>
        <v>12513.216387755103</v>
      </c>
      <c r="R122" s="9">
        <f t="shared" si="62"/>
        <v>12909.216534693878</v>
      </c>
      <c r="S122" s="9">
        <f t="shared" si="62"/>
        <v>13305.216681632653</v>
      </c>
      <c r="T122" s="9">
        <f t="shared" si="62"/>
        <v>13701.216828571429</v>
      </c>
      <c r="U122" s="9">
        <f t="shared" si="62"/>
        <v>13891.222391904763</v>
      </c>
      <c r="V122" s="9">
        <f t="shared" si="62"/>
        <v>14081.227955238097</v>
      </c>
      <c r="W122" s="9">
        <f t="shared" si="62"/>
        <v>14271.233518571429</v>
      </c>
      <c r="X122" s="9">
        <f t="shared" si="62"/>
        <v>14461.239081904761</v>
      </c>
      <c r="Y122" s="9">
        <f t="shared" si="62"/>
        <v>14651.244645238094</v>
      </c>
      <c r="Z122" s="9">
        <f t="shared" si="62"/>
        <v>14841.250208571428</v>
      </c>
      <c r="AA122" s="9">
        <f t="shared" si="62"/>
        <v>15079.953238571428</v>
      </c>
      <c r="AB122" s="39"/>
    </row>
    <row r="123" spans="2:28" s="37" customFormat="1" x14ac:dyDescent="0.2">
      <c r="B123" s="55"/>
      <c r="C123" s="55"/>
      <c r="D123" s="9"/>
      <c r="E123" s="9"/>
      <c r="F123" s="9"/>
      <c r="G123" s="9"/>
      <c r="H123" s="9"/>
      <c r="I123" s="9"/>
      <c r="J123" s="9"/>
      <c r="K123" s="9"/>
      <c r="L123" s="9"/>
      <c r="M123" s="9"/>
      <c r="N123" s="9"/>
      <c r="O123" s="9"/>
      <c r="P123" s="9"/>
      <c r="Q123" s="9"/>
      <c r="R123" s="9"/>
      <c r="S123" s="9"/>
      <c r="T123" s="9"/>
      <c r="U123" s="9"/>
      <c r="V123" s="9"/>
      <c r="W123" s="9"/>
      <c r="X123" s="9"/>
      <c r="Y123" s="9"/>
      <c r="Z123" s="9"/>
      <c r="AA123" s="9"/>
      <c r="AB123" s="39"/>
    </row>
    <row r="124" spans="2:28" s="7" customFormat="1" x14ac:dyDescent="0.2">
      <c r="B124" s="168" t="s">
        <v>198</v>
      </c>
      <c r="C124" s="168"/>
      <c r="D124" s="169">
        <f t="shared" ref="D124:AA124" si="63">D115+D122</f>
        <v>9381.4584500000001</v>
      </c>
      <c r="E124" s="169">
        <f t="shared" si="63"/>
        <v>9920.0263566666672</v>
      </c>
      <c r="F124" s="169">
        <f t="shared" si="63"/>
        <v>10088.113635</v>
      </c>
      <c r="G124" s="169">
        <f t="shared" si="63"/>
        <v>10430.200913333334</v>
      </c>
      <c r="H124" s="169">
        <f t="shared" si="63"/>
        <v>10760.586495238094</v>
      </c>
      <c r="I124" s="169">
        <f t="shared" si="63"/>
        <v>11254.47207714286</v>
      </c>
      <c r="J124" s="169">
        <f t="shared" si="63"/>
        <v>11606.090947142859</v>
      </c>
      <c r="K124" s="169">
        <f t="shared" si="63"/>
        <v>12121.209817142859</v>
      </c>
      <c r="L124" s="169">
        <f t="shared" si="63"/>
        <v>12636.328687142857</v>
      </c>
      <c r="M124" s="169">
        <f t="shared" si="63"/>
        <v>13151.447557142856</v>
      </c>
      <c r="N124" s="169">
        <f t="shared" si="63"/>
        <v>13658.290753061225</v>
      </c>
      <c r="O124" s="169">
        <f t="shared" si="63"/>
        <v>14165.133948979594</v>
      </c>
      <c r="P124" s="169">
        <f t="shared" si="63"/>
        <v>14671.977144897959</v>
      </c>
      <c r="Q124" s="169">
        <f t="shared" si="63"/>
        <v>15178.820340816326</v>
      </c>
      <c r="R124" s="169">
        <f t="shared" si="63"/>
        <v>15685.663536734693</v>
      </c>
      <c r="S124" s="169">
        <f t="shared" si="63"/>
        <v>16192.506732653061</v>
      </c>
      <c r="T124" s="169">
        <f t="shared" si="63"/>
        <v>16699.349928571428</v>
      </c>
      <c r="U124" s="169">
        <f t="shared" si="63"/>
        <v>17003.48350190476</v>
      </c>
      <c r="V124" s="169">
        <f t="shared" si="63"/>
        <v>17307.617075238097</v>
      </c>
      <c r="W124" s="169">
        <f t="shared" si="63"/>
        <v>17611.750648571429</v>
      </c>
      <c r="X124" s="169">
        <f t="shared" si="63"/>
        <v>17915.884221904758</v>
      </c>
      <c r="Y124" s="169">
        <f t="shared" si="63"/>
        <v>18220.017795238091</v>
      </c>
      <c r="Z124" s="169">
        <f t="shared" si="63"/>
        <v>18524.151368571427</v>
      </c>
      <c r="AA124" s="169">
        <f t="shared" si="63"/>
        <v>18796.277758571428</v>
      </c>
      <c r="AB124" s="10"/>
    </row>
    <row r="125" spans="2:28" s="7" customFormat="1" x14ac:dyDescent="0.2">
      <c r="B125" s="10"/>
      <c r="C125" s="10"/>
      <c r="D125" s="9"/>
      <c r="E125" s="9"/>
      <c r="F125" s="9"/>
      <c r="G125" s="9"/>
      <c r="H125" s="9"/>
      <c r="I125" s="9"/>
      <c r="J125" s="9"/>
      <c r="K125" s="9"/>
      <c r="L125" s="9"/>
      <c r="M125" s="9"/>
      <c r="N125" s="9"/>
      <c r="O125" s="9"/>
      <c r="P125" s="9"/>
      <c r="Q125" s="9"/>
      <c r="R125" s="9"/>
      <c r="S125" s="9"/>
      <c r="T125" s="9"/>
      <c r="U125" s="9"/>
      <c r="V125" s="9"/>
      <c r="W125" s="9"/>
      <c r="X125" s="9"/>
      <c r="Y125" s="9"/>
      <c r="Z125" s="9"/>
      <c r="AA125" s="27"/>
      <c r="AB125" s="10"/>
    </row>
    <row r="126" spans="2:28" s="7" customFormat="1" x14ac:dyDescent="0.2">
      <c r="B126" s="10"/>
      <c r="C126" s="10"/>
      <c r="D126" s="9"/>
      <c r="E126" s="9"/>
      <c r="F126" s="9"/>
      <c r="G126" s="9"/>
      <c r="H126" s="9"/>
      <c r="I126" s="9"/>
      <c r="J126" s="9"/>
      <c r="K126" s="9"/>
      <c r="L126" s="9"/>
      <c r="M126" s="9"/>
      <c r="N126" s="9"/>
      <c r="O126" s="9"/>
      <c r="P126" s="9"/>
      <c r="Q126" s="9"/>
      <c r="R126" s="9"/>
      <c r="S126" s="9"/>
      <c r="T126" s="9"/>
      <c r="U126" s="9"/>
      <c r="V126" s="9"/>
      <c r="W126" s="9"/>
      <c r="X126" s="9"/>
      <c r="Y126" s="9"/>
      <c r="Z126" s="9"/>
      <c r="AA126" s="27"/>
      <c r="AB126" s="10"/>
    </row>
    <row r="127" spans="2:28" s="70" customFormat="1" x14ac:dyDescent="0.2">
      <c r="B127" s="70" t="s">
        <v>482</v>
      </c>
    </row>
    <row r="128" spans="2:28" s="7" customFormat="1" x14ac:dyDescent="0.2">
      <c r="B128" s="39"/>
      <c r="C128" s="39"/>
      <c r="D128" s="9"/>
      <c r="E128" s="9"/>
      <c r="F128" s="9"/>
      <c r="G128" s="9"/>
      <c r="H128" s="9"/>
      <c r="I128" s="9"/>
      <c r="J128" s="9"/>
      <c r="K128" s="9"/>
      <c r="L128" s="9"/>
      <c r="M128" s="9"/>
      <c r="N128" s="9"/>
      <c r="O128" s="9"/>
      <c r="P128" s="9"/>
      <c r="Q128" s="9"/>
      <c r="R128" s="9"/>
      <c r="S128" s="9"/>
      <c r="T128" s="9"/>
      <c r="U128" s="9"/>
      <c r="V128" s="9"/>
      <c r="W128" s="9"/>
      <c r="X128" s="9"/>
      <c r="Y128" s="9"/>
      <c r="Z128" s="9"/>
      <c r="AA128" s="27"/>
      <c r="AB128" s="10"/>
    </row>
    <row r="129" spans="2:28" s="7" customFormat="1" x14ac:dyDescent="0.2">
      <c r="B129" s="1" t="s">
        <v>345</v>
      </c>
      <c r="C129" s="1"/>
      <c r="D129" s="151">
        <f t="shared" ref="D129:AA129" si="64">D$6</f>
        <v>2017</v>
      </c>
      <c r="E129" s="151">
        <f t="shared" si="64"/>
        <v>2018</v>
      </c>
      <c r="F129" s="151">
        <f t="shared" si="64"/>
        <v>2019</v>
      </c>
      <c r="G129" s="151">
        <f t="shared" si="64"/>
        <v>2020</v>
      </c>
      <c r="H129" s="151">
        <f t="shared" si="64"/>
        <v>2021</v>
      </c>
      <c r="I129" s="151">
        <f t="shared" si="64"/>
        <v>2022</v>
      </c>
      <c r="J129" s="151">
        <f t="shared" si="64"/>
        <v>2023</v>
      </c>
      <c r="K129" s="151">
        <f t="shared" si="64"/>
        <v>2024</v>
      </c>
      <c r="L129" s="151">
        <f t="shared" si="64"/>
        <v>2025</v>
      </c>
      <c r="M129" s="151">
        <f t="shared" si="64"/>
        <v>2026</v>
      </c>
      <c r="N129" s="151">
        <f t="shared" si="64"/>
        <v>2027</v>
      </c>
      <c r="O129" s="151">
        <f t="shared" si="64"/>
        <v>2028</v>
      </c>
      <c r="P129" s="151">
        <f t="shared" si="64"/>
        <v>2029</v>
      </c>
      <c r="Q129" s="151">
        <f t="shared" si="64"/>
        <v>2030</v>
      </c>
      <c r="R129" s="151">
        <f t="shared" si="64"/>
        <v>2031</v>
      </c>
      <c r="S129" s="151">
        <f t="shared" si="64"/>
        <v>2032</v>
      </c>
      <c r="T129" s="151">
        <f t="shared" si="64"/>
        <v>2033</v>
      </c>
      <c r="U129" s="151">
        <f t="shared" si="64"/>
        <v>2034</v>
      </c>
      <c r="V129" s="151">
        <f t="shared" si="64"/>
        <v>2035</v>
      </c>
      <c r="W129" s="151">
        <f t="shared" si="64"/>
        <v>2036</v>
      </c>
      <c r="X129" s="151">
        <f t="shared" si="64"/>
        <v>2037</v>
      </c>
      <c r="Y129" s="151">
        <f t="shared" si="64"/>
        <v>2038</v>
      </c>
      <c r="Z129" s="151">
        <f t="shared" si="64"/>
        <v>2039</v>
      </c>
      <c r="AA129" s="151">
        <f t="shared" si="64"/>
        <v>2040</v>
      </c>
      <c r="AB129" s="10"/>
    </row>
    <row r="130" spans="2:28" s="7" customFormat="1" x14ac:dyDescent="0.2">
      <c r="B130" s="163" t="s">
        <v>192</v>
      </c>
      <c r="C130" s="174"/>
      <c r="D130" s="9"/>
      <c r="E130" s="9"/>
      <c r="F130" s="9"/>
      <c r="G130" s="9"/>
      <c r="H130" s="9"/>
      <c r="I130" s="9"/>
      <c r="J130" s="9"/>
      <c r="K130" s="9"/>
      <c r="L130" s="9"/>
      <c r="M130" s="9"/>
      <c r="N130" s="9"/>
      <c r="O130" s="9"/>
      <c r="P130" s="9"/>
      <c r="Q130" s="9"/>
      <c r="R130" s="9"/>
      <c r="S130" s="9"/>
      <c r="T130" s="9"/>
      <c r="U130" s="9"/>
      <c r="V130" s="9"/>
      <c r="W130" s="9"/>
      <c r="X130" s="9"/>
      <c r="Y130" s="9"/>
      <c r="Z130" s="9"/>
      <c r="AA130" s="9"/>
      <c r="AB130" s="10"/>
    </row>
    <row r="131" spans="2:28" s="7" customFormat="1" x14ac:dyDescent="0.2">
      <c r="B131" s="23" t="s">
        <v>48</v>
      </c>
      <c r="C131" s="44"/>
      <c r="D131" s="158">
        <v>1700</v>
      </c>
      <c r="E131" s="9">
        <f t="shared" ref="E131:Q137" si="65">D131</f>
        <v>1700</v>
      </c>
      <c r="F131" s="9">
        <f t="shared" si="65"/>
        <v>1700</v>
      </c>
      <c r="G131" s="9">
        <f t="shared" si="65"/>
        <v>1700</v>
      </c>
      <c r="H131" s="9">
        <f t="shared" si="65"/>
        <v>1700</v>
      </c>
      <c r="I131" s="9">
        <f t="shared" si="65"/>
        <v>1700</v>
      </c>
      <c r="J131" s="9">
        <f t="shared" si="65"/>
        <v>1700</v>
      </c>
      <c r="K131" s="9">
        <f t="shared" si="65"/>
        <v>1700</v>
      </c>
      <c r="L131" s="9">
        <f t="shared" si="65"/>
        <v>1700</v>
      </c>
      <c r="M131" s="9">
        <f t="shared" si="65"/>
        <v>1700</v>
      </c>
      <c r="N131" s="9">
        <f t="shared" si="65"/>
        <v>1700</v>
      </c>
      <c r="O131" s="9">
        <f t="shared" si="65"/>
        <v>1700</v>
      </c>
      <c r="P131" s="9">
        <f t="shared" si="65"/>
        <v>1700</v>
      </c>
      <c r="Q131" s="9">
        <f t="shared" si="65"/>
        <v>1700</v>
      </c>
      <c r="R131" s="9">
        <f t="shared" ref="R131:AA137" si="66">Q131</f>
        <v>1700</v>
      </c>
      <c r="S131" s="9">
        <f t="shared" si="66"/>
        <v>1700</v>
      </c>
      <c r="T131" s="9">
        <f t="shared" si="66"/>
        <v>1700</v>
      </c>
      <c r="U131" s="9">
        <f t="shared" si="66"/>
        <v>1700</v>
      </c>
      <c r="V131" s="9">
        <f t="shared" si="66"/>
        <v>1700</v>
      </c>
      <c r="W131" s="9">
        <f t="shared" si="66"/>
        <v>1700</v>
      </c>
      <c r="X131" s="9">
        <f t="shared" si="66"/>
        <v>1700</v>
      </c>
      <c r="Y131" s="9">
        <f t="shared" si="66"/>
        <v>1700</v>
      </c>
      <c r="Z131" s="9">
        <f t="shared" si="66"/>
        <v>1700</v>
      </c>
      <c r="AA131" s="9">
        <f t="shared" si="66"/>
        <v>1700</v>
      </c>
      <c r="AB131" s="10"/>
    </row>
    <row r="132" spans="2:28" s="7" customFormat="1" x14ac:dyDescent="0.2">
      <c r="B132" s="23" t="s">
        <v>49</v>
      </c>
      <c r="C132" s="44"/>
      <c r="D132" s="158">
        <v>2300</v>
      </c>
      <c r="E132" s="9">
        <f t="shared" si="65"/>
        <v>2300</v>
      </c>
      <c r="F132" s="9">
        <f t="shared" si="65"/>
        <v>2300</v>
      </c>
      <c r="G132" s="9">
        <f t="shared" si="65"/>
        <v>2300</v>
      </c>
      <c r="H132" s="9">
        <f t="shared" si="65"/>
        <v>2300</v>
      </c>
      <c r="I132" s="9">
        <f t="shared" si="65"/>
        <v>2300</v>
      </c>
      <c r="J132" s="9">
        <f t="shared" si="65"/>
        <v>2300</v>
      </c>
      <c r="K132" s="9">
        <f t="shared" si="65"/>
        <v>2300</v>
      </c>
      <c r="L132" s="9">
        <f t="shared" si="65"/>
        <v>2300</v>
      </c>
      <c r="M132" s="9">
        <f t="shared" si="65"/>
        <v>2300</v>
      </c>
      <c r="N132" s="9">
        <f t="shared" si="65"/>
        <v>2300</v>
      </c>
      <c r="O132" s="9">
        <f t="shared" si="65"/>
        <v>2300</v>
      </c>
      <c r="P132" s="9">
        <f t="shared" si="65"/>
        <v>2300</v>
      </c>
      <c r="Q132" s="9">
        <f t="shared" si="65"/>
        <v>2300</v>
      </c>
      <c r="R132" s="9">
        <f t="shared" si="66"/>
        <v>2300</v>
      </c>
      <c r="S132" s="9">
        <f t="shared" si="66"/>
        <v>2300</v>
      </c>
      <c r="T132" s="9">
        <f t="shared" si="66"/>
        <v>2300</v>
      </c>
      <c r="U132" s="9">
        <f t="shared" si="66"/>
        <v>2300</v>
      </c>
      <c r="V132" s="9">
        <f t="shared" si="66"/>
        <v>2300</v>
      </c>
      <c r="W132" s="9">
        <f t="shared" si="66"/>
        <v>2300</v>
      </c>
      <c r="X132" s="9">
        <f t="shared" si="66"/>
        <v>2300</v>
      </c>
      <c r="Y132" s="9">
        <f t="shared" si="66"/>
        <v>2300</v>
      </c>
      <c r="Z132" s="9">
        <f t="shared" si="66"/>
        <v>2300</v>
      </c>
      <c r="AA132" s="9">
        <f t="shared" si="66"/>
        <v>2300</v>
      </c>
      <c r="AB132" s="10"/>
    </row>
    <row r="133" spans="2:28" s="7" customFormat="1" x14ac:dyDescent="0.2">
      <c r="B133" s="23" t="s">
        <v>50</v>
      </c>
      <c r="C133" s="44"/>
      <c r="D133" s="158">
        <v>3350</v>
      </c>
      <c r="E133" s="9">
        <f t="shared" si="65"/>
        <v>3350</v>
      </c>
      <c r="F133" s="9">
        <f t="shared" si="65"/>
        <v>3350</v>
      </c>
      <c r="G133" s="9">
        <f t="shared" si="65"/>
        <v>3350</v>
      </c>
      <c r="H133" s="9">
        <f t="shared" si="65"/>
        <v>3350</v>
      </c>
      <c r="I133" s="9">
        <f t="shared" si="65"/>
        <v>3350</v>
      </c>
      <c r="J133" s="9">
        <f t="shared" si="65"/>
        <v>3350</v>
      </c>
      <c r="K133" s="9">
        <f t="shared" si="65"/>
        <v>3350</v>
      </c>
      <c r="L133" s="9">
        <f t="shared" si="65"/>
        <v>3350</v>
      </c>
      <c r="M133" s="9">
        <f t="shared" si="65"/>
        <v>3350</v>
      </c>
      <c r="N133" s="9">
        <f t="shared" si="65"/>
        <v>3350</v>
      </c>
      <c r="O133" s="9">
        <f t="shared" si="65"/>
        <v>3350</v>
      </c>
      <c r="P133" s="9">
        <f t="shared" si="65"/>
        <v>3350</v>
      </c>
      <c r="Q133" s="9">
        <f t="shared" si="65"/>
        <v>3350</v>
      </c>
      <c r="R133" s="9">
        <f t="shared" si="66"/>
        <v>3350</v>
      </c>
      <c r="S133" s="9">
        <f t="shared" si="66"/>
        <v>3350</v>
      </c>
      <c r="T133" s="9">
        <f t="shared" si="66"/>
        <v>3350</v>
      </c>
      <c r="U133" s="9">
        <f t="shared" si="66"/>
        <v>3350</v>
      </c>
      <c r="V133" s="9">
        <f t="shared" si="66"/>
        <v>3350</v>
      </c>
      <c r="W133" s="9">
        <f t="shared" si="66"/>
        <v>3350</v>
      </c>
      <c r="X133" s="9">
        <f t="shared" si="66"/>
        <v>3350</v>
      </c>
      <c r="Y133" s="9">
        <f t="shared" si="66"/>
        <v>3350</v>
      </c>
      <c r="Z133" s="9">
        <f t="shared" si="66"/>
        <v>3350</v>
      </c>
      <c r="AA133" s="9">
        <f t="shared" si="66"/>
        <v>3350</v>
      </c>
      <c r="AB133" s="10"/>
    </row>
    <row r="134" spans="2:28" s="7" customFormat="1" x14ac:dyDescent="0.2">
      <c r="B134" s="23" t="s">
        <v>51</v>
      </c>
      <c r="C134" s="44"/>
      <c r="D134" s="158">
        <v>3350</v>
      </c>
      <c r="E134" s="9">
        <f t="shared" si="65"/>
        <v>3350</v>
      </c>
      <c r="F134" s="9">
        <f t="shared" si="65"/>
        <v>3350</v>
      </c>
      <c r="G134" s="9">
        <f t="shared" si="65"/>
        <v>3350</v>
      </c>
      <c r="H134" s="9">
        <f t="shared" si="65"/>
        <v>3350</v>
      </c>
      <c r="I134" s="9">
        <f t="shared" si="65"/>
        <v>3350</v>
      </c>
      <c r="J134" s="9">
        <f t="shared" si="65"/>
        <v>3350</v>
      </c>
      <c r="K134" s="9">
        <f t="shared" si="65"/>
        <v>3350</v>
      </c>
      <c r="L134" s="9">
        <f t="shared" si="65"/>
        <v>3350</v>
      </c>
      <c r="M134" s="9">
        <f t="shared" si="65"/>
        <v>3350</v>
      </c>
      <c r="N134" s="9">
        <f t="shared" si="65"/>
        <v>3350</v>
      </c>
      <c r="O134" s="9">
        <f t="shared" si="65"/>
        <v>3350</v>
      </c>
      <c r="P134" s="9">
        <f t="shared" si="65"/>
        <v>3350</v>
      </c>
      <c r="Q134" s="9">
        <f t="shared" si="65"/>
        <v>3350</v>
      </c>
      <c r="R134" s="9">
        <f t="shared" si="66"/>
        <v>3350</v>
      </c>
      <c r="S134" s="9">
        <f t="shared" si="66"/>
        <v>3350</v>
      </c>
      <c r="T134" s="9">
        <f t="shared" si="66"/>
        <v>3350</v>
      </c>
      <c r="U134" s="9">
        <f t="shared" si="66"/>
        <v>3350</v>
      </c>
      <c r="V134" s="9">
        <f t="shared" si="66"/>
        <v>3350</v>
      </c>
      <c r="W134" s="9">
        <f t="shared" si="66"/>
        <v>3350</v>
      </c>
      <c r="X134" s="9">
        <f t="shared" si="66"/>
        <v>3350</v>
      </c>
      <c r="Y134" s="9">
        <f t="shared" si="66"/>
        <v>3350</v>
      </c>
      <c r="Z134" s="9">
        <f t="shared" si="66"/>
        <v>3350</v>
      </c>
      <c r="AA134" s="9">
        <f t="shared" si="66"/>
        <v>3350</v>
      </c>
      <c r="AB134" s="10"/>
    </row>
    <row r="135" spans="2:28" s="7" customFormat="1" x14ac:dyDescent="0.2">
      <c r="B135" s="55" t="s">
        <v>374</v>
      </c>
      <c r="C135" s="44"/>
      <c r="D135" s="9"/>
      <c r="E135" s="9"/>
      <c r="F135" s="9"/>
      <c r="G135" s="158">
        <v>4000</v>
      </c>
      <c r="H135" s="9">
        <f t="shared" si="65"/>
        <v>4000</v>
      </c>
      <c r="I135" s="9">
        <f t="shared" si="65"/>
        <v>4000</v>
      </c>
      <c r="J135" s="9">
        <f t="shared" si="65"/>
        <v>4000</v>
      </c>
      <c r="K135" s="9">
        <f t="shared" si="65"/>
        <v>4000</v>
      </c>
      <c r="L135" s="9">
        <f t="shared" si="65"/>
        <v>4000</v>
      </c>
      <c r="M135" s="9">
        <f t="shared" si="65"/>
        <v>4000</v>
      </c>
      <c r="N135" s="9">
        <f t="shared" si="65"/>
        <v>4000</v>
      </c>
      <c r="O135" s="9">
        <f t="shared" si="65"/>
        <v>4000</v>
      </c>
      <c r="P135" s="9">
        <f t="shared" si="65"/>
        <v>4000</v>
      </c>
      <c r="Q135" s="9">
        <f t="shared" si="65"/>
        <v>4000</v>
      </c>
      <c r="R135" s="9">
        <f t="shared" si="66"/>
        <v>4000</v>
      </c>
      <c r="S135" s="9">
        <f t="shared" si="66"/>
        <v>4000</v>
      </c>
      <c r="T135" s="9">
        <f t="shared" si="66"/>
        <v>4000</v>
      </c>
      <c r="U135" s="9">
        <f t="shared" si="66"/>
        <v>4000</v>
      </c>
      <c r="V135" s="9">
        <f t="shared" si="66"/>
        <v>4000</v>
      </c>
      <c r="W135" s="9">
        <f t="shared" si="66"/>
        <v>4000</v>
      </c>
      <c r="X135" s="9">
        <f t="shared" si="66"/>
        <v>4000</v>
      </c>
      <c r="Y135" s="9">
        <f t="shared" si="66"/>
        <v>4000</v>
      </c>
      <c r="Z135" s="9">
        <f t="shared" si="66"/>
        <v>4000</v>
      </c>
      <c r="AA135" s="9">
        <f t="shared" si="66"/>
        <v>4000</v>
      </c>
      <c r="AB135" s="10"/>
    </row>
    <row r="136" spans="2:28" s="7" customFormat="1" x14ac:dyDescent="0.2">
      <c r="B136" s="55" t="s">
        <v>365</v>
      </c>
      <c r="C136" s="44"/>
      <c r="D136" s="9"/>
      <c r="E136" s="9"/>
      <c r="F136" s="9"/>
      <c r="G136" s="158">
        <v>4000</v>
      </c>
      <c r="H136" s="9">
        <f t="shared" si="65"/>
        <v>4000</v>
      </c>
      <c r="I136" s="9">
        <f t="shared" si="65"/>
        <v>4000</v>
      </c>
      <c r="J136" s="9">
        <f t="shared" si="65"/>
        <v>4000</v>
      </c>
      <c r="K136" s="9">
        <f t="shared" si="65"/>
        <v>4000</v>
      </c>
      <c r="L136" s="9">
        <f t="shared" si="65"/>
        <v>4000</v>
      </c>
      <c r="M136" s="9">
        <f t="shared" si="65"/>
        <v>4000</v>
      </c>
      <c r="N136" s="9">
        <f t="shared" si="65"/>
        <v>4000</v>
      </c>
      <c r="O136" s="9">
        <f t="shared" si="65"/>
        <v>4000</v>
      </c>
      <c r="P136" s="9">
        <f t="shared" si="65"/>
        <v>4000</v>
      </c>
      <c r="Q136" s="9">
        <f t="shared" si="65"/>
        <v>4000</v>
      </c>
      <c r="R136" s="9">
        <f t="shared" si="66"/>
        <v>4000</v>
      </c>
      <c r="S136" s="9">
        <f t="shared" si="66"/>
        <v>4000</v>
      </c>
      <c r="T136" s="9">
        <f t="shared" si="66"/>
        <v>4000</v>
      </c>
      <c r="U136" s="9">
        <f t="shared" si="66"/>
        <v>4000</v>
      </c>
      <c r="V136" s="9">
        <f t="shared" si="66"/>
        <v>4000</v>
      </c>
      <c r="W136" s="9">
        <f t="shared" si="66"/>
        <v>4000</v>
      </c>
      <c r="X136" s="9">
        <f t="shared" si="66"/>
        <v>4000</v>
      </c>
      <c r="Y136" s="9">
        <f t="shared" si="66"/>
        <v>4000</v>
      </c>
      <c r="Z136" s="9">
        <f t="shared" si="66"/>
        <v>4000</v>
      </c>
      <c r="AA136" s="9">
        <f t="shared" si="66"/>
        <v>4000</v>
      </c>
      <c r="AB136" s="10"/>
    </row>
    <row r="137" spans="2:28" s="7" customFormat="1" x14ac:dyDescent="0.2">
      <c r="B137" s="55" t="s">
        <v>366</v>
      </c>
      <c r="C137" s="44"/>
      <c r="D137" s="9"/>
      <c r="E137" s="9"/>
      <c r="F137" s="9"/>
      <c r="G137" s="9"/>
      <c r="H137" s="9"/>
      <c r="I137" s="9"/>
      <c r="J137" s="9"/>
      <c r="K137" s="9"/>
      <c r="L137" s="159">
        <v>4000</v>
      </c>
      <c r="M137" s="9">
        <f t="shared" si="65"/>
        <v>4000</v>
      </c>
      <c r="N137" s="9">
        <f t="shared" si="65"/>
        <v>4000</v>
      </c>
      <c r="O137" s="9">
        <f t="shared" si="65"/>
        <v>4000</v>
      </c>
      <c r="P137" s="9">
        <f t="shared" si="65"/>
        <v>4000</v>
      </c>
      <c r="Q137" s="9">
        <f t="shared" si="65"/>
        <v>4000</v>
      </c>
      <c r="R137" s="9">
        <f t="shared" si="66"/>
        <v>4000</v>
      </c>
      <c r="S137" s="9">
        <f t="shared" si="66"/>
        <v>4000</v>
      </c>
      <c r="T137" s="9">
        <f t="shared" si="66"/>
        <v>4000</v>
      </c>
      <c r="U137" s="9">
        <f t="shared" si="66"/>
        <v>4000</v>
      </c>
      <c r="V137" s="9">
        <f t="shared" si="66"/>
        <v>4000</v>
      </c>
      <c r="W137" s="9">
        <f t="shared" si="66"/>
        <v>4000</v>
      </c>
      <c r="X137" s="9">
        <f t="shared" si="66"/>
        <v>4000</v>
      </c>
      <c r="Y137" s="9">
        <f t="shared" si="66"/>
        <v>4000</v>
      </c>
      <c r="Z137" s="9">
        <f t="shared" si="66"/>
        <v>4000</v>
      </c>
      <c r="AA137" s="9">
        <f t="shared" si="66"/>
        <v>4000</v>
      </c>
      <c r="AB137" s="10"/>
    </row>
    <row r="138" spans="2:28" s="7" customFormat="1" x14ac:dyDescent="0.2">
      <c r="B138" s="55"/>
      <c r="C138" s="55"/>
      <c r="D138" s="9"/>
      <c r="E138" s="9"/>
      <c r="F138" s="9"/>
      <c r="G138" s="9"/>
      <c r="H138" s="166"/>
      <c r="I138" s="9"/>
      <c r="J138" s="9"/>
      <c r="K138" s="9"/>
      <c r="L138" s="9"/>
      <c r="M138" s="9"/>
      <c r="N138" s="9"/>
      <c r="O138" s="9"/>
      <c r="P138" s="9"/>
      <c r="Q138" s="9"/>
      <c r="R138" s="9"/>
      <c r="S138" s="9"/>
      <c r="T138" s="9"/>
      <c r="U138" s="9"/>
      <c r="V138" s="9"/>
      <c r="W138" s="9"/>
      <c r="X138" s="9"/>
      <c r="Y138" s="9"/>
      <c r="Z138" s="9"/>
      <c r="AA138" s="9"/>
      <c r="AB138" s="10"/>
    </row>
    <row r="139" spans="2:28" s="7" customFormat="1" x14ac:dyDescent="0.2">
      <c r="B139" s="163" t="s">
        <v>190</v>
      </c>
      <c r="C139" s="174"/>
      <c r="D139" s="9"/>
      <c r="E139" s="9"/>
      <c r="F139" s="9"/>
      <c r="G139" s="9"/>
      <c r="H139" s="9"/>
      <c r="I139" s="9"/>
      <c r="J139" s="9"/>
      <c r="K139" s="9"/>
      <c r="L139" s="9"/>
      <c r="M139" s="9"/>
      <c r="N139" s="9"/>
      <c r="O139" s="9"/>
      <c r="P139" s="9"/>
      <c r="Q139" s="9"/>
      <c r="R139" s="9"/>
      <c r="S139" s="9"/>
      <c r="T139" s="9"/>
      <c r="U139" s="9"/>
      <c r="V139" s="9"/>
      <c r="W139" s="9"/>
      <c r="X139" s="9"/>
      <c r="Y139" s="9"/>
      <c r="Z139" s="9"/>
      <c r="AA139" s="9"/>
      <c r="AB139" s="10"/>
    </row>
    <row r="140" spans="2:28" s="7" customFormat="1" x14ac:dyDescent="0.2">
      <c r="B140" s="23" t="s">
        <v>52</v>
      </c>
      <c r="C140" s="44"/>
      <c r="D140" s="158">
        <v>2800</v>
      </c>
      <c r="E140" s="9">
        <f t="shared" ref="E140:Q147" si="67">D140</f>
        <v>2800</v>
      </c>
      <c r="F140" s="9">
        <f t="shared" si="67"/>
        <v>2800</v>
      </c>
      <c r="G140" s="9">
        <f t="shared" si="67"/>
        <v>2800</v>
      </c>
      <c r="H140" s="9">
        <f t="shared" si="67"/>
        <v>2800</v>
      </c>
      <c r="I140" s="9">
        <f t="shared" si="67"/>
        <v>2800</v>
      </c>
      <c r="J140" s="9">
        <f t="shared" si="67"/>
        <v>2800</v>
      </c>
      <c r="K140" s="9">
        <f t="shared" si="67"/>
        <v>2800</v>
      </c>
      <c r="L140" s="9">
        <f t="shared" si="67"/>
        <v>2800</v>
      </c>
      <c r="M140" s="9">
        <f t="shared" si="67"/>
        <v>2800</v>
      </c>
      <c r="N140" s="9">
        <f t="shared" si="67"/>
        <v>2800</v>
      </c>
      <c r="O140" s="9">
        <f t="shared" si="67"/>
        <v>2800</v>
      </c>
      <c r="P140" s="9">
        <f t="shared" si="67"/>
        <v>2800</v>
      </c>
      <c r="Q140" s="9">
        <f t="shared" si="67"/>
        <v>2800</v>
      </c>
      <c r="R140" s="9">
        <f t="shared" ref="R140:AA147" si="68">Q140</f>
        <v>2800</v>
      </c>
      <c r="S140" s="9">
        <f t="shared" si="68"/>
        <v>2800</v>
      </c>
      <c r="T140" s="9">
        <f t="shared" si="68"/>
        <v>2800</v>
      </c>
      <c r="U140" s="9">
        <f t="shared" si="68"/>
        <v>2800</v>
      </c>
      <c r="V140" s="9">
        <f t="shared" si="68"/>
        <v>2800</v>
      </c>
      <c r="W140" s="9">
        <f t="shared" si="68"/>
        <v>2800</v>
      </c>
      <c r="X140" s="9">
        <f t="shared" si="68"/>
        <v>2800</v>
      </c>
      <c r="Y140" s="9">
        <f t="shared" si="68"/>
        <v>2800</v>
      </c>
      <c r="Z140" s="9">
        <f t="shared" si="68"/>
        <v>2800</v>
      </c>
      <c r="AA140" s="9">
        <f t="shared" si="68"/>
        <v>2800</v>
      </c>
      <c r="AB140" s="10"/>
    </row>
    <row r="141" spans="2:28" s="7" customFormat="1" x14ac:dyDescent="0.2">
      <c r="B141" s="23" t="s">
        <v>53</v>
      </c>
      <c r="C141" s="44"/>
      <c r="D141" s="158">
        <v>3950</v>
      </c>
      <c r="E141" s="9">
        <f t="shared" si="67"/>
        <v>3950</v>
      </c>
      <c r="F141" s="9">
        <f t="shared" si="67"/>
        <v>3950</v>
      </c>
      <c r="G141" s="9">
        <f t="shared" si="67"/>
        <v>3950</v>
      </c>
      <c r="H141" s="9">
        <f t="shared" si="67"/>
        <v>3950</v>
      </c>
      <c r="I141" s="9">
        <f t="shared" si="67"/>
        <v>3950</v>
      </c>
      <c r="J141" s="9">
        <f t="shared" si="67"/>
        <v>3950</v>
      </c>
      <c r="K141" s="9">
        <f t="shared" si="67"/>
        <v>3950</v>
      </c>
      <c r="L141" s="9">
        <f t="shared" si="67"/>
        <v>3950</v>
      </c>
      <c r="M141" s="9">
        <f t="shared" si="67"/>
        <v>3950</v>
      </c>
      <c r="N141" s="9">
        <f t="shared" si="67"/>
        <v>3950</v>
      </c>
      <c r="O141" s="9">
        <f t="shared" si="67"/>
        <v>3950</v>
      </c>
      <c r="P141" s="9">
        <f t="shared" si="67"/>
        <v>3950</v>
      </c>
      <c r="Q141" s="9">
        <f t="shared" si="67"/>
        <v>3950</v>
      </c>
      <c r="R141" s="9">
        <f t="shared" si="68"/>
        <v>3950</v>
      </c>
      <c r="S141" s="9">
        <f t="shared" si="68"/>
        <v>3950</v>
      </c>
      <c r="T141" s="9">
        <f t="shared" si="68"/>
        <v>3950</v>
      </c>
      <c r="U141" s="9">
        <f t="shared" si="68"/>
        <v>3950</v>
      </c>
      <c r="V141" s="9">
        <f t="shared" si="68"/>
        <v>3950</v>
      </c>
      <c r="W141" s="9">
        <f t="shared" si="68"/>
        <v>3950</v>
      </c>
      <c r="X141" s="9">
        <f t="shared" si="68"/>
        <v>3950</v>
      </c>
      <c r="Y141" s="9">
        <f t="shared" si="68"/>
        <v>3950</v>
      </c>
      <c r="Z141" s="9">
        <f t="shared" si="68"/>
        <v>3950</v>
      </c>
      <c r="AA141" s="9">
        <f t="shared" si="68"/>
        <v>3950</v>
      </c>
      <c r="AB141" s="10"/>
    </row>
    <row r="142" spans="2:28" s="7" customFormat="1" x14ac:dyDescent="0.2">
      <c r="B142" s="23" t="s">
        <v>54</v>
      </c>
      <c r="C142" s="44"/>
      <c r="D142" s="158">
        <v>3600</v>
      </c>
      <c r="E142" s="9">
        <f t="shared" si="67"/>
        <v>3600</v>
      </c>
      <c r="F142" s="9">
        <f t="shared" si="67"/>
        <v>3600</v>
      </c>
      <c r="G142" s="9">
        <f t="shared" si="67"/>
        <v>3600</v>
      </c>
      <c r="H142" s="9">
        <f t="shared" si="67"/>
        <v>3600</v>
      </c>
      <c r="I142" s="9">
        <f t="shared" si="67"/>
        <v>3600</v>
      </c>
      <c r="J142" s="9">
        <f t="shared" si="67"/>
        <v>3600</v>
      </c>
      <c r="K142" s="9">
        <f t="shared" si="67"/>
        <v>3600</v>
      </c>
      <c r="L142" s="9">
        <f t="shared" si="67"/>
        <v>3600</v>
      </c>
      <c r="M142" s="9">
        <f t="shared" si="67"/>
        <v>3600</v>
      </c>
      <c r="N142" s="9">
        <f t="shared" si="67"/>
        <v>3600</v>
      </c>
      <c r="O142" s="9">
        <f t="shared" si="67"/>
        <v>3600</v>
      </c>
      <c r="P142" s="9">
        <f t="shared" si="67"/>
        <v>3600</v>
      </c>
      <c r="Q142" s="9">
        <f t="shared" si="67"/>
        <v>3600</v>
      </c>
      <c r="R142" s="9">
        <f t="shared" si="68"/>
        <v>3600</v>
      </c>
      <c r="S142" s="9">
        <f t="shared" si="68"/>
        <v>3600</v>
      </c>
      <c r="T142" s="9">
        <f t="shared" si="68"/>
        <v>3600</v>
      </c>
      <c r="U142" s="9">
        <f t="shared" si="68"/>
        <v>3600</v>
      </c>
      <c r="V142" s="9">
        <f t="shared" si="68"/>
        <v>3600</v>
      </c>
      <c r="W142" s="9">
        <f t="shared" si="68"/>
        <v>3600</v>
      </c>
      <c r="X142" s="9">
        <f t="shared" si="68"/>
        <v>3600</v>
      </c>
      <c r="Y142" s="9">
        <f t="shared" si="68"/>
        <v>3600</v>
      </c>
      <c r="Z142" s="9">
        <f t="shared" si="68"/>
        <v>3600</v>
      </c>
      <c r="AA142" s="9">
        <f t="shared" si="68"/>
        <v>3600</v>
      </c>
      <c r="AB142" s="10"/>
    </row>
    <row r="143" spans="2:28" s="7" customFormat="1" x14ac:dyDescent="0.2">
      <c r="B143" s="23" t="s">
        <v>55</v>
      </c>
      <c r="C143" s="44"/>
      <c r="D143" s="158">
        <v>2900</v>
      </c>
      <c r="E143" s="9">
        <f t="shared" si="67"/>
        <v>2900</v>
      </c>
      <c r="F143" s="9">
        <f t="shared" si="67"/>
        <v>2900</v>
      </c>
      <c r="G143" s="9">
        <f t="shared" si="67"/>
        <v>2900</v>
      </c>
      <c r="H143" s="9">
        <f t="shared" si="67"/>
        <v>2900</v>
      </c>
      <c r="I143" s="9">
        <f t="shared" si="67"/>
        <v>2900</v>
      </c>
      <c r="J143" s="9">
        <f t="shared" si="67"/>
        <v>2900</v>
      </c>
      <c r="K143" s="9">
        <f t="shared" si="67"/>
        <v>2900</v>
      </c>
      <c r="L143" s="9">
        <f t="shared" si="67"/>
        <v>2900</v>
      </c>
      <c r="M143" s="9">
        <f t="shared" si="67"/>
        <v>2900</v>
      </c>
      <c r="N143" s="9">
        <f t="shared" si="67"/>
        <v>2900</v>
      </c>
      <c r="O143" s="9">
        <f t="shared" si="67"/>
        <v>2900</v>
      </c>
      <c r="P143" s="9">
        <f t="shared" si="67"/>
        <v>2900</v>
      </c>
      <c r="Q143" s="9">
        <f t="shared" si="67"/>
        <v>2900</v>
      </c>
      <c r="R143" s="9">
        <f t="shared" si="68"/>
        <v>2900</v>
      </c>
      <c r="S143" s="9">
        <f t="shared" si="68"/>
        <v>2900</v>
      </c>
      <c r="T143" s="9">
        <f t="shared" si="68"/>
        <v>2900</v>
      </c>
      <c r="U143" s="9">
        <f t="shared" si="68"/>
        <v>2900</v>
      </c>
      <c r="V143" s="9">
        <f t="shared" si="68"/>
        <v>2900</v>
      </c>
      <c r="W143" s="9">
        <f t="shared" si="68"/>
        <v>2900</v>
      </c>
      <c r="X143" s="9">
        <f t="shared" si="68"/>
        <v>2900</v>
      </c>
      <c r="Y143" s="9">
        <f t="shared" si="68"/>
        <v>2900</v>
      </c>
      <c r="Z143" s="9">
        <f t="shared" si="68"/>
        <v>2900</v>
      </c>
      <c r="AA143" s="9">
        <f t="shared" si="68"/>
        <v>2900</v>
      </c>
      <c r="AB143" s="10"/>
    </row>
    <row r="144" spans="2:28" s="7" customFormat="1" x14ac:dyDescent="0.2">
      <c r="B144" s="23" t="s">
        <v>56</v>
      </c>
      <c r="C144" s="44"/>
      <c r="D144" s="158">
        <v>3200</v>
      </c>
      <c r="E144" s="9">
        <f t="shared" si="67"/>
        <v>3200</v>
      </c>
      <c r="F144" s="9">
        <f t="shared" si="67"/>
        <v>3200</v>
      </c>
      <c r="G144" s="9">
        <f t="shared" si="67"/>
        <v>3200</v>
      </c>
      <c r="H144" s="9">
        <f t="shared" si="67"/>
        <v>3200</v>
      </c>
      <c r="I144" s="9">
        <f t="shared" si="67"/>
        <v>3200</v>
      </c>
      <c r="J144" s="9">
        <f t="shared" si="67"/>
        <v>3200</v>
      </c>
      <c r="K144" s="9">
        <f t="shared" si="67"/>
        <v>3200</v>
      </c>
      <c r="L144" s="9">
        <f t="shared" si="67"/>
        <v>3200</v>
      </c>
      <c r="M144" s="9">
        <f t="shared" si="67"/>
        <v>3200</v>
      </c>
      <c r="N144" s="9">
        <f t="shared" si="67"/>
        <v>3200</v>
      </c>
      <c r="O144" s="9">
        <f t="shared" si="67"/>
        <v>3200</v>
      </c>
      <c r="P144" s="9">
        <f t="shared" si="67"/>
        <v>3200</v>
      </c>
      <c r="Q144" s="9">
        <f t="shared" si="67"/>
        <v>3200</v>
      </c>
      <c r="R144" s="9">
        <f t="shared" si="68"/>
        <v>3200</v>
      </c>
      <c r="S144" s="9">
        <f t="shared" si="68"/>
        <v>3200</v>
      </c>
      <c r="T144" s="9">
        <f t="shared" si="68"/>
        <v>3200</v>
      </c>
      <c r="U144" s="9">
        <f t="shared" si="68"/>
        <v>3200</v>
      </c>
      <c r="V144" s="9">
        <f t="shared" si="68"/>
        <v>3200</v>
      </c>
      <c r="W144" s="9">
        <f t="shared" si="68"/>
        <v>3200</v>
      </c>
      <c r="X144" s="9">
        <f t="shared" si="68"/>
        <v>3200</v>
      </c>
      <c r="Y144" s="9">
        <f t="shared" si="68"/>
        <v>3200</v>
      </c>
      <c r="Z144" s="9">
        <f t="shared" si="68"/>
        <v>3200</v>
      </c>
      <c r="AA144" s="9">
        <f t="shared" si="68"/>
        <v>3200</v>
      </c>
      <c r="AB144" s="10"/>
    </row>
    <row r="145" spans="2:28" s="7" customFormat="1" x14ac:dyDescent="0.2">
      <c r="B145" s="55" t="s">
        <v>374</v>
      </c>
      <c r="C145" s="44"/>
      <c r="D145" s="9"/>
      <c r="E145" s="9"/>
      <c r="F145" s="9"/>
      <c r="G145" s="158">
        <v>4500</v>
      </c>
      <c r="H145" s="9">
        <f t="shared" si="67"/>
        <v>4500</v>
      </c>
      <c r="I145" s="9">
        <f t="shared" si="67"/>
        <v>4500</v>
      </c>
      <c r="J145" s="9">
        <f t="shared" si="67"/>
        <v>4500</v>
      </c>
      <c r="K145" s="9">
        <f t="shared" si="67"/>
        <v>4500</v>
      </c>
      <c r="L145" s="9">
        <f t="shared" si="67"/>
        <v>4500</v>
      </c>
      <c r="M145" s="9">
        <f t="shared" si="67"/>
        <v>4500</v>
      </c>
      <c r="N145" s="9">
        <f t="shared" si="67"/>
        <v>4500</v>
      </c>
      <c r="O145" s="9">
        <f t="shared" si="67"/>
        <v>4500</v>
      </c>
      <c r="P145" s="9">
        <f t="shared" si="67"/>
        <v>4500</v>
      </c>
      <c r="Q145" s="9">
        <f t="shared" si="67"/>
        <v>4500</v>
      </c>
      <c r="R145" s="9">
        <f t="shared" si="68"/>
        <v>4500</v>
      </c>
      <c r="S145" s="9">
        <f t="shared" si="68"/>
        <v>4500</v>
      </c>
      <c r="T145" s="9">
        <f t="shared" si="68"/>
        <v>4500</v>
      </c>
      <c r="U145" s="9">
        <f t="shared" si="68"/>
        <v>4500</v>
      </c>
      <c r="V145" s="9">
        <f t="shared" si="68"/>
        <v>4500</v>
      </c>
      <c r="W145" s="9">
        <f t="shared" si="68"/>
        <v>4500</v>
      </c>
      <c r="X145" s="9">
        <f t="shared" si="68"/>
        <v>4500</v>
      </c>
      <c r="Y145" s="9">
        <f t="shared" si="68"/>
        <v>4500</v>
      </c>
      <c r="Z145" s="9">
        <f t="shared" si="68"/>
        <v>4500</v>
      </c>
      <c r="AA145" s="9">
        <f t="shared" si="68"/>
        <v>4500</v>
      </c>
      <c r="AB145" s="10"/>
    </row>
    <row r="146" spans="2:28" s="7" customFormat="1" x14ac:dyDescent="0.2">
      <c r="B146" s="55" t="s">
        <v>365</v>
      </c>
      <c r="C146" s="44"/>
      <c r="D146" s="9"/>
      <c r="E146" s="9"/>
      <c r="F146" s="9"/>
      <c r="G146" s="158">
        <v>4250</v>
      </c>
      <c r="H146" s="9">
        <f t="shared" si="67"/>
        <v>4250</v>
      </c>
      <c r="I146" s="9">
        <f t="shared" si="67"/>
        <v>4250</v>
      </c>
      <c r="J146" s="9">
        <f t="shared" si="67"/>
        <v>4250</v>
      </c>
      <c r="K146" s="9">
        <f t="shared" si="67"/>
        <v>4250</v>
      </c>
      <c r="L146" s="9">
        <f t="shared" si="67"/>
        <v>4250</v>
      </c>
      <c r="M146" s="9">
        <f t="shared" si="67"/>
        <v>4250</v>
      </c>
      <c r="N146" s="9">
        <f t="shared" si="67"/>
        <v>4250</v>
      </c>
      <c r="O146" s="9">
        <f t="shared" si="67"/>
        <v>4250</v>
      </c>
      <c r="P146" s="9">
        <f t="shared" si="67"/>
        <v>4250</v>
      </c>
      <c r="Q146" s="9">
        <f t="shared" si="67"/>
        <v>4250</v>
      </c>
      <c r="R146" s="9">
        <f t="shared" si="68"/>
        <v>4250</v>
      </c>
      <c r="S146" s="9">
        <f t="shared" si="68"/>
        <v>4250</v>
      </c>
      <c r="T146" s="9">
        <f t="shared" si="68"/>
        <v>4250</v>
      </c>
      <c r="U146" s="9">
        <f t="shared" si="68"/>
        <v>4250</v>
      </c>
      <c r="V146" s="9">
        <f t="shared" si="68"/>
        <v>4250</v>
      </c>
      <c r="W146" s="9">
        <f t="shared" si="68"/>
        <v>4250</v>
      </c>
      <c r="X146" s="9">
        <f t="shared" si="68"/>
        <v>4250</v>
      </c>
      <c r="Y146" s="9">
        <f t="shared" si="68"/>
        <v>4250</v>
      </c>
      <c r="Z146" s="9">
        <f t="shared" si="68"/>
        <v>4250</v>
      </c>
      <c r="AA146" s="9">
        <f t="shared" si="68"/>
        <v>4250</v>
      </c>
      <c r="AB146" s="10"/>
    </row>
    <row r="147" spans="2:28" s="7" customFormat="1" x14ac:dyDescent="0.2">
      <c r="B147" s="55" t="s">
        <v>366</v>
      </c>
      <c r="C147" s="44"/>
      <c r="D147" s="9"/>
      <c r="E147" s="9"/>
      <c r="F147" s="9"/>
      <c r="G147" s="9"/>
      <c r="H147" s="9"/>
      <c r="I147" s="9"/>
      <c r="J147" s="9"/>
      <c r="K147" s="9"/>
      <c r="L147" s="159">
        <v>4250</v>
      </c>
      <c r="M147" s="9">
        <f t="shared" si="67"/>
        <v>4250</v>
      </c>
      <c r="N147" s="9">
        <f t="shared" si="67"/>
        <v>4250</v>
      </c>
      <c r="O147" s="9">
        <f t="shared" si="67"/>
        <v>4250</v>
      </c>
      <c r="P147" s="9">
        <f t="shared" si="67"/>
        <v>4250</v>
      </c>
      <c r="Q147" s="9">
        <f t="shared" si="67"/>
        <v>4250</v>
      </c>
      <c r="R147" s="9">
        <f t="shared" si="68"/>
        <v>4250</v>
      </c>
      <c r="S147" s="9">
        <f t="shared" si="68"/>
        <v>4250</v>
      </c>
      <c r="T147" s="9">
        <f t="shared" si="68"/>
        <v>4250</v>
      </c>
      <c r="U147" s="9">
        <f t="shared" si="68"/>
        <v>4250</v>
      </c>
      <c r="V147" s="9">
        <f t="shared" si="68"/>
        <v>4250</v>
      </c>
      <c r="W147" s="9">
        <f t="shared" si="68"/>
        <v>4250</v>
      </c>
      <c r="X147" s="9">
        <f t="shared" si="68"/>
        <v>4250</v>
      </c>
      <c r="Y147" s="9">
        <f t="shared" si="68"/>
        <v>4250</v>
      </c>
      <c r="Z147" s="9">
        <f t="shared" si="68"/>
        <v>4250</v>
      </c>
      <c r="AA147" s="9">
        <f t="shared" si="68"/>
        <v>4250</v>
      </c>
      <c r="AB147" s="10"/>
    </row>
    <row r="148" spans="2:28" s="7" customFormat="1" x14ac:dyDescent="0.2">
      <c r="B148" s="10"/>
      <c r="C148" s="10"/>
      <c r="D148" s="9"/>
      <c r="E148" s="9"/>
      <c r="F148" s="9"/>
      <c r="G148" s="9"/>
      <c r="H148" s="9"/>
      <c r="I148" s="9"/>
      <c r="J148" s="9"/>
      <c r="K148" s="9"/>
      <c r="L148" s="9"/>
      <c r="M148" s="9"/>
      <c r="N148" s="9"/>
      <c r="O148" s="9"/>
      <c r="P148" s="9"/>
      <c r="Q148" s="9"/>
      <c r="R148" s="9"/>
      <c r="S148" s="9"/>
      <c r="T148" s="9"/>
      <c r="U148" s="9"/>
      <c r="V148" s="9"/>
      <c r="W148" s="9"/>
      <c r="X148" s="9"/>
      <c r="Y148" s="9"/>
      <c r="Z148" s="9"/>
      <c r="AA148" s="27"/>
      <c r="AB148" s="10"/>
    </row>
    <row r="149" spans="2:28" s="7" customFormat="1" x14ac:dyDescent="0.2">
      <c r="B149" s="10"/>
      <c r="C149" s="10"/>
      <c r="D149" s="9"/>
      <c r="E149" s="9"/>
      <c r="F149" s="9"/>
      <c r="G149" s="9"/>
      <c r="H149" s="9"/>
      <c r="I149" s="9"/>
      <c r="J149" s="9"/>
      <c r="K149" s="9"/>
      <c r="L149" s="9"/>
      <c r="M149" s="9"/>
      <c r="N149" s="9"/>
      <c r="O149" s="9"/>
      <c r="P149" s="9"/>
      <c r="Q149" s="9"/>
      <c r="R149" s="9"/>
      <c r="S149" s="9"/>
      <c r="T149" s="9"/>
      <c r="U149" s="9"/>
      <c r="V149" s="9"/>
      <c r="W149" s="9"/>
      <c r="X149" s="9"/>
      <c r="Y149" s="9"/>
      <c r="Z149" s="9"/>
      <c r="AA149" s="27"/>
      <c r="AB149" s="10"/>
    </row>
    <row r="150" spans="2:28" s="7" customFormat="1" x14ac:dyDescent="0.2">
      <c r="B150" s="1" t="s">
        <v>249</v>
      </c>
      <c r="C150" s="1"/>
      <c r="D150" s="151">
        <f t="shared" ref="D150:AA150" si="69">D$6</f>
        <v>2017</v>
      </c>
      <c r="E150" s="151">
        <f t="shared" si="69"/>
        <v>2018</v>
      </c>
      <c r="F150" s="151">
        <f t="shared" si="69"/>
        <v>2019</v>
      </c>
      <c r="G150" s="151">
        <f t="shared" si="69"/>
        <v>2020</v>
      </c>
      <c r="H150" s="151">
        <f t="shared" si="69"/>
        <v>2021</v>
      </c>
      <c r="I150" s="151">
        <f t="shared" si="69"/>
        <v>2022</v>
      </c>
      <c r="J150" s="151">
        <f t="shared" si="69"/>
        <v>2023</v>
      </c>
      <c r="K150" s="151">
        <f t="shared" si="69"/>
        <v>2024</v>
      </c>
      <c r="L150" s="151">
        <f t="shared" si="69"/>
        <v>2025</v>
      </c>
      <c r="M150" s="151">
        <f t="shared" si="69"/>
        <v>2026</v>
      </c>
      <c r="N150" s="151">
        <f t="shared" si="69"/>
        <v>2027</v>
      </c>
      <c r="O150" s="151">
        <f t="shared" si="69"/>
        <v>2028</v>
      </c>
      <c r="P150" s="151">
        <f t="shared" si="69"/>
        <v>2029</v>
      </c>
      <c r="Q150" s="151">
        <f t="shared" si="69"/>
        <v>2030</v>
      </c>
      <c r="R150" s="151">
        <f t="shared" si="69"/>
        <v>2031</v>
      </c>
      <c r="S150" s="151">
        <f t="shared" si="69"/>
        <v>2032</v>
      </c>
      <c r="T150" s="151">
        <f t="shared" si="69"/>
        <v>2033</v>
      </c>
      <c r="U150" s="151">
        <f t="shared" si="69"/>
        <v>2034</v>
      </c>
      <c r="V150" s="151">
        <f t="shared" si="69"/>
        <v>2035</v>
      </c>
      <c r="W150" s="151">
        <f t="shared" si="69"/>
        <v>2036</v>
      </c>
      <c r="X150" s="151">
        <f t="shared" si="69"/>
        <v>2037</v>
      </c>
      <c r="Y150" s="151">
        <f t="shared" si="69"/>
        <v>2038</v>
      </c>
      <c r="Z150" s="151">
        <f t="shared" si="69"/>
        <v>2039</v>
      </c>
      <c r="AA150" s="151">
        <f t="shared" si="69"/>
        <v>2040</v>
      </c>
      <c r="AB150" s="10"/>
    </row>
    <row r="151" spans="2:28" s="7" customFormat="1" x14ac:dyDescent="0.2">
      <c r="B151" s="163" t="s">
        <v>192</v>
      </c>
      <c r="C151" s="174"/>
      <c r="D151" s="9"/>
      <c r="E151" s="9"/>
      <c r="F151" s="9"/>
      <c r="G151" s="9"/>
      <c r="H151" s="9"/>
      <c r="I151" s="9"/>
      <c r="J151" s="9"/>
      <c r="K151" s="9"/>
      <c r="L151" s="9"/>
      <c r="M151" s="9"/>
      <c r="N151" s="9"/>
      <c r="O151" s="9"/>
      <c r="P151" s="9"/>
      <c r="Q151" s="9"/>
      <c r="R151" s="9"/>
      <c r="S151" s="9"/>
      <c r="T151" s="9"/>
      <c r="U151" s="9"/>
      <c r="V151" s="9"/>
      <c r="W151" s="9"/>
      <c r="X151" s="9"/>
      <c r="Y151" s="9"/>
      <c r="Z151" s="9"/>
      <c r="AA151" s="9"/>
      <c r="AB151" s="10"/>
    </row>
    <row r="152" spans="2:28" s="7" customFormat="1" x14ac:dyDescent="0.2">
      <c r="B152" s="23" t="s">
        <v>48</v>
      </c>
      <c r="C152" s="23"/>
      <c r="D152" s="9">
        <f t="shared" ref="D152:AA152" si="70">D46*D131/1000</f>
        <v>0</v>
      </c>
      <c r="E152" s="9">
        <f t="shared" si="70"/>
        <v>0</v>
      </c>
      <c r="F152" s="9">
        <f t="shared" si="70"/>
        <v>0</v>
      </c>
      <c r="G152" s="9">
        <f t="shared" si="70"/>
        <v>0</v>
      </c>
      <c r="H152" s="9">
        <f t="shared" si="70"/>
        <v>0</v>
      </c>
      <c r="I152" s="9">
        <f t="shared" si="70"/>
        <v>0</v>
      </c>
      <c r="J152" s="9">
        <f t="shared" si="70"/>
        <v>0</v>
      </c>
      <c r="K152" s="9">
        <f t="shared" si="70"/>
        <v>0</v>
      </c>
      <c r="L152" s="9">
        <f t="shared" si="70"/>
        <v>0</v>
      </c>
      <c r="M152" s="9">
        <f t="shared" si="70"/>
        <v>0</v>
      </c>
      <c r="N152" s="9">
        <f t="shared" si="70"/>
        <v>0</v>
      </c>
      <c r="O152" s="9">
        <f t="shared" si="70"/>
        <v>0</v>
      </c>
      <c r="P152" s="9">
        <f t="shared" si="70"/>
        <v>0</v>
      </c>
      <c r="Q152" s="9">
        <f t="shared" si="70"/>
        <v>0</v>
      </c>
      <c r="R152" s="9">
        <f t="shared" si="70"/>
        <v>0</v>
      </c>
      <c r="S152" s="9">
        <f t="shared" si="70"/>
        <v>0</v>
      </c>
      <c r="T152" s="9">
        <f t="shared" si="70"/>
        <v>0</v>
      </c>
      <c r="U152" s="9">
        <f t="shared" si="70"/>
        <v>0</v>
      </c>
      <c r="V152" s="9">
        <f t="shared" si="70"/>
        <v>0</v>
      </c>
      <c r="W152" s="9">
        <f t="shared" si="70"/>
        <v>0</v>
      </c>
      <c r="X152" s="9">
        <f t="shared" si="70"/>
        <v>0</v>
      </c>
      <c r="Y152" s="9">
        <f t="shared" si="70"/>
        <v>0</v>
      </c>
      <c r="Z152" s="9">
        <f t="shared" si="70"/>
        <v>0</v>
      </c>
      <c r="AA152" s="9">
        <f t="shared" si="70"/>
        <v>0</v>
      </c>
      <c r="AB152" s="10"/>
    </row>
    <row r="153" spans="2:28" s="7" customFormat="1" x14ac:dyDescent="0.2">
      <c r="B153" s="23" t="s">
        <v>49</v>
      </c>
      <c r="C153" s="23"/>
      <c r="D153" s="9">
        <f t="shared" ref="D153:AA153" si="71">D47*D132/1000</f>
        <v>92</v>
      </c>
      <c r="E153" s="9">
        <f t="shared" si="71"/>
        <v>92</v>
      </c>
      <c r="F153" s="9">
        <f t="shared" si="71"/>
        <v>92</v>
      </c>
      <c r="G153" s="9">
        <f t="shared" si="71"/>
        <v>92</v>
      </c>
      <c r="H153" s="9">
        <f t="shared" si="71"/>
        <v>92</v>
      </c>
      <c r="I153" s="9">
        <f t="shared" si="71"/>
        <v>92</v>
      </c>
      <c r="J153" s="9">
        <f t="shared" si="71"/>
        <v>92</v>
      </c>
      <c r="K153" s="9">
        <f t="shared" si="71"/>
        <v>92</v>
      </c>
      <c r="L153" s="9">
        <f t="shared" si="71"/>
        <v>92</v>
      </c>
      <c r="M153" s="9">
        <f t="shared" si="71"/>
        <v>0</v>
      </c>
      <c r="N153" s="9">
        <f t="shared" si="71"/>
        <v>0</v>
      </c>
      <c r="O153" s="9">
        <f t="shared" si="71"/>
        <v>0</v>
      </c>
      <c r="P153" s="9">
        <f t="shared" si="71"/>
        <v>0</v>
      </c>
      <c r="Q153" s="9">
        <f t="shared" si="71"/>
        <v>0</v>
      </c>
      <c r="R153" s="9">
        <f t="shared" si="71"/>
        <v>0</v>
      </c>
      <c r="S153" s="9">
        <f t="shared" si="71"/>
        <v>0</v>
      </c>
      <c r="T153" s="9">
        <f t="shared" si="71"/>
        <v>0</v>
      </c>
      <c r="U153" s="9">
        <f t="shared" si="71"/>
        <v>0</v>
      </c>
      <c r="V153" s="9">
        <f t="shared" si="71"/>
        <v>0</v>
      </c>
      <c r="W153" s="9">
        <f t="shared" si="71"/>
        <v>0</v>
      </c>
      <c r="X153" s="9">
        <f t="shared" si="71"/>
        <v>0</v>
      </c>
      <c r="Y153" s="9">
        <f t="shared" si="71"/>
        <v>0</v>
      </c>
      <c r="Z153" s="9">
        <f t="shared" si="71"/>
        <v>0</v>
      </c>
      <c r="AA153" s="9">
        <f t="shared" si="71"/>
        <v>0</v>
      </c>
      <c r="AB153" s="10"/>
    </row>
    <row r="154" spans="2:28" s="7" customFormat="1" x14ac:dyDescent="0.2">
      <c r="B154" s="23" t="s">
        <v>50</v>
      </c>
      <c r="C154" s="23"/>
      <c r="D154" s="9">
        <f t="shared" ref="D154:AA154" si="72">D48*D133/1000</f>
        <v>24.12</v>
      </c>
      <c r="E154" s="9">
        <f t="shared" si="72"/>
        <v>24.12</v>
      </c>
      <c r="F154" s="9">
        <f t="shared" si="72"/>
        <v>24.12</v>
      </c>
      <c r="G154" s="9">
        <f t="shared" si="72"/>
        <v>24.12</v>
      </c>
      <c r="H154" s="9">
        <f t="shared" si="72"/>
        <v>24.12</v>
      </c>
      <c r="I154" s="9">
        <f t="shared" si="72"/>
        <v>24.12</v>
      </c>
      <c r="J154" s="9">
        <f t="shared" si="72"/>
        <v>24.12</v>
      </c>
      <c r="K154" s="9">
        <f t="shared" si="72"/>
        <v>24.12</v>
      </c>
      <c r="L154" s="9">
        <f t="shared" si="72"/>
        <v>24.12</v>
      </c>
      <c r="M154" s="9">
        <f t="shared" si="72"/>
        <v>24.12</v>
      </c>
      <c r="N154" s="9">
        <f t="shared" si="72"/>
        <v>24.12</v>
      </c>
      <c r="O154" s="9">
        <f t="shared" si="72"/>
        <v>24.12</v>
      </c>
      <c r="P154" s="9">
        <f t="shared" si="72"/>
        <v>24.12</v>
      </c>
      <c r="Q154" s="9">
        <f t="shared" si="72"/>
        <v>24.12</v>
      </c>
      <c r="R154" s="9">
        <f t="shared" si="72"/>
        <v>24.12</v>
      </c>
      <c r="S154" s="9">
        <f t="shared" si="72"/>
        <v>24.12</v>
      </c>
      <c r="T154" s="9">
        <f t="shared" si="72"/>
        <v>24.12</v>
      </c>
      <c r="U154" s="9">
        <f t="shared" si="72"/>
        <v>24.12</v>
      </c>
      <c r="V154" s="9">
        <f t="shared" si="72"/>
        <v>0</v>
      </c>
      <c r="W154" s="9">
        <f t="shared" si="72"/>
        <v>0</v>
      </c>
      <c r="X154" s="9">
        <f t="shared" si="72"/>
        <v>0</v>
      </c>
      <c r="Y154" s="9">
        <f t="shared" si="72"/>
        <v>0</v>
      </c>
      <c r="Z154" s="9">
        <f t="shared" si="72"/>
        <v>0</v>
      </c>
      <c r="AA154" s="9">
        <f t="shared" si="72"/>
        <v>0</v>
      </c>
      <c r="AB154" s="10"/>
    </row>
    <row r="155" spans="2:28" s="7" customFormat="1" x14ac:dyDescent="0.2">
      <c r="B155" s="23" t="s">
        <v>51</v>
      </c>
      <c r="C155" s="23"/>
      <c r="D155" s="9">
        <f t="shared" ref="D155:AA155" si="73">D49*D134/1000</f>
        <v>12.06</v>
      </c>
      <c r="E155" s="9">
        <f t="shared" si="73"/>
        <v>12.06</v>
      </c>
      <c r="F155" s="9">
        <f t="shared" si="73"/>
        <v>12.06</v>
      </c>
      <c r="G155" s="9">
        <f t="shared" si="73"/>
        <v>12.06</v>
      </c>
      <c r="H155" s="9">
        <f t="shared" si="73"/>
        <v>12.06</v>
      </c>
      <c r="I155" s="9">
        <f t="shared" si="73"/>
        <v>12.06</v>
      </c>
      <c r="J155" s="9">
        <f t="shared" si="73"/>
        <v>12.06</v>
      </c>
      <c r="K155" s="9">
        <f t="shared" si="73"/>
        <v>12.06</v>
      </c>
      <c r="L155" s="9">
        <f t="shared" si="73"/>
        <v>12.06</v>
      </c>
      <c r="M155" s="9">
        <f t="shared" si="73"/>
        <v>12.06</v>
      </c>
      <c r="N155" s="9">
        <f t="shared" si="73"/>
        <v>12.06</v>
      </c>
      <c r="O155" s="9">
        <f t="shared" si="73"/>
        <v>12.06</v>
      </c>
      <c r="P155" s="9">
        <f t="shared" si="73"/>
        <v>12.06</v>
      </c>
      <c r="Q155" s="9">
        <f t="shared" si="73"/>
        <v>12.06</v>
      </c>
      <c r="R155" s="9">
        <f t="shared" si="73"/>
        <v>12.06</v>
      </c>
      <c r="S155" s="9">
        <f t="shared" si="73"/>
        <v>12.06</v>
      </c>
      <c r="T155" s="9">
        <f t="shared" si="73"/>
        <v>12.06</v>
      </c>
      <c r="U155" s="9">
        <f t="shared" si="73"/>
        <v>12.06</v>
      </c>
      <c r="V155" s="9">
        <f t="shared" si="73"/>
        <v>12.06</v>
      </c>
      <c r="W155" s="9">
        <f t="shared" si="73"/>
        <v>12.06</v>
      </c>
      <c r="X155" s="9">
        <f t="shared" si="73"/>
        <v>0</v>
      </c>
      <c r="Y155" s="9">
        <f t="shared" si="73"/>
        <v>0</v>
      </c>
      <c r="Z155" s="9">
        <f t="shared" si="73"/>
        <v>0</v>
      </c>
      <c r="AA155" s="9">
        <f t="shared" si="73"/>
        <v>0</v>
      </c>
      <c r="AB155" s="10"/>
    </row>
    <row r="156" spans="2:28" s="7" customFormat="1" x14ac:dyDescent="0.2">
      <c r="B156" s="55" t="s">
        <v>374</v>
      </c>
      <c r="C156" s="55"/>
      <c r="D156" s="9">
        <f t="shared" ref="D156:AA156" si="74">D50*D135/1000</f>
        <v>0</v>
      </c>
      <c r="E156" s="9">
        <f t="shared" si="74"/>
        <v>0</v>
      </c>
      <c r="F156" s="9">
        <f t="shared" si="74"/>
        <v>0</v>
      </c>
      <c r="G156" s="9">
        <f t="shared" si="74"/>
        <v>0</v>
      </c>
      <c r="H156" s="9">
        <f t="shared" si="74"/>
        <v>0</v>
      </c>
      <c r="I156" s="9">
        <f t="shared" si="74"/>
        <v>0</v>
      </c>
      <c r="J156" s="9">
        <f t="shared" si="74"/>
        <v>0</v>
      </c>
      <c r="K156" s="9">
        <f t="shared" si="74"/>
        <v>0</v>
      </c>
      <c r="L156" s="9">
        <f t="shared" si="74"/>
        <v>0</v>
      </c>
      <c r="M156" s="9">
        <f t="shared" si="74"/>
        <v>0</v>
      </c>
      <c r="N156" s="9">
        <f t="shared" si="74"/>
        <v>0</v>
      </c>
      <c r="O156" s="9">
        <f t="shared" si="74"/>
        <v>0</v>
      </c>
      <c r="P156" s="9">
        <f t="shared" si="74"/>
        <v>0</v>
      </c>
      <c r="Q156" s="9">
        <f t="shared" si="74"/>
        <v>0</v>
      </c>
      <c r="R156" s="9">
        <f t="shared" si="74"/>
        <v>0</v>
      </c>
      <c r="S156" s="9">
        <f t="shared" si="74"/>
        <v>0</v>
      </c>
      <c r="T156" s="9">
        <f t="shared" si="74"/>
        <v>0</v>
      </c>
      <c r="U156" s="9">
        <f t="shared" si="74"/>
        <v>0</v>
      </c>
      <c r="V156" s="9">
        <f t="shared" si="74"/>
        <v>0</v>
      </c>
      <c r="W156" s="9">
        <f t="shared" si="74"/>
        <v>0</v>
      </c>
      <c r="X156" s="9">
        <f t="shared" si="74"/>
        <v>0</v>
      </c>
      <c r="Y156" s="9">
        <f t="shared" si="74"/>
        <v>0</v>
      </c>
      <c r="Z156" s="9">
        <f t="shared" si="74"/>
        <v>0</v>
      </c>
      <c r="AA156" s="9">
        <f t="shared" si="74"/>
        <v>0</v>
      </c>
      <c r="AB156" s="10"/>
    </row>
    <row r="157" spans="2:28" s="7" customFormat="1" x14ac:dyDescent="0.2">
      <c r="B157" s="55" t="s">
        <v>365</v>
      </c>
      <c r="C157" s="55"/>
      <c r="D157" s="9">
        <f t="shared" ref="D157:AA157" si="75">D51*D136/1000</f>
        <v>0</v>
      </c>
      <c r="E157" s="9">
        <f t="shared" si="75"/>
        <v>0</v>
      </c>
      <c r="F157" s="9">
        <f t="shared" si="75"/>
        <v>0</v>
      </c>
      <c r="G157" s="9">
        <f t="shared" si="75"/>
        <v>0</v>
      </c>
      <c r="H157" s="9">
        <f t="shared" si="75"/>
        <v>0</v>
      </c>
      <c r="I157" s="9">
        <f t="shared" si="75"/>
        <v>0</v>
      </c>
      <c r="J157" s="9">
        <f t="shared" si="75"/>
        <v>0</v>
      </c>
      <c r="K157" s="9">
        <f t="shared" si="75"/>
        <v>0</v>
      </c>
      <c r="L157" s="9">
        <f t="shared" si="75"/>
        <v>0</v>
      </c>
      <c r="M157" s="9">
        <f t="shared" si="75"/>
        <v>0</v>
      </c>
      <c r="N157" s="9">
        <f t="shared" si="75"/>
        <v>0</v>
      </c>
      <c r="O157" s="9">
        <f t="shared" si="75"/>
        <v>0</v>
      </c>
      <c r="P157" s="9">
        <f t="shared" si="75"/>
        <v>0</v>
      </c>
      <c r="Q157" s="9">
        <f t="shared" si="75"/>
        <v>0</v>
      </c>
      <c r="R157" s="9">
        <f t="shared" si="75"/>
        <v>0</v>
      </c>
      <c r="S157" s="9">
        <f t="shared" si="75"/>
        <v>0</v>
      </c>
      <c r="T157" s="9">
        <f t="shared" si="75"/>
        <v>0</v>
      </c>
      <c r="U157" s="9">
        <f t="shared" si="75"/>
        <v>0</v>
      </c>
      <c r="V157" s="9">
        <f t="shared" si="75"/>
        <v>0</v>
      </c>
      <c r="W157" s="9">
        <f t="shared" si="75"/>
        <v>0</v>
      </c>
      <c r="X157" s="9">
        <f t="shared" si="75"/>
        <v>0</v>
      </c>
      <c r="Y157" s="9">
        <f t="shared" si="75"/>
        <v>0</v>
      </c>
      <c r="Z157" s="9">
        <f t="shared" si="75"/>
        <v>0</v>
      </c>
      <c r="AA157" s="9">
        <f t="shared" si="75"/>
        <v>0</v>
      </c>
      <c r="AB157" s="10"/>
    </row>
    <row r="158" spans="2:28" s="7" customFormat="1" x14ac:dyDescent="0.2">
      <c r="B158" s="55" t="s">
        <v>366</v>
      </c>
      <c r="C158" s="55"/>
      <c r="D158" s="9">
        <f t="shared" ref="D158:AA158" si="76">D52*D137/1000</f>
        <v>0</v>
      </c>
      <c r="E158" s="9">
        <f t="shared" si="76"/>
        <v>0</v>
      </c>
      <c r="F158" s="9">
        <f t="shared" si="76"/>
        <v>0</v>
      </c>
      <c r="G158" s="9">
        <f t="shared" si="76"/>
        <v>0</v>
      </c>
      <c r="H158" s="9">
        <f t="shared" si="76"/>
        <v>0</v>
      </c>
      <c r="I158" s="9">
        <f t="shared" si="76"/>
        <v>0</v>
      </c>
      <c r="J158" s="9">
        <f t="shared" si="76"/>
        <v>0</v>
      </c>
      <c r="K158" s="9">
        <f t="shared" si="76"/>
        <v>0</v>
      </c>
      <c r="L158" s="9">
        <f t="shared" si="76"/>
        <v>400</v>
      </c>
      <c r="M158" s="9">
        <f t="shared" si="76"/>
        <v>400</v>
      </c>
      <c r="N158" s="9">
        <f t="shared" si="76"/>
        <v>400</v>
      </c>
      <c r="O158" s="9">
        <f t="shared" si="76"/>
        <v>400</v>
      </c>
      <c r="P158" s="9">
        <f t="shared" si="76"/>
        <v>400</v>
      </c>
      <c r="Q158" s="9">
        <f t="shared" si="76"/>
        <v>800</v>
      </c>
      <c r="R158" s="9">
        <f t="shared" si="76"/>
        <v>800</v>
      </c>
      <c r="S158" s="9">
        <f t="shared" si="76"/>
        <v>800</v>
      </c>
      <c r="T158" s="9">
        <f t="shared" si="76"/>
        <v>800</v>
      </c>
      <c r="U158" s="9">
        <f t="shared" si="76"/>
        <v>800</v>
      </c>
      <c r="V158" s="9">
        <f t="shared" si="76"/>
        <v>1200</v>
      </c>
      <c r="W158" s="9">
        <f t="shared" si="76"/>
        <v>1200</v>
      </c>
      <c r="X158" s="9">
        <f t="shared" si="76"/>
        <v>1200</v>
      </c>
      <c r="Y158" s="9">
        <f t="shared" si="76"/>
        <v>1200</v>
      </c>
      <c r="Z158" s="9">
        <f t="shared" si="76"/>
        <v>1200</v>
      </c>
      <c r="AA158" s="9">
        <f t="shared" si="76"/>
        <v>1600</v>
      </c>
      <c r="AB158" s="10"/>
    </row>
    <row r="159" spans="2:28" s="7" customFormat="1" x14ac:dyDescent="0.2">
      <c r="B159" s="163" t="str">
        <f>"Total, "&amp;B151</f>
        <v>Total, Eastern Denmark (DK2)</v>
      </c>
      <c r="C159" s="163"/>
      <c r="D159" s="167">
        <f t="shared" ref="D159:AA159" si="77">SUM(D152:D158)</f>
        <v>128.18</v>
      </c>
      <c r="E159" s="167">
        <f t="shared" si="77"/>
        <v>128.18</v>
      </c>
      <c r="F159" s="167">
        <f t="shared" si="77"/>
        <v>128.18</v>
      </c>
      <c r="G159" s="167">
        <f t="shared" si="77"/>
        <v>128.18</v>
      </c>
      <c r="H159" s="167">
        <f t="shared" si="77"/>
        <v>128.18</v>
      </c>
      <c r="I159" s="167">
        <f t="shared" si="77"/>
        <v>128.18</v>
      </c>
      <c r="J159" s="167">
        <f t="shared" si="77"/>
        <v>128.18</v>
      </c>
      <c r="K159" s="167">
        <f t="shared" si="77"/>
        <v>128.18</v>
      </c>
      <c r="L159" s="167">
        <f t="shared" si="77"/>
        <v>528.18000000000006</v>
      </c>
      <c r="M159" s="167">
        <f t="shared" si="77"/>
        <v>436.18</v>
      </c>
      <c r="N159" s="167">
        <f t="shared" si="77"/>
        <v>436.18</v>
      </c>
      <c r="O159" s="167">
        <f t="shared" si="77"/>
        <v>436.18</v>
      </c>
      <c r="P159" s="167">
        <f t="shared" si="77"/>
        <v>436.18</v>
      </c>
      <c r="Q159" s="167">
        <f t="shared" si="77"/>
        <v>836.18</v>
      </c>
      <c r="R159" s="167">
        <f t="shared" si="77"/>
        <v>836.18</v>
      </c>
      <c r="S159" s="167">
        <f t="shared" si="77"/>
        <v>836.18</v>
      </c>
      <c r="T159" s="167">
        <f t="shared" si="77"/>
        <v>836.18</v>
      </c>
      <c r="U159" s="167">
        <f t="shared" si="77"/>
        <v>836.18</v>
      </c>
      <c r="V159" s="167">
        <f t="shared" si="77"/>
        <v>1212.06</v>
      </c>
      <c r="W159" s="167">
        <f t="shared" si="77"/>
        <v>1212.06</v>
      </c>
      <c r="X159" s="167">
        <f t="shared" si="77"/>
        <v>1200</v>
      </c>
      <c r="Y159" s="167">
        <f t="shared" si="77"/>
        <v>1200</v>
      </c>
      <c r="Z159" s="167">
        <f t="shared" si="77"/>
        <v>1200</v>
      </c>
      <c r="AA159" s="167">
        <f t="shared" si="77"/>
        <v>1600</v>
      </c>
      <c r="AB159" s="10"/>
    </row>
    <row r="160" spans="2:28" s="7" customFormat="1" x14ac:dyDescent="0.2">
      <c r="B160" s="55"/>
      <c r="C160" s="55"/>
      <c r="D160" s="9"/>
      <c r="E160" s="9"/>
      <c r="F160" s="9"/>
      <c r="G160" s="9"/>
      <c r="H160" s="9"/>
      <c r="I160" s="9"/>
      <c r="J160" s="9"/>
      <c r="K160" s="9"/>
      <c r="L160" s="9"/>
      <c r="M160" s="9"/>
      <c r="N160" s="9"/>
      <c r="O160" s="9"/>
      <c r="P160" s="9"/>
      <c r="Q160" s="9"/>
      <c r="R160" s="9"/>
      <c r="S160" s="9"/>
      <c r="T160" s="9"/>
      <c r="U160" s="9"/>
      <c r="V160" s="9"/>
      <c r="W160" s="9"/>
      <c r="X160" s="9"/>
      <c r="Y160" s="9"/>
      <c r="Z160" s="9"/>
      <c r="AA160" s="9"/>
      <c r="AB160" s="10"/>
    </row>
    <row r="161" spans="2:28" s="7" customFormat="1" x14ac:dyDescent="0.2">
      <c r="B161" s="163" t="s">
        <v>190</v>
      </c>
      <c r="C161" s="174"/>
      <c r="D161" s="9"/>
      <c r="E161" s="9"/>
      <c r="F161" s="9"/>
      <c r="G161" s="9"/>
      <c r="H161" s="9"/>
      <c r="I161" s="9"/>
      <c r="J161" s="9"/>
      <c r="K161" s="9"/>
      <c r="L161" s="9"/>
      <c r="M161" s="9"/>
      <c r="N161" s="9"/>
      <c r="O161" s="9"/>
      <c r="P161" s="9"/>
      <c r="Q161" s="9"/>
      <c r="R161" s="9"/>
      <c r="S161" s="9"/>
      <c r="T161" s="9"/>
      <c r="U161" s="9"/>
      <c r="V161" s="9"/>
      <c r="W161" s="9"/>
      <c r="X161" s="9"/>
      <c r="Y161" s="9"/>
      <c r="Z161" s="9"/>
      <c r="AA161" s="9"/>
      <c r="AB161" s="10"/>
    </row>
    <row r="162" spans="2:28" s="7" customFormat="1" x14ac:dyDescent="0.2">
      <c r="B162" s="23" t="s">
        <v>52</v>
      </c>
      <c r="C162" s="23"/>
      <c r="D162" s="9">
        <f t="shared" ref="D162:AA162" si="78">D56*D140/1000</f>
        <v>14</v>
      </c>
      <c r="E162" s="9">
        <f t="shared" si="78"/>
        <v>14</v>
      </c>
      <c r="F162" s="9">
        <f t="shared" si="78"/>
        <v>14</v>
      </c>
      <c r="G162" s="9">
        <f t="shared" si="78"/>
        <v>14</v>
      </c>
      <c r="H162" s="9">
        <f t="shared" si="78"/>
        <v>0</v>
      </c>
      <c r="I162" s="9">
        <f t="shared" si="78"/>
        <v>0</v>
      </c>
      <c r="J162" s="9">
        <f t="shared" si="78"/>
        <v>0</v>
      </c>
      <c r="K162" s="9">
        <f t="shared" si="78"/>
        <v>0</v>
      </c>
      <c r="L162" s="9">
        <f t="shared" si="78"/>
        <v>0</v>
      </c>
      <c r="M162" s="9">
        <f t="shared" si="78"/>
        <v>0</v>
      </c>
      <c r="N162" s="9">
        <f t="shared" si="78"/>
        <v>0</v>
      </c>
      <c r="O162" s="9">
        <f t="shared" si="78"/>
        <v>0</v>
      </c>
      <c r="P162" s="9">
        <f t="shared" si="78"/>
        <v>0</v>
      </c>
      <c r="Q162" s="9">
        <f t="shared" si="78"/>
        <v>0</v>
      </c>
      <c r="R162" s="9">
        <f t="shared" si="78"/>
        <v>0</v>
      </c>
      <c r="S162" s="9">
        <f t="shared" si="78"/>
        <v>0</v>
      </c>
      <c r="T162" s="9">
        <f t="shared" si="78"/>
        <v>0</v>
      </c>
      <c r="U162" s="9">
        <f t="shared" si="78"/>
        <v>0</v>
      </c>
      <c r="V162" s="9">
        <f t="shared" si="78"/>
        <v>0</v>
      </c>
      <c r="W162" s="9">
        <f t="shared" si="78"/>
        <v>0</v>
      </c>
      <c r="X162" s="9">
        <f t="shared" si="78"/>
        <v>0</v>
      </c>
      <c r="Y162" s="9">
        <f t="shared" si="78"/>
        <v>0</v>
      </c>
      <c r="Z162" s="9">
        <f t="shared" si="78"/>
        <v>0</v>
      </c>
      <c r="AA162" s="9">
        <f t="shared" si="78"/>
        <v>0</v>
      </c>
      <c r="AB162" s="10"/>
    </row>
    <row r="163" spans="2:28" s="7" customFormat="1" x14ac:dyDescent="0.2">
      <c r="B163" s="23" t="s">
        <v>53</v>
      </c>
      <c r="C163" s="23"/>
      <c r="D163" s="9">
        <f t="shared" ref="D163:AA163" si="79">D57*D141/1000</f>
        <v>67.939999999999984</v>
      </c>
      <c r="E163" s="9">
        <f t="shared" si="79"/>
        <v>67.939999999999984</v>
      </c>
      <c r="F163" s="9">
        <f t="shared" si="79"/>
        <v>67.939999999999984</v>
      </c>
      <c r="G163" s="9">
        <f t="shared" si="79"/>
        <v>67.939999999999984</v>
      </c>
      <c r="H163" s="9">
        <f t="shared" si="79"/>
        <v>67.939999999999984</v>
      </c>
      <c r="I163" s="9">
        <f t="shared" si="79"/>
        <v>67.939999999999984</v>
      </c>
      <c r="J163" s="9">
        <f t="shared" si="79"/>
        <v>67.939999999999984</v>
      </c>
      <c r="K163" s="9">
        <f t="shared" si="79"/>
        <v>67.939999999999984</v>
      </c>
      <c r="L163" s="9">
        <f t="shared" si="79"/>
        <v>67.939999999999984</v>
      </c>
      <c r="M163" s="9">
        <f t="shared" si="79"/>
        <v>67.939999999999984</v>
      </c>
      <c r="N163" s="9">
        <f t="shared" si="79"/>
        <v>67.939999999999984</v>
      </c>
      <c r="O163" s="9">
        <f t="shared" si="79"/>
        <v>67.939999999999984</v>
      </c>
      <c r="P163" s="9">
        <f t="shared" si="79"/>
        <v>0</v>
      </c>
      <c r="Q163" s="9">
        <f t="shared" si="79"/>
        <v>0</v>
      </c>
      <c r="R163" s="9">
        <f t="shared" si="79"/>
        <v>0</v>
      </c>
      <c r="S163" s="9">
        <f t="shared" si="79"/>
        <v>0</v>
      </c>
      <c r="T163" s="9">
        <f t="shared" si="79"/>
        <v>0</v>
      </c>
      <c r="U163" s="9">
        <f t="shared" si="79"/>
        <v>0</v>
      </c>
      <c r="V163" s="9">
        <f t="shared" si="79"/>
        <v>0</v>
      </c>
      <c r="W163" s="9">
        <f t="shared" si="79"/>
        <v>0</v>
      </c>
      <c r="X163" s="9">
        <f t="shared" si="79"/>
        <v>0</v>
      </c>
      <c r="Y163" s="9">
        <f t="shared" si="79"/>
        <v>0</v>
      </c>
      <c r="Z163" s="9">
        <f t="shared" si="79"/>
        <v>0</v>
      </c>
      <c r="AA163" s="9">
        <f t="shared" si="79"/>
        <v>0</v>
      </c>
      <c r="AB163" s="10"/>
    </row>
    <row r="164" spans="2:28" s="7" customFormat="1" x14ac:dyDescent="0.2">
      <c r="B164" s="23" t="s">
        <v>54</v>
      </c>
      <c r="C164" s="23"/>
      <c r="D164" s="9">
        <f t="shared" ref="D164:AA164" si="80">D58*D142/1000</f>
        <v>82.8</v>
      </c>
      <c r="E164" s="9">
        <f t="shared" si="80"/>
        <v>82.8</v>
      </c>
      <c r="F164" s="9">
        <f t="shared" si="80"/>
        <v>82.8</v>
      </c>
      <c r="G164" s="9">
        <f t="shared" si="80"/>
        <v>82.8</v>
      </c>
      <c r="H164" s="9">
        <f t="shared" si="80"/>
        <v>82.8</v>
      </c>
      <c r="I164" s="9">
        <f t="shared" si="80"/>
        <v>82.8</v>
      </c>
      <c r="J164" s="9">
        <f t="shared" si="80"/>
        <v>82.8</v>
      </c>
      <c r="K164" s="9">
        <f t="shared" si="80"/>
        <v>82.8</v>
      </c>
      <c r="L164" s="9">
        <f t="shared" si="80"/>
        <v>82.8</v>
      </c>
      <c r="M164" s="9">
        <f t="shared" si="80"/>
        <v>82.8</v>
      </c>
      <c r="N164" s="9">
        <f t="shared" si="80"/>
        <v>82.8</v>
      </c>
      <c r="O164" s="9">
        <f t="shared" si="80"/>
        <v>82.8</v>
      </c>
      <c r="P164" s="9">
        <f t="shared" si="80"/>
        <v>0</v>
      </c>
      <c r="Q164" s="9">
        <f t="shared" si="80"/>
        <v>0</v>
      </c>
      <c r="R164" s="9">
        <f t="shared" si="80"/>
        <v>0</v>
      </c>
      <c r="S164" s="9">
        <f t="shared" si="80"/>
        <v>0</v>
      </c>
      <c r="T164" s="9">
        <f t="shared" si="80"/>
        <v>0</v>
      </c>
      <c r="U164" s="9">
        <f t="shared" si="80"/>
        <v>0</v>
      </c>
      <c r="V164" s="9">
        <f t="shared" si="80"/>
        <v>0</v>
      </c>
      <c r="W164" s="9">
        <f t="shared" si="80"/>
        <v>0</v>
      </c>
      <c r="X164" s="9">
        <f t="shared" si="80"/>
        <v>0</v>
      </c>
      <c r="Y164" s="9">
        <f t="shared" si="80"/>
        <v>0</v>
      </c>
      <c r="Z164" s="9">
        <f t="shared" si="80"/>
        <v>0</v>
      </c>
      <c r="AA164" s="9">
        <f t="shared" si="80"/>
        <v>0</v>
      </c>
      <c r="AB164" s="10"/>
    </row>
    <row r="165" spans="2:28" s="7" customFormat="1" x14ac:dyDescent="0.2">
      <c r="B165" s="23" t="s">
        <v>55</v>
      </c>
      <c r="C165" s="23"/>
      <c r="D165" s="9">
        <f t="shared" ref="D165:AA165" si="81">D59*D143/1000</f>
        <v>22.04</v>
      </c>
      <c r="E165" s="9">
        <f t="shared" si="81"/>
        <v>22.04</v>
      </c>
      <c r="F165" s="9">
        <f t="shared" si="81"/>
        <v>22.04</v>
      </c>
      <c r="G165" s="9">
        <f t="shared" si="81"/>
        <v>22.04</v>
      </c>
      <c r="H165" s="9">
        <f t="shared" si="81"/>
        <v>22.04</v>
      </c>
      <c r="I165" s="9">
        <f t="shared" si="81"/>
        <v>22.04</v>
      </c>
      <c r="J165" s="9">
        <f t="shared" si="81"/>
        <v>22.04</v>
      </c>
      <c r="K165" s="9">
        <f t="shared" si="81"/>
        <v>22.04</v>
      </c>
      <c r="L165" s="9">
        <f t="shared" si="81"/>
        <v>22.04</v>
      </c>
      <c r="M165" s="9">
        <f t="shared" si="81"/>
        <v>22.04</v>
      </c>
      <c r="N165" s="9">
        <f t="shared" si="81"/>
        <v>22.04</v>
      </c>
      <c r="O165" s="9">
        <f t="shared" si="81"/>
        <v>22.04</v>
      </c>
      <c r="P165" s="9">
        <f t="shared" si="81"/>
        <v>0</v>
      </c>
      <c r="Q165" s="9">
        <f t="shared" si="81"/>
        <v>0</v>
      </c>
      <c r="R165" s="9">
        <f t="shared" si="81"/>
        <v>0</v>
      </c>
      <c r="S165" s="9">
        <f t="shared" si="81"/>
        <v>0</v>
      </c>
      <c r="T165" s="9">
        <f t="shared" si="81"/>
        <v>0</v>
      </c>
      <c r="U165" s="9">
        <f t="shared" si="81"/>
        <v>0</v>
      </c>
      <c r="V165" s="9">
        <f t="shared" si="81"/>
        <v>0</v>
      </c>
      <c r="W165" s="9">
        <f t="shared" si="81"/>
        <v>0</v>
      </c>
      <c r="X165" s="9">
        <f t="shared" si="81"/>
        <v>0</v>
      </c>
      <c r="Y165" s="9">
        <f t="shared" si="81"/>
        <v>0</v>
      </c>
      <c r="Z165" s="9">
        <f t="shared" si="81"/>
        <v>0</v>
      </c>
      <c r="AA165" s="9">
        <f t="shared" si="81"/>
        <v>0</v>
      </c>
      <c r="AB165" s="10"/>
    </row>
    <row r="166" spans="2:28" s="7" customFormat="1" x14ac:dyDescent="0.2">
      <c r="B166" s="23" t="s">
        <v>56</v>
      </c>
      <c r="C166" s="23"/>
      <c r="D166" s="9">
        <f t="shared" ref="D166:AA166" si="82">D60*D144/1000</f>
        <v>67.2</v>
      </c>
      <c r="E166" s="9">
        <f t="shared" si="82"/>
        <v>67.2</v>
      </c>
      <c r="F166" s="9">
        <f t="shared" si="82"/>
        <v>67.2</v>
      </c>
      <c r="G166" s="9">
        <f t="shared" si="82"/>
        <v>67.2</v>
      </c>
      <c r="H166" s="9">
        <f t="shared" si="82"/>
        <v>67.2</v>
      </c>
      <c r="I166" s="9">
        <f t="shared" si="82"/>
        <v>67.2</v>
      </c>
      <c r="J166" s="9">
        <f t="shared" si="82"/>
        <v>67.2</v>
      </c>
      <c r="K166" s="9">
        <f t="shared" si="82"/>
        <v>67.2</v>
      </c>
      <c r="L166" s="9">
        <f t="shared" si="82"/>
        <v>67.2</v>
      </c>
      <c r="M166" s="9">
        <f t="shared" si="82"/>
        <v>67.2</v>
      </c>
      <c r="N166" s="9">
        <f t="shared" si="82"/>
        <v>67.2</v>
      </c>
      <c r="O166" s="9">
        <f t="shared" si="82"/>
        <v>67.2</v>
      </c>
      <c r="P166" s="9">
        <f t="shared" si="82"/>
        <v>67.2</v>
      </c>
      <c r="Q166" s="9">
        <f t="shared" si="82"/>
        <v>67.2</v>
      </c>
      <c r="R166" s="9">
        <f t="shared" si="82"/>
        <v>67.2</v>
      </c>
      <c r="S166" s="9">
        <f t="shared" si="82"/>
        <v>67.2</v>
      </c>
      <c r="T166" s="9">
        <f t="shared" si="82"/>
        <v>67.2</v>
      </c>
      <c r="U166" s="9">
        <f t="shared" si="82"/>
        <v>67.2</v>
      </c>
      <c r="V166" s="9">
        <f t="shared" si="82"/>
        <v>0</v>
      </c>
      <c r="W166" s="9">
        <f t="shared" si="82"/>
        <v>0</v>
      </c>
      <c r="X166" s="9">
        <f t="shared" si="82"/>
        <v>0</v>
      </c>
      <c r="Y166" s="9">
        <f t="shared" si="82"/>
        <v>0</v>
      </c>
      <c r="Z166" s="9">
        <f t="shared" si="82"/>
        <v>0</v>
      </c>
      <c r="AA166" s="9">
        <f t="shared" si="82"/>
        <v>0</v>
      </c>
      <c r="AB166" s="10"/>
    </row>
    <row r="167" spans="2:28" s="7" customFormat="1" x14ac:dyDescent="0.2">
      <c r="B167" s="55" t="s">
        <v>374</v>
      </c>
      <c r="C167" s="55"/>
      <c r="D167" s="9">
        <f t="shared" ref="D167:AA167" si="83">D61*D145/1000</f>
        <v>0</v>
      </c>
      <c r="E167" s="9">
        <f t="shared" si="83"/>
        <v>0</v>
      </c>
      <c r="F167" s="9">
        <f t="shared" si="83"/>
        <v>0</v>
      </c>
      <c r="G167" s="9">
        <f t="shared" si="83"/>
        <v>1575</v>
      </c>
      <c r="H167" s="9">
        <f t="shared" si="83"/>
        <v>1575</v>
      </c>
      <c r="I167" s="9">
        <f t="shared" si="83"/>
        <v>1575</v>
      </c>
      <c r="J167" s="9">
        <f t="shared" si="83"/>
        <v>1575</v>
      </c>
      <c r="K167" s="9">
        <f t="shared" si="83"/>
        <v>1575</v>
      </c>
      <c r="L167" s="9">
        <f t="shared" si="83"/>
        <v>1575</v>
      </c>
      <c r="M167" s="9">
        <f t="shared" si="83"/>
        <v>1575</v>
      </c>
      <c r="N167" s="9">
        <f t="shared" si="83"/>
        <v>1575</v>
      </c>
      <c r="O167" s="9">
        <f t="shared" si="83"/>
        <v>1575</v>
      </c>
      <c r="P167" s="9">
        <f t="shared" si="83"/>
        <v>1575</v>
      </c>
      <c r="Q167" s="9">
        <f t="shared" si="83"/>
        <v>1575</v>
      </c>
      <c r="R167" s="9">
        <f t="shared" si="83"/>
        <v>1575</v>
      </c>
      <c r="S167" s="9">
        <f t="shared" si="83"/>
        <v>1575</v>
      </c>
      <c r="T167" s="9">
        <f t="shared" si="83"/>
        <v>1575</v>
      </c>
      <c r="U167" s="9">
        <f t="shared" si="83"/>
        <v>1575</v>
      </c>
      <c r="V167" s="9">
        <f t="shared" si="83"/>
        <v>1575</v>
      </c>
      <c r="W167" s="9">
        <f t="shared" si="83"/>
        <v>1575</v>
      </c>
      <c r="X167" s="9">
        <f t="shared" si="83"/>
        <v>1575</v>
      </c>
      <c r="Y167" s="9">
        <f t="shared" si="83"/>
        <v>1575</v>
      </c>
      <c r="Z167" s="9">
        <f t="shared" si="83"/>
        <v>1575</v>
      </c>
      <c r="AA167" s="9">
        <f t="shared" si="83"/>
        <v>1575</v>
      </c>
      <c r="AB167" s="10"/>
    </row>
    <row r="168" spans="2:28" s="7" customFormat="1" x14ac:dyDescent="0.2">
      <c r="B168" s="55" t="s">
        <v>365</v>
      </c>
      <c r="C168" s="55"/>
      <c r="D168" s="9">
        <f t="shared" ref="D168:AA168" si="84">D62*D146/1000</f>
        <v>0</v>
      </c>
      <c r="E168" s="9">
        <f t="shared" si="84"/>
        <v>0</v>
      </c>
      <c r="F168" s="9">
        <f t="shared" si="84"/>
        <v>0</v>
      </c>
      <c r="G168" s="9">
        <f t="shared" si="84"/>
        <v>119</v>
      </c>
      <c r="H168" s="9">
        <f t="shared" si="84"/>
        <v>119</v>
      </c>
      <c r="I168" s="9">
        <f t="shared" si="84"/>
        <v>119</v>
      </c>
      <c r="J168" s="9">
        <f t="shared" si="84"/>
        <v>119</v>
      </c>
      <c r="K168" s="9">
        <f t="shared" si="84"/>
        <v>119</v>
      </c>
      <c r="L168" s="9">
        <f t="shared" si="84"/>
        <v>119</v>
      </c>
      <c r="M168" s="9">
        <f t="shared" si="84"/>
        <v>119</v>
      </c>
      <c r="N168" s="9">
        <f t="shared" si="84"/>
        <v>119</v>
      </c>
      <c r="O168" s="9">
        <f t="shared" si="84"/>
        <v>119</v>
      </c>
      <c r="P168" s="9">
        <f t="shared" si="84"/>
        <v>119</v>
      </c>
      <c r="Q168" s="9">
        <f t="shared" si="84"/>
        <v>119</v>
      </c>
      <c r="R168" s="9">
        <f t="shared" si="84"/>
        <v>119</v>
      </c>
      <c r="S168" s="9">
        <f t="shared" si="84"/>
        <v>119</v>
      </c>
      <c r="T168" s="9">
        <f t="shared" si="84"/>
        <v>119</v>
      </c>
      <c r="U168" s="9">
        <f t="shared" si="84"/>
        <v>119</v>
      </c>
      <c r="V168" s="9">
        <f t="shared" si="84"/>
        <v>119</v>
      </c>
      <c r="W168" s="9">
        <f t="shared" si="84"/>
        <v>119</v>
      </c>
      <c r="X168" s="9">
        <f t="shared" si="84"/>
        <v>119</v>
      </c>
      <c r="Y168" s="9">
        <f t="shared" si="84"/>
        <v>119</v>
      </c>
      <c r="Z168" s="9">
        <f t="shared" si="84"/>
        <v>119</v>
      </c>
      <c r="AA168" s="9">
        <f t="shared" si="84"/>
        <v>119</v>
      </c>
      <c r="AB168" s="10"/>
    </row>
    <row r="169" spans="2:28" s="7" customFormat="1" x14ac:dyDescent="0.2">
      <c r="B169" s="55" t="s">
        <v>366</v>
      </c>
      <c r="C169" s="55"/>
      <c r="D169" s="9">
        <f t="shared" ref="D169:AA169" si="85">D63*D147/1000</f>
        <v>0</v>
      </c>
      <c r="E169" s="9">
        <f t="shared" si="85"/>
        <v>0</v>
      </c>
      <c r="F169" s="9">
        <f t="shared" si="85"/>
        <v>0</v>
      </c>
      <c r="G169" s="9">
        <f t="shared" si="85"/>
        <v>0</v>
      </c>
      <c r="H169" s="9">
        <f t="shared" si="85"/>
        <v>0</v>
      </c>
      <c r="I169" s="9">
        <f t="shared" si="85"/>
        <v>0</v>
      </c>
      <c r="J169" s="9">
        <f t="shared" si="85"/>
        <v>0</v>
      </c>
      <c r="K169" s="9">
        <f t="shared" si="85"/>
        <v>0</v>
      </c>
      <c r="L169" s="9">
        <f t="shared" si="85"/>
        <v>212.5</v>
      </c>
      <c r="M169" s="9">
        <f t="shared" si="85"/>
        <v>212.5</v>
      </c>
      <c r="N169" s="9">
        <f t="shared" si="85"/>
        <v>212.5</v>
      </c>
      <c r="O169" s="9">
        <f t="shared" si="85"/>
        <v>212.5</v>
      </c>
      <c r="P169" s="9">
        <f t="shared" si="85"/>
        <v>212.5</v>
      </c>
      <c r="Q169" s="9">
        <f t="shared" si="85"/>
        <v>425</v>
      </c>
      <c r="R169" s="9">
        <f t="shared" si="85"/>
        <v>425</v>
      </c>
      <c r="S169" s="9">
        <f t="shared" si="85"/>
        <v>425</v>
      </c>
      <c r="T169" s="9">
        <f t="shared" si="85"/>
        <v>425</v>
      </c>
      <c r="U169" s="9">
        <f t="shared" si="85"/>
        <v>425</v>
      </c>
      <c r="V169" s="9">
        <f t="shared" si="85"/>
        <v>637.5</v>
      </c>
      <c r="W169" s="9">
        <f t="shared" si="85"/>
        <v>637.5</v>
      </c>
      <c r="X169" s="9">
        <f t="shared" si="85"/>
        <v>637.5</v>
      </c>
      <c r="Y169" s="9">
        <f t="shared" si="85"/>
        <v>637.5</v>
      </c>
      <c r="Z169" s="9">
        <f t="shared" si="85"/>
        <v>637.5</v>
      </c>
      <c r="AA169" s="9">
        <f t="shared" si="85"/>
        <v>850</v>
      </c>
      <c r="AB169" s="10"/>
    </row>
    <row r="170" spans="2:28" s="7" customFormat="1" x14ac:dyDescent="0.2">
      <c r="B170" s="163" t="str">
        <f>"Total, "&amp;B161</f>
        <v>Total, Western Denmark (DK1)</v>
      </c>
      <c r="C170" s="163"/>
      <c r="D170" s="167">
        <f t="shared" ref="D170:AA170" si="86">SUM(D162:D169)</f>
        <v>253.97999999999996</v>
      </c>
      <c r="E170" s="167">
        <f t="shared" si="86"/>
        <v>253.97999999999996</v>
      </c>
      <c r="F170" s="167">
        <f t="shared" si="86"/>
        <v>253.97999999999996</v>
      </c>
      <c r="G170" s="167">
        <f t="shared" si="86"/>
        <v>1947.98</v>
      </c>
      <c r="H170" s="167">
        <f t="shared" si="86"/>
        <v>1933.98</v>
      </c>
      <c r="I170" s="167">
        <f t="shared" si="86"/>
        <v>1933.98</v>
      </c>
      <c r="J170" s="167">
        <f t="shared" si="86"/>
        <v>1933.98</v>
      </c>
      <c r="K170" s="167">
        <f t="shared" si="86"/>
        <v>1933.98</v>
      </c>
      <c r="L170" s="167">
        <f t="shared" si="86"/>
        <v>2146.48</v>
      </c>
      <c r="M170" s="167">
        <f t="shared" si="86"/>
        <v>2146.48</v>
      </c>
      <c r="N170" s="167">
        <f t="shared" si="86"/>
        <v>2146.48</v>
      </c>
      <c r="O170" s="167">
        <f t="shared" si="86"/>
        <v>2146.48</v>
      </c>
      <c r="P170" s="167">
        <f t="shared" si="86"/>
        <v>1973.7</v>
      </c>
      <c r="Q170" s="167">
        <f t="shared" si="86"/>
        <v>2186.1999999999998</v>
      </c>
      <c r="R170" s="167">
        <f t="shared" si="86"/>
        <v>2186.1999999999998</v>
      </c>
      <c r="S170" s="167">
        <f t="shared" si="86"/>
        <v>2186.1999999999998</v>
      </c>
      <c r="T170" s="167">
        <f t="shared" si="86"/>
        <v>2186.1999999999998</v>
      </c>
      <c r="U170" s="167">
        <f t="shared" si="86"/>
        <v>2186.1999999999998</v>
      </c>
      <c r="V170" s="167">
        <f t="shared" si="86"/>
        <v>2331.5</v>
      </c>
      <c r="W170" s="167">
        <f t="shared" si="86"/>
        <v>2331.5</v>
      </c>
      <c r="X170" s="167">
        <f t="shared" si="86"/>
        <v>2331.5</v>
      </c>
      <c r="Y170" s="167">
        <f t="shared" si="86"/>
        <v>2331.5</v>
      </c>
      <c r="Z170" s="167">
        <f t="shared" si="86"/>
        <v>2331.5</v>
      </c>
      <c r="AA170" s="167">
        <f t="shared" si="86"/>
        <v>2544</v>
      </c>
      <c r="AB170" s="10"/>
    </row>
    <row r="171" spans="2:28" s="7" customFormat="1" x14ac:dyDescent="0.2">
      <c r="B171" s="55"/>
      <c r="C171" s="55"/>
      <c r="D171" s="9"/>
      <c r="E171" s="9"/>
      <c r="F171" s="9"/>
      <c r="G171" s="9"/>
      <c r="H171" s="9"/>
      <c r="I171" s="9"/>
      <c r="J171" s="9"/>
      <c r="K171" s="9"/>
      <c r="L171" s="9"/>
      <c r="M171" s="9"/>
      <c r="N171" s="9"/>
      <c r="O171" s="9"/>
      <c r="P171" s="9"/>
      <c r="Q171" s="9"/>
      <c r="R171" s="9"/>
      <c r="S171" s="9"/>
      <c r="T171" s="9"/>
      <c r="U171" s="9"/>
      <c r="V171" s="9"/>
      <c r="W171" s="9"/>
      <c r="X171" s="9"/>
      <c r="Y171" s="9"/>
      <c r="Z171" s="9"/>
      <c r="AA171" s="9"/>
      <c r="AB171" s="10"/>
    </row>
    <row r="172" spans="2:28" s="7" customFormat="1" x14ac:dyDescent="0.2">
      <c r="B172" s="168" t="s">
        <v>198</v>
      </c>
      <c r="C172" s="168"/>
      <c r="D172" s="169">
        <f t="shared" ref="D172:AA172" si="87">D159+D170</f>
        <v>382.15999999999997</v>
      </c>
      <c r="E172" s="169">
        <f t="shared" si="87"/>
        <v>382.15999999999997</v>
      </c>
      <c r="F172" s="169">
        <f t="shared" si="87"/>
        <v>382.15999999999997</v>
      </c>
      <c r="G172" s="169">
        <f t="shared" si="87"/>
        <v>2076.16</v>
      </c>
      <c r="H172" s="169">
        <f t="shared" si="87"/>
        <v>2062.16</v>
      </c>
      <c r="I172" s="169">
        <f t="shared" si="87"/>
        <v>2062.16</v>
      </c>
      <c r="J172" s="169">
        <f t="shared" si="87"/>
        <v>2062.16</v>
      </c>
      <c r="K172" s="169">
        <f t="shared" si="87"/>
        <v>2062.16</v>
      </c>
      <c r="L172" s="169">
        <f t="shared" si="87"/>
        <v>2674.66</v>
      </c>
      <c r="M172" s="169">
        <f t="shared" si="87"/>
        <v>2582.66</v>
      </c>
      <c r="N172" s="169">
        <f t="shared" si="87"/>
        <v>2582.66</v>
      </c>
      <c r="O172" s="169">
        <f t="shared" si="87"/>
        <v>2582.66</v>
      </c>
      <c r="P172" s="169">
        <f t="shared" si="87"/>
        <v>2409.88</v>
      </c>
      <c r="Q172" s="169">
        <f t="shared" si="87"/>
        <v>3022.3799999999997</v>
      </c>
      <c r="R172" s="169">
        <f t="shared" si="87"/>
        <v>3022.3799999999997</v>
      </c>
      <c r="S172" s="169">
        <f t="shared" si="87"/>
        <v>3022.3799999999997</v>
      </c>
      <c r="T172" s="169">
        <f t="shared" si="87"/>
        <v>3022.3799999999997</v>
      </c>
      <c r="U172" s="169">
        <f t="shared" si="87"/>
        <v>3022.3799999999997</v>
      </c>
      <c r="V172" s="169">
        <f t="shared" si="87"/>
        <v>3543.56</v>
      </c>
      <c r="W172" s="169">
        <f t="shared" si="87"/>
        <v>3543.56</v>
      </c>
      <c r="X172" s="169">
        <f t="shared" si="87"/>
        <v>3531.5</v>
      </c>
      <c r="Y172" s="169">
        <f t="shared" si="87"/>
        <v>3531.5</v>
      </c>
      <c r="Z172" s="169">
        <f t="shared" si="87"/>
        <v>3531.5</v>
      </c>
      <c r="AA172" s="169">
        <f t="shared" si="87"/>
        <v>4144</v>
      </c>
      <c r="AB172" s="10"/>
    </row>
    <row r="173" spans="2:28" s="7" customFormat="1" x14ac:dyDescent="0.2">
      <c r="B173" s="55"/>
      <c r="C173" s="55"/>
      <c r="D173" s="9"/>
      <c r="E173" s="9"/>
      <c r="F173" s="9"/>
      <c r="G173" s="9"/>
      <c r="H173" s="9"/>
      <c r="I173" s="9"/>
      <c r="J173" s="9"/>
      <c r="K173" s="9"/>
      <c r="L173" s="9"/>
      <c r="M173" s="9"/>
      <c r="N173" s="9"/>
      <c r="O173" s="9"/>
      <c r="P173" s="9"/>
      <c r="Q173" s="9"/>
      <c r="R173" s="9"/>
      <c r="S173" s="9"/>
      <c r="T173" s="9"/>
      <c r="U173" s="9"/>
      <c r="V173" s="9"/>
      <c r="W173" s="9"/>
      <c r="X173" s="9"/>
      <c r="Y173" s="9"/>
      <c r="Z173" s="9"/>
      <c r="AA173" s="27"/>
      <c r="AB173" s="10"/>
    </row>
    <row r="174" spans="2:28" s="7" customFormat="1" x14ac:dyDescent="0.2">
      <c r="B174" s="55"/>
      <c r="C174" s="55"/>
      <c r="D174" s="9"/>
      <c r="E174" s="9"/>
      <c r="F174" s="9"/>
      <c r="G174" s="9"/>
      <c r="H174" s="9"/>
      <c r="I174" s="9"/>
      <c r="J174" s="9"/>
      <c r="K174" s="9"/>
      <c r="L174" s="9"/>
      <c r="M174" s="9"/>
      <c r="N174" s="9"/>
      <c r="O174" s="9"/>
      <c r="P174" s="9"/>
      <c r="Q174" s="9"/>
      <c r="R174" s="9"/>
      <c r="S174" s="9"/>
      <c r="T174" s="9"/>
      <c r="U174" s="9"/>
      <c r="V174" s="9"/>
      <c r="W174" s="9"/>
      <c r="X174" s="9"/>
      <c r="Y174" s="9"/>
      <c r="Z174" s="9"/>
      <c r="AA174" s="27"/>
      <c r="AB174" s="10"/>
    </row>
    <row r="175" spans="2:28" s="70" customFormat="1" x14ac:dyDescent="0.2">
      <c r="B175" s="70" t="s">
        <v>483</v>
      </c>
    </row>
    <row r="176" spans="2:28" s="7" customFormat="1" x14ac:dyDescent="0.2">
      <c r="B176" s="55"/>
      <c r="C176" s="55"/>
      <c r="D176" s="9"/>
      <c r="E176" s="9"/>
      <c r="F176" s="9"/>
      <c r="G176" s="9"/>
      <c r="H176" s="9"/>
      <c r="I176" s="9"/>
      <c r="J176" s="9"/>
      <c r="K176" s="9"/>
      <c r="L176" s="9"/>
      <c r="M176" s="9"/>
      <c r="N176" s="9"/>
      <c r="O176" s="9"/>
      <c r="P176" s="9"/>
      <c r="Q176" s="9"/>
      <c r="R176" s="9"/>
      <c r="S176" s="9"/>
      <c r="T176" s="9"/>
      <c r="U176" s="9"/>
      <c r="V176" s="9"/>
      <c r="W176" s="9"/>
      <c r="X176" s="9"/>
      <c r="Y176" s="9"/>
      <c r="Z176" s="9"/>
      <c r="AA176" s="27"/>
      <c r="AB176" s="10"/>
    </row>
    <row r="177" spans="2:28" s="7" customFormat="1" x14ac:dyDescent="0.2">
      <c r="B177" s="1" t="s">
        <v>484</v>
      </c>
      <c r="C177" s="1"/>
      <c r="D177" s="151">
        <f t="shared" ref="D177:AA177" si="88">D$6</f>
        <v>2017</v>
      </c>
      <c r="E177" s="151">
        <f t="shared" si="88"/>
        <v>2018</v>
      </c>
      <c r="F177" s="151">
        <f t="shared" si="88"/>
        <v>2019</v>
      </c>
      <c r="G177" s="151">
        <f t="shared" si="88"/>
        <v>2020</v>
      </c>
      <c r="H177" s="151">
        <f t="shared" si="88"/>
        <v>2021</v>
      </c>
      <c r="I177" s="151">
        <f t="shared" si="88"/>
        <v>2022</v>
      </c>
      <c r="J177" s="151">
        <f t="shared" si="88"/>
        <v>2023</v>
      </c>
      <c r="K177" s="151">
        <f t="shared" si="88"/>
        <v>2024</v>
      </c>
      <c r="L177" s="151">
        <f t="shared" si="88"/>
        <v>2025</v>
      </c>
      <c r="M177" s="151">
        <f t="shared" si="88"/>
        <v>2026</v>
      </c>
      <c r="N177" s="151">
        <f t="shared" si="88"/>
        <v>2027</v>
      </c>
      <c r="O177" s="151">
        <f t="shared" si="88"/>
        <v>2028</v>
      </c>
      <c r="P177" s="151">
        <f t="shared" si="88"/>
        <v>2029</v>
      </c>
      <c r="Q177" s="151">
        <f t="shared" si="88"/>
        <v>2030</v>
      </c>
      <c r="R177" s="151">
        <f t="shared" si="88"/>
        <v>2031</v>
      </c>
      <c r="S177" s="151">
        <f t="shared" si="88"/>
        <v>2032</v>
      </c>
      <c r="T177" s="151">
        <f t="shared" si="88"/>
        <v>2033</v>
      </c>
      <c r="U177" s="151">
        <f t="shared" si="88"/>
        <v>2034</v>
      </c>
      <c r="V177" s="151">
        <f t="shared" si="88"/>
        <v>2035</v>
      </c>
      <c r="W177" s="151">
        <f t="shared" si="88"/>
        <v>2036</v>
      </c>
      <c r="X177" s="151">
        <f t="shared" si="88"/>
        <v>2037</v>
      </c>
      <c r="Y177" s="151">
        <f t="shared" si="88"/>
        <v>2038</v>
      </c>
      <c r="Z177" s="151">
        <f t="shared" si="88"/>
        <v>2039</v>
      </c>
      <c r="AA177" s="151">
        <f t="shared" si="88"/>
        <v>2040</v>
      </c>
      <c r="AB177" s="10"/>
    </row>
    <row r="178" spans="2:28" s="7" customFormat="1" x14ac:dyDescent="0.2">
      <c r="B178" s="55" t="s">
        <v>57</v>
      </c>
      <c r="C178" s="55"/>
      <c r="D178" s="158">
        <v>4000</v>
      </c>
      <c r="E178" s="9">
        <f t="shared" ref="E178:R186" si="89">D178</f>
        <v>4000</v>
      </c>
      <c r="F178" s="9">
        <f t="shared" si="89"/>
        <v>4000</v>
      </c>
      <c r="G178" s="9">
        <f t="shared" si="89"/>
        <v>4000</v>
      </c>
      <c r="H178" s="9">
        <f t="shared" si="89"/>
        <v>4000</v>
      </c>
      <c r="I178" s="9">
        <f t="shared" si="89"/>
        <v>4000</v>
      </c>
      <c r="J178" s="9">
        <f t="shared" si="89"/>
        <v>4000</v>
      </c>
      <c r="K178" s="9">
        <f t="shared" si="89"/>
        <v>4000</v>
      </c>
      <c r="L178" s="9">
        <f t="shared" si="89"/>
        <v>4000</v>
      </c>
      <c r="M178" s="9">
        <f t="shared" si="89"/>
        <v>4000</v>
      </c>
      <c r="N178" s="9">
        <f t="shared" si="89"/>
        <v>4000</v>
      </c>
      <c r="O178" s="9">
        <f t="shared" si="89"/>
        <v>4000</v>
      </c>
      <c r="P178" s="9">
        <f t="shared" si="89"/>
        <v>4000</v>
      </c>
      <c r="Q178" s="9">
        <f t="shared" si="89"/>
        <v>4000</v>
      </c>
      <c r="R178" s="9">
        <f t="shared" si="89"/>
        <v>4000</v>
      </c>
      <c r="S178" s="9">
        <f t="shared" ref="S178:AA189" si="90">R178</f>
        <v>4000</v>
      </c>
      <c r="T178" s="9">
        <f t="shared" si="90"/>
        <v>4000</v>
      </c>
      <c r="U178" s="9">
        <f t="shared" si="90"/>
        <v>4000</v>
      </c>
      <c r="V178" s="9">
        <f t="shared" si="90"/>
        <v>4000</v>
      </c>
      <c r="W178" s="9">
        <f t="shared" si="90"/>
        <v>4000</v>
      </c>
      <c r="X178" s="9">
        <f t="shared" si="90"/>
        <v>4000</v>
      </c>
      <c r="Y178" s="9">
        <f t="shared" si="90"/>
        <v>4000</v>
      </c>
      <c r="Z178" s="9">
        <f t="shared" si="90"/>
        <v>4000</v>
      </c>
      <c r="AA178" s="9">
        <f t="shared" si="90"/>
        <v>4000</v>
      </c>
      <c r="AB178" s="10"/>
    </row>
    <row r="179" spans="2:28" s="7" customFormat="1" x14ac:dyDescent="0.2">
      <c r="B179" s="55" t="s">
        <v>58</v>
      </c>
      <c r="C179" s="55"/>
      <c r="D179" s="158">
        <v>3450</v>
      </c>
      <c r="E179" s="9">
        <f t="shared" si="89"/>
        <v>3450</v>
      </c>
      <c r="F179" s="9">
        <f t="shared" si="89"/>
        <v>3450</v>
      </c>
      <c r="G179" s="9">
        <f t="shared" si="89"/>
        <v>3450</v>
      </c>
      <c r="H179" s="9">
        <f t="shared" si="89"/>
        <v>3450</v>
      </c>
      <c r="I179" s="9">
        <f t="shared" si="89"/>
        <v>3450</v>
      </c>
      <c r="J179" s="9">
        <f t="shared" si="89"/>
        <v>3450</v>
      </c>
      <c r="K179" s="9">
        <f t="shared" si="89"/>
        <v>3450</v>
      </c>
      <c r="L179" s="9">
        <f t="shared" si="89"/>
        <v>3450</v>
      </c>
      <c r="M179" s="9">
        <f t="shared" si="89"/>
        <v>3450</v>
      </c>
      <c r="N179" s="9">
        <f t="shared" si="89"/>
        <v>3450</v>
      </c>
      <c r="O179" s="9">
        <f t="shared" si="89"/>
        <v>3450</v>
      </c>
      <c r="P179" s="9">
        <f t="shared" si="89"/>
        <v>3450</v>
      </c>
      <c r="Q179" s="9">
        <f t="shared" si="89"/>
        <v>3450</v>
      </c>
      <c r="R179" s="9">
        <f t="shared" si="89"/>
        <v>3450</v>
      </c>
      <c r="S179" s="9">
        <f t="shared" si="90"/>
        <v>3450</v>
      </c>
      <c r="T179" s="9">
        <f t="shared" si="90"/>
        <v>3450</v>
      </c>
      <c r="U179" s="9">
        <f t="shared" si="90"/>
        <v>3450</v>
      </c>
      <c r="V179" s="9">
        <f t="shared" si="90"/>
        <v>3450</v>
      </c>
      <c r="W179" s="9">
        <f t="shared" si="90"/>
        <v>3450</v>
      </c>
      <c r="X179" s="9">
        <f t="shared" si="90"/>
        <v>3450</v>
      </c>
      <c r="Y179" s="9">
        <f t="shared" si="90"/>
        <v>3450</v>
      </c>
      <c r="Z179" s="9">
        <f t="shared" si="90"/>
        <v>3450</v>
      </c>
      <c r="AA179" s="9">
        <f t="shared" si="90"/>
        <v>3450</v>
      </c>
      <c r="AB179" s="10"/>
    </row>
    <row r="180" spans="2:28" s="7" customFormat="1" x14ac:dyDescent="0.2">
      <c r="B180" s="55" t="s">
        <v>59</v>
      </c>
      <c r="C180" s="55"/>
      <c r="D180" s="158">
        <v>4400</v>
      </c>
      <c r="E180" s="9">
        <f t="shared" si="89"/>
        <v>4400</v>
      </c>
      <c r="F180" s="9">
        <f t="shared" si="89"/>
        <v>4400</v>
      </c>
      <c r="G180" s="9">
        <f t="shared" si="89"/>
        <v>4400</v>
      </c>
      <c r="H180" s="9">
        <f t="shared" si="89"/>
        <v>4400</v>
      </c>
      <c r="I180" s="9">
        <f t="shared" si="89"/>
        <v>4400</v>
      </c>
      <c r="J180" s="9">
        <f t="shared" si="89"/>
        <v>4400</v>
      </c>
      <c r="K180" s="9">
        <f t="shared" si="89"/>
        <v>4400</v>
      </c>
      <c r="L180" s="9">
        <f t="shared" si="89"/>
        <v>4400</v>
      </c>
      <c r="M180" s="9">
        <f t="shared" si="89"/>
        <v>4400</v>
      </c>
      <c r="N180" s="9">
        <f t="shared" si="89"/>
        <v>4400</v>
      </c>
      <c r="O180" s="9">
        <f t="shared" si="89"/>
        <v>4400</v>
      </c>
      <c r="P180" s="9">
        <f t="shared" si="89"/>
        <v>4400</v>
      </c>
      <c r="Q180" s="9">
        <f t="shared" si="89"/>
        <v>4400</v>
      </c>
      <c r="R180" s="9">
        <f t="shared" si="89"/>
        <v>4400</v>
      </c>
      <c r="S180" s="9">
        <f t="shared" si="90"/>
        <v>4400</v>
      </c>
      <c r="T180" s="9">
        <f t="shared" si="90"/>
        <v>4400</v>
      </c>
      <c r="U180" s="9">
        <f t="shared" si="90"/>
        <v>4400</v>
      </c>
      <c r="V180" s="9">
        <f t="shared" si="90"/>
        <v>4400</v>
      </c>
      <c r="W180" s="9">
        <f t="shared" si="90"/>
        <v>4400</v>
      </c>
      <c r="X180" s="9">
        <f t="shared" si="90"/>
        <v>4400</v>
      </c>
      <c r="Y180" s="9">
        <f t="shared" si="90"/>
        <v>4400</v>
      </c>
      <c r="Z180" s="9">
        <f t="shared" si="90"/>
        <v>4400</v>
      </c>
      <c r="AA180" s="9">
        <f t="shared" si="90"/>
        <v>4400</v>
      </c>
      <c r="AB180" s="10"/>
    </row>
    <row r="181" spans="2:28" s="7" customFormat="1" x14ac:dyDescent="0.2">
      <c r="B181" s="55" t="s">
        <v>60</v>
      </c>
      <c r="C181" s="55"/>
      <c r="D181" s="158">
        <v>3900</v>
      </c>
      <c r="E181" s="9">
        <f t="shared" si="89"/>
        <v>3900</v>
      </c>
      <c r="F181" s="9">
        <f t="shared" si="89"/>
        <v>3900</v>
      </c>
      <c r="G181" s="9">
        <f t="shared" si="89"/>
        <v>3900</v>
      </c>
      <c r="H181" s="9">
        <f t="shared" si="89"/>
        <v>3900</v>
      </c>
      <c r="I181" s="9">
        <f t="shared" si="89"/>
        <v>3900</v>
      </c>
      <c r="J181" s="9">
        <f t="shared" si="89"/>
        <v>3900</v>
      </c>
      <c r="K181" s="9">
        <f t="shared" si="89"/>
        <v>3900</v>
      </c>
      <c r="L181" s="9">
        <f t="shared" si="89"/>
        <v>3900</v>
      </c>
      <c r="M181" s="9">
        <f t="shared" si="89"/>
        <v>3900</v>
      </c>
      <c r="N181" s="9">
        <f t="shared" si="89"/>
        <v>3900</v>
      </c>
      <c r="O181" s="9">
        <f t="shared" si="89"/>
        <v>3900</v>
      </c>
      <c r="P181" s="9">
        <f t="shared" si="89"/>
        <v>3900</v>
      </c>
      <c r="Q181" s="9">
        <f t="shared" si="89"/>
        <v>3900</v>
      </c>
      <c r="R181" s="9">
        <f t="shared" si="89"/>
        <v>3900</v>
      </c>
      <c r="S181" s="9">
        <f t="shared" si="90"/>
        <v>3900</v>
      </c>
      <c r="T181" s="9">
        <f t="shared" si="90"/>
        <v>3900</v>
      </c>
      <c r="U181" s="9">
        <f t="shared" si="90"/>
        <v>3900</v>
      </c>
      <c r="V181" s="9">
        <f t="shared" si="90"/>
        <v>3900</v>
      </c>
      <c r="W181" s="9">
        <f t="shared" si="90"/>
        <v>3900</v>
      </c>
      <c r="X181" s="9">
        <f t="shared" si="90"/>
        <v>3900</v>
      </c>
      <c r="Y181" s="9">
        <f t="shared" si="90"/>
        <v>3900</v>
      </c>
      <c r="Z181" s="9">
        <f t="shared" si="90"/>
        <v>3900</v>
      </c>
      <c r="AA181" s="9">
        <f t="shared" si="90"/>
        <v>3900</v>
      </c>
      <c r="AB181" s="10"/>
    </row>
    <row r="182" spans="2:28" s="7" customFormat="1" x14ac:dyDescent="0.2">
      <c r="B182" s="55" t="s">
        <v>61</v>
      </c>
      <c r="C182" s="55"/>
      <c r="D182" s="158">
        <v>4450</v>
      </c>
      <c r="E182" s="9">
        <f t="shared" si="89"/>
        <v>4450</v>
      </c>
      <c r="F182" s="9">
        <f t="shared" si="89"/>
        <v>4450</v>
      </c>
      <c r="G182" s="9">
        <f t="shared" si="89"/>
        <v>4450</v>
      </c>
      <c r="H182" s="9">
        <f t="shared" si="89"/>
        <v>4450</v>
      </c>
      <c r="I182" s="9">
        <f t="shared" si="89"/>
        <v>4450</v>
      </c>
      <c r="J182" s="9">
        <f t="shared" si="89"/>
        <v>4450</v>
      </c>
      <c r="K182" s="9">
        <f t="shared" si="89"/>
        <v>4450</v>
      </c>
      <c r="L182" s="9">
        <f t="shared" si="89"/>
        <v>4450</v>
      </c>
      <c r="M182" s="9">
        <f t="shared" si="89"/>
        <v>4450</v>
      </c>
      <c r="N182" s="9">
        <f t="shared" si="89"/>
        <v>4450</v>
      </c>
      <c r="O182" s="9">
        <f t="shared" si="89"/>
        <v>4450</v>
      </c>
      <c r="P182" s="9">
        <f t="shared" si="89"/>
        <v>4450</v>
      </c>
      <c r="Q182" s="9">
        <f t="shared" si="89"/>
        <v>4450</v>
      </c>
      <c r="R182" s="9">
        <f t="shared" si="89"/>
        <v>4450</v>
      </c>
      <c r="S182" s="9">
        <f t="shared" si="90"/>
        <v>4450</v>
      </c>
      <c r="T182" s="9">
        <f t="shared" si="90"/>
        <v>4450</v>
      </c>
      <c r="U182" s="9">
        <f t="shared" si="90"/>
        <v>4450</v>
      </c>
      <c r="V182" s="9">
        <f t="shared" si="90"/>
        <v>4450</v>
      </c>
      <c r="W182" s="9">
        <f t="shared" si="90"/>
        <v>4450</v>
      </c>
      <c r="X182" s="9">
        <f t="shared" si="90"/>
        <v>4450</v>
      </c>
      <c r="Y182" s="9">
        <f t="shared" si="90"/>
        <v>4450</v>
      </c>
      <c r="Z182" s="9">
        <f t="shared" si="90"/>
        <v>4450</v>
      </c>
      <c r="AA182" s="9">
        <f t="shared" si="90"/>
        <v>4450</v>
      </c>
      <c r="AB182" s="10"/>
    </row>
    <row r="183" spans="2:28" s="7" customFormat="1" x14ac:dyDescent="0.2">
      <c r="B183" s="55" t="s">
        <v>62</v>
      </c>
      <c r="C183" s="55"/>
      <c r="D183" s="9"/>
      <c r="E183" s="9"/>
      <c r="F183" s="158">
        <v>4500</v>
      </c>
      <c r="G183" s="9">
        <f t="shared" si="89"/>
        <v>4500</v>
      </c>
      <c r="H183" s="9">
        <f t="shared" si="89"/>
        <v>4500</v>
      </c>
      <c r="I183" s="9">
        <f t="shared" si="89"/>
        <v>4500</v>
      </c>
      <c r="J183" s="9">
        <f t="shared" si="89"/>
        <v>4500</v>
      </c>
      <c r="K183" s="9">
        <f t="shared" si="89"/>
        <v>4500</v>
      </c>
      <c r="L183" s="9">
        <f t="shared" si="89"/>
        <v>4500</v>
      </c>
      <c r="M183" s="9">
        <f t="shared" si="89"/>
        <v>4500</v>
      </c>
      <c r="N183" s="9">
        <f t="shared" si="89"/>
        <v>4500</v>
      </c>
      <c r="O183" s="9">
        <f t="shared" si="89"/>
        <v>4500</v>
      </c>
      <c r="P183" s="9">
        <f t="shared" si="89"/>
        <v>4500</v>
      </c>
      <c r="Q183" s="9">
        <f t="shared" si="89"/>
        <v>4500</v>
      </c>
      <c r="R183" s="9">
        <f t="shared" si="89"/>
        <v>4500</v>
      </c>
      <c r="S183" s="9">
        <f t="shared" si="90"/>
        <v>4500</v>
      </c>
      <c r="T183" s="9">
        <f t="shared" si="90"/>
        <v>4500</v>
      </c>
      <c r="U183" s="9">
        <f t="shared" si="90"/>
        <v>4500</v>
      </c>
      <c r="V183" s="9">
        <f t="shared" si="90"/>
        <v>4500</v>
      </c>
      <c r="W183" s="9">
        <f t="shared" si="90"/>
        <v>4500</v>
      </c>
      <c r="X183" s="9">
        <f t="shared" si="90"/>
        <v>4500</v>
      </c>
      <c r="Y183" s="9">
        <f t="shared" si="90"/>
        <v>4500</v>
      </c>
      <c r="Z183" s="9">
        <f t="shared" si="90"/>
        <v>4500</v>
      </c>
      <c r="AA183" s="9">
        <f t="shared" si="90"/>
        <v>4500</v>
      </c>
      <c r="AB183" s="10"/>
    </row>
    <row r="184" spans="2:28" s="7" customFormat="1" x14ac:dyDescent="0.2">
      <c r="B184" s="55" t="s">
        <v>67</v>
      </c>
      <c r="C184" s="55"/>
      <c r="D184" s="9"/>
      <c r="E184" s="9"/>
      <c r="F184" s="9"/>
      <c r="G184" s="166"/>
      <c r="H184" s="9"/>
      <c r="I184" s="159">
        <v>4250</v>
      </c>
      <c r="J184" s="9">
        <f t="shared" si="89"/>
        <v>4250</v>
      </c>
      <c r="K184" s="9">
        <f t="shared" si="89"/>
        <v>4250</v>
      </c>
      <c r="L184" s="9">
        <f t="shared" si="89"/>
        <v>4250</v>
      </c>
      <c r="M184" s="9">
        <f t="shared" si="89"/>
        <v>4250</v>
      </c>
      <c r="N184" s="9">
        <f t="shared" si="89"/>
        <v>4250</v>
      </c>
      <c r="O184" s="9">
        <f t="shared" si="89"/>
        <v>4250</v>
      </c>
      <c r="P184" s="9">
        <f t="shared" si="89"/>
        <v>4250</v>
      </c>
      <c r="Q184" s="9">
        <f t="shared" si="89"/>
        <v>4250</v>
      </c>
      <c r="R184" s="9">
        <f t="shared" si="89"/>
        <v>4250</v>
      </c>
      <c r="S184" s="9">
        <f t="shared" si="90"/>
        <v>4250</v>
      </c>
      <c r="T184" s="9">
        <f t="shared" si="90"/>
        <v>4250</v>
      </c>
      <c r="U184" s="9">
        <f t="shared" si="90"/>
        <v>4250</v>
      </c>
      <c r="V184" s="9">
        <f t="shared" si="90"/>
        <v>4250</v>
      </c>
      <c r="W184" s="9">
        <f t="shared" si="90"/>
        <v>4250</v>
      </c>
      <c r="X184" s="9">
        <f t="shared" si="90"/>
        <v>4250</v>
      </c>
      <c r="Y184" s="9">
        <f t="shared" si="90"/>
        <v>4250</v>
      </c>
      <c r="Z184" s="9">
        <f t="shared" si="90"/>
        <v>4250</v>
      </c>
      <c r="AA184" s="9">
        <f t="shared" si="90"/>
        <v>4250</v>
      </c>
      <c r="AB184" s="10"/>
    </row>
    <row r="185" spans="2:28" s="7" customFormat="1" x14ac:dyDescent="0.2">
      <c r="B185" s="55" t="s">
        <v>377</v>
      </c>
      <c r="C185" s="55"/>
      <c r="D185" s="9"/>
      <c r="E185" s="9"/>
      <c r="F185" s="9"/>
      <c r="G185" s="9"/>
      <c r="H185" s="9"/>
      <c r="I185" s="9"/>
      <c r="J185" s="9"/>
      <c r="K185" s="9"/>
      <c r="L185" s="9"/>
      <c r="M185" s="158">
        <v>4600</v>
      </c>
      <c r="N185" s="9">
        <v>4600</v>
      </c>
      <c r="O185" s="9">
        <f t="shared" si="89"/>
        <v>4600</v>
      </c>
      <c r="P185" s="9">
        <f t="shared" si="89"/>
        <v>4600</v>
      </c>
      <c r="Q185" s="9">
        <f t="shared" si="89"/>
        <v>4600</v>
      </c>
      <c r="R185" s="9">
        <f t="shared" si="89"/>
        <v>4600</v>
      </c>
      <c r="S185" s="9">
        <f t="shared" si="90"/>
        <v>4600</v>
      </c>
      <c r="T185" s="9">
        <f t="shared" si="90"/>
        <v>4600</v>
      </c>
      <c r="U185" s="9">
        <f t="shared" si="90"/>
        <v>4600</v>
      </c>
      <c r="V185" s="9">
        <f t="shared" si="90"/>
        <v>4600</v>
      </c>
      <c r="W185" s="9">
        <f t="shared" si="90"/>
        <v>4600</v>
      </c>
      <c r="X185" s="9">
        <f t="shared" si="90"/>
        <v>4600</v>
      </c>
      <c r="Y185" s="9">
        <f t="shared" si="90"/>
        <v>4600</v>
      </c>
      <c r="Z185" s="9">
        <f t="shared" si="90"/>
        <v>4600</v>
      </c>
      <c r="AA185" s="9">
        <f t="shared" si="90"/>
        <v>4600</v>
      </c>
      <c r="AB185" s="10"/>
    </row>
    <row r="186" spans="2:28" s="7" customFormat="1" x14ac:dyDescent="0.2">
      <c r="B186" s="55" t="s">
        <v>375</v>
      </c>
      <c r="C186" s="55"/>
      <c r="D186" s="9"/>
      <c r="E186" s="9"/>
      <c r="F186" s="9"/>
      <c r="G186" s="9"/>
      <c r="H186" s="9"/>
      <c r="I186" s="9"/>
      <c r="J186" s="9"/>
      <c r="K186" s="9"/>
      <c r="L186" s="9"/>
      <c r="M186" s="9"/>
      <c r="N186" s="9"/>
      <c r="O186" s="9"/>
      <c r="P186" s="158">
        <v>4600</v>
      </c>
      <c r="Q186" s="9">
        <v>4600</v>
      </c>
      <c r="R186" s="9">
        <f t="shared" si="89"/>
        <v>4600</v>
      </c>
      <c r="S186" s="9">
        <f t="shared" si="90"/>
        <v>4600</v>
      </c>
      <c r="T186" s="9">
        <f t="shared" si="90"/>
        <v>4600</v>
      </c>
      <c r="U186" s="9">
        <f t="shared" si="90"/>
        <v>4600</v>
      </c>
      <c r="V186" s="9">
        <f t="shared" si="90"/>
        <v>4600</v>
      </c>
      <c r="W186" s="9">
        <f t="shared" si="90"/>
        <v>4600</v>
      </c>
      <c r="X186" s="9">
        <f t="shared" si="90"/>
        <v>4600</v>
      </c>
      <c r="Y186" s="9">
        <f t="shared" si="90"/>
        <v>4600</v>
      </c>
      <c r="Z186" s="9">
        <f t="shared" si="90"/>
        <v>4600</v>
      </c>
      <c r="AA186" s="9">
        <f t="shared" si="90"/>
        <v>4600</v>
      </c>
      <c r="AB186" s="10"/>
    </row>
    <row r="187" spans="2:28" s="7" customFormat="1" x14ac:dyDescent="0.2">
      <c r="B187" s="55" t="s">
        <v>376</v>
      </c>
      <c r="C187" s="55"/>
      <c r="D187" s="9"/>
      <c r="E187" s="9"/>
      <c r="F187" s="9"/>
      <c r="G187" s="9"/>
      <c r="H187" s="9"/>
      <c r="I187" s="9"/>
      <c r="J187" s="9"/>
      <c r="K187" s="9"/>
      <c r="L187" s="9"/>
      <c r="M187" s="9"/>
      <c r="N187" s="9"/>
      <c r="O187" s="9"/>
      <c r="P187" s="9"/>
      <c r="Q187" s="9"/>
      <c r="R187" s="9"/>
      <c r="S187" s="158">
        <v>4700</v>
      </c>
      <c r="T187" s="9">
        <v>4700</v>
      </c>
      <c r="U187" s="9">
        <f t="shared" si="90"/>
        <v>4700</v>
      </c>
      <c r="V187" s="9">
        <f t="shared" si="90"/>
        <v>4700</v>
      </c>
      <c r="W187" s="9">
        <f t="shared" si="90"/>
        <v>4700</v>
      </c>
      <c r="X187" s="9">
        <f t="shared" si="90"/>
        <v>4700</v>
      </c>
      <c r="Y187" s="9">
        <f t="shared" si="90"/>
        <v>4700</v>
      </c>
      <c r="Z187" s="9">
        <f t="shared" si="90"/>
        <v>4700</v>
      </c>
      <c r="AA187" s="9">
        <f t="shared" si="90"/>
        <v>4700</v>
      </c>
      <c r="AB187" s="10"/>
    </row>
    <row r="188" spans="2:28" s="7" customFormat="1" x14ac:dyDescent="0.2">
      <c r="B188" s="55" t="s">
        <v>63</v>
      </c>
      <c r="C188" s="55"/>
      <c r="D188" s="9"/>
      <c r="E188" s="9"/>
      <c r="F188" s="9"/>
      <c r="G188" s="9"/>
      <c r="H188" s="9"/>
      <c r="I188" s="9"/>
      <c r="J188" s="9"/>
      <c r="K188" s="9"/>
      <c r="L188" s="9"/>
      <c r="M188" s="9"/>
      <c r="N188" s="9"/>
      <c r="O188" s="9"/>
      <c r="P188" s="9"/>
      <c r="Q188" s="9"/>
      <c r="R188" s="9"/>
      <c r="S188" s="9"/>
      <c r="T188" s="9"/>
      <c r="U188" s="9"/>
      <c r="V188" s="158">
        <v>4300</v>
      </c>
      <c r="W188" s="9">
        <v>4300</v>
      </c>
      <c r="X188" s="9">
        <f t="shared" si="90"/>
        <v>4300</v>
      </c>
      <c r="Y188" s="9">
        <f t="shared" si="90"/>
        <v>4300</v>
      </c>
      <c r="Z188" s="9">
        <f t="shared" si="90"/>
        <v>4300</v>
      </c>
      <c r="AA188" s="9">
        <f t="shared" si="90"/>
        <v>4300</v>
      </c>
      <c r="AB188" s="10"/>
    </row>
    <row r="189" spans="2:28" s="7" customFormat="1" x14ac:dyDescent="0.2">
      <c r="B189" s="55" t="s">
        <v>375</v>
      </c>
      <c r="C189" s="55"/>
      <c r="D189" s="9"/>
      <c r="E189" s="9"/>
      <c r="F189" s="9"/>
      <c r="G189" s="9"/>
      <c r="H189" s="9"/>
      <c r="I189" s="9"/>
      <c r="J189" s="9"/>
      <c r="K189" s="9"/>
      <c r="L189" s="9"/>
      <c r="M189" s="9"/>
      <c r="N189" s="9"/>
      <c r="O189" s="9"/>
      <c r="P189" s="9"/>
      <c r="Q189" s="9"/>
      <c r="R189" s="9"/>
      <c r="S189" s="9"/>
      <c r="T189" s="9"/>
      <c r="U189" s="9"/>
      <c r="V189" s="9"/>
      <c r="W189" s="9"/>
      <c r="X189" s="9"/>
      <c r="Y189" s="158">
        <v>4700</v>
      </c>
      <c r="Z189" s="9">
        <v>4700</v>
      </c>
      <c r="AA189" s="9">
        <f t="shared" si="90"/>
        <v>4700</v>
      </c>
      <c r="AB189" s="10"/>
    </row>
    <row r="190" spans="2:28" s="7" customFormat="1" x14ac:dyDescent="0.2">
      <c r="B190" s="55"/>
      <c r="C190" s="55"/>
      <c r="D190" s="9"/>
      <c r="E190" s="9"/>
      <c r="F190" s="9"/>
      <c r="G190" s="9"/>
      <c r="H190" s="9"/>
      <c r="I190" s="9"/>
      <c r="J190" s="9"/>
      <c r="K190" s="9"/>
      <c r="L190" s="9"/>
      <c r="M190" s="9"/>
      <c r="N190" s="9"/>
      <c r="O190" s="9"/>
      <c r="P190" s="9"/>
      <c r="Q190" s="9"/>
      <c r="R190" s="9"/>
      <c r="S190" s="9"/>
      <c r="T190" s="9"/>
      <c r="U190" s="9"/>
      <c r="V190" s="9"/>
      <c r="W190" s="9"/>
      <c r="X190" s="9"/>
      <c r="Y190" s="9"/>
      <c r="Z190" s="9"/>
      <c r="AA190" s="27"/>
      <c r="AB190" s="10"/>
    </row>
    <row r="191" spans="2:28" s="7" customFormat="1" x14ac:dyDescent="0.2">
      <c r="B191" s="55"/>
      <c r="C191" s="55"/>
      <c r="D191" s="9"/>
      <c r="E191" s="9"/>
      <c r="F191" s="9"/>
      <c r="G191" s="9"/>
      <c r="H191" s="9"/>
      <c r="I191" s="9"/>
      <c r="J191" s="9"/>
      <c r="K191" s="9"/>
      <c r="L191" s="9"/>
      <c r="M191" s="9"/>
      <c r="N191" s="9"/>
      <c r="O191" s="9"/>
      <c r="P191" s="9"/>
      <c r="Q191" s="9"/>
      <c r="R191" s="9"/>
      <c r="S191" s="9"/>
      <c r="T191" s="9"/>
      <c r="U191" s="9"/>
      <c r="V191" s="9"/>
      <c r="W191" s="9"/>
      <c r="X191" s="9"/>
      <c r="Y191" s="9"/>
      <c r="Z191" s="9"/>
      <c r="AA191" s="27"/>
      <c r="AB191" s="10"/>
    </row>
    <row r="192" spans="2:28" s="7" customFormat="1" x14ac:dyDescent="0.2">
      <c r="B192" s="1" t="s">
        <v>250</v>
      </c>
      <c r="C192" s="1" t="s">
        <v>348</v>
      </c>
      <c r="D192" s="151">
        <f t="shared" ref="D192:AA192" si="91">D$6</f>
        <v>2017</v>
      </c>
      <c r="E192" s="151">
        <f t="shared" si="91"/>
        <v>2018</v>
      </c>
      <c r="F192" s="151">
        <f t="shared" si="91"/>
        <v>2019</v>
      </c>
      <c r="G192" s="151">
        <f t="shared" si="91"/>
        <v>2020</v>
      </c>
      <c r="H192" s="151">
        <f t="shared" si="91"/>
        <v>2021</v>
      </c>
      <c r="I192" s="151">
        <f t="shared" si="91"/>
        <v>2022</v>
      </c>
      <c r="J192" s="151">
        <f t="shared" si="91"/>
        <v>2023</v>
      </c>
      <c r="K192" s="151">
        <f t="shared" si="91"/>
        <v>2024</v>
      </c>
      <c r="L192" s="151">
        <f t="shared" si="91"/>
        <v>2025</v>
      </c>
      <c r="M192" s="151">
        <f t="shared" si="91"/>
        <v>2026</v>
      </c>
      <c r="N192" s="151">
        <f t="shared" si="91"/>
        <v>2027</v>
      </c>
      <c r="O192" s="151">
        <f t="shared" si="91"/>
        <v>2028</v>
      </c>
      <c r="P192" s="151">
        <f t="shared" si="91"/>
        <v>2029</v>
      </c>
      <c r="Q192" s="151">
        <f t="shared" si="91"/>
        <v>2030</v>
      </c>
      <c r="R192" s="151">
        <f t="shared" si="91"/>
        <v>2031</v>
      </c>
      <c r="S192" s="151">
        <f t="shared" si="91"/>
        <v>2032</v>
      </c>
      <c r="T192" s="151">
        <f t="shared" si="91"/>
        <v>2033</v>
      </c>
      <c r="U192" s="151">
        <f t="shared" si="91"/>
        <v>2034</v>
      </c>
      <c r="V192" s="151">
        <f t="shared" si="91"/>
        <v>2035</v>
      </c>
      <c r="W192" s="151">
        <f t="shared" si="91"/>
        <v>2036</v>
      </c>
      <c r="X192" s="151">
        <f t="shared" si="91"/>
        <v>2037</v>
      </c>
      <c r="Y192" s="151">
        <f t="shared" si="91"/>
        <v>2038</v>
      </c>
      <c r="Z192" s="151">
        <f t="shared" si="91"/>
        <v>2039</v>
      </c>
      <c r="AA192" s="151">
        <f t="shared" si="91"/>
        <v>2040</v>
      </c>
      <c r="AB192" s="10"/>
    </row>
    <row r="193" spans="2:28" s="7" customFormat="1" x14ac:dyDescent="0.2">
      <c r="B193" s="55" t="s">
        <v>57</v>
      </c>
      <c r="C193" s="55" t="s">
        <v>65</v>
      </c>
      <c r="D193" s="9">
        <f t="shared" ref="D193:AA193" si="92">D73*D178/1000</f>
        <v>640</v>
      </c>
      <c r="E193" s="9">
        <f t="shared" si="92"/>
        <v>640</v>
      </c>
      <c r="F193" s="9">
        <f t="shared" si="92"/>
        <v>640</v>
      </c>
      <c r="G193" s="9">
        <f t="shared" si="92"/>
        <v>640</v>
      </c>
      <c r="H193" s="9">
        <f t="shared" si="92"/>
        <v>640</v>
      </c>
      <c r="I193" s="9">
        <f t="shared" si="92"/>
        <v>640</v>
      </c>
      <c r="J193" s="9">
        <f t="shared" si="92"/>
        <v>640</v>
      </c>
      <c r="K193" s="9">
        <f t="shared" si="92"/>
        <v>640</v>
      </c>
      <c r="L193" s="9">
        <f t="shared" si="92"/>
        <v>640</v>
      </c>
      <c r="M193" s="9">
        <f t="shared" si="92"/>
        <v>640</v>
      </c>
      <c r="N193" s="9">
        <f t="shared" si="92"/>
        <v>640</v>
      </c>
      <c r="O193" s="9">
        <f t="shared" si="92"/>
        <v>0</v>
      </c>
      <c r="P193" s="9">
        <f t="shared" si="92"/>
        <v>0</v>
      </c>
      <c r="Q193" s="9">
        <f t="shared" si="92"/>
        <v>0</v>
      </c>
      <c r="R193" s="9">
        <f t="shared" si="92"/>
        <v>0</v>
      </c>
      <c r="S193" s="9">
        <f t="shared" si="92"/>
        <v>0</v>
      </c>
      <c r="T193" s="9">
        <f t="shared" si="92"/>
        <v>0</v>
      </c>
      <c r="U193" s="9">
        <f t="shared" si="92"/>
        <v>0</v>
      </c>
      <c r="V193" s="9">
        <f t="shared" si="92"/>
        <v>0</v>
      </c>
      <c r="W193" s="9">
        <f t="shared" si="92"/>
        <v>0</v>
      </c>
      <c r="X193" s="9">
        <f t="shared" si="92"/>
        <v>0</v>
      </c>
      <c r="Y193" s="9">
        <f t="shared" si="92"/>
        <v>0</v>
      </c>
      <c r="Z193" s="9">
        <f t="shared" si="92"/>
        <v>0</v>
      </c>
      <c r="AA193" s="9">
        <f t="shared" si="92"/>
        <v>0</v>
      </c>
      <c r="AB193" s="10"/>
    </row>
    <row r="194" spans="2:28" s="7" customFormat="1" x14ac:dyDescent="0.2">
      <c r="B194" s="55" t="s">
        <v>58</v>
      </c>
      <c r="C194" s="55" t="s">
        <v>66</v>
      </c>
      <c r="D194" s="9">
        <f t="shared" ref="D194:AA194" si="93">D74*D179/1000</f>
        <v>571.32000000000005</v>
      </c>
      <c r="E194" s="9">
        <f t="shared" si="93"/>
        <v>571.32000000000005</v>
      </c>
      <c r="F194" s="9">
        <f t="shared" si="93"/>
        <v>571.32000000000005</v>
      </c>
      <c r="G194" s="9">
        <f t="shared" si="93"/>
        <v>571.32000000000005</v>
      </c>
      <c r="H194" s="9">
        <f t="shared" si="93"/>
        <v>571.32000000000005</v>
      </c>
      <c r="I194" s="9">
        <f t="shared" si="93"/>
        <v>571.32000000000005</v>
      </c>
      <c r="J194" s="9">
        <f t="shared" si="93"/>
        <v>571.32000000000005</v>
      </c>
      <c r="K194" s="9">
        <f t="shared" si="93"/>
        <v>571.32000000000005</v>
      </c>
      <c r="L194" s="9">
        <f t="shared" si="93"/>
        <v>571.32000000000005</v>
      </c>
      <c r="M194" s="9">
        <f t="shared" si="93"/>
        <v>571.32000000000005</v>
      </c>
      <c r="N194" s="9">
        <f t="shared" si="93"/>
        <v>571.32000000000005</v>
      </c>
      <c r="O194" s="9">
        <f t="shared" si="93"/>
        <v>571.32000000000005</v>
      </c>
      <c r="P194" s="9">
        <f t="shared" si="93"/>
        <v>0</v>
      </c>
      <c r="Q194" s="9">
        <f t="shared" si="93"/>
        <v>0</v>
      </c>
      <c r="R194" s="9">
        <f t="shared" si="93"/>
        <v>0</v>
      </c>
      <c r="S194" s="9">
        <f t="shared" si="93"/>
        <v>0</v>
      </c>
      <c r="T194" s="9">
        <f t="shared" si="93"/>
        <v>0</v>
      </c>
      <c r="U194" s="166">
        <f t="shared" si="93"/>
        <v>0</v>
      </c>
      <c r="V194" s="9">
        <f t="shared" si="93"/>
        <v>0</v>
      </c>
      <c r="W194" s="9">
        <f t="shared" si="93"/>
        <v>0</v>
      </c>
      <c r="X194" s="9">
        <f t="shared" si="93"/>
        <v>0</v>
      </c>
      <c r="Y194" s="9">
        <f t="shared" si="93"/>
        <v>0</v>
      </c>
      <c r="Z194" s="9">
        <f t="shared" si="93"/>
        <v>0</v>
      </c>
      <c r="AA194" s="9">
        <f t="shared" si="93"/>
        <v>0</v>
      </c>
      <c r="AB194" s="10"/>
    </row>
    <row r="195" spans="2:28" s="7" customFormat="1" x14ac:dyDescent="0.2">
      <c r="B195" s="55" t="s">
        <v>59</v>
      </c>
      <c r="C195" s="55" t="s">
        <v>65</v>
      </c>
      <c r="D195" s="9">
        <f t="shared" ref="D195:AA195" si="94">D75*D180/1000</f>
        <v>920.92</v>
      </c>
      <c r="E195" s="9">
        <f t="shared" si="94"/>
        <v>920.92</v>
      </c>
      <c r="F195" s="9">
        <f t="shared" si="94"/>
        <v>920.92</v>
      </c>
      <c r="G195" s="9">
        <f t="shared" si="94"/>
        <v>920.92</v>
      </c>
      <c r="H195" s="9">
        <f t="shared" si="94"/>
        <v>920.92</v>
      </c>
      <c r="I195" s="9">
        <f t="shared" si="94"/>
        <v>920.92</v>
      </c>
      <c r="J195" s="9">
        <f t="shared" si="94"/>
        <v>920.92</v>
      </c>
      <c r="K195" s="9">
        <f t="shared" si="94"/>
        <v>920.92</v>
      </c>
      <c r="L195" s="9">
        <f t="shared" si="94"/>
        <v>920.92</v>
      </c>
      <c r="M195" s="9">
        <f t="shared" si="94"/>
        <v>920.92</v>
      </c>
      <c r="N195" s="9">
        <f t="shared" si="94"/>
        <v>920.92</v>
      </c>
      <c r="O195" s="9">
        <f t="shared" si="94"/>
        <v>920.92</v>
      </c>
      <c r="P195" s="9">
        <f t="shared" si="94"/>
        <v>920.92</v>
      </c>
      <c r="Q195" s="9">
        <f t="shared" si="94"/>
        <v>920.92</v>
      </c>
      <c r="R195" s="9">
        <f t="shared" si="94"/>
        <v>920.92</v>
      </c>
      <c r="S195" s="9">
        <f t="shared" si="94"/>
        <v>920.92</v>
      </c>
      <c r="T195" s="9">
        <f t="shared" si="94"/>
        <v>920.92</v>
      </c>
      <c r="U195" s="9">
        <f t="shared" si="94"/>
        <v>920.92</v>
      </c>
      <c r="V195" s="9">
        <f t="shared" si="94"/>
        <v>0</v>
      </c>
      <c r="W195" s="9">
        <f t="shared" si="94"/>
        <v>0</v>
      </c>
      <c r="X195" s="9">
        <f t="shared" si="94"/>
        <v>0</v>
      </c>
      <c r="Y195" s="9">
        <f t="shared" si="94"/>
        <v>0</v>
      </c>
      <c r="Z195" s="9">
        <f t="shared" si="94"/>
        <v>0</v>
      </c>
      <c r="AA195" s="9">
        <f t="shared" si="94"/>
        <v>0</v>
      </c>
      <c r="AB195" s="10"/>
    </row>
    <row r="196" spans="2:28" s="7" customFormat="1" x14ac:dyDescent="0.2">
      <c r="B196" s="55" t="s">
        <v>60</v>
      </c>
      <c r="C196" s="55" t="s">
        <v>66</v>
      </c>
      <c r="D196" s="9">
        <f t="shared" ref="D196:AA196" si="95">D76*D181/1000</f>
        <v>807.3</v>
      </c>
      <c r="E196" s="9">
        <f t="shared" si="95"/>
        <v>807.3</v>
      </c>
      <c r="F196" s="9">
        <f t="shared" si="95"/>
        <v>807.3</v>
      </c>
      <c r="G196" s="9">
        <f t="shared" si="95"/>
        <v>807.3</v>
      </c>
      <c r="H196" s="9">
        <f t="shared" si="95"/>
        <v>807.3</v>
      </c>
      <c r="I196" s="9">
        <f t="shared" si="95"/>
        <v>807.3</v>
      </c>
      <c r="J196" s="9">
        <f t="shared" si="95"/>
        <v>807.3</v>
      </c>
      <c r="K196" s="9">
        <f t="shared" si="95"/>
        <v>807.3</v>
      </c>
      <c r="L196" s="9">
        <f t="shared" si="95"/>
        <v>807.3</v>
      </c>
      <c r="M196" s="9">
        <f t="shared" si="95"/>
        <v>807.3</v>
      </c>
      <c r="N196" s="9">
        <f t="shared" si="95"/>
        <v>807.3</v>
      </c>
      <c r="O196" s="9">
        <f t="shared" si="95"/>
        <v>807.3</v>
      </c>
      <c r="P196" s="9">
        <f t="shared" si="95"/>
        <v>807.3</v>
      </c>
      <c r="Q196" s="9">
        <f t="shared" si="95"/>
        <v>807.3</v>
      </c>
      <c r="R196" s="9">
        <f t="shared" si="95"/>
        <v>807.3</v>
      </c>
      <c r="S196" s="9">
        <f t="shared" si="95"/>
        <v>807.3</v>
      </c>
      <c r="T196" s="9">
        <f t="shared" si="95"/>
        <v>807.3</v>
      </c>
      <c r="U196" s="9">
        <f t="shared" si="95"/>
        <v>807.3</v>
      </c>
      <c r="V196" s="9">
        <f t="shared" si="95"/>
        <v>807.3</v>
      </c>
      <c r="W196" s="9">
        <f t="shared" si="95"/>
        <v>0</v>
      </c>
      <c r="X196" s="9">
        <f t="shared" si="95"/>
        <v>0</v>
      </c>
      <c r="Y196" s="9">
        <f t="shared" si="95"/>
        <v>0</v>
      </c>
      <c r="Z196" s="9">
        <f t="shared" si="95"/>
        <v>0</v>
      </c>
      <c r="AA196" s="9">
        <f t="shared" si="95"/>
        <v>0</v>
      </c>
      <c r="AB196" s="10"/>
    </row>
    <row r="197" spans="2:28" s="7" customFormat="1" x14ac:dyDescent="0.2">
      <c r="B197" s="55" t="s">
        <v>61</v>
      </c>
      <c r="C197" s="55" t="s">
        <v>65</v>
      </c>
      <c r="D197" s="9">
        <f t="shared" ref="D197:AA197" si="96">D77*D182/1000</f>
        <v>1778.22</v>
      </c>
      <c r="E197" s="9">
        <f t="shared" si="96"/>
        <v>1778.22</v>
      </c>
      <c r="F197" s="9">
        <f t="shared" si="96"/>
        <v>1778.22</v>
      </c>
      <c r="G197" s="9">
        <f t="shared" si="96"/>
        <v>1778.22</v>
      </c>
      <c r="H197" s="9">
        <f t="shared" si="96"/>
        <v>1778.22</v>
      </c>
      <c r="I197" s="9">
        <f t="shared" si="96"/>
        <v>1778.22</v>
      </c>
      <c r="J197" s="9">
        <f t="shared" si="96"/>
        <v>1778.22</v>
      </c>
      <c r="K197" s="9">
        <f t="shared" si="96"/>
        <v>1778.22</v>
      </c>
      <c r="L197" s="9">
        <f t="shared" si="96"/>
        <v>1778.22</v>
      </c>
      <c r="M197" s="9">
        <f t="shared" si="96"/>
        <v>1778.22</v>
      </c>
      <c r="N197" s="9">
        <f t="shared" si="96"/>
        <v>1778.22</v>
      </c>
      <c r="O197" s="9">
        <f t="shared" si="96"/>
        <v>1778.22</v>
      </c>
      <c r="P197" s="9">
        <f t="shared" si="96"/>
        <v>1778.22</v>
      </c>
      <c r="Q197" s="9">
        <f t="shared" si="96"/>
        <v>1778.22</v>
      </c>
      <c r="R197" s="9">
        <f t="shared" si="96"/>
        <v>1778.22</v>
      </c>
      <c r="S197" s="9">
        <f t="shared" si="96"/>
        <v>1778.22</v>
      </c>
      <c r="T197" s="9">
        <f t="shared" si="96"/>
        <v>1778.22</v>
      </c>
      <c r="U197" s="9">
        <f t="shared" si="96"/>
        <v>1778.22</v>
      </c>
      <c r="V197" s="9">
        <f t="shared" si="96"/>
        <v>1778.22</v>
      </c>
      <c r="W197" s="9">
        <f t="shared" si="96"/>
        <v>1778.22</v>
      </c>
      <c r="X197" s="9">
        <f t="shared" si="96"/>
        <v>1778.22</v>
      </c>
      <c r="Y197" s="9">
        <f t="shared" si="96"/>
        <v>1778.22</v>
      </c>
      <c r="Z197" s="9">
        <f t="shared" si="96"/>
        <v>0</v>
      </c>
      <c r="AA197" s="9">
        <f t="shared" si="96"/>
        <v>0</v>
      </c>
      <c r="AB197" s="10"/>
    </row>
    <row r="198" spans="2:28" s="7" customFormat="1" x14ac:dyDescent="0.2">
      <c r="B198" s="55" t="s">
        <v>62</v>
      </c>
      <c r="C198" s="55" t="s">
        <v>65</v>
      </c>
      <c r="D198" s="9">
        <f t="shared" ref="D198:AA198" si="97">D78*D183/1000</f>
        <v>0</v>
      </c>
      <c r="E198" s="9">
        <f t="shared" si="97"/>
        <v>0</v>
      </c>
      <c r="F198" s="9">
        <f t="shared" si="97"/>
        <v>1830.15</v>
      </c>
      <c r="G198" s="9">
        <f t="shared" si="97"/>
        <v>1830.15</v>
      </c>
      <c r="H198" s="9">
        <f t="shared" si="97"/>
        <v>1830.15</v>
      </c>
      <c r="I198" s="9">
        <f t="shared" si="97"/>
        <v>1830.15</v>
      </c>
      <c r="J198" s="9">
        <f t="shared" si="97"/>
        <v>1830.15</v>
      </c>
      <c r="K198" s="9">
        <f t="shared" si="97"/>
        <v>1830.15</v>
      </c>
      <c r="L198" s="9">
        <f t="shared" si="97"/>
        <v>1830.15</v>
      </c>
      <c r="M198" s="9">
        <f t="shared" si="97"/>
        <v>1830.15</v>
      </c>
      <c r="N198" s="9">
        <f t="shared" si="97"/>
        <v>1830.15</v>
      </c>
      <c r="O198" s="9">
        <f t="shared" si="97"/>
        <v>1830.15</v>
      </c>
      <c r="P198" s="9">
        <f t="shared" si="97"/>
        <v>1830.15</v>
      </c>
      <c r="Q198" s="9">
        <f t="shared" si="97"/>
        <v>1830.15</v>
      </c>
      <c r="R198" s="9">
        <f t="shared" si="97"/>
        <v>1830.15</v>
      </c>
      <c r="S198" s="9">
        <f t="shared" si="97"/>
        <v>1830.15</v>
      </c>
      <c r="T198" s="9">
        <f t="shared" si="97"/>
        <v>1830.15</v>
      </c>
      <c r="U198" s="9">
        <f t="shared" si="97"/>
        <v>1830.15</v>
      </c>
      <c r="V198" s="9">
        <f t="shared" si="97"/>
        <v>1830.15</v>
      </c>
      <c r="W198" s="9">
        <f t="shared" si="97"/>
        <v>1830.15</v>
      </c>
      <c r="X198" s="9">
        <f t="shared" si="97"/>
        <v>1830.15</v>
      </c>
      <c r="Y198" s="9">
        <f t="shared" si="97"/>
        <v>1830.15</v>
      </c>
      <c r="Z198" s="9">
        <f t="shared" si="97"/>
        <v>1830.15</v>
      </c>
      <c r="AA198" s="9">
        <f t="shared" si="97"/>
        <v>1830.15</v>
      </c>
      <c r="AB198" s="10"/>
    </row>
    <row r="199" spans="2:28" s="7" customFormat="1" x14ac:dyDescent="0.2">
      <c r="B199" s="55" t="s">
        <v>67</v>
      </c>
      <c r="C199" s="55" t="s">
        <v>66</v>
      </c>
      <c r="D199" s="9">
        <f t="shared" ref="D199:AA199" si="98">D79*D184/1000</f>
        <v>0</v>
      </c>
      <c r="E199" s="9">
        <f t="shared" si="98"/>
        <v>0</v>
      </c>
      <c r="F199" s="9">
        <f t="shared" si="98"/>
        <v>0</v>
      </c>
      <c r="G199" s="9">
        <f t="shared" si="98"/>
        <v>0</v>
      </c>
      <c r="H199" s="9">
        <f t="shared" si="98"/>
        <v>0</v>
      </c>
      <c r="I199" s="9">
        <f t="shared" si="98"/>
        <v>2550</v>
      </c>
      <c r="J199" s="9">
        <f t="shared" si="98"/>
        <v>2550</v>
      </c>
      <c r="K199" s="9">
        <f t="shared" si="98"/>
        <v>2550</v>
      </c>
      <c r="L199" s="9">
        <f t="shared" si="98"/>
        <v>2550</v>
      </c>
      <c r="M199" s="9">
        <f t="shared" si="98"/>
        <v>2550</v>
      </c>
      <c r="N199" s="9">
        <f t="shared" si="98"/>
        <v>2550</v>
      </c>
      <c r="O199" s="9">
        <f t="shared" si="98"/>
        <v>2550</v>
      </c>
      <c r="P199" s="9">
        <f t="shared" si="98"/>
        <v>2550</v>
      </c>
      <c r="Q199" s="9">
        <f t="shared" si="98"/>
        <v>2550</v>
      </c>
      <c r="R199" s="9">
        <f t="shared" si="98"/>
        <v>2550</v>
      </c>
      <c r="S199" s="9">
        <f t="shared" si="98"/>
        <v>2550</v>
      </c>
      <c r="T199" s="9">
        <f t="shared" si="98"/>
        <v>2550</v>
      </c>
      <c r="U199" s="9">
        <f t="shared" si="98"/>
        <v>2550</v>
      </c>
      <c r="V199" s="9">
        <f t="shared" si="98"/>
        <v>2550</v>
      </c>
      <c r="W199" s="9">
        <f t="shared" si="98"/>
        <v>2550</v>
      </c>
      <c r="X199" s="9">
        <f t="shared" si="98"/>
        <v>2550</v>
      </c>
      <c r="Y199" s="9">
        <f t="shared" si="98"/>
        <v>2550</v>
      </c>
      <c r="Z199" s="9">
        <f t="shared" si="98"/>
        <v>2550</v>
      </c>
      <c r="AA199" s="9">
        <f t="shared" si="98"/>
        <v>2550</v>
      </c>
      <c r="AB199" s="10"/>
    </row>
    <row r="200" spans="2:28" s="7" customFormat="1" x14ac:dyDescent="0.2">
      <c r="B200" s="55" t="s">
        <v>476</v>
      </c>
      <c r="C200" s="55" t="s">
        <v>65</v>
      </c>
      <c r="D200" s="9">
        <f t="shared" ref="D200:AA200" si="99">D80*D185/1000</f>
        <v>0</v>
      </c>
      <c r="E200" s="9">
        <f t="shared" si="99"/>
        <v>0</v>
      </c>
      <c r="F200" s="9">
        <f t="shared" si="99"/>
        <v>0</v>
      </c>
      <c r="G200" s="9">
        <f t="shared" si="99"/>
        <v>0</v>
      </c>
      <c r="H200" s="9">
        <f t="shared" si="99"/>
        <v>0</v>
      </c>
      <c r="I200" s="9">
        <f t="shared" si="99"/>
        <v>0</v>
      </c>
      <c r="J200" s="9">
        <f t="shared" si="99"/>
        <v>0</v>
      </c>
      <c r="K200" s="9">
        <f t="shared" si="99"/>
        <v>0</v>
      </c>
      <c r="L200" s="9">
        <f t="shared" si="99"/>
        <v>0</v>
      </c>
      <c r="M200" s="9">
        <f t="shared" si="99"/>
        <v>1380</v>
      </c>
      <c r="N200" s="9">
        <f t="shared" si="99"/>
        <v>2760</v>
      </c>
      <c r="O200" s="9">
        <f t="shared" si="99"/>
        <v>2760</v>
      </c>
      <c r="P200" s="9">
        <f t="shared" si="99"/>
        <v>2760</v>
      </c>
      <c r="Q200" s="9">
        <f t="shared" si="99"/>
        <v>2760</v>
      </c>
      <c r="R200" s="9">
        <f t="shared" si="99"/>
        <v>2760</v>
      </c>
      <c r="S200" s="9">
        <f t="shared" si="99"/>
        <v>2760</v>
      </c>
      <c r="T200" s="9">
        <f t="shared" si="99"/>
        <v>2760</v>
      </c>
      <c r="U200" s="9">
        <f t="shared" si="99"/>
        <v>2760</v>
      </c>
      <c r="V200" s="9">
        <f t="shared" si="99"/>
        <v>2760</v>
      </c>
      <c r="W200" s="9">
        <f t="shared" si="99"/>
        <v>2760</v>
      </c>
      <c r="X200" s="9">
        <f t="shared" si="99"/>
        <v>2760</v>
      </c>
      <c r="Y200" s="9">
        <f t="shared" si="99"/>
        <v>2760</v>
      </c>
      <c r="Z200" s="9">
        <f t="shared" si="99"/>
        <v>2760</v>
      </c>
      <c r="AA200" s="9">
        <f t="shared" si="99"/>
        <v>2760</v>
      </c>
      <c r="AB200" s="10"/>
    </row>
    <row r="201" spans="2:28" s="7" customFormat="1" x14ac:dyDescent="0.2">
      <c r="B201" s="55" t="s">
        <v>375</v>
      </c>
      <c r="C201" s="55" t="s">
        <v>65</v>
      </c>
      <c r="D201" s="9">
        <f t="shared" ref="D201:AA201" si="100">D81*D186/1000</f>
        <v>0</v>
      </c>
      <c r="E201" s="9">
        <f t="shared" si="100"/>
        <v>0</v>
      </c>
      <c r="F201" s="9">
        <f t="shared" si="100"/>
        <v>0</v>
      </c>
      <c r="G201" s="9">
        <f t="shared" si="100"/>
        <v>0</v>
      </c>
      <c r="H201" s="9">
        <f t="shared" si="100"/>
        <v>0</v>
      </c>
      <c r="I201" s="9">
        <f t="shared" si="100"/>
        <v>0</v>
      </c>
      <c r="J201" s="9">
        <f t="shared" si="100"/>
        <v>0</v>
      </c>
      <c r="K201" s="9">
        <f t="shared" si="100"/>
        <v>0</v>
      </c>
      <c r="L201" s="9">
        <f t="shared" si="100"/>
        <v>0</v>
      </c>
      <c r="M201" s="9">
        <f t="shared" si="100"/>
        <v>0</v>
      </c>
      <c r="N201" s="9">
        <f t="shared" si="100"/>
        <v>0</v>
      </c>
      <c r="O201" s="9">
        <f t="shared" si="100"/>
        <v>0</v>
      </c>
      <c r="P201" s="166">
        <f t="shared" si="100"/>
        <v>1380</v>
      </c>
      <c r="Q201" s="9">
        <f t="shared" si="100"/>
        <v>2760</v>
      </c>
      <c r="R201" s="9">
        <f t="shared" si="100"/>
        <v>2760</v>
      </c>
      <c r="S201" s="9">
        <f t="shared" si="100"/>
        <v>2760</v>
      </c>
      <c r="T201" s="9">
        <f t="shared" si="100"/>
        <v>2760</v>
      </c>
      <c r="U201" s="9">
        <f t="shared" si="100"/>
        <v>2760</v>
      </c>
      <c r="V201" s="9">
        <f t="shared" si="100"/>
        <v>2760</v>
      </c>
      <c r="W201" s="9">
        <f t="shared" si="100"/>
        <v>2760</v>
      </c>
      <c r="X201" s="9">
        <f t="shared" si="100"/>
        <v>2760</v>
      </c>
      <c r="Y201" s="9">
        <f t="shared" si="100"/>
        <v>2760</v>
      </c>
      <c r="Z201" s="9">
        <f t="shared" si="100"/>
        <v>2760</v>
      </c>
      <c r="AA201" s="9">
        <f t="shared" si="100"/>
        <v>2760</v>
      </c>
      <c r="AB201" s="10"/>
    </row>
    <row r="202" spans="2:28" s="7" customFormat="1" x14ac:dyDescent="0.2">
      <c r="B202" s="55" t="s">
        <v>477</v>
      </c>
      <c r="C202" s="55" t="s">
        <v>65</v>
      </c>
      <c r="D202" s="9">
        <f t="shared" ref="D202:AA202" si="101">D82*D187/1000</f>
        <v>0</v>
      </c>
      <c r="E202" s="9">
        <f t="shared" si="101"/>
        <v>0</v>
      </c>
      <c r="F202" s="9">
        <f t="shared" si="101"/>
        <v>0</v>
      </c>
      <c r="G202" s="9">
        <f t="shared" si="101"/>
        <v>0</v>
      </c>
      <c r="H202" s="9">
        <f t="shared" si="101"/>
        <v>0</v>
      </c>
      <c r="I202" s="9">
        <f t="shared" si="101"/>
        <v>0</v>
      </c>
      <c r="J202" s="9">
        <f t="shared" si="101"/>
        <v>0</v>
      </c>
      <c r="K202" s="9">
        <f t="shared" si="101"/>
        <v>0</v>
      </c>
      <c r="L202" s="9">
        <f t="shared" si="101"/>
        <v>0</v>
      </c>
      <c r="M202" s="9">
        <f t="shared" si="101"/>
        <v>0</v>
      </c>
      <c r="N202" s="9">
        <f t="shared" si="101"/>
        <v>0</v>
      </c>
      <c r="O202" s="9">
        <f t="shared" si="101"/>
        <v>0</v>
      </c>
      <c r="P202" s="9">
        <f t="shared" si="101"/>
        <v>0</v>
      </c>
      <c r="Q202" s="9">
        <f t="shared" si="101"/>
        <v>0</v>
      </c>
      <c r="R202" s="9">
        <f t="shared" si="101"/>
        <v>0</v>
      </c>
      <c r="S202" s="166">
        <f t="shared" si="101"/>
        <v>1410</v>
      </c>
      <c r="T202" s="9">
        <f t="shared" si="101"/>
        <v>2820</v>
      </c>
      <c r="U202" s="9">
        <f t="shared" si="101"/>
        <v>2820</v>
      </c>
      <c r="V202" s="9">
        <f t="shared" si="101"/>
        <v>2820</v>
      </c>
      <c r="W202" s="9">
        <f t="shared" si="101"/>
        <v>2820</v>
      </c>
      <c r="X202" s="9">
        <f t="shared" si="101"/>
        <v>2820</v>
      </c>
      <c r="Y202" s="9">
        <f t="shared" si="101"/>
        <v>2820</v>
      </c>
      <c r="Z202" s="9">
        <f t="shared" si="101"/>
        <v>2820</v>
      </c>
      <c r="AA202" s="9">
        <f t="shared" si="101"/>
        <v>2820</v>
      </c>
      <c r="AB202" s="10"/>
    </row>
    <row r="203" spans="2:28" s="7" customFormat="1" x14ac:dyDescent="0.2">
      <c r="B203" s="55" t="s">
        <v>478</v>
      </c>
      <c r="C203" s="55" t="s">
        <v>66</v>
      </c>
      <c r="D203" s="9">
        <f t="shared" ref="D203:AA203" si="102">D83*D188/1000</f>
        <v>0</v>
      </c>
      <c r="E203" s="9">
        <f t="shared" si="102"/>
        <v>0</v>
      </c>
      <c r="F203" s="9">
        <f t="shared" si="102"/>
        <v>0</v>
      </c>
      <c r="G203" s="9">
        <f t="shared" si="102"/>
        <v>0</v>
      </c>
      <c r="H203" s="9">
        <f t="shared" si="102"/>
        <v>0</v>
      </c>
      <c r="I203" s="9">
        <f t="shared" si="102"/>
        <v>0</v>
      </c>
      <c r="J203" s="9">
        <f t="shared" si="102"/>
        <v>0</v>
      </c>
      <c r="K203" s="9">
        <f t="shared" si="102"/>
        <v>0</v>
      </c>
      <c r="L203" s="9">
        <f t="shared" si="102"/>
        <v>0</v>
      </c>
      <c r="M203" s="9">
        <f t="shared" si="102"/>
        <v>0</v>
      </c>
      <c r="N203" s="9">
        <f t="shared" si="102"/>
        <v>0</v>
      </c>
      <c r="O203" s="9">
        <f t="shared" si="102"/>
        <v>0</v>
      </c>
      <c r="P203" s="9">
        <f t="shared" si="102"/>
        <v>0</v>
      </c>
      <c r="Q203" s="9">
        <f t="shared" si="102"/>
        <v>0</v>
      </c>
      <c r="R203" s="9">
        <f t="shared" si="102"/>
        <v>0</v>
      </c>
      <c r="S203" s="9">
        <f t="shared" si="102"/>
        <v>0</v>
      </c>
      <c r="T203" s="9">
        <f t="shared" si="102"/>
        <v>0</v>
      </c>
      <c r="U203" s="9">
        <f t="shared" si="102"/>
        <v>0</v>
      </c>
      <c r="V203" s="166">
        <f t="shared" si="102"/>
        <v>1290</v>
      </c>
      <c r="W203" s="9">
        <f t="shared" si="102"/>
        <v>2580</v>
      </c>
      <c r="X203" s="9">
        <f t="shared" si="102"/>
        <v>2580</v>
      </c>
      <c r="Y203" s="9">
        <f t="shared" si="102"/>
        <v>2580</v>
      </c>
      <c r="Z203" s="9">
        <f t="shared" si="102"/>
        <v>2580</v>
      </c>
      <c r="AA203" s="9">
        <f t="shared" si="102"/>
        <v>2580</v>
      </c>
      <c r="AB203" s="10"/>
    </row>
    <row r="204" spans="2:28" s="7" customFormat="1" x14ac:dyDescent="0.2">
      <c r="B204" s="55" t="s">
        <v>375</v>
      </c>
      <c r="C204" s="55" t="s">
        <v>65</v>
      </c>
      <c r="D204" s="9">
        <f t="shared" ref="D204:AA204" si="103">D84*D189/1000</f>
        <v>0</v>
      </c>
      <c r="E204" s="9">
        <f t="shared" si="103"/>
        <v>0</v>
      </c>
      <c r="F204" s="9">
        <f t="shared" si="103"/>
        <v>0</v>
      </c>
      <c r="G204" s="9">
        <f t="shared" si="103"/>
        <v>0</v>
      </c>
      <c r="H204" s="9">
        <f t="shared" si="103"/>
        <v>0</v>
      </c>
      <c r="I204" s="9">
        <f t="shared" si="103"/>
        <v>0</v>
      </c>
      <c r="J204" s="9">
        <f t="shared" si="103"/>
        <v>0</v>
      </c>
      <c r="K204" s="9">
        <f t="shared" si="103"/>
        <v>0</v>
      </c>
      <c r="L204" s="9">
        <f t="shared" si="103"/>
        <v>0</v>
      </c>
      <c r="M204" s="9">
        <f t="shared" si="103"/>
        <v>0</v>
      </c>
      <c r="N204" s="9">
        <f t="shared" si="103"/>
        <v>0</v>
      </c>
      <c r="O204" s="9">
        <f t="shared" si="103"/>
        <v>0</v>
      </c>
      <c r="P204" s="9">
        <f t="shared" si="103"/>
        <v>0</v>
      </c>
      <c r="Q204" s="9">
        <f t="shared" si="103"/>
        <v>0</v>
      </c>
      <c r="R204" s="9">
        <f t="shared" si="103"/>
        <v>0</v>
      </c>
      <c r="S204" s="9">
        <f t="shared" si="103"/>
        <v>0</v>
      </c>
      <c r="T204" s="9">
        <f t="shared" si="103"/>
        <v>0</v>
      </c>
      <c r="U204" s="9">
        <f t="shared" si="103"/>
        <v>0</v>
      </c>
      <c r="V204" s="9">
        <f t="shared" si="103"/>
        <v>0</v>
      </c>
      <c r="W204" s="9">
        <f t="shared" si="103"/>
        <v>0</v>
      </c>
      <c r="X204" s="9">
        <f t="shared" si="103"/>
        <v>0</v>
      </c>
      <c r="Y204" s="166">
        <f t="shared" si="103"/>
        <v>1410</v>
      </c>
      <c r="Z204" s="9">
        <f t="shared" si="103"/>
        <v>2820</v>
      </c>
      <c r="AA204" s="9">
        <f t="shared" si="103"/>
        <v>2820</v>
      </c>
      <c r="AB204" s="10"/>
    </row>
    <row r="205" spans="2:28" s="7" customFormat="1" x14ac:dyDescent="0.2">
      <c r="B205" s="55"/>
      <c r="C205" s="55"/>
      <c r="D205" s="9"/>
      <c r="E205" s="9"/>
      <c r="F205" s="9"/>
      <c r="G205" s="9"/>
      <c r="H205" s="9"/>
      <c r="I205" s="9"/>
      <c r="J205" s="9"/>
      <c r="K205" s="9"/>
      <c r="L205" s="9"/>
      <c r="M205" s="9"/>
      <c r="N205" s="9"/>
      <c r="O205" s="9"/>
      <c r="P205" s="9"/>
      <c r="Q205" s="9"/>
      <c r="R205" s="9"/>
      <c r="S205" s="9"/>
      <c r="T205" s="9"/>
      <c r="U205" s="9"/>
      <c r="V205" s="9"/>
      <c r="W205" s="9"/>
      <c r="X205" s="9"/>
      <c r="Y205" s="166"/>
      <c r="Z205" s="9"/>
      <c r="AA205" s="9"/>
      <c r="AB205" s="10"/>
    </row>
    <row r="206" spans="2:28" s="7" customFormat="1" x14ac:dyDescent="0.2">
      <c r="B206" s="163" t="s">
        <v>200</v>
      </c>
      <c r="C206" s="163"/>
      <c r="D206" s="167">
        <f t="shared" ref="D206:AA206" si="104">SUMIF($C$193:$C$204,"DK2",D$193:D$204)</f>
        <v>1378.62</v>
      </c>
      <c r="E206" s="167">
        <f t="shared" si="104"/>
        <v>1378.62</v>
      </c>
      <c r="F206" s="167">
        <f t="shared" si="104"/>
        <v>1378.62</v>
      </c>
      <c r="G206" s="167">
        <f t="shared" si="104"/>
        <v>1378.62</v>
      </c>
      <c r="H206" s="167">
        <f t="shared" si="104"/>
        <v>1378.62</v>
      </c>
      <c r="I206" s="167">
        <f t="shared" si="104"/>
        <v>3928.62</v>
      </c>
      <c r="J206" s="167">
        <f t="shared" si="104"/>
        <v>3928.62</v>
      </c>
      <c r="K206" s="167">
        <f t="shared" si="104"/>
        <v>3928.62</v>
      </c>
      <c r="L206" s="167">
        <f t="shared" si="104"/>
        <v>3928.62</v>
      </c>
      <c r="M206" s="167">
        <f t="shared" si="104"/>
        <v>3928.62</v>
      </c>
      <c r="N206" s="167">
        <f t="shared" si="104"/>
        <v>3928.62</v>
      </c>
      <c r="O206" s="167">
        <f t="shared" si="104"/>
        <v>3928.62</v>
      </c>
      <c r="P206" s="167">
        <f t="shared" si="104"/>
        <v>3357.3</v>
      </c>
      <c r="Q206" s="167">
        <f t="shared" si="104"/>
        <v>3357.3</v>
      </c>
      <c r="R206" s="167">
        <f t="shared" si="104"/>
        <v>3357.3</v>
      </c>
      <c r="S206" s="167">
        <f t="shared" si="104"/>
        <v>3357.3</v>
      </c>
      <c r="T206" s="167">
        <f t="shared" si="104"/>
        <v>3357.3</v>
      </c>
      <c r="U206" s="167">
        <f t="shared" si="104"/>
        <v>3357.3</v>
      </c>
      <c r="V206" s="167">
        <f t="shared" si="104"/>
        <v>4647.3</v>
      </c>
      <c r="W206" s="167">
        <f t="shared" si="104"/>
        <v>5130</v>
      </c>
      <c r="X206" s="167">
        <f t="shared" si="104"/>
        <v>5130</v>
      </c>
      <c r="Y206" s="167">
        <f t="shared" si="104"/>
        <v>5130</v>
      </c>
      <c r="Z206" s="167">
        <f t="shared" si="104"/>
        <v>5130</v>
      </c>
      <c r="AA206" s="167">
        <f t="shared" si="104"/>
        <v>5130</v>
      </c>
      <c r="AB206" s="10"/>
    </row>
    <row r="207" spans="2:28" s="7" customFormat="1" x14ac:dyDescent="0.2">
      <c r="B207" s="163" t="s">
        <v>199</v>
      </c>
      <c r="C207" s="163"/>
      <c r="D207" s="167">
        <f t="shared" ref="D207:AA207" si="105">SUMIF($C$193:$C$204,"DK1",D$193:D$204)</f>
        <v>3339.1400000000003</v>
      </c>
      <c r="E207" s="167">
        <f t="shared" si="105"/>
        <v>3339.1400000000003</v>
      </c>
      <c r="F207" s="167">
        <f t="shared" si="105"/>
        <v>5169.2900000000009</v>
      </c>
      <c r="G207" s="167">
        <f t="shared" si="105"/>
        <v>5169.2900000000009</v>
      </c>
      <c r="H207" s="167">
        <f t="shared" si="105"/>
        <v>5169.2900000000009</v>
      </c>
      <c r="I207" s="167">
        <f t="shared" si="105"/>
        <v>5169.2900000000009</v>
      </c>
      <c r="J207" s="167">
        <f t="shared" si="105"/>
        <v>5169.2900000000009</v>
      </c>
      <c r="K207" s="167">
        <f t="shared" si="105"/>
        <v>5169.2900000000009</v>
      </c>
      <c r="L207" s="167">
        <f t="shared" si="105"/>
        <v>5169.2900000000009</v>
      </c>
      <c r="M207" s="167">
        <f t="shared" si="105"/>
        <v>6549.2900000000009</v>
      </c>
      <c r="N207" s="167">
        <f t="shared" si="105"/>
        <v>7929.2900000000009</v>
      </c>
      <c r="O207" s="167">
        <f t="shared" si="105"/>
        <v>7289.29</v>
      </c>
      <c r="P207" s="167">
        <f t="shared" si="105"/>
        <v>8669.2900000000009</v>
      </c>
      <c r="Q207" s="167">
        <f t="shared" si="105"/>
        <v>10049.290000000001</v>
      </c>
      <c r="R207" s="167">
        <f t="shared" si="105"/>
        <v>10049.290000000001</v>
      </c>
      <c r="S207" s="167">
        <f t="shared" si="105"/>
        <v>11459.29</v>
      </c>
      <c r="T207" s="167">
        <f t="shared" si="105"/>
        <v>12869.29</v>
      </c>
      <c r="U207" s="167">
        <f t="shared" si="105"/>
        <v>12869.29</v>
      </c>
      <c r="V207" s="167">
        <f t="shared" si="105"/>
        <v>11948.369999999999</v>
      </c>
      <c r="W207" s="167">
        <f t="shared" si="105"/>
        <v>11948.369999999999</v>
      </c>
      <c r="X207" s="167">
        <f t="shared" si="105"/>
        <v>11948.369999999999</v>
      </c>
      <c r="Y207" s="167">
        <f t="shared" si="105"/>
        <v>13358.369999999999</v>
      </c>
      <c r="Z207" s="167">
        <f t="shared" si="105"/>
        <v>12990.15</v>
      </c>
      <c r="AA207" s="167">
        <f t="shared" si="105"/>
        <v>12990.15</v>
      </c>
      <c r="AB207" s="10"/>
    </row>
    <row r="208" spans="2:28" s="7" customFormat="1" x14ac:dyDescent="0.2">
      <c r="B208" s="55"/>
      <c r="C208" s="55"/>
      <c r="D208" s="9"/>
      <c r="E208" s="9"/>
      <c r="F208" s="9"/>
      <c r="G208" s="9"/>
      <c r="H208" s="9"/>
      <c r="I208" s="9"/>
      <c r="J208" s="9"/>
      <c r="K208" s="9"/>
      <c r="L208" s="9"/>
      <c r="M208" s="9"/>
      <c r="N208" s="9"/>
      <c r="O208" s="9"/>
      <c r="P208" s="9"/>
      <c r="Q208" s="9"/>
      <c r="R208" s="9"/>
      <c r="S208" s="9"/>
      <c r="T208" s="9"/>
      <c r="U208" s="9"/>
      <c r="V208" s="9"/>
      <c r="W208" s="9"/>
      <c r="X208" s="9"/>
      <c r="Y208" s="166"/>
      <c r="Z208" s="9"/>
      <c r="AA208" s="9"/>
      <c r="AB208" s="10"/>
    </row>
    <row r="209" spans="2:28" s="36" customFormat="1" x14ac:dyDescent="0.2">
      <c r="B209" s="168" t="s">
        <v>198</v>
      </c>
      <c r="C209" s="168"/>
      <c r="D209" s="169">
        <f t="shared" ref="D209:AA209" si="106">D206+D207</f>
        <v>4717.76</v>
      </c>
      <c r="E209" s="169">
        <f t="shared" si="106"/>
        <v>4717.76</v>
      </c>
      <c r="F209" s="169">
        <f t="shared" si="106"/>
        <v>6547.9100000000008</v>
      </c>
      <c r="G209" s="169">
        <f t="shared" si="106"/>
        <v>6547.9100000000008</v>
      </c>
      <c r="H209" s="169">
        <f t="shared" si="106"/>
        <v>6547.9100000000008</v>
      </c>
      <c r="I209" s="169">
        <f t="shared" si="106"/>
        <v>9097.91</v>
      </c>
      <c r="J209" s="169">
        <f t="shared" si="106"/>
        <v>9097.91</v>
      </c>
      <c r="K209" s="169">
        <f t="shared" si="106"/>
        <v>9097.91</v>
      </c>
      <c r="L209" s="169">
        <f t="shared" si="106"/>
        <v>9097.91</v>
      </c>
      <c r="M209" s="169">
        <f t="shared" si="106"/>
        <v>10477.91</v>
      </c>
      <c r="N209" s="169">
        <f t="shared" si="106"/>
        <v>11857.91</v>
      </c>
      <c r="O209" s="169">
        <f t="shared" si="106"/>
        <v>11217.91</v>
      </c>
      <c r="P209" s="169">
        <f t="shared" si="106"/>
        <v>12026.59</v>
      </c>
      <c r="Q209" s="169">
        <f t="shared" si="106"/>
        <v>13406.59</v>
      </c>
      <c r="R209" s="169">
        <f t="shared" si="106"/>
        <v>13406.59</v>
      </c>
      <c r="S209" s="169">
        <f t="shared" si="106"/>
        <v>14816.59</v>
      </c>
      <c r="T209" s="169">
        <f t="shared" si="106"/>
        <v>16226.59</v>
      </c>
      <c r="U209" s="169">
        <f t="shared" si="106"/>
        <v>16226.59</v>
      </c>
      <c r="V209" s="169">
        <f t="shared" si="106"/>
        <v>16595.669999999998</v>
      </c>
      <c r="W209" s="169">
        <f t="shared" si="106"/>
        <v>17078.37</v>
      </c>
      <c r="X209" s="169">
        <f t="shared" si="106"/>
        <v>17078.37</v>
      </c>
      <c r="Y209" s="169">
        <f t="shared" si="106"/>
        <v>18488.37</v>
      </c>
      <c r="Z209" s="169">
        <f t="shared" si="106"/>
        <v>18120.150000000001</v>
      </c>
      <c r="AA209" s="169">
        <f t="shared" si="106"/>
        <v>18120.150000000001</v>
      </c>
      <c r="AB209" s="35"/>
    </row>
    <row r="210" spans="2:28" s="35" customFormat="1" x14ac:dyDescent="0.2">
      <c r="B210" s="41"/>
      <c r="C210" s="41"/>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45"/>
    </row>
    <row r="211" spans="2:28" s="35" customFormat="1" x14ac:dyDescent="0.2">
      <c r="B211" s="41"/>
      <c r="C211" s="41"/>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45"/>
    </row>
    <row r="212" spans="2:28" s="70" customFormat="1" x14ac:dyDescent="0.2">
      <c r="B212" s="70" t="s">
        <v>349</v>
      </c>
    </row>
    <row r="213" spans="2:28" s="35" customFormat="1" x14ac:dyDescent="0.2">
      <c r="B213" s="41"/>
      <c r="C213" s="41"/>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45"/>
    </row>
    <row r="214" spans="2:28" s="35" customFormat="1" x14ac:dyDescent="0.2">
      <c r="B214" s="1"/>
      <c r="C214" s="1" t="s">
        <v>141</v>
      </c>
      <c r="D214" s="151">
        <f t="shared" ref="D214:AA214" si="107">D$6</f>
        <v>2017</v>
      </c>
      <c r="E214" s="151">
        <f t="shared" si="107"/>
        <v>2018</v>
      </c>
      <c r="F214" s="151">
        <f t="shared" si="107"/>
        <v>2019</v>
      </c>
      <c r="G214" s="151">
        <f t="shared" si="107"/>
        <v>2020</v>
      </c>
      <c r="H214" s="151">
        <f t="shared" si="107"/>
        <v>2021</v>
      </c>
      <c r="I214" s="151">
        <f t="shared" si="107"/>
        <v>2022</v>
      </c>
      <c r="J214" s="151">
        <f t="shared" si="107"/>
        <v>2023</v>
      </c>
      <c r="K214" s="151">
        <f t="shared" si="107"/>
        <v>2024</v>
      </c>
      <c r="L214" s="151">
        <f t="shared" si="107"/>
        <v>2025</v>
      </c>
      <c r="M214" s="151">
        <f t="shared" si="107"/>
        <v>2026</v>
      </c>
      <c r="N214" s="151">
        <f t="shared" si="107"/>
        <v>2027</v>
      </c>
      <c r="O214" s="151">
        <f t="shared" si="107"/>
        <v>2028</v>
      </c>
      <c r="P214" s="151">
        <f t="shared" si="107"/>
        <v>2029</v>
      </c>
      <c r="Q214" s="151">
        <f t="shared" si="107"/>
        <v>2030</v>
      </c>
      <c r="R214" s="151">
        <f t="shared" si="107"/>
        <v>2031</v>
      </c>
      <c r="S214" s="151">
        <f t="shared" si="107"/>
        <v>2032</v>
      </c>
      <c r="T214" s="151">
        <f t="shared" si="107"/>
        <v>2033</v>
      </c>
      <c r="U214" s="151">
        <f t="shared" si="107"/>
        <v>2034</v>
      </c>
      <c r="V214" s="151">
        <f t="shared" si="107"/>
        <v>2035</v>
      </c>
      <c r="W214" s="151">
        <f t="shared" si="107"/>
        <v>2036</v>
      </c>
      <c r="X214" s="151">
        <f t="shared" si="107"/>
        <v>2037</v>
      </c>
      <c r="Y214" s="151">
        <f t="shared" si="107"/>
        <v>2038</v>
      </c>
      <c r="Z214" s="151">
        <f t="shared" si="107"/>
        <v>2039</v>
      </c>
      <c r="AA214" s="151">
        <f t="shared" si="107"/>
        <v>2040</v>
      </c>
    </row>
    <row r="215" spans="2:28" s="35" customFormat="1" x14ac:dyDescent="0.2">
      <c r="B215" s="41" t="s">
        <v>347</v>
      </c>
      <c r="C215" s="170"/>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spans="2:28" s="36" customFormat="1" x14ac:dyDescent="0.2">
      <c r="B216" s="171" t="s">
        <v>230</v>
      </c>
      <c r="C216" s="171" t="s">
        <v>68</v>
      </c>
      <c r="D216" s="157">
        <f t="shared" ref="D216:AA216" si="108">D38</f>
        <v>3974.0410000000002</v>
      </c>
      <c r="E216" s="157">
        <f t="shared" si="108"/>
        <v>4118.0842000000002</v>
      </c>
      <c r="F216" s="157">
        <f t="shared" si="108"/>
        <v>4147.4452999999994</v>
      </c>
      <c r="G216" s="157">
        <f t="shared" si="108"/>
        <v>4231.8063999999995</v>
      </c>
      <c r="H216" s="157">
        <f t="shared" si="108"/>
        <v>4298.4142857142861</v>
      </c>
      <c r="I216" s="157">
        <f t="shared" si="108"/>
        <v>4415.0221714285726</v>
      </c>
      <c r="J216" s="157">
        <f t="shared" si="108"/>
        <v>4458.5647714285724</v>
      </c>
      <c r="K216" s="157">
        <f t="shared" si="108"/>
        <v>4552.1073714285722</v>
      </c>
      <c r="L216" s="157">
        <f t="shared" si="108"/>
        <v>4645.6499714285719</v>
      </c>
      <c r="M216" s="157">
        <f t="shared" si="108"/>
        <v>4739.1925714285717</v>
      </c>
      <c r="N216" s="157">
        <f t="shared" si="108"/>
        <v>4814.1925714285717</v>
      </c>
      <c r="O216" s="157">
        <f t="shared" si="108"/>
        <v>4889.1925714285708</v>
      </c>
      <c r="P216" s="157">
        <f t="shared" si="108"/>
        <v>4964.1925714285717</v>
      </c>
      <c r="Q216" s="157">
        <f t="shared" si="108"/>
        <v>5039.1925714285717</v>
      </c>
      <c r="R216" s="157">
        <f t="shared" si="108"/>
        <v>5114.1925714285717</v>
      </c>
      <c r="S216" s="157">
        <f t="shared" si="108"/>
        <v>5189.1925714285717</v>
      </c>
      <c r="T216" s="157">
        <f t="shared" si="108"/>
        <v>5264.1925714285717</v>
      </c>
      <c r="U216" s="157">
        <f t="shared" si="108"/>
        <v>5339.1925714285717</v>
      </c>
      <c r="V216" s="157">
        <f t="shared" si="108"/>
        <v>5414.1925714285717</v>
      </c>
      <c r="W216" s="157">
        <f t="shared" si="108"/>
        <v>5489.1925714285708</v>
      </c>
      <c r="X216" s="157">
        <f t="shared" si="108"/>
        <v>5564.1925714285717</v>
      </c>
      <c r="Y216" s="157">
        <f t="shared" si="108"/>
        <v>5639.1925714285708</v>
      </c>
      <c r="Z216" s="157">
        <f t="shared" si="108"/>
        <v>5714.1925714285708</v>
      </c>
      <c r="AA216" s="157">
        <f t="shared" si="108"/>
        <v>5789.1925714285708</v>
      </c>
      <c r="AB216" s="35"/>
    </row>
    <row r="217" spans="2:28" s="36" customFormat="1" x14ac:dyDescent="0.2">
      <c r="B217" s="171" t="s">
        <v>234</v>
      </c>
      <c r="C217" s="171" t="s">
        <v>68</v>
      </c>
      <c r="D217" s="157">
        <f>D66</f>
        <v>124.6</v>
      </c>
      <c r="E217" s="157">
        <f t="shared" ref="E217:AA217" si="109">E66</f>
        <v>124.6</v>
      </c>
      <c r="F217" s="157">
        <f t="shared" si="109"/>
        <v>124.6</v>
      </c>
      <c r="G217" s="157">
        <f t="shared" si="109"/>
        <v>502.6</v>
      </c>
      <c r="H217" s="157">
        <f t="shared" si="109"/>
        <v>497.6</v>
      </c>
      <c r="I217" s="157">
        <f t="shared" si="109"/>
        <v>497.6</v>
      </c>
      <c r="J217" s="157">
        <f t="shared" si="109"/>
        <v>497.6</v>
      </c>
      <c r="K217" s="157">
        <f t="shared" si="109"/>
        <v>497.6</v>
      </c>
      <c r="L217" s="157">
        <f t="shared" si="109"/>
        <v>647.6</v>
      </c>
      <c r="M217" s="157">
        <f t="shared" si="109"/>
        <v>607.6</v>
      </c>
      <c r="N217" s="157">
        <f t="shared" si="109"/>
        <v>607.6</v>
      </c>
      <c r="O217" s="157">
        <f t="shared" si="109"/>
        <v>607.6</v>
      </c>
      <c r="P217" s="157">
        <f t="shared" si="109"/>
        <v>559.79999999999995</v>
      </c>
      <c r="Q217" s="157">
        <f t="shared" si="109"/>
        <v>709.8</v>
      </c>
      <c r="R217" s="157">
        <f t="shared" si="109"/>
        <v>709.8</v>
      </c>
      <c r="S217" s="157">
        <f t="shared" si="109"/>
        <v>709.8</v>
      </c>
      <c r="T217" s="157">
        <f t="shared" si="109"/>
        <v>709.8</v>
      </c>
      <c r="U217" s="157">
        <f t="shared" si="109"/>
        <v>709.8</v>
      </c>
      <c r="V217" s="157">
        <f t="shared" si="109"/>
        <v>831.6</v>
      </c>
      <c r="W217" s="157">
        <f t="shared" si="109"/>
        <v>831.6</v>
      </c>
      <c r="X217" s="157">
        <f t="shared" si="109"/>
        <v>828</v>
      </c>
      <c r="Y217" s="157">
        <f t="shared" si="109"/>
        <v>828</v>
      </c>
      <c r="Z217" s="157">
        <f t="shared" si="109"/>
        <v>828</v>
      </c>
      <c r="AA217" s="157">
        <f t="shared" si="109"/>
        <v>978</v>
      </c>
      <c r="AB217" s="35"/>
    </row>
    <row r="218" spans="2:28" s="36" customFormat="1" x14ac:dyDescent="0.2">
      <c r="B218" s="171" t="s">
        <v>233</v>
      </c>
      <c r="C218" s="171" t="s">
        <v>68</v>
      </c>
      <c r="D218" s="157">
        <f t="shared" ref="D218:AA218" si="110">D89</f>
        <v>1141.5</v>
      </c>
      <c r="E218" s="157">
        <f t="shared" si="110"/>
        <v>1141.5</v>
      </c>
      <c r="F218" s="157">
        <f t="shared" si="110"/>
        <v>1548.2000000000003</v>
      </c>
      <c r="G218" s="157">
        <f t="shared" si="110"/>
        <v>1548.2000000000003</v>
      </c>
      <c r="H218" s="157">
        <f t="shared" si="110"/>
        <v>1548.2000000000003</v>
      </c>
      <c r="I218" s="157">
        <f t="shared" si="110"/>
        <v>2148.2000000000003</v>
      </c>
      <c r="J218" s="157">
        <f t="shared" si="110"/>
        <v>2148.2000000000003</v>
      </c>
      <c r="K218" s="157">
        <f t="shared" si="110"/>
        <v>2148.2000000000003</v>
      </c>
      <c r="L218" s="157">
        <f t="shared" si="110"/>
        <v>2148.2000000000003</v>
      </c>
      <c r="M218" s="157">
        <f t="shared" si="110"/>
        <v>2448.2000000000003</v>
      </c>
      <c r="N218" s="157">
        <f t="shared" si="110"/>
        <v>2748.2000000000003</v>
      </c>
      <c r="O218" s="157">
        <f t="shared" si="110"/>
        <v>2588.2000000000003</v>
      </c>
      <c r="P218" s="157">
        <f t="shared" si="110"/>
        <v>2722.6000000000004</v>
      </c>
      <c r="Q218" s="157">
        <f t="shared" si="110"/>
        <v>3022.6000000000004</v>
      </c>
      <c r="R218" s="157">
        <f t="shared" si="110"/>
        <v>3022.6000000000004</v>
      </c>
      <c r="S218" s="157">
        <f t="shared" si="110"/>
        <v>3322.6000000000004</v>
      </c>
      <c r="T218" s="157">
        <f t="shared" si="110"/>
        <v>3622.6000000000004</v>
      </c>
      <c r="U218" s="157">
        <f t="shared" si="110"/>
        <v>3622.6000000000004</v>
      </c>
      <c r="V218" s="157">
        <f t="shared" si="110"/>
        <v>3713.3</v>
      </c>
      <c r="W218" s="157">
        <f t="shared" si="110"/>
        <v>3806.3</v>
      </c>
      <c r="X218" s="157">
        <f t="shared" si="110"/>
        <v>3806.3</v>
      </c>
      <c r="Y218" s="157">
        <f t="shared" si="110"/>
        <v>4106.3</v>
      </c>
      <c r="Z218" s="157">
        <f t="shared" si="110"/>
        <v>4006.7</v>
      </c>
      <c r="AA218" s="157">
        <f t="shared" si="110"/>
        <v>4006.7</v>
      </c>
      <c r="AB218" s="35"/>
    </row>
    <row r="219" spans="2:28" s="36" customFormat="1" x14ac:dyDescent="0.2">
      <c r="B219" s="163" t="s">
        <v>357</v>
      </c>
      <c r="C219" s="163" t="s">
        <v>68</v>
      </c>
      <c r="D219" s="38">
        <f t="shared" ref="D219:AA219" si="111">SUM(D216:D218)</f>
        <v>5240.1410000000005</v>
      </c>
      <c r="E219" s="38">
        <f t="shared" si="111"/>
        <v>5384.1842000000006</v>
      </c>
      <c r="F219" s="38">
        <f t="shared" si="111"/>
        <v>5820.2453000000005</v>
      </c>
      <c r="G219" s="38">
        <f t="shared" si="111"/>
        <v>6282.6064000000006</v>
      </c>
      <c r="H219" s="38">
        <f t="shared" si="111"/>
        <v>6344.2142857142862</v>
      </c>
      <c r="I219" s="38">
        <f t="shared" si="111"/>
        <v>7060.8221714285737</v>
      </c>
      <c r="J219" s="38">
        <f t="shared" si="111"/>
        <v>7104.3647714285726</v>
      </c>
      <c r="K219" s="38">
        <f t="shared" si="111"/>
        <v>7197.9073714285732</v>
      </c>
      <c r="L219" s="38">
        <f t="shared" si="111"/>
        <v>7441.4499714285721</v>
      </c>
      <c r="M219" s="38">
        <f t="shared" si="111"/>
        <v>7794.9925714285728</v>
      </c>
      <c r="N219" s="38">
        <f t="shared" si="111"/>
        <v>8169.9925714285728</v>
      </c>
      <c r="O219" s="38">
        <f t="shared" si="111"/>
        <v>8084.992571428571</v>
      </c>
      <c r="P219" s="38">
        <f t="shared" si="111"/>
        <v>8246.5925714285731</v>
      </c>
      <c r="Q219" s="38">
        <f t="shared" si="111"/>
        <v>8771.5925714285731</v>
      </c>
      <c r="R219" s="38">
        <f t="shared" si="111"/>
        <v>8846.5925714285731</v>
      </c>
      <c r="S219" s="38">
        <f t="shared" si="111"/>
        <v>9221.5925714285731</v>
      </c>
      <c r="T219" s="38">
        <f t="shared" si="111"/>
        <v>9596.5925714285731</v>
      </c>
      <c r="U219" s="38">
        <f t="shared" si="111"/>
        <v>9671.5925714285731</v>
      </c>
      <c r="V219" s="38">
        <f t="shared" si="111"/>
        <v>9959.0925714285731</v>
      </c>
      <c r="W219" s="38">
        <f t="shared" si="111"/>
        <v>10127.092571428571</v>
      </c>
      <c r="X219" s="38">
        <f t="shared" si="111"/>
        <v>10198.492571428571</v>
      </c>
      <c r="Y219" s="38">
        <f t="shared" si="111"/>
        <v>10573.492571428571</v>
      </c>
      <c r="Z219" s="38">
        <f t="shared" si="111"/>
        <v>10548.892571428571</v>
      </c>
      <c r="AA219" s="38">
        <f t="shared" si="111"/>
        <v>10773.892571428571</v>
      </c>
      <c r="AB219" s="35"/>
    </row>
    <row r="220" spans="2:28" s="36" customFormat="1" x14ac:dyDescent="0.2">
      <c r="B220" s="41"/>
      <c r="C220" s="41"/>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5"/>
    </row>
    <row r="221" spans="2:28" s="36" customFormat="1" x14ac:dyDescent="0.2">
      <c r="B221" s="41" t="s">
        <v>382</v>
      </c>
      <c r="C221" s="170"/>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5"/>
    </row>
    <row r="222" spans="2:28" s="36" customFormat="1" x14ac:dyDescent="0.2">
      <c r="B222" s="171" t="s">
        <v>379</v>
      </c>
      <c r="C222" s="171" t="s">
        <v>69</v>
      </c>
      <c r="D222" s="157">
        <f t="shared" ref="D222:AA225" si="112">D228/D216*1000</f>
        <v>2360.6848671163684</v>
      </c>
      <c r="E222" s="157">
        <f t="shared" si="112"/>
        <v>2408.8935230286611</v>
      </c>
      <c r="F222" s="157">
        <f t="shared" si="112"/>
        <v>2432.3680977781678</v>
      </c>
      <c r="G222" s="157">
        <f t="shared" si="112"/>
        <v>2464.715992993757</v>
      </c>
      <c r="H222" s="157">
        <f t="shared" si="112"/>
        <v>2503.385150891746</v>
      </c>
      <c r="I222" s="157">
        <f t="shared" si="112"/>
        <v>2549.1314970002159</v>
      </c>
      <c r="J222" s="157">
        <f t="shared" si="112"/>
        <v>2603.100222187451</v>
      </c>
      <c r="K222" s="157">
        <f t="shared" si="112"/>
        <v>2662.7688734281551</v>
      </c>
      <c r="L222" s="157">
        <f t="shared" si="112"/>
        <v>2720.0346054606202</v>
      </c>
      <c r="M222" s="157">
        <f t="shared" si="112"/>
        <v>2775.0397053771785</v>
      </c>
      <c r="N222" s="157">
        <f t="shared" si="112"/>
        <v>2837.088577245725</v>
      </c>
      <c r="O222" s="157">
        <f t="shared" si="112"/>
        <v>2897.2337951582649</v>
      </c>
      <c r="P222" s="157">
        <f t="shared" si="112"/>
        <v>2955.5616414525448</v>
      </c>
      <c r="Q222" s="157">
        <f t="shared" si="112"/>
        <v>3012.1532617899634</v>
      </c>
      <c r="R222" s="157">
        <f t="shared" si="112"/>
        <v>3067.0850418041932</v>
      </c>
      <c r="S222" s="157">
        <f t="shared" si="112"/>
        <v>3120.4289510873373</v>
      </c>
      <c r="T222" s="157">
        <f t="shared" si="112"/>
        <v>3172.2528577710518</v>
      </c>
      <c r="U222" s="157">
        <f t="shared" si="112"/>
        <v>3184.6544724561704</v>
      </c>
      <c r="V222" s="157">
        <f t="shared" si="112"/>
        <v>3196.7125008764447</v>
      </c>
      <c r="W222" s="157">
        <f t="shared" si="112"/>
        <v>3208.4410265074639</v>
      </c>
      <c r="X222" s="157">
        <f t="shared" si="112"/>
        <v>3219.8533734976331</v>
      </c>
      <c r="Y222" s="157">
        <f t="shared" si="112"/>
        <v>3230.9621571625867</v>
      </c>
      <c r="Z222" s="157">
        <f t="shared" si="112"/>
        <v>3241.7793305030873</v>
      </c>
      <c r="AA222" s="157">
        <f t="shared" si="112"/>
        <v>3246.787445167533</v>
      </c>
      <c r="AB222" s="35"/>
    </row>
    <row r="223" spans="2:28" s="36" customFormat="1" x14ac:dyDescent="0.2">
      <c r="B223" s="171" t="s">
        <v>380</v>
      </c>
      <c r="C223" s="171" t="s">
        <v>69</v>
      </c>
      <c r="D223" s="157">
        <f t="shared" si="112"/>
        <v>3067.0947030497591</v>
      </c>
      <c r="E223" s="157">
        <f t="shared" si="112"/>
        <v>3067.0947030497591</v>
      </c>
      <c r="F223" s="157">
        <f t="shared" si="112"/>
        <v>3067.0947030497591</v>
      </c>
      <c r="G223" s="157">
        <f t="shared" si="112"/>
        <v>4130.8396339036999</v>
      </c>
      <c r="H223" s="157">
        <f t="shared" si="112"/>
        <v>4144.212218649518</v>
      </c>
      <c r="I223" s="157">
        <f t="shared" si="112"/>
        <v>4144.212218649518</v>
      </c>
      <c r="J223" s="157">
        <f t="shared" si="112"/>
        <v>4144.212218649518</v>
      </c>
      <c r="K223" s="157">
        <f t="shared" si="112"/>
        <v>4144.212218649518</v>
      </c>
      <c r="L223" s="157">
        <f t="shared" si="112"/>
        <v>4130.1111797405802</v>
      </c>
      <c r="M223" s="157">
        <f t="shared" si="112"/>
        <v>4250.5924950625404</v>
      </c>
      <c r="N223" s="157">
        <f t="shared" si="112"/>
        <v>4250.5924950625404</v>
      </c>
      <c r="O223" s="157">
        <f t="shared" si="112"/>
        <v>4250.5924950625404</v>
      </c>
      <c r="P223" s="157">
        <f t="shared" si="112"/>
        <v>4304.8946052161491</v>
      </c>
      <c r="Q223" s="157">
        <f t="shared" si="112"/>
        <v>4258.0726965342346</v>
      </c>
      <c r="R223" s="157">
        <f t="shared" si="112"/>
        <v>4258.0726965342346</v>
      </c>
      <c r="S223" s="157">
        <f t="shared" si="112"/>
        <v>4258.0726965342346</v>
      </c>
      <c r="T223" s="157">
        <f t="shared" si="112"/>
        <v>4258.0726965342346</v>
      </c>
      <c r="U223" s="157">
        <f t="shared" si="112"/>
        <v>4258.0726965342346</v>
      </c>
      <c r="V223" s="157">
        <f t="shared" si="112"/>
        <v>4261.1351611351611</v>
      </c>
      <c r="W223" s="157">
        <f t="shared" si="112"/>
        <v>4261.1351611351611</v>
      </c>
      <c r="X223" s="157">
        <f t="shared" si="112"/>
        <v>4265.0966183574874</v>
      </c>
      <c r="Y223" s="157">
        <f t="shared" si="112"/>
        <v>4265.0966183574874</v>
      </c>
      <c r="Z223" s="157">
        <f t="shared" si="112"/>
        <v>4265.0966183574874</v>
      </c>
      <c r="AA223" s="157">
        <f t="shared" si="112"/>
        <v>4237.2188139059308</v>
      </c>
      <c r="AB223" s="35"/>
    </row>
    <row r="224" spans="2:28" s="36" customFormat="1" x14ac:dyDescent="0.2">
      <c r="B224" s="171" t="s">
        <v>381</v>
      </c>
      <c r="C224" s="171" t="s">
        <v>69</v>
      </c>
      <c r="D224" s="157">
        <f t="shared" si="112"/>
        <v>4132.9478756022772</v>
      </c>
      <c r="E224" s="157">
        <f t="shared" si="112"/>
        <v>4132.9478756022772</v>
      </c>
      <c r="F224" s="157">
        <f t="shared" si="112"/>
        <v>4229.3695904921842</v>
      </c>
      <c r="G224" s="157">
        <f t="shared" si="112"/>
        <v>4229.3695904921842</v>
      </c>
      <c r="H224" s="157">
        <f t="shared" si="112"/>
        <v>4229.3695904921842</v>
      </c>
      <c r="I224" s="157">
        <f t="shared" si="112"/>
        <v>4235.1317381994222</v>
      </c>
      <c r="J224" s="157">
        <f t="shared" si="112"/>
        <v>4235.1317381994222</v>
      </c>
      <c r="K224" s="157">
        <f t="shared" si="112"/>
        <v>4235.1317381994222</v>
      </c>
      <c r="L224" s="157">
        <f t="shared" si="112"/>
        <v>4235.1317381994222</v>
      </c>
      <c r="M224" s="157">
        <f t="shared" si="112"/>
        <v>4279.8423331427166</v>
      </c>
      <c r="N224" s="157">
        <f t="shared" si="112"/>
        <v>4314.7914998908363</v>
      </c>
      <c r="O224" s="157">
        <f t="shared" si="112"/>
        <v>4334.2516034309547</v>
      </c>
      <c r="P224" s="157">
        <f t="shared" si="112"/>
        <v>4417.3180048483064</v>
      </c>
      <c r="Q224" s="157">
        <f t="shared" si="112"/>
        <v>4435.4496129160316</v>
      </c>
      <c r="R224" s="157">
        <f t="shared" si="112"/>
        <v>4435.4496129160316</v>
      </c>
      <c r="S224" s="157">
        <f t="shared" si="112"/>
        <v>4459.3360621200263</v>
      </c>
      <c r="T224" s="157">
        <f t="shared" si="112"/>
        <v>4479.2662728427094</v>
      </c>
      <c r="U224" s="157">
        <f t="shared" si="112"/>
        <v>4479.2662728427094</v>
      </c>
      <c r="V224" s="157">
        <f t="shared" si="112"/>
        <v>4469.2510704763954</v>
      </c>
      <c r="W224" s="157">
        <f t="shared" si="112"/>
        <v>4486.869138008039</v>
      </c>
      <c r="X224" s="157">
        <f t="shared" si="112"/>
        <v>4486.869138008039</v>
      </c>
      <c r="Y224" s="157">
        <f t="shared" si="112"/>
        <v>4502.4401529357328</v>
      </c>
      <c r="Z224" s="157">
        <f t="shared" si="112"/>
        <v>4522.4623755210023</v>
      </c>
      <c r="AA224" s="157">
        <f t="shared" si="112"/>
        <v>4522.4623755210023</v>
      </c>
      <c r="AB224" s="35"/>
    </row>
    <row r="225" spans="1:28" s="36" customFormat="1" x14ac:dyDescent="0.2">
      <c r="B225" s="163" t="s">
        <v>346</v>
      </c>
      <c r="C225" s="163" t="s">
        <v>69</v>
      </c>
      <c r="D225" s="38">
        <f t="shared" si="112"/>
        <v>2763.5474789705086</v>
      </c>
      <c r="E225" s="38">
        <f t="shared" si="112"/>
        <v>2789.6419956558443</v>
      </c>
      <c r="F225" s="38">
        <f t="shared" si="112"/>
        <v>2923.9632967016009</v>
      </c>
      <c r="G225" s="38">
        <f t="shared" si="112"/>
        <v>3032.8608383509959</v>
      </c>
      <c r="H225" s="38">
        <f t="shared" si="112"/>
        <v>3053.2790386441334</v>
      </c>
      <c r="I225" s="38">
        <f t="shared" si="112"/>
        <v>3174.4946314952813</v>
      </c>
      <c r="J225" s="38">
        <f t="shared" si="112"/>
        <v>3204.5315351346962</v>
      </c>
      <c r="K225" s="38">
        <f t="shared" si="112"/>
        <v>3234.4511558395075</v>
      </c>
      <c r="L225" s="38">
        <f t="shared" si="112"/>
        <v>3280.1266931660848</v>
      </c>
      <c r="M225" s="38">
        <f t="shared" si="112"/>
        <v>3362.6738341251598</v>
      </c>
      <c r="N225" s="38">
        <f t="shared" si="112"/>
        <v>3439.276169151763</v>
      </c>
      <c r="O225" s="38">
        <f t="shared" si="112"/>
        <v>3458.9647055220753</v>
      </c>
      <c r="P225" s="38">
        <f t="shared" si="112"/>
        <v>3529.7544886294108</v>
      </c>
      <c r="Q225" s="38">
        <f t="shared" si="112"/>
        <v>3603.4266392822856</v>
      </c>
      <c r="R225" s="38">
        <f t="shared" si="112"/>
        <v>3630.1698396797237</v>
      </c>
      <c r="S225" s="38">
        <f t="shared" si="112"/>
        <v>3690.4120919518173</v>
      </c>
      <c r="T225" s="38">
        <f t="shared" si="112"/>
        <v>3745.9462471709444</v>
      </c>
      <c r="U225" s="38">
        <f t="shared" si="112"/>
        <v>3748.3437432011237</v>
      </c>
      <c r="V225" s="38">
        <f t="shared" si="112"/>
        <v>3760.0661713566706</v>
      </c>
      <c r="W225" s="38">
        <f t="shared" si="112"/>
        <v>3775.3857169667431</v>
      </c>
      <c r="X225" s="38">
        <f t="shared" si="112"/>
        <v>3777.5930072093192</v>
      </c>
      <c r="Y225" s="38">
        <f t="shared" si="112"/>
        <v>3805.7328289020898</v>
      </c>
      <c r="Z225" s="38">
        <f t="shared" si="112"/>
        <v>3808.5326110331853</v>
      </c>
      <c r="AA225" s="38">
        <f t="shared" si="112"/>
        <v>3811.1042491234903</v>
      </c>
      <c r="AB225" s="35"/>
    </row>
    <row r="226" spans="1:28" s="36" customFormat="1" x14ac:dyDescent="0.2">
      <c r="B226" s="41"/>
      <c r="C226" s="41"/>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5"/>
    </row>
    <row r="227" spans="1:28" s="36" customFormat="1" x14ac:dyDescent="0.2">
      <c r="B227" s="41" t="s">
        <v>383</v>
      </c>
      <c r="C227" s="170"/>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5"/>
    </row>
    <row r="228" spans="1:28" s="47" customFormat="1" x14ac:dyDescent="0.2">
      <c r="B228" s="171" t="s">
        <v>230</v>
      </c>
      <c r="C228" s="171" t="s">
        <v>70</v>
      </c>
      <c r="D228" s="157">
        <f t="shared" ref="D228:AA228" si="113">D124</f>
        <v>9381.4584500000001</v>
      </c>
      <c r="E228" s="157">
        <f t="shared" si="113"/>
        <v>9920.0263566666672</v>
      </c>
      <c r="F228" s="157">
        <f t="shared" si="113"/>
        <v>10088.113635</v>
      </c>
      <c r="G228" s="157">
        <f t="shared" si="113"/>
        <v>10430.200913333334</v>
      </c>
      <c r="H228" s="157">
        <f t="shared" si="113"/>
        <v>10760.586495238094</v>
      </c>
      <c r="I228" s="157">
        <f t="shared" si="113"/>
        <v>11254.47207714286</v>
      </c>
      <c r="J228" s="157">
        <f t="shared" si="113"/>
        <v>11606.090947142859</v>
      </c>
      <c r="K228" s="157">
        <f t="shared" si="113"/>
        <v>12121.209817142859</v>
      </c>
      <c r="L228" s="157">
        <f t="shared" si="113"/>
        <v>12636.328687142857</v>
      </c>
      <c r="M228" s="157">
        <f t="shared" si="113"/>
        <v>13151.447557142856</v>
      </c>
      <c r="N228" s="157">
        <f t="shared" si="113"/>
        <v>13658.290753061225</v>
      </c>
      <c r="O228" s="157">
        <f t="shared" si="113"/>
        <v>14165.133948979594</v>
      </c>
      <c r="P228" s="157">
        <f t="shared" si="113"/>
        <v>14671.977144897959</v>
      </c>
      <c r="Q228" s="157">
        <f t="shared" si="113"/>
        <v>15178.820340816326</v>
      </c>
      <c r="R228" s="157">
        <f t="shared" si="113"/>
        <v>15685.663536734693</v>
      </c>
      <c r="S228" s="157">
        <f t="shared" si="113"/>
        <v>16192.506732653061</v>
      </c>
      <c r="T228" s="157">
        <f t="shared" si="113"/>
        <v>16699.349928571428</v>
      </c>
      <c r="U228" s="157">
        <f t="shared" si="113"/>
        <v>17003.48350190476</v>
      </c>
      <c r="V228" s="157">
        <f t="shared" si="113"/>
        <v>17307.617075238097</v>
      </c>
      <c r="W228" s="157">
        <f t="shared" si="113"/>
        <v>17611.750648571429</v>
      </c>
      <c r="X228" s="157">
        <f t="shared" si="113"/>
        <v>17915.884221904758</v>
      </c>
      <c r="Y228" s="157">
        <f t="shared" si="113"/>
        <v>18220.017795238091</v>
      </c>
      <c r="Z228" s="157">
        <f t="shared" si="113"/>
        <v>18524.151368571427</v>
      </c>
      <c r="AA228" s="157">
        <f t="shared" si="113"/>
        <v>18796.277758571428</v>
      </c>
      <c r="AB228" s="46"/>
    </row>
    <row r="229" spans="1:28" s="47" customFormat="1" x14ac:dyDescent="0.2">
      <c r="B229" s="171" t="s">
        <v>234</v>
      </c>
      <c r="C229" s="171" t="s">
        <v>70</v>
      </c>
      <c r="D229" s="157">
        <f t="shared" ref="D229:AA229" si="114">D172</f>
        <v>382.15999999999997</v>
      </c>
      <c r="E229" s="157">
        <f t="shared" si="114"/>
        <v>382.15999999999997</v>
      </c>
      <c r="F229" s="157">
        <f t="shared" si="114"/>
        <v>382.15999999999997</v>
      </c>
      <c r="G229" s="157">
        <f t="shared" si="114"/>
        <v>2076.16</v>
      </c>
      <c r="H229" s="157">
        <f t="shared" si="114"/>
        <v>2062.16</v>
      </c>
      <c r="I229" s="157">
        <f t="shared" si="114"/>
        <v>2062.16</v>
      </c>
      <c r="J229" s="157">
        <f t="shared" si="114"/>
        <v>2062.16</v>
      </c>
      <c r="K229" s="157">
        <f t="shared" si="114"/>
        <v>2062.16</v>
      </c>
      <c r="L229" s="157">
        <f t="shared" si="114"/>
        <v>2674.66</v>
      </c>
      <c r="M229" s="157">
        <f t="shared" si="114"/>
        <v>2582.66</v>
      </c>
      <c r="N229" s="157">
        <f t="shared" si="114"/>
        <v>2582.66</v>
      </c>
      <c r="O229" s="157">
        <f t="shared" si="114"/>
        <v>2582.66</v>
      </c>
      <c r="P229" s="157">
        <f t="shared" si="114"/>
        <v>2409.88</v>
      </c>
      <c r="Q229" s="157">
        <f t="shared" si="114"/>
        <v>3022.3799999999997</v>
      </c>
      <c r="R229" s="157">
        <f t="shared" si="114"/>
        <v>3022.3799999999997</v>
      </c>
      <c r="S229" s="157">
        <f t="shared" si="114"/>
        <v>3022.3799999999997</v>
      </c>
      <c r="T229" s="157">
        <f t="shared" si="114"/>
        <v>3022.3799999999997</v>
      </c>
      <c r="U229" s="157">
        <f t="shared" si="114"/>
        <v>3022.3799999999997</v>
      </c>
      <c r="V229" s="157">
        <f t="shared" si="114"/>
        <v>3543.56</v>
      </c>
      <c r="W229" s="157">
        <f t="shared" si="114"/>
        <v>3543.56</v>
      </c>
      <c r="X229" s="157">
        <f t="shared" si="114"/>
        <v>3531.5</v>
      </c>
      <c r="Y229" s="157">
        <f t="shared" si="114"/>
        <v>3531.5</v>
      </c>
      <c r="Z229" s="157">
        <f t="shared" si="114"/>
        <v>3531.5</v>
      </c>
      <c r="AA229" s="157">
        <f t="shared" si="114"/>
        <v>4144</v>
      </c>
      <c r="AB229" s="46"/>
    </row>
    <row r="230" spans="1:28" s="47" customFormat="1" x14ac:dyDescent="0.2">
      <c r="B230" s="171" t="s">
        <v>233</v>
      </c>
      <c r="C230" s="171" t="s">
        <v>70</v>
      </c>
      <c r="D230" s="157">
        <f t="shared" ref="D230:AA230" si="115">D209</f>
        <v>4717.76</v>
      </c>
      <c r="E230" s="157">
        <f t="shared" si="115"/>
        <v>4717.76</v>
      </c>
      <c r="F230" s="157">
        <f t="shared" si="115"/>
        <v>6547.9100000000008</v>
      </c>
      <c r="G230" s="157">
        <f t="shared" si="115"/>
        <v>6547.9100000000008</v>
      </c>
      <c r="H230" s="157">
        <f t="shared" si="115"/>
        <v>6547.9100000000008</v>
      </c>
      <c r="I230" s="157">
        <f t="shared" si="115"/>
        <v>9097.91</v>
      </c>
      <c r="J230" s="157">
        <f t="shared" si="115"/>
        <v>9097.91</v>
      </c>
      <c r="K230" s="157">
        <f t="shared" si="115"/>
        <v>9097.91</v>
      </c>
      <c r="L230" s="157">
        <f t="shared" si="115"/>
        <v>9097.91</v>
      </c>
      <c r="M230" s="157">
        <f t="shared" si="115"/>
        <v>10477.91</v>
      </c>
      <c r="N230" s="157">
        <f t="shared" si="115"/>
        <v>11857.91</v>
      </c>
      <c r="O230" s="157">
        <f t="shared" si="115"/>
        <v>11217.91</v>
      </c>
      <c r="P230" s="157">
        <f t="shared" si="115"/>
        <v>12026.59</v>
      </c>
      <c r="Q230" s="157">
        <f t="shared" si="115"/>
        <v>13406.59</v>
      </c>
      <c r="R230" s="157">
        <f t="shared" si="115"/>
        <v>13406.59</v>
      </c>
      <c r="S230" s="157">
        <f t="shared" si="115"/>
        <v>14816.59</v>
      </c>
      <c r="T230" s="157">
        <f t="shared" si="115"/>
        <v>16226.59</v>
      </c>
      <c r="U230" s="157">
        <f t="shared" si="115"/>
        <v>16226.59</v>
      </c>
      <c r="V230" s="157">
        <f t="shared" si="115"/>
        <v>16595.669999999998</v>
      </c>
      <c r="W230" s="157">
        <f t="shared" si="115"/>
        <v>17078.37</v>
      </c>
      <c r="X230" s="157">
        <f t="shared" si="115"/>
        <v>17078.37</v>
      </c>
      <c r="Y230" s="157">
        <f t="shared" si="115"/>
        <v>18488.37</v>
      </c>
      <c r="Z230" s="157">
        <f t="shared" si="115"/>
        <v>18120.150000000001</v>
      </c>
      <c r="AA230" s="157">
        <f t="shared" si="115"/>
        <v>18120.150000000001</v>
      </c>
      <c r="AB230" s="46"/>
    </row>
    <row r="231" spans="1:28" s="36" customFormat="1" x14ac:dyDescent="0.2">
      <c r="B231" s="163" t="s">
        <v>358</v>
      </c>
      <c r="C231" s="163" t="s">
        <v>70</v>
      </c>
      <c r="D231" s="38">
        <f t="shared" ref="D231:AA231" si="116">SUM(D228:D230)</f>
        <v>14481.37845</v>
      </c>
      <c r="E231" s="38">
        <f t="shared" si="116"/>
        <v>15019.946356666667</v>
      </c>
      <c r="F231" s="38">
        <f t="shared" si="116"/>
        <v>17018.183635000001</v>
      </c>
      <c r="G231" s="38">
        <f t="shared" si="116"/>
        <v>19054.270913333334</v>
      </c>
      <c r="H231" s="38">
        <f t="shared" si="116"/>
        <v>19370.656495238094</v>
      </c>
      <c r="I231" s="38">
        <f t="shared" si="116"/>
        <v>22414.542077142862</v>
      </c>
      <c r="J231" s="38">
        <f t="shared" si="116"/>
        <v>22766.16094714286</v>
      </c>
      <c r="K231" s="38">
        <f t="shared" si="116"/>
        <v>23281.279817142859</v>
      </c>
      <c r="L231" s="38">
        <f t="shared" si="116"/>
        <v>24408.898687142857</v>
      </c>
      <c r="M231" s="38">
        <f t="shared" si="116"/>
        <v>26212.017557142855</v>
      </c>
      <c r="N231" s="38">
        <f t="shared" si="116"/>
        <v>28098.860753061224</v>
      </c>
      <c r="O231" s="38">
        <f t="shared" si="116"/>
        <v>27965.703948979593</v>
      </c>
      <c r="P231" s="38">
        <f t="shared" si="116"/>
        <v>29108.44714489796</v>
      </c>
      <c r="Q231" s="38">
        <f t="shared" si="116"/>
        <v>31607.790340816326</v>
      </c>
      <c r="R231" s="38">
        <f t="shared" si="116"/>
        <v>32114.633536734695</v>
      </c>
      <c r="S231" s="38">
        <f t="shared" si="116"/>
        <v>34031.476732653056</v>
      </c>
      <c r="T231" s="38">
        <f t="shared" si="116"/>
        <v>35948.319928571429</v>
      </c>
      <c r="U231" s="38">
        <f t="shared" si="116"/>
        <v>36252.453501904762</v>
      </c>
      <c r="V231" s="38">
        <f t="shared" si="116"/>
        <v>37446.847075238096</v>
      </c>
      <c r="W231" s="38">
        <f t="shared" si="116"/>
        <v>38233.680648571433</v>
      </c>
      <c r="X231" s="38">
        <f t="shared" si="116"/>
        <v>38525.754221904761</v>
      </c>
      <c r="Y231" s="38">
        <f t="shared" si="116"/>
        <v>40239.887795238086</v>
      </c>
      <c r="Z231" s="38">
        <f t="shared" si="116"/>
        <v>40175.801368571425</v>
      </c>
      <c r="AA231" s="38">
        <f t="shared" si="116"/>
        <v>41060.42775857143</v>
      </c>
      <c r="AB231" s="35"/>
    </row>
    <row r="232" spans="1:28" s="36" customFormat="1" x14ac:dyDescent="0.2">
      <c r="B232" s="41"/>
      <c r="C232" s="41"/>
      <c r="D232" s="38"/>
      <c r="E232" s="38"/>
      <c r="F232" s="38"/>
      <c r="G232" s="172"/>
      <c r="H232" s="38"/>
      <c r="I232" s="38"/>
      <c r="J232" s="38"/>
      <c r="K232" s="38"/>
      <c r="L232" s="38"/>
      <c r="M232" s="38"/>
      <c r="N232" s="38"/>
      <c r="O232" s="38"/>
      <c r="P232" s="38"/>
      <c r="Q232" s="38"/>
      <c r="R232" s="38"/>
      <c r="S232" s="38"/>
      <c r="T232" s="38"/>
      <c r="U232" s="38"/>
      <c r="V232" s="172"/>
      <c r="W232" s="172"/>
      <c r="X232" s="172"/>
      <c r="Y232" s="172"/>
      <c r="Z232" s="172"/>
      <c r="AA232" s="172"/>
      <c r="AB232" s="35"/>
    </row>
    <row r="233" spans="1:28" s="36" customFormat="1" x14ac:dyDescent="0.2">
      <c r="B233" s="41" t="s">
        <v>356</v>
      </c>
      <c r="C233" s="170"/>
      <c r="D233" s="38"/>
      <c r="E233" s="38"/>
      <c r="F233" s="38"/>
      <c r="G233" s="172"/>
      <c r="H233" s="38"/>
      <c r="I233" s="38"/>
      <c r="J233" s="38"/>
      <c r="K233" s="38"/>
      <c r="L233" s="38"/>
      <c r="M233" s="38"/>
      <c r="N233" s="38"/>
      <c r="O233" s="38"/>
      <c r="P233" s="38"/>
      <c r="Q233" s="38"/>
      <c r="R233" s="38"/>
      <c r="S233" s="38"/>
      <c r="T233" s="38"/>
      <c r="U233" s="38"/>
      <c r="V233" s="172"/>
      <c r="W233" s="172"/>
      <c r="X233" s="172"/>
      <c r="Y233" s="172"/>
      <c r="Z233" s="172"/>
      <c r="AA233" s="172"/>
      <c r="AB233" s="35"/>
    </row>
    <row r="234" spans="1:28" s="21" customFormat="1" x14ac:dyDescent="0.2">
      <c r="B234" s="171" t="s">
        <v>389</v>
      </c>
      <c r="C234" s="171" t="s">
        <v>70</v>
      </c>
      <c r="D234" s="159">
        <v>33248.509124378441</v>
      </c>
      <c r="E234" s="159">
        <v>33457.755330806576</v>
      </c>
      <c r="F234" s="159">
        <v>33708.233891677286</v>
      </c>
      <c r="G234" s="159">
        <v>33715.014625974945</v>
      </c>
      <c r="H234" s="159">
        <v>33653.448425511451</v>
      </c>
      <c r="I234" s="159">
        <v>33715.766886511083</v>
      </c>
      <c r="J234" s="159">
        <v>33735.714017213781</v>
      </c>
      <c r="K234" s="159">
        <v>33774.89618019831</v>
      </c>
      <c r="L234" s="159">
        <v>33803.526166013995</v>
      </c>
      <c r="M234" s="159">
        <v>33797.40412528209</v>
      </c>
      <c r="N234" s="159">
        <v>33813.083694598477</v>
      </c>
      <c r="O234" s="159">
        <v>33790.897340123171</v>
      </c>
      <c r="P234" s="159">
        <v>33776.506631112679</v>
      </c>
      <c r="Q234" s="159">
        <v>33833.42520667427</v>
      </c>
      <c r="R234" s="159">
        <v>33811.560590756766</v>
      </c>
      <c r="S234" s="159">
        <v>33800.423136877478</v>
      </c>
      <c r="T234" s="159">
        <v>33743.051236939551</v>
      </c>
      <c r="U234" s="159">
        <v>33676.288238726353</v>
      </c>
      <c r="V234" s="159">
        <v>33708.45947465708</v>
      </c>
      <c r="W234" s="159">
        <v>33665.491684346831</v>
      </c>
      <c r="X234" s="159">
        <v>33655.2856593412</v>
      </c>
      <c r="Y234" s="159">
        <v>33636.775641060034</v>
      </c>
      <c r="Z234" s="159">
        <v>33621.584983190987</v>
      </c>
      <c r="AA234" s="159">
        <v>33698.889627647615</v>
      </c>
      <c r="AB234" s="46"/>
    </row>
    <row r="235" spans="1:28" s="36" customFormat="1" x14ac:dyDescent="0.2">
      <c r="B235" s="171" t="s">
        <v>384</v>
      </c>
      <c r="C235" s="171" t="s">
        <v>441</v>
      </c>
      <c r="D235" s="161">
        <f t="shared" ref="D235:AA235" si="117">D231/D234</f>
        <v>0.43554970828397166</v>
      </c>
      <c r="E235" s="161">
        <f t="shared" si="117"/>
        <v>0.44892271487313123</v>
      </c>
      <c r="F235" s="161">
        <f t="shared" si="117"/>
        <v>0.50486725853655201</v>
      </c>
      <c r="G235" s="161">
        <f>G231/G234</f>
        <v>0.56515683367532688</v>
      </c>
      <c r="H235" s="161">
        <f t="shared" si="117"/>
        <v>0.5755920240421456</v>
      </c>
      <c r="I235" s="161">
        <f t="shared" si="117"/>
        <v>0.66480890535847237</v>
      </c>
      <c r="J235" s="161">
        <f t="shared" si="117"/>
        <v>0.67483856827593269</v>
      </c>
      <c r="K235" s="161">
        <f t="shared" si="117"/>
        <v>0.68930722075149731</v>
      </c>
      <c r="L235" s="161">
        <f t="shared" si="117"/>
        <v>0.7220814351516831</v>
      </c>
      <c r="M235" s="161">
        <f t="shared" si="117"/>
        <v>0.7755630420602333</v>
      </c>
      <c r="N235" s="161">
        <f t="shared" si="117"/>
        <v>0.83100556597711084</v>
      </c>
      <c r="O235" s="161">
        <f t="shared" si="117"/>
        <v>0.82761057415818406</v>
      </c>
      <c r="P235" s="161">
        <f t="shared" si="117"/>
        <v>0.86179566948125974</v>
      </c>
      <c r="Q235" s="161">
        <f t="shared" si="117"/>
        <v>0.9342178673231436</v>
      </c>
      <c r="R235" s="161">
        <f t="shared" si="117"/>
        <v>0.94981222326407588</v>
      </c>
      <c r="S235" s="161">
        <f t="shared" si="117"/>
        <v>1.0068358196239116</v>
      </c>
      <c r="T235" s="161">
        <f t="shared" si="117"/>
        <v>1.0653547504091065</v>
      </c>
      <c r="U235" s="161">
        <f t="shared" si="117"/>
        <v>1.0764978980140669</v>
      </c>
      <c r="V235" s="161">
        <f t="shared" si="117"/>
        <v>1.1109035434678241</v>
      </c>
      <c r="W235" s="161">
        <f t="shared" si="117"/>
        <v>1.1356935168824116</v>
      </c>
      <c r="X235" s="161">
        <f t="shared" si="117"/>
        <v>1.1447163043529758</v>
      </c>
      <c r="Y235" s="161">
        <f t="shared" si="117"/>
        <v>1.1963063352040708</v>
      </c>
      <c r="Z235" s="161">
        <f t="shared" si="117"/>
        <v>1.1949407319332863</v>
      </c>
      <c r="AA235" s="161">
        <f t="shared" si="117"/>
        <v>1.2184504656463273</v>
      </c>
      <c r="AB235" s="35"/>
    </row>
    <row r="236" spans="1:28" s="36" customFormat="1" x14ac:dyDescent="0.2">
      <c r="B236" s="41"/>
      <c r="C236" s="41"/>
      <c r="D236" s="17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c r="AA236" s="173"/>
      <c r="AB236" s="35"/>
    </row>
    <row r="237" spans="1:28" s="21" customFormat="1" x14ac:dyDescent="0.2">
      <c r="B237" s="171" t="s">
        <v>388</v>
      </c>
      <c r="C237" s="171" t="s">
        <v>70</v>
      </c>
      <c r="D237" s="159">
        <v>34499.611169439966</v>
      </c>
      <c r="E237" s="159">
        <v>35256.671771936191</v>
      </c>
      <c r="F237" s="159">
        <v>36211.673280407522</v>
      </c>
      <c r="G237" s="159">
        <v>37273.570030610441</v>
      </c>
      <c r="H237" s="159">
        <v>38241.156433651362</v>
      </c>
      <c r="I237" s="159">
        <v>39402.512881940544</v>
      </c>
      <c r="J237" s="159">
        <v>40588.15646006864</v>
      </c>
      <c r="K237" s="159">
        <v>41319.461034711945</v>
      </c>
      <c r="L237" s="159">
        <v>42042.296591102844</v>
      </c>
      <c r="M237" s="159">
        <v>42606.093862955313</v>
      </c>
      <c r="N237" s="159">
        <v>43317.008893730163</v>
      </c>
      <c r="O237" s="159">
        <v>44044.876983968366</v>
      </c>
      <c r="P237" s="159">
        <v>44545.66788833656</v>
      </c>
      <c r="Q237" s="159">
        <v>45574.303780715709</v>
      </c>
      <c r="R237" s="159">
        <v>46245.717459883308</v>
      </c>
      <c r="S237" s="159">
        <v>46967.443406114886</v>
      </c>
      <c r="T237" s="159">
        <v>47685.120178512108</v>
      </c>
      <c r="U237" s="159">
        <v>48477.22199702503</v>
      </c>
      <c r="V237" s="159">
        <v>49354.533031003579</v>
      </c>
      <c r="W237" s="159">
        <v>50126.24977588703</v>
      </c>
      <c r="X237" s="159">
        <v>50870.190127614456</v>
      </c>
      <c r="Y237" s="159">
        <v>51545.201717854041</v>
      </c>
      <c r="Z237" s="159">
        <v>52175.5801449805</v>
      </c>
      <c r="AA237" s="159">
        <v>52868.401247946749</v>
      </c>
      <c r="AB237" s="46"/>
    </row>
    <row r="238" spans="1:28" s="36" customFormat="1" x14ac:dyDescent="0.2">
      <c r="B238" s="171" t="s">
        <v>371</v>
      </c>
      <c r="C238" s="171" t="s">
        <v>441</v>
      </c>
      <c r="D238" s="161">
        <f t="shared" ref="D238:AA238" si="118">D231/D237</f>
        <v>0.41975483082625936</v>
      </c>
      <c r="E238" s="161">
        <f t="shared" si="118"/>
        <v>0.42601713666638069</v>
      </c>
      <c r="F238" s="161">
        <f t="shared" si="118"/>
        <v>0.46996402246365571</v>
      </c>
      <c r="G238" s="161">
        <f t="shared" si="118"/>
        <v>0.51120058791484846</v>
      </c>
      <c r="H238" s="161">
        <f t="shared" si="118"/>
        <v>0.50653950616912702</v>
      </c>
      <c r="I238" s="161">
        <f t="shared" si="118"/>
        <v>0.56886072581975289</v>
      </c>
      <c r="J238" s="161">
        <f t="shared" si="118"/>
        <v>0.56090650408181564</v>
      </c>
      <c r="K238" s="161">
        <f t="shared" si="118"/>
        <v>0.56344587354575015</v>
      </c>
      <c r="L238" s="161">
        <f t="shared" si="118"/>
        <v>0.58057957500609902</v>
      </c>
      <c r="M238" s="161">
        <f t="shared" si="118"/>
        <v>0.61521757055352588</v>
      </c>
      <c r="N238" s="161">
        <f t="shared" si="118"/>
        <v>0.64867961732991075</v>
      </c>
      <c r="O238" s="161">
        <f t="shared" si="118"/>
        <v>0.634936588860463</v>
      </c>
      <c r="P238" s="161">
        <f t="shared" si="118"/>
        <v>0.65345180630953015</v>
      </c>
      <c r="Q238" s="161">
        <f t="shared" si="118"/>
        <v>0.69354411847736952</v>
      </c>
      <c r="R238" s="161">
        <f t="shared" si="118"/>
        <v>0.6944347563553992</v>
      </c>
      <c r="S238" s="161">
        <f t="shared" si="118"/>
        <v>0.72457588202943057</v>
      </c>
      <c r="T238" s="161">
        <f t="shared" si="118"/>
        <v>0.75386870776453407</v>
      </c>
      <c r="U238" s="161">
        <f t="shared" si="118"/>
        <v>0.74782448350958552</v>
      </c>
      <c r="V238" s="161">
        <f t="shared" si="118"/>
        <v>0.75873166608049358</v>
      </c>
      <c r="W238" s="161">
        <f t="shared" si="118"/>
        <v>0.76274767850204395</v>
      </c>
      <c r="X238" s="161">
        <f t="shared" si="118"/>
        <v>0.75733458289143252</v>
      </c>
      <c r="Y238" s="161">
        <f t="shared" si="118"/>
        <v>0.78067184634374875</v>
      </c>
      <c r="Z238" s="161">
        <f t="shared" si="118"/>
        <v>0.77001158888765131</v>
      </c>
      <c r="AA238" s="161">
        <f t="shared" si="118"/>
        <v>0.77665347900351145</v>
      </c>
      <c r="AB238" s="35"/>
    </row>
    <row r="239" spans="1:28" customFormat="1" x14ac:dyDescent="0.2">
      <c r="A239" s="12"/>
      <c r="B239" s="221"/>
      <c r="C239" s="221"/>
    </row>
    <row r="240" spans="1:28" customFormat="1" x14ac:dyDescent="0.2"/>
    <row r="241" spans="2:40" s="221" customFormat="1" outlineLevel="1" x14ac:dyDescent="0.2">
      <c r="B241" s="242" t="s">
        <v>341</v>
      </c>
    </row>
    <row r="242" spans="2:40" customFormat="1" outlineLevel="1" x14ac:dyDescent="0.2">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2:40" s="210" customFormat="1" outlineLevel="1" x14ac:dyDescent="0.2">
      <c r="B243" s="211" t="s">
        <v>350</v>
      </c>
      <c r="C243" s="212"/>
      <c r="D243" s="212"/>
      <c r="E243" s="212"/>
      <c r="F243" s="212"/>
      <c r="G243" s="212"/>
      <c r="H243" s="212"/>
      <c r="I243" s="212"/>
      <c r="J243" s="212"/>
      <c r="K243" s="212"/>
      <c r="L243" s="212"/>
      <c r="M243" s="212"/>
      <c r="N243" s="212"/>
      <c r="O243" s="212"/>
      <c r="P243" s="212"/>
      <c r="Q243" s="212"/>
      <c r="R243" s="212"/>
      <c r="S243" s="212"/>
      <c r="T243" s="212"/>
      <c r="U243" s="212"/>
      <c r="V243" s="212"/>
      <c r="W243" s="212"/>
      <c r="X243" s="212"/>
      <c r="Y243" s="212"/>
      <c r="Z243" s="212"/>
      <c r="AA243" s="212"/>
    </row>
    <row r="244" spans="2:40" s="12" customFormat="1" outlineLevel="1" x14ac:dyDescent="0.2">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2:40" s="15" customFormat="1" outlineLevel="1" x14ac:dyDescent="0.2">
      <c r="C245" s="183"/>
      <c r="D245" s="184">
        <v>2017</v>
      </c>
      <c r="E245" s="184">
        <v>2018</v>
      </c>
      <c r="F245" s="184">
        <v>2019</v>
      </c>
      <c r="G245" s="184">
        <v>2020</v>
      </c>
      <c r="H245" s="184">
        <v>2021</v>
      </c>
      <c r="I245" s="184">
        <v>2022</v>
      </c>
      <c r="J245" s="184">
        <v>2023</v>
      </c>
      <c r="K245" s="184">
        <v>2024</v>
      </c>
      <c r="L245" s="184">
        <v>2025</v>
      </c>
      <c r="M245" s="184">
        <v>2026</v>
      </c>
      <c r="N245" s="184">
        <v>2027</v>
      </c>
      <c r="O245" s="184">
        <v>2028</v>
      </c>
      <c r="P245" s="184">
        <v>2029</v>
      </c>
      <c r="Q245" s="184">
        <v>2030</v>
      </c>
      <c r="R245" s="184">
        <v>2031</v>
      </c>
      <c r="S245" s="184">
        <v>2032</v>
      </c>
      <c r="T245" s="184">
        <v>2033</v>
      </c>
      <c r="U245" s="184">
        <v>2034</v>
      </c>
      <c r="V245" s="184">
        <v>2035</v>
      </c>
      <c r="W245" s="184">
        <v>2036</v>
      </c>
      <c r="X245" s="184">
        <v>2037</v>
      </c>
      <c r="Y245" s="184">
        <v>2038</v>
      </c>
      <c r="Z245" s="184">
        <v>2039</v>
      </c>
      <c r="AA245" s="184">
        <v>2040</v>
      </c>
      <c r="AB245" s="35"/>
      <c r="AC245" s="35"/>
      <c r="AD245" s="35"/>
      <c r="AE245" s="35"/>
      <c r="AF245" s="35"/>
      <c r="AG245" s="35"/>
      <c r="AH245" s="35"/>
      <c r="AI245" s="35"/>
      <c r="AJ245" s="35"/>
      <c r="AK245" s="35"/>
      <c r="AL245" s="35"/>
      <c r="AM245" s="35"/>
      <c r="AN245" s="35"/>
    </row>
    <row r="246" spans="2:40" s="15" customFormat="1" outlineLevel="1" x14ac:dyDescent="0.2">
      <c r="B246" s="183" t="s">
        <v>347</v>
      </c>
      <c r="C246" s="183"/>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c r="AA246" s="186"/>
      <c r="AB246" s="35"/>
      <c r="AC246" s="35"/>
      <c r="AD246" s="35"/>
      <c r="AE246" s="35"/>
      <c r="AF246" s="35"/>
      <c r="AG246" s="35"/>
      <c r="AH246" s="35"/>
      <c r="AI246" s="35"/>
      <c r="AJ246" s="35"/>
      <c r="AK246" s="35"/>
      <c r="AL246" s="35"/>
      <c r="AM246" s="35"/>
      <c r="AN246" s="35"/>
    </row>
    <row r="247" spans="2:40" s="15" customFormat="1" outlineLevel="1" x14ac:dyDescent="0.2">
      <c r="B247" s="3" t="s">
        <v>235</v>
      </c>
      <c r="C247" s="3"/>
      <c r="D247" s="185">
        <v>3951.4791000000005</v>
      </c>
      <c r="E247" s="185">
        <v>4095.8402000000006</v>
      </c>
      <c r="F247" s="185">
        <v>4220.8401999999996</v>
      </c>
      <c r="G247" s="185">
        <v>4345.8402000000006</v>
      </c>
      <c r="H247" s="185">
        <v>4470.8402000000006</v>
      </c>
      <c r="I247" s="185">
        <v>4595.8401999999996</v>
      </c>
      <c r="J247" s="185">
        <v>4720.8401999999996</v>
      </c>
      <c r="K247" s="185">
        <v>4845.8401999999996</v>
      </c>
      <c r="L247" s="185">
        <v>4970.8402000000006</v>
      </c>
      <c r="M247" s="185">
        <v>5095.8402000000006</v>
      </c>
      <c r="N247" s="185">
        <v>5220.8402000000006</v>
      </c>
      <c r="O247" s="185">
        <v>5345.8402000000006</v>
      </c>
      <c r="P247" s="185">
        <v>5470.8401999999996</v>
      </c>
      <c r="Q247" s="185">
        <v>5595.8401999999996</v>
      </c>
      <c r="R247" s="185">
        <v>5720.8401999999996</v>
      </c>
      <c r="S247" s="185">
        <v>5845.8401999999996</v>
      </c>
      <c r="T247" s="185">
        <v>5970.8401999999987</v>
      </c>
      <c r="U247" s="185">
        <v>6095.8401999999987</v>
      </c>
      <c r="V247" s="185">
        <v>6220.8401999999987</v>
      </c>
      <c r="W247" s="185">
        <v>6345.8401999999987</v>
      </c>
      <c r="X247" s="185">
        <v>6470.8401999999987</v>
      </c>
      <c r="Y247" s="185">
        <v>6595.8401999999996</v>
      </c>
      <c r="Z247" s="185">
        <v>6720.8401999999996</v>
      </c>
      <c r="AA247" s="185">
        <v>6845.8401999999996</v>
      </c>
      <c r="AB247" s="35"/>
      <c r="AC247" s="36"/>
      <c r="AD247" s="36"/>
      <c r="AE247" s="36"/>
      <c r="AF247" s="36"/>
      <c r="AG247" s="36"/>
      <c r="AH247" s="36"/>
      <c r="AI247" s="36"/>
      <c r="AJ247" s="36"/>
      <c r="AK247" s="36"/>
      <c r="AL247" s="36"/>
      <c r="AM247" s="36"/>
      <c r="AN247" s="36"/>
    </row>
    <row r="248" spans="2:40" s="15" customFormat="1" outlineLevel="1" x14ac:dyDescent="0.2">
      <c r="B248" s="3" t="s">
        <v>352</v>
      </c>
      <c r="C248" s="3"/>
      <c r="D248" s="185">
        <v>124.6</v>
      </c>
      <c r="E248" s="185">
        <v>124.6</v>
      </c>
      <c r="F248" s="185">
        <v>124.6</v>
      </c>
      <c r="G248" s="185">
        <v>524.6</v>
      </c>
      <c r="H248" s="185">
        <v>569.6</v>
      </c>
      <c r="I248" s="185">
        <v>569.6</v>
      </c>
      <c r="J248" s="185">
        <v>569.6</v>
      </c>
      <c r="K248" s="185">
        <v>569.6</v>
      </c>
      <c r="L248" s="185">
        <v>569.6</v>
      </c>
      <c r="M248" s="185">
        <v>529.6</v>
      </c>
      <c r="N248" s="185">
        <v>529.6</v>
      </c>
      <c r="O248" s="185">
        <v>529.6</v>
      </c>
      <c r="P248" s="185">
        <v>481.8</v>
      </c>
      <c r="Q248" s="185">
        <v>481.8</v>
      </c>
      <c r="R248" s="185">
        <v>481.8</v>
      </c>
      <c r="S248" s="185">
        <v>481.8</v>
      </c>
      <c r="T248" s="185">
        <v>481.8</v>
      </c>
      <c r="U248" s="185">
        <v>481.8</v>
      </c>
      <c r="V248" s="185">
        <v>453.6</v>
      </c>
      <c r="W248" s="185">
        <v>453.6</v>
      </c>
      <c r="X248" s="185">
        <v>450</v>
      </c>
      <c r="Y248" s="185">
        <v>450</v>
      </c>
      <c r="Z248" s="185">
        <v>450</v>
      </c>
      <c r="AA248" s="185">
        <v>450</v>
      </c>
      <c r="AB248" s="35"/>
      <c r="AC248" s="36"/>
      <c r="AD248" s="36"/>
      <c r="AE248" s="36"/>
      <c r="AF248" s="36"/>
      <c r="AG248" s="36"/>
      <c r="AH248" s="36"/>
      <c r="AI248" s="36"/>
      <c r="AJ248" s="36"/>
      <c r="AK248" s="36"/>
      <c r="AL248" s="36"/>
      <c r="AM248" s="36"/>
      <c r="AN248" s="36"/>
    </row>
    <row r="249" spans="2:40" s="15" customFormat="1" outlineLevel="1" x14ac:dyDescent="0.2">
      <c r="B249" s="3" t="s">
        <v>355</v>
      </c>
      <c r="C249" s="3"/>
      <c r="D249" s="185">
        <v>1141.5</v>
      </c>
      <c r="E249" s="185">
        <v>1141.5</v>
      </c>
      <c r="F249" s="185">
        <v>1548.2</v>
      </c>
      <c r="G249" s="185">
        <v>1748.2</v>
      </c>
      <c r="H249" s="185">
        <v>1948.2</v>
      </c>
      <c r="I249" s="185">
        <v>2148.1999999999998</v>
      </c>
      <c r="J249" s="185">
        <v>2148.1999999999998</v>
      </c>
      <c r="K249" s="185">
        <v>2148.1999999999998</v>
      </c>
      <c r="L249" s="185">
        <v>2148.1999999999998</v>
      </c>
      <c r="M249" s="185">
        <v>2148.1999999999998</v>
      </c>
      <c r="N249" s="185">
        <v>2348.1999999999998</v>
      </c>
      <c r="O249" s="185">
        <v>2388.1999999999998</v>
      </c>
      <c r="P249" s="185">
        <v>2222.6000000000004</v>
      </c>
      <c r="Q249" s="185">
        <v>2422.6000000000004</v>
      </c>
      <c r="R249" s="185">
        <v>2622.6000000000004</v>
      </c>
      <c r="S249" s="185">
        <v>2622.6000000000004</v>
      </c>
      <c r="T249" s="185">
        <v>2822.6000000000004</v>
      </c>
      <c r="U249" s="185">
        <v>3022.6000000000004</v>
      </c>
      <c r="V249" s="185">
        <v>2813.3</v>
      </c>
      <c r="W249" s="185">
        <v>2806.3</v>
      </c>
      <c r="X249" s="185">
        <v>3006.3</v>
      </c>
      <c r="Y249" s="185">
        <v>3006.3</v>
      </c>
      <c r="Z249" s="185">
        <v>2806.7</v>
      </c>
      <c r="AA249" s="185">
        <v>3006.7</v>
      </c>
      <c r="AB249" s="35"/>
      <c r="AC249" s="36"/>
      <c r="AD249" s="36"/>
      <c r="AE249" s="36"/>
      <c r="AF249" s="36"/>
      <c r="AG249" s="36"/>
      <c r="AH249" s="36"/>
      <c r="AI249" s="36"/>
      <c r="AJ249" s="36"/>
      <c r="AK249" s="36"/>
      <c r="AL249" s="36"/>
      <c r="AM249" s="36"/>
      <c r="AN249" s="36"/>
    </row>
    <row r="250" spans="2:40" s="15" customFormat="1" outlineLevel="1" x14ac:dyDescent="0.2">
      <c r="B250" s="183" t="s">
        <v>372</v>
      </c>
      <c r="C250" s="183"/>
      <c r="D250" s="186">
        <v>5217.5791000000008</v>
      </c>
      <c r="E250" s="186">
        <v>5361.9402000000009</v>
      </c>
      <c r="F250" s="186">
        <v>5893.6401999999998</v>
      </c>
      <c r="G250" s="186">
        <v>6618.6402000000007</v>
      </c>
      <c r="H250" s="186">
        <v>6988.6402000000007</v>
      </c>
      <c r="I250" s="186">
        <v>7313.6401999999998</v>
      </c>
      <c r="J250" s="186">
        <v>7438.6401999999998</v>
      </c>
      <c r="K250" s="186">
        <v>7563.6401999999998</v>
      </c>
      <c r="L250" s="186">
        <v>7688.6402000000007</v>
      </c>
      <c r="M250" s="186">
        <v>7773.6402000000007</v>
      </c>
      <c r="N250" s="186">
        <v>8098.6402000000007</v>
      </c>
      <c r="O250" s="186">
        <v>8263.6402000000016</v>
      </c>
      <c r="P250" s="186">
        <v>8175.2402000000002</v>
      </c>
      <c r="Q250" s="186">
        <v>8500.2402000000002</v>
      </c>
      <c r="R250" s="186">
        <v>8825.2402000000002</v>
      </c>
      <c r="S250" s="186">
        <v>8950.2402000000002</v>
      </c>
      <c r="T250" s="186">
        <v>9275.2402000000002</v>
      </c>
      <c r="U250" s="186">
        <v>9600.2402000000002</v>
      </c>
      <c r="V250" s="186">
        <v>9487.7402000000002</v>
      </c>
      <c r="W250" s="186">
        <v>9605.7402000000002</v>
      </c>
      <c r="X250" s="186">
        <v>9927.140199999998</v>
      </c>
      <c r="Y250" s="186">
        <v>10052.1402</v>
      </c>
      <c r="Z250" s="186">
        <v>9977.5401999999995</v>
      </c>
      <c r="AA250" s="186">
        <v>10302.540199999999</v>
      </c>
      <c r="AB250" s="35"/>
      <c r="AC250" s="36"/>
      <c r="AD250" s="36"/>
      <c r="AE250" s="36"/>
      <c r="AF250" s="36"/>
      <c r="AG250" s="36"/>
      <c r="AH250" s="36"/>
      <c r="AI250" s="36"/>
      <c r="AJ250" s="36"/>
      <c r="AK250" s="36"/>
      <c r="AL250" s="36"/>
      <c r="AM250" s="36"/>
      <c r="AN250" s="36"/>
    </row>
    <row r="251" spans="2:40" s="15" customFormat="1" outlineLevel="1" x14ac:dyDescent="0.2">
      <c r="B251" s="3"/>
      <c r="C251" s="3"/>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35"/>
      <c r="AC251" s="36"/>
      <c r="AD251" s="36"/>
      <c r="AE251" s="36"/>
      <c r="AF251" s="36"/>
      <c r="AG251" s="36"/>
      <c r="AH251" s="36"/>
      <c r="AI251" s="36"/>
      <c r="AJ251" s="36"/>
      <c r="AK251" s="36"/>
      <c r="AL251" s="36"/>
      <c r="AM251" s="36"/>
      <c r="AN251" s="36"/>
    </row>
    <row r="252" spans="2:40" s="15" customFormat="1" outlineLevel="1" x14ac:dyDescent="0.2">
      <c r="B252" s="183" t="s">
        <v>382</v>
      </c>
      <c r="C252" s="183"/>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c r="AA252" s="186"/>
      <c r="AB252" s="35"/>
      <c r="AC252" s="36"/>
      <c r="AD252" s="36"/>
      <c r="AE252" s="36"/>
      <c r="AF252" s="36"/>
      <c r="AG252" s="36"/>
      <c r="AH252" s="36"/>
      <c r="AI252" s="36"/>
      <c r="AJ252" s="36"/>
      <c r="AK252" s="36"/>
      <c r="AL252" s="36"/>
      <c r="AM252" s="36"/>
      <c r="AN252" s="36"/>
    </row>
    <row r="253" spans="2:40" s="15" customFormat="1" outlineLevel="1" x14ac:dyDescent="0.2">
      <c r="B253" s="3" t="s">
        <v>379</v>
      </c>
      <c r="C253" s="3"/>
      <c r="D253" s="185">
        <v>2358.9663876327554</v>
      </c>
      <c r="E253" s="185">
        <v>2405.6709186717453</v>
      </c>
      <c r="F253" s="185">
        <v>2445.5141189661722</v>
      </c>
      <c r="G253" s="185">
        <v>2483.0652883493813</v>
      </c>
      <c r="H253" s="185">
        <v>2530.2476131784761</v>
      </c>
      <c r="I253" s="185">
        <v>2574.8633602559612</v>
      </c>
      <c r="J253" s="185">
        <v>2637.5908908273213</v>
      </c>
      <c r="K253" s="185">
        <v>2697.0822679153616</v>
      </c>
      <c r="L253" s="185">
        <v>2753.5816268186263</v>
      </c>
      <c r="M253" s="185">
        <v>2807.3091484641582</v>
      </c>
      <c r="N253" s="185">
        <v>2868.4927013260808</v>
      </c>
      <c r="O253" s="185">
        <v>2926.8149849313045</v>
      </c>
      <c r="P253" s="185">
        <v>2982.4721256392272</v>
      </c>
      <c r="Q253" s="185">
        <v>3035.6427255097274</v>
      </c>
      <c r="R253" s="185">
        <v>3086.4897768274081</v>
      </c>
      <c r="S253" s="185">
        <v>3135.1623309993365</v>
      </c>
      <c r="T253" s="185">
        <v>3181.7969578217826</v>
      </c>
      <c r="U253" s="185">
        <v>3193.3543824415437</v>
      </c>
      <c r="V253" s="185">
        <v>3204.4473430882645</v>
      </c>
      <c r="W253" s="185">
        <v>3215.1032867168642</v>
      </c>
      <c r="X253" s="185">
        <v>3225.3475394637835</v>
      </c>
      <c r="Y253" s="185">
        <v>3235.2035076087295</v>
      </c>
      <c r="Z253" s="185">
        <v>3244.692856110461</v>
      </c>
      <c r="AA253" s="185">
        <v>3249.2957882656979</v>
      </c>
      <c r="AB253" s="35"/>
      <c r="AC253" s="36"/>
      <c r="AD253" s="36"/>
      <c r="AE253" s="36"/>
      <c r="AF253" s="36"/>
      <c r="AG253" s="36"/>
      <c r="AH253" s="36"/>
      <c r="AI253" s="36"/>
      <c r="AJ253" s="36"/>
      <c r="AK253" s="36"/>
      <c r="AL253" s="36"/>
      <c r="AM253" s="36"/>
      <c r="AN253" s="36"/>
    </row>
    <row r="254" spans="2:40" s="15" customFormat="1" outlineLevel="1" x14ac:dyDescent="0.2">
      <c r="B254" s="3" t="s">
        <v>380</v>
      </c>
      <c r="C254" s="3"/>
      <c r="D254" s="185">
        <v>3067.0947030497596</v>
      </c>
      <c r="E254" s="185">
        <v>3067.0947030497596</v>
      </c>
      <c r="F254" s="185">
        <v>3067.0947030497596</v>
      </c>
      <c r="G254" s="185">
        <v>3963.8009912314137</v>
      </c>
      <c r="H254" s="185">
        <v>3988.1671348314603</v>
      </c>
      <c r="I254" s="185">
        <v>3988.1671348314603</v>
      </c>
      <c r="J254" s="185">
        <v>3988.1671348314603</v>
      </c>
      <c r="K254" s="185">
        <v>3988.1671348314603</v>
      </c>
      <c r="L254" s="185">
        <v>3988.1671348314603</v>
      </c>
      <c r="M254" s="185">
        <v>4115.6722054380652</v>
      </c>
      <c r="N254" s="185">
        <v>4115.6722054380652</v>
      </c>
      <c r="O254" s="185">
        <v>4115.6722054380652</v>
      </c>
      <c r="P254" s="185">
        <v>4165.3798256537984</v>
      </c>
      <c r="Q254" s="185">
        <v>4165.3798256537984</v>
      </c>
      <c r="R254" s="185">
        <v>4165.3798256537984</v>
      </c>
      <c r="S254" s="185">
        <v>4165.3798256537984</v>
      </c>
      <c r="T254" s="185">
        <v>4165.3798256537984</v>
      </c>
      <c r="U254" s="185">
        <v>4165.3798256537984</v>
      </c>
      <c r="V254" s="185">
        <v>4223.0158730158728</v>
      </c>
      <c r="W254" s="185">
        <v>4223.0158730158728</v>
      </c>
      <c r="X254" s="185">
        <v>4230</v>
      </c>
      <c r="Y254" s="185">
        <v>4230</v>
      </c>
      <c r="Z254" s="185">
        <v>4230</v>
      </c>
      <c r="AA254" s="185">
        <v>4230</v>
      </c>
      <c r="AB254" s="35"/>
      <c r="AC254" s="36"/>
      <c r="AD254" s="36"/>
      <c r="AE254" s="36"/>
      <c r="AF254" s="36"/>
      <c r="AG254" s="36"/>
      <c r="AH254" s="36"/>
      <c r="AI254" s="36"/>
      <c r="AJ254" s="36"/>
      <c r="AK254" s="36"/>
      <c r="AL254" s="36"/>
      <c r="AM254" s="36"/>
      <c r="AN254" s="36"/>
    </row>
    <row r="255" spans="2:40" s="15" customFormat="1" outlineLevel="1" x14ac:dyDescent="0.2">
      <c r="B255" s="3" t="s">
        <v>381</v>
      </c>
      <c r="C255" s="3"/>
      <c r="D255" s="185">
        <v>4132.9478756022772</v>
      </c>
      <c r="E255" s="185">
        <v>4132.9478756022772</v>
      </c>
      <c r="F255" s="185">
        <v>4229.3695904921842</v>
      </c>
      <c r="G255" s="185">
        <v>4231.7297792014642</v>
      </c>
      <c r="H255" s="185">
        <v>4233.6053793245037</v>
      </c>
      <c r="I255" s="185">
        <v>4235.1317381994231</v>
      </c>
      <c r="J255" s="185">
        <v>4235.1317381994231</v>
      </c>
      <c r="K255" s="185">
        <v>4235.1317381994231</v>
      </c>
      <c r="L255" s="185">
        <v>4235.1317381994231</v>
      </c>
      <c r="M255" s="185">
        <v>4235.1317381994231</v>
      </c>
      <c r="N255" s="185">
        <v>4266.2081594412739</v>
      </c>
      <c r="O255" s="185">
        <v>4311.9964827066415</v>
      </c>
      <c r="P255" s="185">
        <v>4376.221542337802</v>
      </c>
      <c r="Q255" s="185">
        <v>4394.6957813918925</v>
      </c>
      <c r="R255" s="185">
        <v>4410.3523221230835</v>
      </c>
      <c r="S255" s="185">
        <v>4410.3523221230835</v>
      </c>
      <c r="T255" s="185">
        <v>4430.8757882803084</v>
      </c>
      <c r="U255" s="185">
        <v>4448.6832528286905</v>
      </c>
      <c r="V255" s="185">
        <v>4452.3051220986035</v>
      </c>
      <c r="W255" s="185">
        <v>4482.1900723372401</v>
      </c>
      <c r="X255" s="185">
        <v>4470.0695206732526</v>
      </c>
      <c r="Y255" s="185">
        <v>4470.0695206732526</v>
      </c>
      <c r="Z255" s="185">
        <v>4489.3112908397761</v>
      </c>
      <c r="AA255" s="185">
        <v>4503.3259054777664</v>
      </c>
      <c r="AB255" s="35"/>
      <c r="AC255" s="36"/>
      <c r="AD255" s="36"/>
      <c r="AE255" s="36"/>
      <c r="AF255" s="36"/>
      <c r="AG255" s="36"/>
      <c r="AH255" s="36"/>
      <c r="AI255" s="36"/>
      <c r="AJ255" s="36"/>
      <c r="AK255" s="36"/>
      <c r="AL255" s="36"/>
      <c r="AM255" s="36"/>
      <c r="AN255" s="36"/>
    </row>
    <row r="256" spans="2:40" s="15" customFormat="1" outlineLevel="1" x14ac:dyDescent="0.2">
      <c r="B256" s="183" t="s">
        <v>359</v>
      </c>
      <c r="C256" s="183"/>
      <c r="D256" s="186">
        <v>2763.9880684000227</v>
      </c>
      <c r="E256" s="186">
        <v>2788.7598702922246</v>
      </c>
      <c r="F256" s="186">
        <v>2927.2561129537562</v>
      </c>
      <c r="G256" s="186">
        <v>3062.3095283731141</v>
      </c>
      <c r="H256" s="186">
        <v>3123.9128242647803</v>
      </c>
      <c r="I256" s="186">
        <v>3172.5966695177908</v>
      </c>
      <c r="J256" s="186">
        <v>3202.3615160969107</v>
      </c>
      <c r="K256" s="186">
        <v>3231.1425491354585</v>
      </c>
      <c r="L256" s="186">
        <v>3258.9877524209583</v>
      </c>
      <c r="M256" s="186">
        <v>3291.0152971282905</v>
      </c>
      <c r="N256" s="186">
        <v>3355.317848111069</v>
      </c>
      <c r="O256" s="186">
        <v>3403.3252324330574</v>
      </c>
      <c r="P256" s="186">
        <v>3431.1038836909688</v>
      </c>
      <c r="Q256" s="186">
        <v>3487.0122371653565</v>
      </c>
      <c r="R256" s="186">
        <v>3538.80280699479</v>
      </c>
      <c r="S256" s="186">
        <v>3564.2761842393493</v>
      </c>
      <c r="T256" s="186">
        <v>3613.0030555974172</v>
      </c>
      <c r="U256" s="186">
        <v>3637.3723250521725</v>
      </c>
      <c r="V256" s="186">
        <v>3623.1583207418207</v>
      </c>
      <c r="W256" s="186">
        <v>3632.8758593741682</v>
      </c>
      <c r="X256" s="186">
        <v>3647.8359112258067</v>
      </c>
      <c r="Y256" s="186">
        <v>3649.0493189367435</v>
      </c>
      <c r="Z256" s="186">
        <v>3639.2448896372271</v>
      </c>
      <c r="AA256" s="186">
        <v>3658.1084856140628</v>
      </c>
      <c r="AB256" s="35"/>
      <c r="AC256" s="36"/>
      <c r="AD256" s="36"/>
      <c r="AE256" s="36"/>
      <c r="AF256" s="36"/>
      <c r="AG256" s="36"/>
      <c r="AH256" s="36"/>
      <c r="AI256" s="36"/>
      <c r="AJ256" s="36"/>
      <c r="AK256" s="36"/>
      <c r="AL256" s="36"/>
      <c r="AM256" s="36"/>
      <c r="AN256" s="36"/>
    </row>
    <row r="257" spans="2:40" s="15" customFormat="1" outlineLevel="1" x14ac:dyDescent="0.2">
      <c r="B257" s="3"/>
      <c r="C257" s="3"/>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35"/>
      <c r="AC257" s="36"/>
      <c r="AD257" s="36"/>
      <c r="AE257" s="36"/>
      <c r="AF257" s="36"/>
      <c r="AG257" s="36"/>
      <c r="AH257" s="36"/>
      <c r="AI257" s="36"/>
      <c r="AJ257" s="36"/>
      <c r="AK257" s="36"/>
      <c r="AL257" s="36"/>
      <c r="AM257" s="36"/>
      <c r="AN257" s="36"/>
    </row>
    <row r="258" spans="2:40" s="15" customFormat="1" outlineLevel="1" x14ac:dyDescent="0.2">
      <c r="B258" s="183" t="s">
        <v>383</v>
      </c>
      <c r="C258" s="183"/>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c r="AA258" s="186"/>
      <c r="AB258" s="35"/>
      <c r="AC258" s="36"/>
      <c r="AD258" s="36"/>
      <c r="AE258" s="36"/>
      <c r="AF258" s="36"/>
      <c r="AG258" s="36"/>
      <c r="AH258" s="36"/>
      <c r="AI258" s="36"/>
      <c r="AJ258" s="36"/>
      <c r="AK258" s="36"/>
      <c r="AL258" s="36"/>
      <c r="AM258" s="36"/>
      <c r="AN258" s="36"/>
    </row>
    <row r="259" spans="2:40" s="15" customFormat="1" outlineLevel="1" x14ac:dyDescent="0.2">
      <c r="B259" s="3" t="s">
        <v>236</v>
      </c>
      <c r="C259" s="3"/>
      <c r="D259" s="185">
        <v>9321.4063783333331</v>
      </c>
      <c r="E259" s="185">
        <v>9853.2436566666674</v>
      </c>
      <c r="F259" s="185">
        <v>10322.124303000001</v>
      </c>
      <c r="G259" s="185">
        <v>10791.004949333334</v>
      </c>
      <c r="H259" s="185">
        <v>11312.332744952382</v>
      </c>
      <c r="I259" s="185">
        <v>11833.660540571427</v>
      </c>
      <c r="J259" s="185">
        <v>12451.645108571429</v>
      </c>
      <c r="K259" s="185">
        <v>13069.629676571429</v>
      </c>
      <c r="L259" s="185">
        <v>13687.614244571429</v>
      </c>
      <c r="M259" s="185">
        <v>14305.598812571428</v>
      </c>
      <c r="N259" s="185">
        <v>14975.942008489796</v>
      </c>
      <c r="O259" s="185">
        <v>15646.285204408163</v>
      </c>
      <c r="P259" s="185">
        <v>16316.628400326532</v>
      </c>
      <c r="Q259" s="185">
        <v>16986.971596244897</v>
      </c>
      <c r="R259" s="185">
        <v>17657.314792163263</v>
      </c>
      <c r="S259" s="185">
        <v>18327.657988081628</v>
      </c>
      <c r="T259" s="185">
        <v>18998.001184000001</v>
      </c>
      <c r="U259" s="185">
        <v>19466.178017333332</v>
      </c>
      <c r="V259" s="185">
        <v>19934.354850666663</v>
      </c>
      <c r="W259" s="185">
        <v>20402.531683999998</v>
      </c>
      <c r="X259" s="185">
        <v>20870.708517333333</v>
      </c>
      <c r="Y259" s="185">
        <v>21338.885350666664</v>
      </c>
      <c r="Z259" s="185">
        <v>21807.062183999999</v>
      </c>
      <c r="AA259" s="185">
        <v>22244.159728999999</v>
      </c>
      <c r="AB259" s="46"/>
      <c r="AC259" s="47"/>
      <c r="AD259" s="47"/>
      <c r="AE259" s="47"/>
      <c r="AF259" s="47"/>
      <c r="AG259" s="47"/>
      <c r="AH259" s="47"/>
      <c r="AI259" s="47"/>
      <c r="AJ259" s="47"/>
      <c r="AK259" s="47"/>
      <c r="AL259" s="47"/>
      <c r="AM259" s="47"/>
      <c r="AN259" s="47"/>
    </row>
    <row r="260" spans="2:40" s="15" customFormat="1" outlineLevel="1" x14ac:dyDescent="0.2">
      <c r="B260" s="3" t="s">
        <v>353</v>
      </c>
      <c r="C260" s="3"/>
      <c r="D260" s="185">
        <v>382.16</v>
      </c>
      <c r="E260" s="185">
        <v>382.16</v>
      </c>
      <c r="F260" s="185">
        <v>382.16</v>
      </c>
      <c r="G260" s="185">
        <v>2079.41</v>
      </c>
      <c r="H260" s="185">
        <v>2271.66</v>
      </c>
      <c r="I260" s="185">
        <v>2271.66</v>
      </c>
      <c r="J260" s="185">
        <v>2271.66</v>
      </c>
      <c r="K260" s="185">
        <v>2271.66</v>
      </c>
      <c r="L260" s="185">
        <v>2271.66</v>
      </c>
      <c r="M260" s="185">
        <v>2179.66</v>
      </c>
      <c r="N260" s="185">
        <v>2179.66</v>
      </c>
      <c r="O260" s="185">
        <v>2179.66</v>
      </c>
      <c r="P260" s="185">
        <v>2006.88</v>
      </c>
      <c r="Q260" s="185">
        <v>2006.88</v>
      </c>
      <c r="R260" s="185">
        <v>2006.88</v>
      </c>
      <c r="S260" s="185">
        <v>2006.88</v>
      </c>
      <c r="T260" s="185">
        <v>2006.88</v>
      </c>
      <c r="U260" s="185">
        <v>2006.88</v>
      </c>
      <c r="V260" s="185">
        <v>1915.56</v>
      </c>
      <c r="W260" s="185">
        <v>1915.56</v>
      </c>
      <c r="X260" s="185">
        <v>1903.5</v>
      </c>
      <c r="Y260" s="185">
        <v>1903.5</v>
      </c>
      <c r="Z260" s="185">
        <v>1903.5</v>
      </c>
      <c r="AA260" s="185">
        <v>1903.5</v>
      </c>
      <c r="AB260" s="46"/>
      <c r="AC260" s="47"/>
      <c r="AD260" s="47"/>
      <c r="AE260" s="47"/>
      <c r="AF260" s="47"/>
      <c r="AG260" s="47"/>
      <c r="AH260" s="47"/>
      <c r="AI260" s="47"/>
      <c r="AJ260" s="47"/>
      <c r="AK260" s="47"/>
      <c r="AL260" s="47"/>
      <c r="AM260" s="47"/>
      <c r="AN260" s="47"/>
    </row>
    <row r="261" spans="2:40" s="15" customFormat="1" outlineLevel="1" x14ac:dyDescent="0.2">
      <c r="B261" s="3" t="s">
        <v>354</v>
      </c>
      <c r="C261" s="3"/>
      <c r="D261" s="185">
        <v>4717.76</v>
      </c>
      <c r="E261" s="185">
        <v>4717.76</v>
      </c>
      <c r="F261" s="185">
        <v>6547.91</v>
      </c>
      <c r="G261" s="185">
        <v>7397.91</v>
      </c>
      <c r="H261" s="185">
        <v>8247.91</v>
      </c>
      <c r="I261" s="185">
        <v>9097.91</v>
      </c>
      <c r="J261" s="185">
        <v>9097.91</v>
      </c>
      <c r="K261" s="185">
        <v>9097.91</v>
      </c>
      <c r="L261" s="185">
        <v>9097.91</v>
      </c>
      <c r="M261" s="185">
        <v>9097.91</v>
      </c>
      <c r="N261" s="185">
        <v>10017.91</v>
      </c>
      <c r="O261" s="185">
        <v>10297.91</v>
      </c>
      <c r="P261" s="185">
        <v>9726.59</v>
      </c>
      <c r="Q261" s="185">
        <v>10646.59</v>
      </c>
      <c r="R261" s="185">
        <v>11566.59</v>
      </c>
      <c r="S261" s="185">
        <v>11566.59</v>
      </c>
      <c r="T261" s="185">
        <v>12506.59</v>
      </c>
      <c r="U261" s="185">
        <v>13446.59</v>
      </c>
      <c r="V261" s="185">
        <v>12525.67</v>
      </c>
      <c r="W261" s="185">
        <v>12578.369999999999</v>
      </c>
      <c r="X261" s="185">
        <v>13438.369999999999</v>
      </c>
      <c r="Y261" s="185">
        <v>13438.369999999999</v>
      </c>
      <c r="Z261" s="185">
        <v>12600.15</v>
      </c>
      <c r="AA261" s="185">
        <v>13540.15</v>
      </c>
      <c r="AB261" s="46"/>
      <c r="AC261" s="47"/>
      <c r="AD261" s="47"/>
      <c r="AE261" s="47"/>
      <c r="AF261" s="47"/>
      <c r="AG261" s="47"/>
      <c r="AH261" s="47"/>
      <c r="AI261" s="47"/>
      <c r="AJ261" s="47"/>
      <c r="AK261" s="47"/>
      <c r="AL261" s="47"/>
      <c r="AM261" s="47"/>
      <c r="AN261" s="47"/>
    </row>
    <row r="262" spans="2:40" s="15" customFormat="1" outlineLevel="1" x14ac:dyDescent="0.2">
      <c r="B262" s="183" t="s">
        <v>373</v>
      </c>
      <c r="C262" s="183"/>
      <c r="D262" s="186">
        <v>14421.326378333333</v>
      </c>
      <c r="E262" s="186">
        <v>14953.163656666668</v>
      </c>
      <c r="F262" s="186">
        <v>17252.194303</v>
      </c>
      <c r="G262" s="186">
        <v>20268.324949333335</v>
      </c>
      <c r="H262" s="186">
        <v>21831.902744952382</v>
      </c>
      <c r="I262" s="186">
        <v>23203.230540571429</v>
      </c>
      <c r="J262" s="186">
        <v>23821.215108571429</v>
      </c>
      <c r="K262" s="186">
        <v>24439.199676571428</v>
      </c>
      <c r="L262" s="186">
        <v>25057.184244571428</v>
      </c>
      <c r="M262" s="186">
        <v>25583.168812571428</v>
      </c>
      <c r="N262" s="186">
        <v>27173.512008489797</v>
      </c>
      <c r="O262" s="186">
        <v>28123.855204408163</v>
      </c>
      <c r="P262" s="186">
        <v>28050.098400326533</v>
      </c>
      <c r="Q262" s="186">
        <v>29640.441596244898</v>
      </c>
      <c r="R262" s="186">
        <v>31230.784792163264</v>
      </c>
      <c r="S262" s="186">
        <v>31901.127988081629</v>
      </c>
      <c r="T262" s="186">
        <v>33511.471184000002</v>
      </c>
      <c r="U262" s="186">
        <v>34919.648017333333</v>
      </c>
      <c r="V262" s="186">
        <v>34375.584850666666</v>
      </c>
      <c r="W262" s="186">
        <v>34896.461683999994</v>
      </c>
      <c r="X262" s="186">
        <v>36212.578517333328</v>
      </c>
      <c r="Y262" s="186">
        <v>36680.755350666659</v>
      </c>
      <c r="Z262" s="186">
        <v>36310.712183999996</v>
      </c>
      <c r="AA262" s="186">
        <v>37687.809729000001</v>
      </c>
      <c r="AB262" s="35"/>
      <c r="AC262" s="36"/>
      <c r="AD262" s="36"/>
      <c r="AE262" s="36"/>
      <c r="AF262" s="36"/>
      <c r="AG262" s="36"/>
      <c r="AH262" s="36"/>
      <c r="AI262" s="36"/>
      <c r="AJ262" s="36"/>
      <c r="AK262" s="36"/>
      <c r="AL262" s="36"/>
      <c r="AM262" s="36"/>
      <c r="AN262" s="36"/>
    </row>
    <row r="263" spans="2:40" s="15" customFormat="1" outlineLevel="1" x14ac:dyDescent="0.2">
      <c r="B263" s="3"/>
      <c r="C263" s="3"/>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35"/>
      <c r="AC263" s="36"/>
      <c r="AD263" s="36"/>
      <c r="AE263" s="36"/>
      <c r="AF263" s="36"/>
      <c r="AG263" s="36"/>
      <c r="AH263" s="36"/>
      <c r="AI263" s="36"/>
      <c r="AJ263" s="36"/>
      <c r="AK263" s="36"/>
      <c r="AL263" s="36"/>
      <c r="AM263" s="36"/>
      <c r="AN263" s="36"/>
    </row>
    <row r="264" spans="2:40" s="15" customFormat="1" outlineLevel="1" x14ac:dyDescent="0.2">
      <c r="B264" s="183" t="s">
        <v>356</v>
      </c>
      <c r="C264" s="183"/>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c r="AA264" s="186"/>
      <c r="AB264" s="35"/>
      <c r="AC264" s="36"/>
      <c r="AD264" s="36"/>
      <c r="AE264" s="36"/>
      <c r="AF264" s="36"/>
      <c r="AG264" s="36"/>
      <c r="AH264" s="36"/>
      <c r="AI264" s="36"/>
      <c r="AJ264" s="36"/>
      <c r="AK264" s="36"/>
      <c r="AL264" s="36"/>
      <c r="AM264" s="36"/>
      <c r="AN264" s="36"/>
    </row>
    <row r="265" spans="2:40" s="15" customFormat="1" outlineLevel="1" x14ac:dyDescent="0.2">
      <c r="B265" s="3" t="s">
        <v>390</v>
      </c>
      <c r="C265" s="3"/>
      <c r="D265" s="185">
        <v>33076.488526435198</v>
      </c>
      <c r="E265" s="185">
        <v>33284.652138229911</v>
      </c>
      <c r="F265" s="185">
        <v>33533.834777179698</v>
      </c>
      <c r="G265" s="185">
        <v>33540.580429424073</v>
      </c>
      <c r="H265" s="185">
        <v>33479.332759171266</v>
      </c>
      <c r="I265" s="185">
        <v>33541.328797926821</v>
      </c>
      <c r="J265" s="185">
        <v>33561.172726487799</v>
      </c>
      <c r="K265" s="185">
        <v>33600.152169432156</v>
      </c>
      <c r="L265" s="185">
        <v>33628.634029891007</v>
      </c>
      <c r="M265" s="185">
        <v>33622.543663274264</v>
      </c>
      <c r="N265" s="185">
        <v>33638.14210988889</v>
      </c>
      <c r="O265" s="185">
        <v>33616.070542815003</v>
      </c>
      <c r="P265" s="185">
        <v>33601.754288221673</v>
      </c>
      <c r="Q265" s="185">
        <v>33658.378379379006</v>
      </c>
      <c r="R265" s="185">
        <v>33636.626886257174</v>
      </c>
      <c r="S265" s="185">
        <v>33625.547055156356</v>
      </c>
      <c r="T265" s="185">
        <v>33568.471985025011</v>
      </c>
      <c r="U265" s="185">
        <v>33502.054404130518</v>
      </c>
      <c r="V265" s="185">
        <v>33534.059193041903</v>
      </c>
      <c r="W265" s="185">
        <v>33491.313708789159</v>
      </c>
      <c r="X265" s="185">
        <v>33481.160487550384</v>
      </c>
      <c r="Y265" s="185">
        <v>33462.746236101964</v>
      </c>
      <c r="Z265" s="185">
        <v>33447.634171412537</v>
      </c>
      <c r="AA265" s="185">
        <v>33524.538858351872</v>
      </c>
      <c r="AB265" s="46"/>
      <c r="AC265" s="21"/>
      <c r="AD265" s="21"/>
      <c r="AE265" s="21"/>
      <c r="AF265" s="21"/>
      <c r="AG265" s="21"/>
      <c r="AH265" s="21"/>
      <c r="AI265" s="21"/>
      <c r="AJ265" s="21"/>
      <c r="AK265" s="21"/>
      <c r="AL265" s="21"/>
      <c r="AM265" s="21"/>
      <c r="AN265" s="21"/>
    </row>
    <row r="266" spans="2:40" s="15" customFormat="1" outlineLevel="1" x14ac:dyDescent="0.2">
      <c r="B266" s="183" t="s">
        <v>384</v>
      </c>
      <c r="C266" s="183"/>
      <c r="D266" s="196">
        <v>0.43599931615496623</v>
      </c>
      <c r="E266" s="196">
        <v>0.44925101198494549</v>
      </c>
      <c r="F266" s="196">
        <v>0.51447126216356232</v>
      </c>
      <c r="G266" s="196">
        <v>0.60429261181039629</v>
      </c>
      <c r="H266" s="196">
        <v>0.65210089167538121</v>
      </c>
      <c r="I266" s="196">
        <v>0.69178030126241197</v>
      </c>
      <c r="J266" s="196">
        <v>0.70978494412892756</v>
      </c>
      <c r="K266" s="196">
        <v>0.7273538391532961</v>
      </c>
      <c r="L266" s="196">
        <v>0.74511454203876393</v>
      </c>
      <c r="M266" s="196">
        <v>0.76089331814938788</v>
      </c>
      <c r="N266" s="196">
        <v>0.80781845560077381</v>
      </c>
      <c r="O266" s="196">
        <v>0.83661935349012018</v>
      </c>
      <c r="P266" s="196">
        <v>0.83478077244790916</v>
      </c>
      <c r="Q266" s="196">
        <v>0.88062595476686067</v>
      </c>
      <c r="R266" s="196">
        <v>0.92847552454562976</v>
      </c>
      <c r="S266" s="196">
        <v>0.9487169959124786</v>
      </c>
      <c r="T266" s="196">
        <v>0.99830195425486046</v>
      </c>
      <c r="U266" s="196">
        <v>1.0423136323552755</v>
      </c>
      <c r="V266" s="196">
        <v>1.0250946553407221</v>
      </c>
      <c r="W266" s="196">
        <v>1.0419555944394645</v>
      </c>
      <c r="X266" s="196">
        <v>1.0815807454105002</v>
      </c>
      <c r="Y266" s="196">
        <v>1.0961669162434995</v>
      </c>
      <c r="Z266" s="196">
        <v>1.0855988198721245</v>
      </c>
      <c r="AA266" s="196">
        <v>1.1241857759248772</v>
      </c>
      <c r="AB266" s="35"/>
      <c r="AC266" s="36"/>
      <c r="AD266" s="36"/>
      <c r="AE266" s="36"/>
      <c r="AF266" s="36"/>
      <c r="AG266" s="36"/>
      <c r="AH266" s="36"/>
      <c r="AI266" s="36"/>
      <c r="AJ266" s="36"/>
      <c r="AK266" s="36"/>
      <c r="AL266" s="36"/>
      <c r="AM266" s="36"/>
      <c r="AN266" s="36"/>
    </row>
    <row r="267" spans="2:40" s="15" customFormat="1" outlineLevel="1" x14ac:dyDescent="0.2">
      <c r="B267" s="3" t="s">
        <v>360</v>
      </c>
      <c r="C267" s="3"/>
      <c r="D267" s="185">
        <v>34798.042217861206</v>
      </c>
      <c r="E267" s="185">
        <v>36044.688751633817</v>
      </c>
      <c r="F267" s="185">
        <v>37137.135754940435</v>
      </c>
      <c r="G267" s="185">
        <v>38005.302726728209</v>
      </c>
      <c r="H267" s="185">
        <v>38739.590520906015</v>
      </c>
      <c r="I267" s="185">
        <v>39684.271348421069</v>
      </c>
      <c r="J267" s="185">
        <v>40702.371753068699</v>
      </c>
      <c r="K267" s="185">
        <v>41125.105036182562</v>
      </c>
      <c r="L267" s="185">
        <v>41474.80414789811</v>
      </c>
      <c r="M267" s="185">
        <v>42031.677493168638</v>
      </c>
      <c r="N267" s="185">
        <v>42428.845285096584</v>
      </c>
      <c r="O267" s="185">
        <v>42731.676663413411</v>
      </c>
      <c r="P267" s="185">
        <v>42980.136119432573</v>
      </c>
      <c r="Q267" s="185">
        <v>43561.083796919353</v>
      </c>
      <c r="R267" s="185">
        <v>43840.181712917867</v>
      </c>
      <c r="S267" s="185">
        <v>44150.363190362325</v>
      </c>
      <c r="T267" s="185">
        <v>44336.766104564565</v>
      </c>
      <c r="U267" s="185">
        <v>44522.730311005595</v>
      </c>
      <c r="V267" s="185">
        <v>44743.643356986344</v>
      </c>
      <c r="W267" s="185">
        <v>45028.991163387989</v>
      </c>
      <c r="X267" s="185">
        <v>45379.502712074376</v>
      </c>
      <c r="Y267" s="185">
        <v>45694.097094188473</v>
      </c>
      <c r="Z267" s="185">
        <v>46052.384840011509</v>
      </c>
      <c r="AA267" s="185">
        <v>46569.942965550872</v>
      </c>
      <c r="AB267" s="46"/>
      <c r="AC267" s="21"/>
      <c r="AD267" s="21"/>
      <c r="AE267" s="21"/>
      <c r="AF267" s="21"/>
      <c r="AG267" s="21"/>
      <c r="AH267" s="21"/>
      <c r="AI267" s="21"/>
      <c r="AJ267" s="21"/>
      <c r="AK267" s="21"/>
      <c r="AL267" s="21"/>
      <c r="AM267" s="21"/>
      <c r="AN267" s="21"/>
    </row>
    <row r="268" spans="2:40" s="15" customFormat="1" outlineLevel="1" x14ac:dyDescent="0.2">
      <c r="B268" s="183" t="s">
        <v>371</v>
      </c>
      <c r="C268" s="183"/>
      <c r="D268" s="196">
        <v>0.41442924541689091</v>
      </c>
      <c r="E268" s="196">
        <v>0.41485068049003132</v>
      </c>
      <c r="F268" s="196">
        <v>0.46455371294230474</v>
      </c>
      <c r="G268" s="196">
        <v>0.53330255241143265</v>
      </c>
      <c r="H268" s="196">
        <v>0.56355533064219365</v>
      </c>
      <c r="I268" s="196">
        <v>0.58469589467451877</v>
      </c>
      <c r="J268" s="196">
        <v>0.58525373541101966</v>
      </c>
      <c r="K268" s="196">
        <v>0.59426473573914051</v>
      </c>
      <c r="L268" s="196">
        <v>0.60415437177757703</v>
      </c>
      <c r="M268" s="196">
        <v>0.6086639967374472</v>
      </c>
      <c r="N268" s="196">
        <v>0.6404490111833111</v>
      </c>
      <c r="O268" s="196">
        <v>0.65815005168022411</v>
      </c>
      <c r="P268" s="196">
        <v>0.65262935236829711</v>
      </c>
      <c r="Q268" s="196">
        <v>0.68043397943053652</v>
      </c>
      <c r="R268" s="196">
        <v>0.71237808722313889</v>
      </c>
      <c r="S268" s="196">
        <v>0.72255641138293947</v>
      </c>
      <c r="T268" s="196">
        <v>0.75583932091406913</v>
      </c>
      <c r="U268" s="196">
        <v>0.7843105706547725</v>
      </c>
      <c r="V268" s="196">
        <v>0.76827862622633758</v>
      </c>
      <c r="W268" s="196">
        <v>0.77497764845270356</v>
      </c>
      <c r="X268" s="196">
        <v>0.79799416814010271</v>
      </c>
      <c r="Y268" s="196">
        <v>0.80274603686899071</v>
      </c>
      <c r="Z268" s="196">
        <v>0.7884654032607733</v>
      </c>
      <c r="AA268" s="196">
        <v>0.80927326359147056</v>
      </c>
      <c r="AB268" s="35"/>
      <c r="AC268" s="36"/>
      <c r="AD268" s="36"/>
      <c r="AE268" s="36"/>
      <c r="AF268" s="36"/>
      <c r="AG268" s="36"/>
      <c r="AH268" s="36"/>
      <c r="AI268" s="36"/>
      <c r="AJ268" s="36"/>
      <c r="AK268" s="36"/>
      <c r="AL268" s="36"/>
      <c r="AM268" s="36"/>
      <c r="AN268" s="36"/>
    </row>
    <row r="269" spans="2:40" s="15" customFormat="1" outlineLevel="1" x14ac:dyDescent="0.2">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2:40" s="15" customFormat="1" outlineLevel="1" x14ac:dyDescent="0.2">
      <c r="B270" s="41"/>
      <c r="C270" s="41"/>
      <c r="D270" s="25"/>
      <c r="E270" s="25"/>
      <c r="F270" s="25"/>
      <c r="G270" s="48"/>
      <c r="H270" s="25"/>
      <c r="I270" s="25"/>
      <c r="J270" s="25"/>
      <c r="K270" s="25"/>
      <c r="L270" s="25"/>
      <c r="M270" s="25"/>
      <c r="N270" s="25"/>
      <c r="O270" s="25"/>
      <c r="P270" s="25"/>
      <c r="Q270" s="25"/>
      <c r="R270" s="25"/>
      <c r="S270" s="25"/>
      <c r="T270" s="25"/>
      <c r="U270" s="25"/>
      <c r="V270" s="25"/>
      <c r="W270" s="26"/>
      <c r="X270" s="26"/>
      <c r="Y270" s="26"/>
      <c r="Z270" s="26"/>
      <c r="AA270" s="14"/>
    </row>
    <row r="271" spans="2:40" s="213" customFormat="1" outlineLevel="1" x14ac:dyDescent="0.2">
      <c r="B271" s="214" t="s">
        <v>351</v>
      </c>
      <c r="C271" s="214"/>
      <c r="D271" s="215"/>
      <c r="E271" s="215"/>
      <c r="F271" s="215"/>
      <c r="G271" s="216"/>
      <c r="H271" s="215"/>
      <c r="I271" s="215"/>
      <c r="J271" s="215"/>
      <c r="K271" s="215"/>
      <c r="L271" s="215"/>
      <c r="M271" s="215"/>
      <c r="N271" s="215"/>
      <c r="O271" s="215"/>
      <c r="P271" s="215"/>
      <c r="Q271" s="215"/>
      <c r="R271" s="215"/>
      <c r="S271" s="215"/>
      <c r="T271" s="215"/>
      <c r="U271" s="215"/>
      <c r="V271" s="215"/>
      <c r="W271" s="215"/>
      <c r="X271" s="214"/>
      <c r="Y271" s="217"/>
      <c r="Z271" s="215"/>
      <c r="AA271" s="218"/>
    </row>
    <row r="272" spans="2:40" customFormat="1" outlineLevel="1" x14ac:dyDescent="0.2">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2:28" s="21" customFormat="1" outlineLevel="1" x14ac:dyDescent="0.2">
      <c r="C273" s="183"/>
      <c r="D273" s="184">
        <v>2017</v>
      </c>
      <c r="E273" s="184">
        <v>2018</v>
      </c>
      <c r="F273" s="184">
        <v>2019</v>
      </c>
      <c r="G273" s="184">
        <v>2020</v>
      </c>
      <c r="H273" s="184">
        <v>2021</v>
      </c>
      <c r="I273" s="184">
        <v>2022</v>
      </c>
      <c r="J273" s="184">
        <v>2023</v>
      </c>
      <c r="K273" s="184">
        <v>2024</v>
      </c>
      <c r="L273" s="184">
        <v>2025</v>
      </c>
      <c r="M273" s="184">
        <v>2026</v>
      </c>
      <c r="N273" s="184">
        <v>2027</v>
      </c>
      <c r="O273" s="184">
        <v>2028</v>
      </c>
      <c r="P273" s="184">
        <v>2029</v>
      </c>
      <c r="Q273" s="184">
        <v>2030</v>
      </c>
      <c r="R273" s="184">
        <v>2031</v>
      </c>
      <c r="S273" s="184">
        <v>2032</v>
      </c>
      <c r="T273" s="184">
        <v>2033</v>
      </c>
      <c r="U273" s="184">
        <v>2034</v>
      </c>
      <c r="V273" s="184">
        <v>2035</v>
      </c>
      <c r="W273" s="200"/>
      <c r="X273" s="201"/>
      <c r="Y273" s="184"/>
      <c r="Z273" s="184"/>
      <c r="AA273" s="184"/>
      <c r="AB273" s="15"/>
    </row>
    <row r="274" spans="2:28" s="21" customFormat="1" outlineLevel="1" x14ac:dyDescent="0.2">
      <c r="B274" s="183" t="s">
        <v>347</v>
      </c>
      <c r="C274" s="183"/>
      <c r="D274" s="184"/>
      <c r="E274" s="184"/>
      <c r="F274" s="184"/>
      <c r="G274" s="184"/>
      <c r="H274" s="184"/>
      <c r="I274" s="184"/>
      <c r="J274" s="184"/>
      <c r="K274" s="184"/>
      <c r="L274" s="184"/>
      <c r="M274" s="184"/>
      <c r="N274" s="184"/>
      <c r="O274" s="184"/>
      <c r="P274" s="184"/>
      <c r="Q274" s="184"/>
      <c r="R274" s="184"/>
      <c r="S274" s="184"/>
      <c r="T274" s="184"/>
      <c r="U274" s="184"/>
      <c r="V274" s="184"/>
      <c r="W274" s="200"/>
      <c r="X274" s="201"/>
      <c r="Y274" s="183"/>
      <c r="Z274" s="183"/>
      <c r="AA274" s="183"/>
      <c r="AB274" s="15"/>
    </row>
    <row r="275" spans="2:28" s="21" customFormat="1" outlineLevel="1" x14ac:dyDescent="0.2">
      <c r="B275" s="3" t="s">
        <v>235</v>
      </c>
      <c r="C275" s="3"/>
      <c r="D275" s="185">
        <v>3919.8395</v>
      </c>
      <c r="E275" s="185">
        <v>3969.8395</v>
      </c>
      <c r="F275" s="185">
        <v>4019.8395000000005</v>
      </c>
      <c r="G275" s="185">
        <v>4069.8395</v>
      </c>
      <c r="H275" s="185">
        <v>4119.8395</v>
      </c>
      <c r="I275" s="185">
        <v>4169.8395</v>
      </c>
      <c r="J275" s="185">
        <v>4219.8395</v>
      </c>
      <c r="K275" s="185">
        <v>4269.8395</v>
      </c>
      <c r="L275" s="185">
        <v>4319.8395</v>
      </c>
      <c r="M275" s="185">
        <v>4369.8395</v>
      </c>
      <c r="N275" s="185">
        <v>4419.8395</v>
      </c>
      <c r="O275" s="185">
        <v>4469.839500000001</v>
      </c>
      <c r="P275" s="185">
        <v>4519.8395</v>
      </c>
      <c r="Q275" s="185">
        <v>4569.8395</v>
      </c>
      <c r="R275" s="185">
        <v>4619.8395</v>
      </c>
      <c r="S275" s="185">
        <v>4626.1895000000004</v>
      </c>
      <c r="T275" s="185">
        <v>4632.5394999999999</v>
      </c>
      <c r="U275" s="185">
        <v>4638.8895000000002</v>
      </c>
      <c r="V275" s="185">
        <v>4645.2394999999997</v>
      </c>
      <c r="W275" s="198"/>
      <c r="X275" s="202"/>
      <c r="Y275" s="185"/>
      <c r="Z275" s="185"/>
      <c r="AA275" s="185"/>
      <c r="AB275" s="15"/>
    </row>
    <row r="276" spans="2:28" s="21" customFormat="1" outlineLevel="1" x14ac:dyDescent="0.2">
      <c r="B276" s="3" t="s">
        <v>352</v>
      </c>
      <c r="C276" s="3"/>
      <c r="D276" s="185">
        <v>129.55000000000001</v>
      </c>
      <c r="E276" s="185">
        <v>129.55000000000001</v>
      </c>
      <c r="F276" s="185">
        <v>129.55000000000001</v>
      </c>
      <c r="G276" s="185">
        <v>529.54999999999995</v>
      </c>
      <c r="H276" s="185">
        <v>529.54999999999995</v>
      </c>
      <c r="I276" s="185">
        <v>529.54999999999995</v>
      </c>
      <c r="J276" s="185">
        <v>529.54999999999995</v>
      </c>
      <c r="K276" s="185">
        <v>529.54999999999995</v>
      </c>
      <c r="L276" s="185">
        <v>529.54999999999995</v>
      </c>
      <c r="M276" s="185">
        <v>529.54999999999995</v>
      </c>
      <c r="N276" s="185">
        <v>529.54999999999995</v>
      </c>
      <c r="O276" s="185">
        <v>529.54999999999995</v>
      </c>
      <c r="P276" s="185">
        <v>529.54999999999995</v>
      </c>
      <c r="Q276" s="185">
        <v>529.54999999999995</v>
      </c>
      <c r="R276" s="185">
        <v>529.54999999999995</v>
      </c>
      <c r="S276" s="185">
        <v>529.54999999999995</v>
      </c>
      <c r="T276" s="185">
        <v>529.54999999999995</v>
      </c>
      <c r="U276" s="185">
        <v>529.54999999999995</v>
      </c>
      <c r="V276" s="185">
        <v>529.54999999999995</v>
      </c>
      <c r="W276" s="198"/>
      <c r="X276" s="202"/>
      <c r="Y276" s="185"/>
      <c r="Z276" s="185"/>
      <c r="AA276" s="185"/>
      <c r="AB276" s="15"/>
    </row>
    <row r="277" spans="2:28" s="21" customFormat="1" outlineLevel="1" x14ac:dyDescent="0.2">
      <c r="B277" s="3" t="s">
        <v>355</v>
      </c>
      <c r="C277" s="3"/>
      <c r="D277" s="185">
        <v>1141.5</v>
      </c>
      <c r="E277" s="185">
        <v>1241.5</v>
      </c>
      <c r="F277" s="185">
        <v>1391.5</v>
      </c>
      <c r="G277" s="185">
        <v>1741.5</v>
      </c>
      <c r="H277" s="185">
        <v>1941.5</v>
      </c>
      <c r="I277" s="185">
        <v>2141.5</v>
      </c>
      <c r="J277" s="185">
        <v>2141.5</v>
      </c>
      <c r="K277" s="185">
        <v>2141.5</v>
      </c>
      <c r="L277" s="185">
        <v>2141.5</v>
      </c>
      <c r="M277" s="185">
        <v>2341.5</v>
      </c>
      <c r="N277" s="185">
        <v>2541.5</v>
      </c>
      <c r="O277" s="185">
        <v>2541.5</v>
      </c>
      <c r="P277" s="185">
        <v>2741.5</v>
      </c>
      <c r="Q277" s="185">
        <v>2941.5</v>
      </c>
      <c r="R277" s="185">
        <v>2941.5</v>
      </c>
      <c r="S277" s="185">
        <v>2941.5</v>
      </c>
      <c r="T277" s="185">
        <v>2941.5</v>
      </c>
      <c r="U277" s="185">
        <v>2941.5</v>
      </c>
      <c r="V277" s="185">
        <v>2941.5</v>
      </c>
      <c r="W277" s="198"/>
      <c r="X277" s="202"/>
      <c r="Y277" s="185"/>
      <c r="Z277" s="185"/>
      <c r="AA277" s="185"/>
      <c r="AB277" s="15"/>
    </row>
    <row r="278" spans="2:28" s="21" customFormat="1" outlineLevel="1" x14ac:dyDescent="0.2">
      <c r="B278" s="183" t="s">
        <v>372</v>
      </c>
      <c r="C278" s="183"/>
      <c r="D278" s="186">
        <v>5190.8895000000002</v>
      </c>
      <c r="E278" s="186">
        <v>5340.8895000000002</v>
      </c>
      <c r="F278" s="186">
        <v>5540.8895000000002</v>
      </c>
      <c r="G278" s="186">
        <v>6340.8895000000002</v>
      </c>
      <c r="H278" s="186">
        <v>6590.8895000000002</v>
      </c>
      <c r="I278" s="186">
        <v>6840.8895000000002</v>
      </c>
      <c r="J278" s="186">
        <v>6890.8895000000002</v>
      </c>
      <c r="K278" s="186">
        <v>6940.8895000000002</v>
      </c>
      <c r="L278" s="186">
        <v>6990.8895000000002</v>
      </c>
      <c r="M278" s="186">
        <v>7240.8895000000002</v>
      </c>
      <c r="N278" s="186">
        <v>7490.8895000000002</v>
      </c>
      <c r="O278" s="186">
        <v>7540.8895000000011</v>
      </c>
      <c r="P278" s="186">
        <v>7790.8895000000002</v>
      </c>
      <c r="Q278" s="186">
        <v>8040.8895000000002</v>
      </c>
      <c r="R278" s="186">
        <v>8090.8895000000002</v>
      </c>
      <c r="S278" s="186">
        <v>8097.2395000000006</v>
      </c>
      <c r="T278" s="186">
        <v>8103.5895</v>
      </c>
      <c r="U278" s="186">
        <v>8109.9395000000004</v>
      </c>
      <c r="V278" s="186">
        <v>8116.2894999999999</v>
      </c>
      <c r="W278" s="198"/>
      <c r="X278" s="201"/>
      <c r="Y278" s="185"/>
      <c r="Z278" s="185"/>
      <c r="AA278" s="185"/>
      <c r="AB278" s="15"/>
    </row>
    <row r="279" spans="2:28" s="21" customFormat="1" outlineLevel="1" x14ac:dyDescent="0.2">
      <c r="B279" s="3"/>
      <c r="C279" s="3"/>
      <c r="D279" s="185"/>
      <c r="E279" s="185"/>
      <c r="F279" s="185"/>
      <c r="G279" s="185"/>
      <c r="H279" s="185"/>
      <c r="I279" s="185"/>
      <c r="J279" s="185"/>
      <c r="K279" s="185"/>
      <c r="L279" s="185"/>
      <c r="M279" s="185"/>
      <c r="N279" s="185"/>
      <c r="O279" s="185"/>
      <c r="P279" s="185"/>
      <c r="Q279" s="185"/>
      <c r="R279" s="185"/>
      <c r="S279" s="185"/>
      <c r="T279" s="185"/>
      <c r="U279" s="185"/>
      <c r="V279" s="185"/>
      <c r="W279" s="198"/>
      <c r="X279" s="202"/>
      <c r="Y279" s="185"/>
      <c r="Z279" s="185"/>
      <c r="AA279" s="185"/>
      <c r="AB279" s="15"/>
    </row>
    <row r="280" spans="2:28" s="21" customFormat="1" outlineLevel="1" x14ac:dyDescent="0.2">
      <c r="B280" s="183" t="s">
        <v>382</v>
      </c>
      <c r="C280" s="183"/>
      <c r="D280" s="186"/>
      <c r="E280" s="186"/>
      <c r="F280" s="186"/>
      <c r="G280" s="186"/>
      <c r="H280" s="186"/>
      <c r="I280" s="186"/>
      <c r="J280" s="186"/>
      <c r="K280" s="186"/>
      <c r="L280" s="186"/>
      <c r="M280" s="186"/>
      <c r="N280" s="186"/>
      <c r="O280" s="186"/>
      <c r="P280" s="186"/>
      <c r="Q280" s="186"/>
      <c r="R280" s="186"/>
      <c r="S280" s="186"/>
      <c r="T280" s="186"/>
      <c r="U280" s="186"/>
      <c r="V280" s="186"/>
      <c r="W280" s="200"/>
      <c r="X280" s="201"/>
      <c r="Y280" s="185"/>
      <c r="Z280" s="185"/>
      <c r="AA280" s="185"/>
      <c r="AB280" s="15"/>
    </row>
    <row r="281" spans="2:28" s="21" customFormat="1" outlineLevel="1" x14ac:dyDescent="0.2">
      <c r="B281" s="3" t="s">
        <v>379</v>
      </c>
      <c r="C281" s="3"/>
      <c r="D281" s="185">
        <v>2378.1801844182651</v>
      </c>
      <c r="E281" s="185">
        <v>2434.7049394026417</v>
      </c>
      <c r="F281" s="185">
        <v>2489.8235498137246</v>
      </c>
      <c r="G281" s="185">
        <v>2543.5878412053212</v>
      </c>
      <c r="H281" s="185">
        <v>2603.8134625320786</v>
      </c>
      <c r="I281" s="185">
        <v>2662.5947687640528</v>
      </c>
      <c r="J281" s="185">
        <v>2719.9831000681429</v>
      </c>
      <c r="K281" s="185">
        <v>2776.0273918291978</v>
      </c>
      <c r="L281" s="185">
        <v>2830.7743138208193</v>
      </c>
      <c r="M281" s="185">
        <v>2884.2683998217453</v>
      </c>
      <c r="N281" s="185">
        <v>2936.5521684344294</v>
      </c>
      <c r="O281" s="185">
        <v>2987.6662357946916</v>
      </c>
      <c r="P281" s="185">
        <v>3037.6494208003878</v>
      </c>
      <c r="Q281" s="185">
        <v>3086.5388434320284</v>
      </c>
      <c r="R281" s="185">
        <v>3134.370016688737</v>
      </c>
      <c r="S281" s="185">
        <v>3149.2617003074101</v>
      </c>
      <c r="T281" s="185">
        <v>3164.1125587195288</v>
      </c>
      <c r="U281" s="185">
        <v>3178.9227595773268</v>
      </c>
      <c r="V281" s="185">
        <v>3193.6924696163219</v>
      </c>
      <c r="W281" s="198"/>
      <c r="X281" s="202"/>
      <c r="Y281" s="185"/>
      <c r="Z281" s="185"/>
      <c r="AA281" s="185"/>
      <c r="AB281" s="15"/>
    </row>
    <row r="282" spans="2:28" s="21" customFormat="1" outlineLevel="1" x14ac:dyDescent="0.2">
      <c r="B282" s="3" t="s">
        <v>380</v>
      </c>
      <c r="C282" s="3"/>
      <c r="D282" s="185">
        <v>3064.8012350443837</v>
      </c>
      <c r="E282" s="185">
        <v>3064.8012350443837</v>
      </c>
      <c r="F282" s="185">
        <v>3064.8012350443837</v>
      </c>
      <c r="G282" s="185">
        <v>3967.1324709659152</v>
      </c>
      <c r="H282" s="185">
        <v>3967.1324709659152</v>
      </c>
      <c r="I282" s="185">
        <v>3967.1324709659152</v>
      </c>
      <c r="J282" s="185">
        <v>3967.1324709659152</v>
      </c>
      <c r="K282" s="185">
        <v>3967.1324709659152</v>
      </c>
      <c r="L282" s="185">
        <v>4057.7754697384576</v>
      </c>
      <c r="M282" s="185">
        <v>4057.7754697384576</v>
      </c>
      <c r="N282" s="185">
        <v>4057.7754697384576</v>
      </c>
      <c r="O282" s="185">
        <v>4103.7767916155226</v>
      </c>
      <c r="P282" s="185">
        <v>4103.7767916155226</v>
      </c>
      <c r="Q282" s="185">
        <v>4103.7767916155226</v>
      </c>
      <c r="R282" s="185">
        <v>4103.7767916155226</v>
      </c>
      <c r="S282" s="185">
        <v>4103.7767916155226</v>
      </c>
      <c r="T282" s="185">
        <v>4103.7767916155226</v>
      </c>
      <c r="U282" s="185">
        <v>4119.6959682749512</v>
      </c>
      <c r="V282" s="185">
        <v>4119.6959682749512</v>
      </c>
      <c r="W282" s="198"/>
      <c r="X282" s="202"/>
      <c r="Y282" s="185"/>
      <c r="Z282" s="185"/>
      <c r="AA282" s="185"/>
      <c r="AB282" s="15"/>
    </row>
    <row r="283" spans="2:28" s="21" customFormat="1" outlineLevel="1" x14ac:dyDescent="0.2">
      <c r="B283" s="3" t="s">
        <v>381</v>
      </c>
      <c r="C283" s="3"/>
      <c r="D283" s="185">
        <v>4066.951379763469</v>
      </c>
      <c r="E283" s="185">
        <v>4101.8324607329841</v>
      </c>
      <c r="F283" s="185">
        <v>4144.7538627380518</v>
      </c>
      <c r="G283" s="185">
        <v>4187.438989376974</v>
      </c>
      <c r="H283" s="185">
        <v>4193.8835951583824</v>
      </c>
      <c r="I283" s="185">
        <v>4258.8956339014703</v>
      </c>
      <c r="J283" s="185">
        <v>4336.2246089189812</v>
      </c>
      <c r="K283" s="185">
        <v>4336.2246089189812</v>
      </c>
      <c r="L283" s="185">
        <v>4336.2246089189812</v>
      </c>
      <c r="M283" s="185">
        <v>4367.2966047405507</v>
      </c>
      <c r="N283" s="185">
        <v>4393.478260869565</v>
      </c>
      <c r="O283" s="185">
        <v>4393.478260869565</v>
      </c>
      <c r="P283" s="185">
        <v>4442.5606419843152</v>
      </c>
      <c r="Q283" s="185">
        <v>4488.2134965153837</v>
      </c>
      <c r="R283" s="185">
        <v>4488.2134965153837</v>
      </c>
      <c r="S283" s="185">
        <v>4488.2134965153837</v>
      </c>
      <c r="T283" s="185">
        <v>4488.2134965153837</v>
      </c>
      <c r="U283" s="185">
        <v>4488.2134965153837</v>
      </c>
      <c r="V283" s="185">
        <v>4488.2134965153837</v>
      </c>
      <c r="W283" s="198"/>
      <c r="X283" s="202"/>
      <c r="Y283" s="185"/>
      <c r="Z283" s="185"/>
      <c r="AA283" s="185"/>
      <c r="AB283" s="15"/>
    </row>
    <row r="284" spans="2:28" s="21" customFormat="1" outlineLevel="1" x14ac:dyDescent="0.2">
      <c r="B284" s="183" t="s">
        <v>346</v>
      </c>
      <c r="C284" s="183"/>
      <c r="D284" s="186">
        <v>2766.6847127067531</v>
      </c>
      <c r="E284" s="186">
        <v>2837.5157058174891</v>
      </c>
      <c r="F284" s="186">
        <v>2918.8744972393743</v>
      </c>
      <c r="G284" s="186">
        <v>3113.9502222609526</v>
      </c>
      <c r="H284" s="186">
        <v>3181.7425483421366</v>
      </c>
      <c r="I284" s="186">
        <v>3263.2909564298193</v>
      </c>
      <c r="J284" s="186">
        <v>3318.1074990391298</v>
      </c>
      <c r="K284" s="186">
        <v>3348.2756656354036</v>
      </c>
      <c r="L284" s="186">
        <v>3384.8783758388072</v>
      </c>
      <c r="M284" s="186">
        <v>3449.6604294462522</v>
      </c>
      <c r="N284" s="186">
        <v>3510.118426904728</v>
      </c>
      <c r="O284" s="186">
        <v>3539.8434831290692</v>
      </c>
      <c r="P284" s="186">
        <v>3604.4822403508242</v>
      </c>
      <c r="Q284" s="186">
        <v>3666.2886767689074</v>
      </c>
      <c r="R284" s="186">
        <v>3690.0171990625117</v>
      </c>
      <c r="S284" s="186">
        <v>3698.0895045421698</v>
      </c>
      <c r="T284" s="186">
        <v>3706.1491590503551</v>
      </c>
      <c r="U284" s="186">
        <v>3715.235657518072</v>
      </c>
      <c r="V284" s="186">
        <v>3723.2692858866471</v>
      </c>
      <c r="W284" s="198"/>
      <c r="X284" s="201"/>
      <c r="Y284" s="185"/>
      <c r="Z284" s="185"/>
      <c r="AA284" s="185"/>
      <c r="AB284" s="15"/>
    </row>
    <row r="285" spans="2:28" s="21" customFormat="1" outlineLevel="1" x14ac:dyDescent="0.2">
      <c r="B285" s="3"/>
      <c r="C285" s="3"/>
      <c r="D285" s="185"/>
      <c r="E285" s="185"/>
      <c r="F285" s="185"/>
      <c r="G285" s="185"/>
      <c r="H285" s="185"/>
      <c r="I285" s="185"/>
      <c r="J285" s="185"/>
      <c r="K285" s="185"/>
      <c r="L285" s="185"/>
      <c r="M285" s="185"/>
      <c r="N285" s="185"/>
      <c r="O285" s="185"/>
      <c r="P285" s="185"/>
      <c r="Q285" s="185"/>
      <c r="R285" s="185"/>
      <c r="S285" s="185"/>
      <c r="T285" s="185"/>
      <c r="U285" s="185"/>
      <c r="V285" s="185"/>
      <c r="W285" s="198"/>
      <c r="X285" s="202"/>
      <c r="Y285" s="185"/>
      <c r="Z285" s="185"/>
      <c r="AA285" s="185"/>
      <c r="AB285" s="15"/>
    </row>
    <row r="286" spans="2:28" s="21" customFormat="1" outlineLevel="1" x14ac:dyDescent="0.2">
      <c r="B286" s="183" t="s">
        <v>383</v>
      </c>
      <c r="C286" s="183"/>
      <c r="D286" s="186"/>
      <c r="E286" s="186"/>
      <c r="F286" s="186"/>
      <c r="G286" s="186"/>
      <c r="H286" s="186"/>
      <c r="I286" s="186"/>
      <c r="J286" s="186"/>
      <c r="K286" s="186"/>
      <c r="L286" s="186"/>
      <c r="M286" s="186"/>
      <c r="N286" s="186"/>
      <c r="O286" s="186"/>
      <c r="P286" s="186"/>
      <c r="Q286" s="186"/>
      <c r="R286" s="186"/>
      <c r="S286" s="186"/>
      <c r="T286" s="186"/>
      <c r="U286" s="186"/>
      <c r="V286" s="186"/>
      <c r="W286" s="200"/>
      <c r="X286" s="201"/>
      <c r="Y286" s="185"/>
      <c r="Z286" s="185"/>
      <c r="AA286" s="185"/>
      <c r="AB286" s="15"/>
    </row>
    <row r="287" spans="2:28" s="21" customFormat="1" outlineLevel="1" x14ac:dyDescent="0.2">
      <c r="B287" s="3" t="s">
        <v>236</v>
      </c>
      <c r="C287" s="3"/>
      <c r="D287" s="185">
        <v>9322.0846249999995</v>
      </c>
      <c r="E287" s="185">
        <v>9665.387839285715</v>
      </c>
      <c r="F287" s="185">
        <v>10008.691053571429</v>
      </c>
      <c r="G287" s="185">
        <v>10351.994267857142</v>
      </c>
      <c r="H287" s="185">
        <v>10727.293553571428</v>
      </c>
      <c r="I287" s="185">
        <v>11102.592839285713</v>
      </c>
      <c r="J287" s="185">
        <v>11477.892125000002</v>
      </c>
      <c r="K287" s="185">
        <v>11853.191410714286</v>
      </c>
      <c r="L287" s="185">
        <v>12228.490696428573</v>
      </c>
      <c r="M287" s="185">
        <v>12603.789982142856</v>
      </c>
      <c r="N287" s="185">
        <v>12979.089267857144</v>
      </c>
      <c r="O287" s="185">
        <v>13354.388553571429</v>
      </c>
      <c r="P287" s="185">
        <v>13729.687839285714</v>
      </c>
      <c r="Q287" s="185">
        <v>14104.987125</v>
      </c>
      <c r="R287" s="185">
        <v>14480.286410714287</v>
      </c>
      <c r="S287" s="185">
        <v>14569.081410714287</v>
      </c>
      <c r="T287" s="185">
        <v>14657.876410714285</v>
      </c>
      <c r="U287" s="185">
        <v>14746.671410714287</v>
      </c>
      <c r="V287" s="185">
        <v>14835.466410714287</v>
      </c>
      <c r="W287" s="198"/>
      <c r="X287" s="202"/>
      <c r="Y287" s="185"/>
      <c r="Z287" s="185"/>
      <c r="AA287" s="185"/>
      <c r="AB287" s="15"/>
    </row>
    <row r="288" spans="2:28" s="21" customFormat="1" outlineLevel="1" x14ac:dyDescent="0.2">
      <c r="B288" s="3" t="s">
        <v>353</v>
      </c>
      <c r="C288" s="3"/>
      <c r="D288" s="185">
        <v>397.04499999999996</v>
      </c>
      <c r="E288" s="185">
        <v>397.04499999999996</v>
      </c>
      <c r="F288" s="185">
        <v>397.04499999999996</v>
      </c>
      <c r="G288" s="185">
        <v>2100.7950000000001</v>
      </c>
      <c r="H288" s="185">
        <v>2100.7950000000001</v>
      </c>
      <c r="I288" s="185">
        <v>2100.7950000000001</v>
      </c>
      <c r="J288" s="185">
        <v>2100.7950000000001</v>
      </c>
      <c r="K288" s="185">
        <v>2100.7950000000001</v>
      </c>
      <c r="L288" s="185">
        <v>2148.7950000000001</v>
      </c>
      <c r="M288" s="185">
        <v>2148.7950000000001</v>
      </c>
      <c r="N288" s="185">
        <v>2148.7950000000001</v>
      </c>
      <c r="O288" s="185">
        <v>2173.1549999999997</v>
      </c>
      <c r="P288" s="185">
        <v>2173.1549999999997</v>
      </c>
      <c r="Q288" s="185">
        <v>2173.1549999999997</v>
      </c>
      <c r="R288" s="185">
        <v>2173.1549999999997</v>
      </c>
      <c r="S288" s="185">
        <v>2173.1549999999997</v>
      </c>
      <c r="T288" s="185">
        <v>2173.1549999999997</v>
      </c>
      <c r="U288" s="185">
        <v>2181.585</v>
      </c>
      <c r="V288" s="185">
        <v>2181.585</v>
      </c>
      <c r="W288" s="198"/>
      <c r="X288" s="202"/>
      <c r="Y288" s="185"/>
      <c r="Z288" s="185"/>
      <c r="AA288" s="185"/>
      <c r="AB288" s="15"/>
    </row>
    <row r="289" spans="1:37" s="21" customFormat="1" outlineLevel="1" x14ac:dyDescent="0.2">
      <c r="B289" s="3" t="s">
        <v>354</v>
      </c>
      <c r="C289" s="3"/>
      <c r="D289" s="185">
        <v>4642.4250000000002</v>
      </c>
      <c r="E289" s="185">
        <v>5092.4250000000002</v>
      </c>
      <c r="F289" s="185">
        <v>5767.4250000000002</v>
      </c>
      <c r="G289" s="185">
        <v>7292.4250000000002</v>
      </c>
      <c r="H289" s="185">
        <v>8142.4250000000002</v>
      </c>
      <c r="I289" s="185">
        <v>9120.4249999999993</v>
      </c>
      <c r="J289" s="185">
        <v>9286.0249999999996</v>
      </c>
      <c r="K289" s="185">
        <v>9286.0249999999996</v>
      </c>
      <c r="L289" s="185">
        <v>9286.0249999999996</v>
      </c>
      <c r="M289" s="185">
        <v>10226.025</v>
      </c>
      <c r="N289" s="185">
        <v>11166.025</v>
      </c>
      <c r="O289" s="185">
        <v>11166.025</v>
      </c>
      <c r="P289" s="185">
        <v>12179.279999999999</v>
      </c>
      <c r="Q289" s="185">
        <v>13202.08</v>
      </c>
      <c r="R289" s="185">
        <v>13202.08</v>
      </c>
      <c r="S289" s="185">
        <v>13202.08</v>
      </c>
      <c r="T289" s="185">
        <v>13202.08</v>
      </c>
      <c r="U289" s="185">
        <v>13202.08</v>
      </c>
      <c r="V289" s="185">
        <v>13202.08</v>
      </c>
      <c r="W289" s="198"/>
      <c r="X289" s="202"/>
      <c r="Y289" s="185"/>
      <c r="Z289" s="185"/>
      <c r="AA289" s="185"/>
      <c r="AB289" s="15"/>
    </row>
    <row r="290" spans="1:37" s="21" customFormat="1" outlineLevel="1" x14ac:dyDescent="0.2">
      <c r="B290" s="183" t="s">
        <v>373</v>
      </c>
      <c r="C290" s="183"/>
      <c r="D290" s="186">
        <v>14361.554625000001</v>
      </c>
      <c r="E290" s="186">
        <v>15154.857839285716</v>
      </c>
      <c r="F290" s="186">
        <v>16173.161053571428</v>
      </c>
      <c r="G290" s="186">
        <v>19745.214267857144</v>
      </c>
      <c r="H290" s="186">
        <v>20970.513553571429</v>
      </c>
      <c r="I290" s="186">
        <v>22323.812839285711</v>
      </c>
      <c r="J290" s="186">
        <v>22864.712125000002</v>
      </c>
      <c r="K290" s="186">
        <v>23240.011410714287</v>
      </c>
      <c r="L290" s="186">
        <v>23663.310696428573</v>
      </c>
      <c r="M290" s="186">
        <v>24978.609982142858</v>
      </c>
      <c r="N290" s="186">
        <v>26293.909267857143</v>
      </c>
      <c r="O290" s="186">
        <v>26693.568553571429</v>
      </c>
      <c r="P290" s="186">
        <v>28082.122839285712</v>
      </c>
      <c r="Q290" s="186">
        <v>29480.222125</v>
      </c>
      <c r="R290" s="186">
        <v>29855.521410714289</v>
      </c>
      <c r="S290" s="186">
        <v>29944.316410714287</v>
      </c>
      <c r="T290" s="186">
        <v>30033.111410714286</v>
      </c>
      <c r="U290" s="186">
        <v>30130.336410714284</v>
      </c>
      <c r="V290" s="186">
        <v>30219.13141071429</v>
      </c>
      <c r="W290" s="198"/>
      <c r="X290" s="201"/>
      <c r="Y290" s="185"/>
      <c r="Z290" s="185"/>
      <c r="AA290" s="185"/>
      <c r="AB290" s="15"/>
    </row>
    <row r="291" spans="1:37" s="21" customFormat="1" outlineLevel="1" x14ac:dyDescent="0.2">
      <c r="B291" s="3"/>
      <c r="C291" s="3"/>
      <c r="D291" s="185"/>
      <c r="E291" s="185"/>
      <c r="F291" s="185"/>
      <c r="G291" s="185"/>
      <c r="H291" s="185"/>
      <c r="I291" s="185"/>
      <c r="J291" s="185"/>
      <c r="K291" s="185"/>
      <c r="L291" s="185"/>
      <c r="M291" s="185"/>
      <c r="N291" s="185"/>
      <c r="O291" s="185"/>
      <c r="P291" s="185"/>
      <c r="Q291" s="185"/>
      <c r="R291" s="185"/>
      <c r="S291" s="185"/>
      <c r="T291" s="185"/>
      <c r="U291" s="185"/>
      <c r="V291" s="189"/>
      <c r="W291" s="198"/>
      <c r="X291" s="198"/>
      <c r="Y291" s="198"/>
      <c r="Z291" s="198"/>
      <c r="AA291" s="199"/>
      <c r="AB291" s="15"/>
    </row>
    <row r="292" spans="1:37" s="21" customFormat="1" outlineLevel="1" x14ac:dyDescent="0.2">
      <c r="B292" s="183" t="s">
        <v>356</v>
      </c>
      <c r="C292" s="183"/>
      <c r="D292" s="186"/>
      <c r="E292" s="186"/>
      <c r="F292" s="186"/>
      <c r="G292" s="186"/>
      <c r="H292" s="186"/>
      <c r="I292" s="186"/>
      <c r="J292" s="186"/>
      <c r="K292" s="186"/>
      <c r="L292" s="186"/>
      <c r="M292" s="186"/>
      <c r="N292" s="186"/>
      <c r="O292" s="186"/>
      <c r="P292" s="186"/>
      <c r="Q292" s="186"/>
      <c r="R292" s="186"/>
      <c r="S292" s="186"/>
      <c r="T292" s="186"/>
      <c r="U292" s="186"/>
      <c r="V292" s="189"/>
      <c r="W292" s="198"/>
      <c r="X292" s="203"/>
      <c r="Y292" s="204"/>
      <c r="Z292" s="204"/>
      <c r="AA292" s="204"/>
      <c r="AB292" s="15"/>
    </row>
    <row r="293" spans="1:37" s="21" customFormat="1" outlineLevel="1" x14ac:dyDescent="0.2">
      <c r="B293" s="3" t="s">
        <v>390</v>
      </c>
      <c r="C293" s="3"/>
      <c r="D293" s="185">
        <v>33556.509666599813</v>
      </c>
      <c r="E293" s="185">
        <v>33722.118953751211</v>
      </c>
      <c r="F293" s="185">
        <v>33900.678565415146</v>
      </c>
      <c r="G293" s="185">
        <v>34059.266493877753</v>
      </c>
      <c r="H293" s="185">
        <v>34311.523086892346</v>
      </c>
      <c r="I293" s="185">
        <v>34624.364014995212</v>
      </c>
      <c r="J293" s="185">
        <v>34833.71480596358</v>
      </c>
      <c r="K293" s="185">
        <v>34989.709177535813</v>
      </c>
      <c r="L293" s="185">
        <v>35104.921960860323</v>
      </c>
      <c r="M293" s="185">
        <v>35244.061619219312</v>
      </c>
      <c r="N293" s="185">
        <v>35349.967439535161</v>
      </c>
      <c r="O293" s="185">
        <v>35418.746872989788</v>
      </c>
      <c r="P293" s="185">
        <v>35473.675860002615</v>
      </c>
      <c r="Q293" s="185">
        <v>35592.610825065647</v>
      </c>
      <c r="R293" s="185">
        <v>35621.643622309413</v>
      </c>
      <c r="S293" s="185">
        <v>35652.561423285675</v>
      </c>
      <c r="T293" s="185">
        <v>35622.353800018216</v>
      </c>
      <c r="U293" s="185">
        <v>35578.890286421272</v>
      </c>
      <c r="V293" s="185">
        <v>35641.777341419533</v>
      </c>
      <c r="W293" s="205"/>
      <c r="X293" s="198"/>
      <c r="Y293" s="198"/>
      <c r="Z293" s="198"/>
      <c r="AA293" s="199"/>
      <c r="AB293" s="15"/>
    </row>
    <row r="294" spans="1:37" s="21" customFormat="1" outlineLevel="1" x14ac:dyDescent="0.2">
      <c r="B294" s="183" t="s">
        <v>384</v>
      </c>
      <c r="C294" s="183"/>
      <c r="D294" s="196">
        <v>0.42798118063198487</v>
      </c>
      <c r="E294" s="196">
        <v>0.44940407985838943</v>
      </c>
      <c r="F294" s="196">
        <v>0.47707484740647615</v>
      </c>
      <c r="G294" s="196">
        <v>0.57973104827158861</v>
      </c>
      <c r="H294" s="196">
        <v>0.61117990887389562</v>
      </c>
      <c r="I294" s="196">
        <v>0.64474289923759043</v>
      </c>
      <c r="J294" s="196">
        <v>0.65639603046544814</v>
      </c>
      <c r="K294" s="196">
        <v>0.66419561513917647</v>
      </c>
      <c r="L294" s="196">
        <v>0.67407387268405283</v>
      </c>
      <c r="M294" s="196">
        <v>0.70873244553974757</v>
      </c>
      <c r="N294" s="196">
        <v>0.74381707176483036</v>
      </c>
      <c r="O294" s="196">
        <v>0.75365649296666259</v>
      </c>
      <c r="P294" s="196">
        <v>0.79163272929797923</v>
      </c>
      <c r="Q294" s="196">
        <v>0.82826804332765958</v>
      </c>
      <c r="R294" s="196">
        <v>0.83812868735838264</v>
      </c>
      <c r="S294" s="196">
        <v>0.83989242891134397</v>
      </c>
      <c r="T294" s="196">
        <v>0.84309733094332828</v>
      </c>
      <c r="U294" s="196">
        <v>0.84685992643827801</v>
      </c>
      <c r="V294" s="196">
        <v>0.84785702803873497</v>
      </c>
      <c r="W294" s="206"/>
      <c r="X294" s="198"/>
      <c r="Y294" s="198"/>
      <c r="Z294" s="198"/>
      <c r="AA294" s="199"/>
      <c r="AB294" s="15"/>
    </row>
    <row r="295" spans="1:37" s="21" customFormat="1" outlineLevel="1" x14ac:dyDescent="0.2">
      <c r="B295" s="3" t="s">
        <v>360</v>
      </c>
      <c r="C295" s="3"/>
      <c r="D295" s="185">
        <v>34813.807537372282</v>
      </c>
      <c r="E295" s="185">
        <v>35219.782876881254</v>
      </c>
      <c r="F295" s="185">
        <v>35556.351084949711</v>
      </c>
      <c r="G295" s="185">
        <v>35892.606922868843</v>
      </c>
      <c r="H295" s="185">
        <v>36373.975326642969</v>
      </c>
      <c r="I295" s="185">
        <v>36998.95647981271</v>
      </c>
      <c r="J295" s="185">
        <v>37485.247676533851</v>
      </c>
      <c r="K295" s="185">
        <v>38097.782005095069</v>
      </c>
      <c r="L295" s="185">
        <v>38740.816860439314</v>
      </c>
      <c r="M295" s="185">
        <v>39451.196924792559</v>
      </c>
      <c r="N295" s="185">
        <v>40028.404328384</v>
      </c>
      <c r="O295" s="185">
        <v>40371.644893136159</v>
      </c>
      <c r="P295" s="185">
        <v>40634.869148591126</v>
      </c>
      <c r="Q295" s="185">
        <v>41180.176775339656</v>
      </c>
      <c r="R295" s="185">
        <v>41435.79096477032</v>
      </c>
      <c r="S295" s="185">
        <v>41723.553084568834</v>
      </c>
      <c r="T295" s="185">
        <v>41898.391117281564</v>
      </c>
      <c r="U295" s="185">
        <v>42151.560013483439</v>
      </c>
      <c r="V295" s="185">
        <v>42472.394480405375</v>
      </c>
      <c r="W295" s="206"/>
      <c r="X295" s="198"/>
      <c r="Y295" s="198"/>
      <c r="Z295" s="198"/>
      <c r="AA295" s="199"/>
      <c r="AB295" s="15"/>
    </row>
    <row r="296" spans="1:37" s="21" customFormat="1" outlineLevel="1" x14ac:dyDescent="0.2">
      <c r="B296" s="183" t="s">
        <v>371</v>
      </c>
      <c r="C296" s="183"/>
      <c r="D296" s="196">
        <v>0.41252467457295533</v>
      </c>
      <c r="E296" s="196">
        <v>0.4302939030675732</v>
      </c>
      <c r="F296" s="196">
        <v>0.45485997747438156</v>
      </c>
      <c r="G296" s="196">
        <v>0.55011925743617562</v>
      </c>
      <c r="H296" s="196">
        <v>0.57652520422234643</v>
      </c>
      <c r="I296" s="196">
        <v>0.60336330975891117</v>
      </c>
      <c r="J296" s="196">
        <v>0.60996561426786422</v>
      </c>
      <c r="K296" s="196">
        <v>0.61000956453596822</v>
      </c>
      <c r="L296" s="196">
        <v>0.61081083503411282</v>
      </c>
      <c r="M296" s="196">
        <v>0.63315214566900491</v>
      </c>
      <c r="N296" s="196">
        <v>0.65688127491038217</v>
      </c>
      <c r="O296" s="196">
        <v>0.6611959612799867</v>
      </c>
      <c r="P296" s="196">
        <v>0.69108436738399992</v>
      </c>
      <c r="Q296" s="196">
        <v>0.71588381676530199</v>
      </c>
      <c r="R296" s="196">
        <v>0.7205249547691307</v>
      </c>
      <c r="S296" s="196">
        <v>0.71768375885966873</v>
      </c>
      <c r="T296" s="196">
        <v>0.7168082260401335</v>
      </c>
      <c r="U296" s="196">
        <v>0.71480952071705517</v>
      </c>
      <c r="V296" s="196">
        <v>0.71150053535728663</v>
      </c>
      <c r="W296" s="207"/>
      <c r="X296" s="198"/>
      <c r="Y296" s="198"/>
      <c r="Z296" s="198"/>
      <c r="AA296" s="199"/>
      <c r="AB296" s="15"/>
    </row>
    <row r="297" spans="1:37" s="15" customFormat="1" outlineLevel="1" x14ac:dyDescent="0.2">
      <c r="A297" s="16"/>
      <c r="B297" s="197"/>
      <c r="C297" s="197"/>
      <c r="D297" s="222"/>
      <c r="E297" s="222"/>
      <c r="F297" s="222"/>
      <c r="G297" s="222"/>
      <c r="H297" s="222"/>
      <c r="I297" s="222"/>
      <c r="J297" s="222"/>
      <c r="K297" s="222"/>
      <c r="L297" s="222"/>
      <c r="M297" s="222"/>
      <c r="N297" s="222"/>
      <c r="O297" s="222"/>
      <c r="P297" s="222"/>
      <c r="Q297" s="222"/>
      <c r="R297" s="222"/>
      <c r="S297" s="222"/>
      <c r="T297" s="222"/>
      <c r="U297" s="222"/>
      <c r="V297" s="222"/>
      <c r="W297" s="222"/>
      <c r="X297" s="222"/>
      <c r="Y297" s="222"/>
      <c r="Z297" s="222"/>
      <c r="AA297" s="222"/>
      <c r="AB297" s="222"/>
      <c r="AC297" s="222"/>
      <c r="AD297" s="222"/>
      <c r="AE297" s="222"/>
      <c r="AF297" s="222"/>
      <c r="AG297" s="222"/>
      <c r="AH297" s="222"/>
      <c r="AI297" s="222"/>
      <c r="AJ297" s="222"/>
      <c r="AK297" s="222"/>
    </row>
    <row r="298" spans="1:37" s="15" customFormat="1" outlineLevel="1" x14ac:dyDescent="0.2">
      <c r="A298" s="16"/>
      <c r="B298" s="197"/>
      <c r="C298" s="208"/>
      <c r="D298" s="209"/>
      <c r="E298" s="209"/>
      <c r="F298" s="209"/>
      <c r="G298" s="209"/>
      <c r="H298" s="209"/>
      <c r="I298" s="209"/>
      <c r="J298" s="209"/>
      <c r="K298" s="237"/>
      <c r="L298" s="124"/>
      <c r="M298" s="209"/>
      <c r="N298" s="209"/>
      <c r="O298" s="209"/>
      <c r="P298" s="209"/>
      <c r="Q298" s="209"/>
      <c r="R298" s="209"/>
      <c r="S298" s="209"/>
      <c r="T298" s="209"/>
      <c r="U298" s="209"/>
      <c r="V298" s="124"/>
      <c r="W298" s="209"/>
      <c r="X298" s="209"/>
      <c r="Y298" s="209"/>
      <c r="Z298" s="209"/>
      <c r="AA298" s="124"/>
      <c r="AB298" s="209"/>
      <c r="AC298" s="209"/>
      <c r="AD298" s="209"/>
      <c r="AE298" s="209"/>
      <c r="AF298" s="209"/>
      <c r="AG298" s="209"/>
      <c r="AH298" s="209"/>
      <c r="AI298" s="209"/>
      <c r="AJ298" s="209"/>
      <c r="AK298" s="209"/>
    </row>
    <row r="299" spans="1:37" s="15" customFormat="1" outlineLevel="1" x14ac:dyDescent="0.2">
      <c r="A299" s="16"/>
      <c r="B299" s="197"/>
      <c r="C299" s="208"/>
      <c r="D299" s="209"/>
      <c r="E299" s="209"/>
      <c r="F299" s="209"/>
      <c r="G299" s="209"/>
      <c r="H299" s="209"/>
      <c r="I299" s="209"/>
      <c r="J299" s="209"/>
      <c r="K299" s="237"/>
      <c r="L299" s="124"/>
      <c r="M299" s="209"/>
      <c r="N299" s="209"/>
      <c r="O299" s="209"/>
      <c r="P299" s="209"/>
      <c r="Q299" s="209"/>
      <c r="R299" s="209"/>
      <c r="S299" s="209"/>
      <c r="T299" s="209"/>
      <c r="U299" s="209"/>
      <c r="V299" s="124"/>
      <c r="W299" s="209"/>
      <c r="X299" s="209"/>
      <c r="Y299" s="209"/>
      <c r="Z299" s="209"/>
      <c r="AA299" s="124"/>
      <c r="AB299" s="209"/>
      <c r="AC299" s="209"/>
      <c r="AD299" s="209"/>
      <c r="AE299" s="209"/>
      <c r="AF299" s="209"/>
      <c r="AG299" s="209"/>
      <c r="AH299" s="209"/>
      <c r="AI299" s="209"/>
      <c r="AJ299" s="209"/>
      <c r="AK299" s="209"/>
    </row>
    <row r="300" spans="1:37" s="46" customFormat="1" x14ac:dyDescent="0.2">
      <c r="B300" s="242" t="s">
        <v>341</v>
      </c>
      <c r="C300" s="41"/>
      <c r="D300" s="243"/>
      <c r="E300" s="243"/>
      <c r="F300" s="243"/>
      <c r="G300" s="50"/>
      <c r="H300" s="243"/>
      <c r="I300" s="243"/>
      <c r="J300" s="243"/>
      <c r="K300" s="243"/>
      <c r="L300" s="243"/>
      <c r="M300" s="243"/>
      <c r="N300" s="243"/>
      <c r="O300" s="243"/>
      <c r="P300" s="243"/>
      <c r="Q300" s="243"/>
      <c r="R300" s="243"/>
      <c r="S300" s="243"/>
      <c r="T300" s="243"/>
      <c r="U300" s="243"/>
      <c r="V300" s="243"/>
      <c r="W300" s="244"/>
      <c r="X300" s="161"/>
      <c r="Y300" s="161"/>
      <c r="Z300" s="161"/>
      <c r="AA300" s="245"/>
    </row>
    <row r="301" spans="1:37" s="15" customFormat="1" x14ac:dyDescent="0.2">
      <c r="B301" s="41"/>
      <c r="C301" s="41"/>
      <c r="D301" s="25"/>
      <c r="E301" s="25"/>
      <c r="F301" s="25"/>
      <c r="G301" s="49"/>
      <c r="H301" s="25"/>
      <c r="I301" s="25"/>
      <c r="J301" s="25"/>
      <c r="K301" s="25"/>
      <c r="L301" s="25"/>
      <c r="M301" s="25"/>
      <c r="N301" s="25"/>
      <c r="O301" s="25"/>
      <c r="P301" s="25"/>
      <c r="Q301" s="25"/>
      <c r="R301" s="25"/>
      <c r="S301" s="25"/>
      <c r="T301" s="25"/>
      <c r="U301" s="25"/>
      <c r="V301" s="25"/>
      <c r="W301" s="17"/>
      <c r="X301" s="26"/>
      <c r="Y301" s="26"/>
      <c r="Z301" s="26"/>
      <c r="AA301" s="14"/>
    </row>
    <row r="302" spans="1:37" s="15" customFormat="1" x14ac:dyDescent="0.2">
      <c r="B302" s="41"/>
      <c r="C302" s="41"/>
      <c r="D302" s="25"/>
      <c r="E302" s="25"/>
      <c r="F302" s="25"/>
      <c r="G302" s="48"/>
      <c r="H302" s="25"/>
      <c r="I302" s="25"/>
      <c r="J302" s="25"/>
      <c r="K302" s="25"/>
      <c r="L302" s="25"/>
      <c r="M302" s="25"/>
      <c r="N302" s="25"/>
      <c r="O302" s="25"/>
      <c r="P302" s="25"/>
      <c r="Q302" s="25"/>
      <c r="R302" s="25"/>
      <c r="S302" s="25"/>
      <c r="T302" s="25"/>
      <c r="U302" s="25"/>
      <c r="V302" s="25"/>
      <c r="W302" s="26"/>
      <c r="X302" s="26"/>
      <c r="Y302" s="26"/>
      <c r="Z302" s="26"/>
      <c r="AA302" s="14"/>
    </row>
    <row r="303" spans="1:37" s="39" customFormat="1" x14ac:dyDescent="0.2">
      <c r="B303" s="41"/>
      <c r="C303" s="41"/>
      <c r="D303" s="50"/>
      <c r="E303" s="51"/>
      <c r="F303" s="50"/>
      <c r="G303" s="50"/>
      <c r="H303" s="50"/>
      <c r="I303" s="50"/>
      <c r="J303" s="50"/>
      <c r="K303" s="50"/>
      <c r="L303" s="50"/>
      <c r="M303" s="50"/>
      <c r="N303" s="50"/>
      <c r="O303" s="50"/>
      <c r="P303" s="50"/>
      <c r="Q303" s="50"/>
      <c r="R303" s="50"/>
      <c r="S303" s="50"/>
      <c r="T303" s="50"/>
      <c r="U303" s="51"/>
      <c r="V303" s="50"/>
      <c r="W303" s="27"/>
      <c r="X303" s="38"/>
      <c r="Y303" s="38"/>
      <c r="Z303" s="38"/>
      <c r="AA303" s="42"/>
    </row>
    <row r="304" spans="1:37" s="39" customFormat="1" x14ac:dyDescent="0.2">
      <c r="B304" s="16"/>
      <c r="C304" s="16"/>
      <c r="D304" s="42"/>
      <c r="E304" s="42"/>
      <c r="F304" s="42"/>
      <c r="G304" s="42"/>
      <c r="H304" s="42"/>
      <c r="I304" s="42"/>
      <c r="J304" s="42"/>
      <c r="K304" s="42"/>
      <c r="L304" s="42"/>
      <c r="N304" s="42"/>
      <c r="O304" s="42"/>
      <c r="P304" s="42"/>
      <c r="Q304" s="42"/>
      <c r="R304" s="42"/>
      <c r="S304" s="42"/>
      <c r="T304" s="42"/>
      <c r="U304" s="42"/>
      <c r="V304" s="42"/>
      <c r="W304" s="52"/>
      <c r="X304" s="38"/>
      <c r="Y304" s="38"/>
      <c r="Z304" s="38"/>
    </row>
    <row r="305" spans="2:33" s="15" customFormat="1" x14ac:dyDescent="0.2">
      <c r="B305" s="16"/>
      <c r="C305" s="16"/>
      <c r="D305" s="17"/>
      <c r="E305" s="17"/>
      <c r="F305" s="17"/>
      <c r="G305" s="17"/>
      <c r="H305" s="17"/>
      <c r="I305" s="17"/>
      <c r="J305" s="17"/>
      <c r="K305" s="17"/>
      <c r="L305" s="17"/>
      <c r="M305" s="17"/>
      <c r="N305" s="17"/>
      <c r="O305" s="17"/>
      <c r="P305" s="17"/>
      <c r="Q305" s="17"/>
      <c r="R305" s="17"/>
      <c r="S305" s="17"/>
      <c r="T305" s="17"/>
      <c r="U305" s="17"/>
      <c r="V305" s="17"/>
      <c r="W305" s="17"/>
      <c r="X305" s="17"/>
      <c r="Y305" s="17"/>
      <c r="Z305" s="14"/>
      <c r="AA305" s="14"/>
      <c r="AG305"/>
    </row>
    <row r="306" spans="2:33" s="15" customFormat="1" x14ac:dyDescent="0.2">
      <c r="B306" s="16"/>
      <c r="C306" s="16"/>
      <c r="D306" s="17"/>
      <c r="E306" s="17"/>
      <c r="F306" s="17"/>
      <c r="G306" s="17"/>
      <c r="H306" s="17"/>
      <c r="I306" s="17"/>
      <c r="J306" s="17"/>
      <c r="K306" s="17"/>
      <c r="L306" s="17"/>
      <c r="M306" s="17"/>
      <c r="N306" s="17"/>
      <c r="O306" s="17"/>
      <c r="P306" s="17"/>
      <c r="Q306" s="17"/>
      <c r="R306" s="17"/>
      <c r="S306" s="17"/>
      <c r="T306" s="17"/>
      <c r="U306" s="17"/>
      <c r="V306" s="17"/>
      <c r="W306" s="17"/>
      <c r="X306" s="17"/>
      <c r="Y306" s="17"/>
      <c r="Z306" s="14"/>
      <c r="AA306" s="14"/>
    </row>
    <row r="307" spans="2:33" s="15" customFormat="1" x14ac:dyDescent="0.2">
      <c r="B307" s="16"/>
      <c r="C307" s="16"/>
      <c r="D307" s="17"/>
      <c r="E307" s="17"/>
      <c r="F307" s="17"/>
      <c r="G307" s="17"/>
      <c r="H307" s="17"/>
      <c r="I307" s="17"/>
      <c r="J307" s="17"/>
      <c r="K307" s="17"/>
      <c r="L307" s="17"/>
      <c r="M307" s="17"/>
      <c r="N307" s="17"/>
      <c r="O307" s="17"/>
      <c r="P307" s="17"/>
      <c r="Q307" s="17"/>
      <c r="R307" s="17"/>
      <c r="S307" s="17"/>
      <c r="T307" s="17"/>
      <c r="U307" s="17"/>
      <c r="V307" s="17"/>
      <c r="W307" s="17"/>
      <c r="X307" s="17"/>
      <c r="Y307" s="17"/>
      <c r="Z307" s="14"/>
      <c r="AA307" s="14"/>
    </row>
    <row r="308" spans="2:33" s="15" customFormat="1" x14ac:dyDescent="0.2">
      <c r="B308" s="16"/>
      <c r="C308" s="16"/>
      <c r="D308" s="17"/>
      <c r="E308" s="17"/>
      <c r="F308" s="17"/>
      <c r="G308" s="17"/>
      <c r="H308" s="17"/>
      <c r="I308" s="17"/>
      <c r="J308" s="17"/>
      <c r="K308" s="17"/>
      <c r="L308" s="17"/>
      <c r="M308" s="17"/>
      <c r="N308" s="17"/>
      <c r="O308" s="17"/>
      <c r="P308" s="17"/>
      <c r="Q308" s="17"/>
      <c r="R308" s="17"/>
      <c r="S308" s="17"/>
      <c r="T308" s="17"/>
      <c r="U308" s="17"/>
      <c r="V308" s="17"/>
      <c r="W308" s="17"/>
      <c r="X308" s="17"/>
      <c r="Y308" s="17"/>
      <c r="Z308" s="14"/>
      <c r="AA308" s="14"/>
    </row>
    <row r="309" spans="2:33" s="15" customFormat="1" x14ac:dyDescent="0.2">
      <c r="B309" s="16"/>
      <c r="C309" s="16"/>
      <c r="D309" s="17"/>
      <c r="E309" s="17"/>
      <c r="F309" s="17"/>
      <c r="G309" s="17"/>
      <c r="H309" s="17"/>
      <c r="I309" s="17"/>
      <c r="J309" s="17"/>
      <c r="K309" s="17"/>
      <c r="L309" s="17"/>
      <c r="M309" s="17"/>
      <c r="N309" s="17"/>
      <c r="O309" s="17"/>
      <c r="P309" s="17"/>
      <c r="Q309" s="17"/>
      <c r="R309" s="17"/>
      <c r="S309" s="17"/>
      <c r="T309" s="17"/>
      <c r="U309" s="17"/>
      <c r="V309" s="17"/>
      <c r="W309" s="17"/>
      <c r="X309" s="17"/>
      <c r="Y309" s="17"/>
      <c r="Z309" s="14"/>
      <c r="AA309" s="14"/>
    </row>
    <row r="310" spans="2:33" s="15" customFormat="1" x14ac:dyDescent="0.2">
      <c r="B310" s="16"/>
      <c r="C310" s="16"/>
      <c r="D310" s="17"/>
      <c r="E310" s="17"/>
      <c r="F310" s="17"/>
      <c r="G310" s="17"/>
      <c r="H310" s="17"/>
      <c r="I310" s="17"/>
      <c r="J310" s="17"/>
      <c r="K310" s="17"/>
      <c r="L310" s="17"/>
      <c r="M310" s="17"/>
      <c r="N310" s="17"/>
      <c r="O310" s="17"/>
      <c r="P310" s="17"/>
      <c r="Q310" s="17"/>
      <c r="R310" s="17"/>
      <c r="S310" s="17"/>
      <c r="T310" s="17"/>
      <c r="U310" s="17"/>
      <c r="V310" s="17"/>
      <c r="W310" s="17"/>
      <c r="X310" s="17"/>
      <c r="Y310" s="17"/>
      <c r="Z310" s="14"/>
      <c r="AA310" s="14"/>
    </row>
    <row r="311" spans="2:33" s="15" customFormat="1" x14ac:dyDescent="0.2">
      <c r="B311" s="16"/>
      <c r="C311" s="16"/>
      <c r="D311" s="17"/>
      <c r="E311" s="17"/>
      <c r="F311" s="17"/>
      <c r="G311" s="17"/>
      <c r="H311" s="17"/>
      <c r="I311" s="17"/>
      <c r="J311" s="17"/>
      <c r="K311" s="17"/>
      <c r="L311" s="17"/>
      <c r="M311" s="17"/>
      <c r="N311" s="17"/>
      <c r="O311" s="17"/>
      <c r="P311" s="17"/>
      <c r="Q311" s="17"/>
      <c r="R311" s="17"/>
      <c r="S311" s="17"/>
      <c r="T311" s="17"/>
      <c r="U311" s="17"/>
      <c r="V311" s="17"/>
      <c r="W311" s="17"/>
      <c r="X311" s="17"/>
      <c r="Y311" s="17"/>
      <c r="Z311" s="14"/>
      <c r="AA311" s="14"/>
    </row>
    <row r="312" spans="2:33" s="15" customFormat="1" x14ac:dyDescent="0.2">
      <c r="B312" s="16"/>
      <c r="C312" s="16"/>
      <c r="D312" s="17"/>
      <c r="E312" s="17"/>
      <c r="F312" s="17"/>
      <c r="G312" s="17"/>
      <c r="H312" s="17"/>
      <c r="I312" s="17"/>
      <c r="J312" s="17"/>
      <c r="K312" s="17"/>
      <c r="L312" s="17"/>
      <c r="M312" s="17"/>
      <c r="N312" s="17"/>
      <c r="O312" s="17"/>
      <c r="P312" s="17"/>
      <c r="Q312" s="17"/>
      <c r="R312" s="17"/>
      <c r="S312" s="17"/>
      <c r="T312" s="17"/>
      <c r="U312" s="17"/>
      <c r="V312" s="17"/>
      <c r="W312" s="17"/>
      <c r="X312" s="17"/>
      <c r="Y312" s="17"/>
      <c r="Z312" s="14"/>
      <c r="AA312" s="14"/>
    </row>
    <row r="313" spans="2:33" s="15" customFormat="1" x14ac:dyDescent="0.2">
      <c r="B313" s="16"/>
      <c r="C313" s="16"/>
      <c r="D313" s="17"/>
      <c r="E313" s="17"/>
      <c r="F313" s="17"/>
      <c r="G313" s="17"/>
      <c r="H313" s="17"/>
      <c r="I313" s="17"/>
      <c r="J313" s="17"/>
      <c r="K313" s="17"/>
      <c r="L313" s="17"/>
      <c r="M313" s="17"/>
      <c r="N313" s="17"/>
      <c r="O313" s="17"/>
      <c r="P313" s="17"/>
      <c r="Q313" s="17"/>
      <c r="R313" s="17"/>
      <c r="S313" s="17"/>
      <c r="T313" s="17"/>
      <c r="U313" s="17"/>
      <c r="V313" s="17"/>
      <c r="W313" s="17"/>
      <c r="X313" s="17"/>
      <c r="Y313" s="17"/>
      <c r="Z313" s="14"/>
      <c r="AA313" s="14"/>
    </row>
    <row r="314" spans="2:33" s="15" customFormat="1" x14ac:dyDescent="0.2">
      <c r="B314" s="16"/>
      <c r="C314" s="16"/>
      <c r="D314" s="17"/>
      <c r="E314" s="17"/>
      <c r="F314" s="17"/>
      <c r="G314" s="17"/>
      <c r="H314" s="17"/>
      <c r="I314" s="17"/>
      <c r="J314" s="17"/>
      <c r="K314" s="17"/>
      <c r="L314" s="17"/>
      <c r="M314" s="17"/>
      <c r="N314" s="17"/>
      <c r="O314" s="17"/>
      <c r="P314" s="17"/>
      <c r="Q314" s="17"/>
      <c r="R314" s="17"/>
      <c r="S314" s="17"/>
      <c r="T314" s="17"/>
      <c r="U314" s="17"/>
      <c r="V314" s="17"/>
      <c r="W314" s="17"/>
      <c r="X314" s="17"/>
      <c r="Y314" s="17"/>
      <c r="Z314" s="14"/>
      <c r="AA314" s="14"/>
    </row>
    <row r="315" spans="2:33" s="15" customFormat="1" x14ac:dyDescent="0.2">
      <c r="B315" s="16"/>
      <c r="C315" s="16"/>
      <c r="D315" s="17"/>
      <c r="E315" s="17"/>
      <c r="F315" s="17"/>
      <c r="G315" s="17"/>
      <c r="H315" s="17"/>
      <c r="I315" s="17"/>
      <c r="J315" s="17"/>
      <c r="K315" s="17"/>
      <c r="L315" s="17"/>
      <c r="M315" s="17"/>
      <c r="N315" s="17"/>
      <c r="O315" s="17"/>
      <c r="P315" s="17"/>
      <c r="Q315" s="17"/>
      <c r="R315" s="17"/>
      <c r="S315" s="17"/>
      <c r="T315" s="17"/>
      <c r="U315" s="17"/>
      <c r="V315" s="17"/>
      <c r="W315" s="17"/>
      <c r="X315" s="17"/>
      <c r="Y315" s="17"/>
      <c r="Z315" s="14"/>
      <c r="AA315" s="14"/>
    </row>
    <row r="316" spans="2:33" s="15" customFormat="1" x14ac:dyDescent="0.2">
      <c r="B316" s="16"/>
      <c r="C316" s="16"/>
      <c r="D316" s="17"/>
      <c r="E316" s="17"/>
      <c r="F316" s="17"/>
      <c r="G316" s="17"/>
      <c r="H316" s="17"/>
      <c r="I316" s="17"/>
      <c r="J316" s="17"/>
      <c r="K316" s="17"/>
      <c r="L316" s="17"/>
      <c r="M316" s="17"/>
      <c r="N316" s="17"/>
      <c r="O316" s="17"/>
      <c r="P316" s="17"/>
      <c r="Q316" s="17"/>
      <c r="R316" s="17"/>
      <c r="S316" s="17"/>
      <c r="T316" s="17"/>
      <c r="U316" s="17"/>
      <c r="V316" s="17"/>
      <c r="W316" s="17"/>
      <c r="X316" s="17"/>
      <c r="Y316" s="17"/>
      <c r="Z316" s="14"/>
      <c r="AA316" s="14"/>
    </row>
    <row r="317" spans="2:33" s="15" customFormat="1" x14ac:dyDescent="0.2">
      <c r="B317" s="16"/>
      <c r="C317" s="16"/>
      <c r="D317" s="17"/>
      <c r="E317" s="17"/>
      <c r="F317" s="17"/>
      <c r="G317" s="17"/>
      <c r="H317" s="17"/>
      <c r="I317" s="17"/>
      <c r="J317" s="17"/>
      <c r="K317" s="17"/>
      <c r="L317" s="17"/>
      <c r="M317" s="17"/>
      <c r="N317" s="17"/>
      <c r="O317" s="17"/>
      <c r="P317" s="17"/>
      <c r="Q317" s="17"/>
      <c r="R317" s="17"/>
      <c r="S317" s="17"/>
      <c r="T317" s="17"/>
      <c r="U317" s="17"/>
      <c r="V317" s="17"/>
      <c r="W317" s="17"/>
      <c r="X317" s="17"/>
      <c r="Y317" s="17"/>
      <c r="Z317" s="14"/>
      <c r="AA317" s="14"/>
    </row>
    <row r="318" spans="2:33" s="15" customFormat="1" x14ac:dyDescent="0.2">
      <c r="B318" s="16"/>
      <c r="C318" s="16"/>
      <c r="D318" s="17"/>
      <c r="E318" s="17"/>
      <c r="F318" s="17"/>
      <c r="G318" s="17"/>
      <c r="H318" s="17"/>
      <c r="I318" s="17"/>
      <c r="J318" s="17"/>
      <c r="K318" s="17"/>
      <c r="L318" s="17"/>
      <c r="M318" s="17"/>
      <c r="N318" s="17"/>
      <c r="O318" s="17"/>
      <c r="P318" s="17"/>
      <c r="Q318" s="17"/>
      <c r="R318" s="17"/>
      <c r="S318" s="17"/>
      <c r="T318" s="17"/>
      <c r="U318" s="17"/>
      <c r="V318" s="17"/>
      <c r="W318" s="17"/>
      <c r="X318" s="17"/>
      <c r="Y318" s="17"/>
      <c r="Z318" s="14"/>
      <c r="AA318" s="14"/>
    </row>
    <row r="319" spans="2:33" s="15" customFormat="1" x14ac:dyDescent="0.2">
      <c r="B319" s="16" t="s">
        <v>64</v>
      </c>
      <c r="C319" s="16"/>
      <c r="D319" s="17"/>
      <c r="E319" s="17"/>
      <c r="F319" s="17"/>
      <c r="G319" s="17"/>
      <c r="H319" s="17"/>
      <c r="I319" s="17"/>
      <c r="J319" s="17"/>
      <c r="K319" s="17"/>
      <c r="L319" s="17"/>
      <c r="M319" s="17"/>
      <c r="N319" s="17"/>
      <c r="O319" s="17"/>
      <c r="P319" s="17"/>
      <c r="Q319" s="17"/>
      <c r="R319" s="17"/>
      <c r="S319" s="17"/>
      <c r="T319" s="17"/>
      <c r="U319" s="17"/>
      <c r="V319" s="17"/>
      <c r="W319" s="17"/>
      <c r="X319" s="17"/>
      <c r="Y319" s="17"/>
      <c r="Z319" s="14"/>
      <c r="AA319" s="14"/>
    </row>
    <row r="320" spans="2:33" s="15" customFormat="1" x14ac:dyDescent="0.2">
      <c r="B320" s="16"/>
      <c r="C320" s="16"/>
      <c r="D320" s="17"/>
      <c r="E320" s="17"/>
      <c r="F320" s="17"/>
      <c r="G320" s="17"/>
      <c r="H320" s="17"/>
      <c r="I320" s="17"/>
      <c r="J320" s="17"/>
      <c r="K320" s="17"/>
      <c r="L320" s="17"/>
      <c r="M320" s="17"/>
      <c r="N320" s="17"/>
      <c r="O320" s="17"/>
      <c r="P320" s="17"/>
      <c r="Q320" s="17"/>
      <c r="R320" s="17"/>
      <c r="S320" s="17"/>
      <c r="T320" s="17"/>
      <c r="U320" s="17"/>
      <c r="V320" s="17"/>
      <c r="W320" s="17"/>
      <c r="X320" s="17"/>
      <c r="Y320" s="17"/>
      <c r="Z320" s="14"/>
      <c r="AA320" s="14"/>
    </row>
    <row r="321" spans="2:27" s="15" customFormat="1" x14ac:dyDescent="0.2">
      <c r="B321" s="16"/>
      <c r="C321" s="16"/>
      <c r="D321" s="17"/>
      <c r="E321" s="17"/>
      <c r="F321" s="17"/>
      <c r="G321" s="17"/>
      <c r="H321" s="17"/>
      <c r="I321" s="17"/>
      <c r="J321" s="17"/>
      <c r="K321" s="17"/>
      <c r="L321" s="17"/>
      <c r="M321" s="17"/>
      <c r="N321" s="17"/>
      <c r="O321" s="17"/>
      <c r="P321" s="17"/>
      <c r="Q321" s="17"/>
      <c r="R321" s="17"/>
      <c r="S321" s="17"/>
      <c r="T321" s="17"/>
      <c r="U321" s="17"/>
      <c r="V321" s="17"/>
      <c r="W321" s="17"/>
      <c r="X321" s="17"/>
      <c r="Y321" s="17"/>
      <c r="Z321" s="14"/>
      <c r="AA321" s="14"/>
    </row>
    <row r="322" spans="2:27" s="15" customFormat="1" x14ac:dyDescent="0.2">
      <c r="B322" s="16"/>
      <c r="C322" s="16"/>
      <c r="D322" s="17"/>
      <c r="E322" s="17"/>
      <c r="F322" s="17"/>
      <c r="G322" s="17"/>
      <c r="H322" s="17"/>
      <c r="I322" s="17"/>
      <c r="J322" s="17"/>
      <c r="K322" s="17"/>
      <c r="L322" s="17"/>
      <c r="M322" s="17"/>
      <c r="N322" s="17"/>
      <c r="O322" s="17"/>
      <c r="P322" s="17"/>
      <c r="Q322" s="17"/>
      <c r="R322" s="17"/>
      <c r="S322" s="17"/>
      <c r="T322" s="17"/>
      <c r="U322" s="17"/>
      <c r="V322" s="17"/>
      <c r="W322" s="17"/>
      <c r="X322" s="17"/>
      <c r="Y322" s="17"/>
      <c r="Z322" s="14"/>
      <c r="AA322" s="14"/>
    </row>
    <row r="323" spans="2:27" s="15" customFormat="1" x14ac:dyDescent="0.2">
      <c r="B323" s="16"/>
      <c r="C323" s="16"/>
      <c r="D323" s="17"/>
      <c r="E323" s="17"/>
      <c r="F323" s="17"/>
      <c r="G323" s="17"/>
      <c r="H323" s="17"/>
      <c r="I323" s="17"/>
      <c r="J323" s="17"/>
      <c r="K323" s="17"/>
      <c r="L323" s="17"/>
      <c r="M323" s="17"/>
      <c r="N323" s="17"/>
      <c r="O323" s="17"/>
      <c r="P323" s="17"/>
      <c r="Q323" s="17"/>
      <c r="R323" s="17"/>
      <c r="S323" s="17"/>
      <c r="T323" s="17"/>
      <c r="U323" s="17"/>
      <c r="V323" s="17"/>
      <c r="W323" s="17"/>
      <c r="X323" s="17"/>
      <c r="Y323" s="17"/>
      <c r="Z323" s="14"/>
      <c r="AA323" s="14"/>
    </row>
    <row r="324" spans="2:27" s="15" customFormat="1" x14ac:dyDescent="0.2">
      <c r="B324" s="16"/>
      <c r="C324" s="16"/>
      <c r="D324" s="17"/>
      <c r="E324" s="17"/>
      <c r="F324" s="17"/>
      <c r="G324" s="17"/>
      <c r="H324" s="17"/>
      <c r="I324" s="17"/>
      <c r="J324" s="17"/>
      <c r="K324" s="17"/>
      <c r="L324" s="17"/>
      <c r="M324" s="17"/>
      <c r="N324" s="17"/>
      <c r="O324" s="17"/>
      <c r="P324" s="17"/>
      <c r="Q324" s="17"/>
      <c r="R324" s="17"/>
      <c r="S324" s="17"/>
      <c r="T324" s="17"/>
      <c r="U324" s="17"/>
      <c r="V324" s="17"/>
      <c r="W324" s="17"/>
      <c r="X324" s="17"/>
      <c r="Y324" s="17"/>
      <c r="Z324" s="14"/>
      <c r="AA324" s="14"/>
    </row>
    <row r="325" spans="2:27" s="15" customFormat="1" x14ac:dyDescent="0.2">
      <c r="B325" s="16"/>
      <c r="C325" s="16"/>
      <c r="D325" s="17"/>
      <c r="E325" s="17"/>
      <c r="F325" s="17"/>
      <c r="G325" s="17"/>
      <c r="H325" s="17"/>
      <c r="I325" s="17"/>
      <c r="J325" s="17"/>
      <c r="K325" s="17"/>
      <c r="L325" s="17"/>
      <c r="M325" s="17"/>
      <c r="N325" s="17"/>
      <c r="O325" s="17"/>
      <c r="P325" s="17"/>
      <c r="Q325" s="17"/>
      <c r="R325" s="17"/>
      <c r="S325" s="17"/>
      <c r="T325" s="17"/>
      <c r="U325" s="17"/>
      <c r="V325" s="17"/>
      <c r="W325" s="17"/>
      <c r="X325" s="17"/>
      <c r="Y325" s="17"/>
      <c r="Z325" s="14"/>
      <c r="AA325" s="14"/>
    </row>
    <row r="326" spans="2:27" s="15" customFormat="1" x14ac:dyDescent="0.2">
      <c r="B326" s="16"/>
      <c r="C326" s="16"/>
      <c r="D326" s="17"/>
      <c r="E326" s="17"/>
      <c r="F326" s="17"/>
      <c r="G326" s="17"/>
      <c r="H326" s="17"/>
      <c r="I326" s="17"/>
      <c r="J326" s="17"/>
      <c r="K326" s="17"/>
      <c r="L326" s="17"/>
      <c r="M326" s="17"/>
      <c r="N326" s="17"/>
      <c r="O326" s="17"/>
      <c r="P326" s="17"/>
      <c r="Q326" s="17"/>
      <c r="R326" s="17"/>
      <c r="S326" s="17"/>
      <c r="T326" s="17"/>
      <c r="U326" s="17"/>
      <c r="V326" s="17"/>
      <c r="W326" s="17"/>
      <c r="X326" s="17"/>
      <c r="Y326" s="17"/>
      <c r="Z326" s="14"/>
      <c r="AA326" s="14"/>
    </row>
    <row r="327" spans="2:27" s="15" customFormat="1" x14ac:dyDescent="0.2">
      <c r="B327" s="16"/>
      <c r="C327" s="16"/>
      <c r="D327" s="17"/>
      <c r="E327" s="17"/>
      <c r="F327" s="17"/>
      <c r="G327" s="17"/>
      <c r="H327" s="17"/>
      <c r="I327" s="17"/>
      <c r="J327" s="17"/>
      <c r="K327" s="17"/>
      <c r="L327" s="17"/>
      <c r="M327" s="17"/>
      <c r="N327" s="17"/>
      <c r="O327" s="17"/>
      <c r="P327" s="17"/>
      <c r="Q327" s="17"/>
      <c r="R327" s="17"/>
      <c r="S327" s="17"/>
      <c r="T327" s="17"/>
      <c r="U327" s="17"/>
      <c r="V327" s="17"/>
      <c r="W327" s="17"/>
      <c r="X327" s="17"/>
      <c r="Y327" s="17"/>
      <c r="Z327" s="14"/>
      <c r="AA327" s="14"/>
    </row>
    <row r="328" spans="2:27" s="15" customFormat="1" x14ac:dyDescent="0.2">
      <c r="B328" s="16"/>
      <c r="C328" s="16"/>
      <c r="D328" s="17"/>
      <c r="E328" s="17"/>
      <c r="F328" s="17"/>
      <c r="G328" s="17"/>
      <c r="H328" s="17"/>
      <c r="I328" s="17"/>
      <c r="J328" s="17"/>
      <c r="K328" s="17"/>
      <c r="L328" s="17"/>
      <c r="M328" s="17"/>
      <c r="N328" s="17"/>
      <c r="O328" s="17"/>
      <c r="P328" s="17"/>
      <c r="Q328" s="17"/>
      <c r="R328" s="17"/>
      <c r="S328" s="17"/>
      <c r="T328" s="17"/>
      <c r="U328" s="17"/>
      <c r="V328" s="17"/>
      <c r="W328" s="17"/>
      <c r="X328" s="17"/>
      <c r="Y328" s="17"/>
      <c r="Z328" s="14"/>
      <c r="AA328" s="14"/>
    </row>
    <row r="329" spans="2:27" s="15" customFormat="1" x14ac:dyDescent="0.2">
      <c r="B329" s="16"/>
      <c r="C329" s="16"/>
      <c r="D329" s="17"/>
      <c r="E329" s="17"/>
      <c r="F329" s="17"/>
      <c r="G329" s="17"/>
      <c r="H329" s="17"/>
      <c r="I329" s="17"/>
      <c r="J329" s="17"/>
      <c r="K329" s="17"/>
      <c r="L329" s="17"/>
      <c r="M329" s="17"/>
      <c r="N329" s="17"/>
      <c r="O329" s="17"/>
      <c r="P329" s="17"/>
      <c r="Q329" s="17"/>
      <c r="R329" s="17"/>
      <c r="S329" s="17"/>
      <c r="T329" s="17"/>
      <c r="U329" s="17"/>
      <c r="V329" s="17"/>
      <c r="W329" s="17"/>
      <c r="X329" s="17"/>
      <c r="Y329" s="17"/>
      <c r="Z329" s="14"/>
      <c r="AA329" s="14"/>
    </row>
    <row r="330" spans="2:27" s="15" customFormat="1" x14ac:dyDescent="0.2">
      <c r="B330" s="16"/>
      <c r="C330" s="16"/>
      <c r="D330" s="17"/>
      <c r="E330" s="17"/>
      <c r="F330" s="17"/>
      <c r="G330" s="17"/>
      <c r="H330" s="17"/>
      <c r="I330" s="17"/>
      <c r="J330" s="17"/>
      <c r="K330" s="17"/>
      <c r="L330" s="17"/>
      <c r="M330" s="17"/>
      <c r="N330" s="17"/>
      <c r="O330" s="17"/>
      <c r="P330" s="17"/>
      <c r="Q330" s="17"/>
      <c r="R330" s="17"/>
      <c r="S330" s="17"/>
      <c r="T330" s="17"/>
      <c r="U330" s="17"/>
      <c r="V330" s="17"/>
      <c r="W330" s="17"/>
      <c r="X330" s="17"/>
      <c r="Y330" s="17"/>
      <c r="Z330" s="14"/>
      <c r="AA330" s="14"/>
    </row>
    <row r="331" spans="2:27" s="15" customFormat="1" x14ac:dyDescent="0.2">
      <c r="B331" s="16"/>
      <c r="C331" s="16"/>
      <c r="D331" s="17"/>
      <c r="E331" s="17"/>
      <c r="F331" s="17"/>
      <c r="G331" s="17"/>
      <c r="H331" s="17"/>
      <c r="I331" s="17"/>
      <c r="J331" s="17"/>
      <c r="K331" s="17"/>
      <c r="L331" s="17"/>
      <c r="M331" s="17"/>
      <c r="N331" s="17"/>
      <c r="O331" s="17"/>
      <c r="P331" s="17"/>
      <c r="Q331" s="17"/>
      <c r="R331" s="17"/>
      <c r="S331" s="17"/>
      <c r="T331" s="17"/>
      <c r="U331" s="17"/>
      <c r="V331" s="17"/>
      <c r="W331" s="17"/>
      <c r="X331" s="17"/>
      <c r="Y331" s="17"/>
      <c r="Z331" s="14"/>
      <c r="AA331" s="14"/>
    </row>
    <row r="332" spans="2:27" s="15" customFormat="1" x14ac:dyDescent="0.2">
      <c r="B332" s="16"/>
      <c r="C332" s="16"/>
      <c r="D332" s="17"/>
      <c r="E332" s="17"/>
      <c r="F332" s="17"/>
      <c r="G332" s="17"/>
      <c r="H332" s="17"/>
      <c r="I332" s="17"/>
      <c r="J332" s="17"/>
      <c r="K332" s="17"/>
      <c r="L332" s="17"/>
      <c r="M332" s="17"/>
      <c r="N332" s="17"/>
      <c r="O332" s="17"/>
      <c r="P332" s="17"/>
      <c r="Q332" s="17"/>
      <c r="R332" s="17"/>
      <c r="S332" s="17"/>
      <c r="T332" s="17"/>
      <c r="U332" s="17"/>
      <c r="V332" s="17"/>
      <c r="W332" s="17"/>
      <c r="X332" s="17"/>
      <c r="Y332" s="17"/>
      <c r="Z332" s="14"/>
      <c r="AA332" s="14"/>
    </row>
    <row r="333" spans="2:27" s="15" customFormat="1" x14ac:dyDescent="0.2">
      <c r="B333" s="16"/>
      <c r="C333" s="16"/>
      <c r="D333" s="17"/>
      <c r="E333" s="17"/>
      <c r="F333" s="17"/>
      <c r="G333" s="17"/>
      <c r="H333" s="17"/>
      <c r="I333" s="17"/>
      <c r="J333" s="17"/>
      <c r="K333" s="17"/>
      <c r="L333" s="17"/>
      <c r="M333" s="17"/>
      <c r="N333" s="17"/>
      <c r="O333" s="17"/>
      <c r="P333" s="17"/>
      <c r="Q333" s="17"/>
      <c r="R333" s="17"/>
      <c r="S333" s="17"/>
      <c r="T333" s="17"/>
      <c r="U333" s="17"/>
      <c r="V333" s="17"/>
      <c r="W333" s="17"/>
      <c r="X333" s="17"/>
      <c r="Y333" s="17"/>
      <c r="Z333" s="14"/>
      <c r="AA333" s="14"/>
    </row>
    <row r="334" spans="2:27" s="15" customFormat="1" x14ac:dyDescent="0.2">
      <c r="B334" s="16"/>
      <c r="C334" s="16"/>
      <c r="D334" s="17"/>
      <c r="E334" s="17"/>
      <c r="F334" s="17"/>
      <c r="G334" s="17"/>
      <c r="H334" s="17"/>
      <c r="I334" s="17"/>
      <c r="J334" s="17"/>
      <c r="K334" s="17"/>
      <c r="L334" s="17"/>
      <c r="M334" s="17"/>
      <c r="N334" s="17"/>
      <c r="O334" s="17"/>
      <c r="P334" s="17"/>
      <c r="Q334" s="17"/>
      <c r="R334" s="17"/>
      <c r="S334" s="17"/>
      <c r="T334" s="17"/>
      <c r="U334" s="17"/>
      <c r="V334" s="17"/>
      <c r="W334" s="17"/>
      <c r="X334" s="17"/>
      <c r="Y334" s="17"/>
      <c r="Z334" s="14"/>
      <c r="AA334" s="14"/>
    </row>
    <row r="335" spans="2:27" s="15" customFormat="1" x14ac:dyDescent="0.2">
      <c r="B335" s="16"/>
      <c r="C335" s="16"/>
      <c r="D335" s="17"/>
      <c r="E335" s="17"/>
      <c r="F335" s="17"/>
      <c r="G335" s="17"/>
      <c r="H335" s="17"/>
      <c r="I335" s="17"/>
      <c r="J335" s="17"/>
      <c r="K335" s="17"/>
      <c r="L335" s="17"/>
      <c r="M335" s="17"/>
      <c r="N335" s="17"/>
      <c r="O335" s="17"/>
      <c r="P335" s="17"/>
      <c r="Q335" s="17"/>
      <c r="R335" s="17"/>
      <c r="S335" s="17"/>
      <c r="T335" s="17"/>
      <c r="U335" s="17"/>
      <c r="V335" s="17"/>
      <c r="W335" s="17"/>
      <c r="X335" s="17"/>
      <c r="Y335" s="17"/>
      <c r="Z335" s="14"/>
      <c r="AA335" s="14"/>
    </row>
    <row r="336" spans="2:27" s="15" customFormat="1" x14ac:dyDescent="0.2">
      <c r="B336" s="16"/>
      <c r="C336" s="16"/>
      <c r="D336" s="17"/>
      <c r="E336" s="17"/>
      <c r="F336" s="17"/>
      <c r="G336" s="17"/>
      <c r="H336" s="17"/>
      <c r="I336" s="17"/>
      <c r="J336" s="17"/>
      <c r="K336" s="17"/>
      <c r="L336" s="17"/>
      <c r="M336" s="17"/>
      <c r="N336" s="17"/>
      <c r="O336" s="17"/>
      <c r="P336" s="17"/>
      <c r="Q336" s="17"/>
      <c r="R336" s="17"/>
      <c r="S336" s="17"/>
      <c r="T336" s="17"/>
      <c r="U336" s="17"/>
      <c r="V336" s="17"/>
      <c r="W336" s="17"/>
      <c r="X336" s="17"/>
      <c r="Y336" s="17"/>
      <c r="Z336" s="14"/>
      <c r="AA336" s="14"/>
    </row>
    <row r="337" spans="2:27" s="15" customFormat="1" x14ac:dyDescent="0.2">
      <c r="B337" s="16"/>
      <c r="C337" s="16"/>
      <c r="D337" s="17"/>
      <c r="E337" s="17"/>
      <c r="F337" s="17"/>
      <c r="G337" s="17"/>
      <c r="H337" s="17"/>
      <c r="I337" s="17"/>
      <c r="J337" s="17"/>
      <c r="K337" s="17"/>
      <c r="L337" s="17"/>
      <c r="M337" s="17"/>
      <c r="N337" s="17"/>
      <c r="O337" s="17"/>
      <c r="P337" s="17"/>
      <c r="Q337" s="17"/>
      <c r="R337" s="17"/>
      <c r="S337" s="17"/>
      <c r="T337" s="17"/>
      <c r="U337" s="17"/>
      <c r="V337" s="17"/>
      <c r="W337" s="17"/>
      <c r="X337" s="17"/>
      <c r="Y337" s="17"/>
      <c r="Z337" s="14"/>
      <c r="AA337" s="14"/>
    </row>
    <row r="338" spans="2:27" s="15" customFormat="1" x14ac:dyDescent="0.2">
      <c r="B338" s="16"/>
      <c r="C338" s="16"/>
      <c r="D338" s="17"/>
      <c r="E338" s="17"/>
      <c r="F338" s="17"/>
      <c r="G338" s="17"/>
      <c r="H338" s="17"/>
      <c r="I338" s="17"/>
      <c r="J338" s="17"/>
      <c r="K338" s="17"/>
      <c r="L338" s="17"/>
      <c r="M338" s="17"/>
      <c r="N338" s="17"/>
      <c r="O338" s="17"/>
      <c r="P338" s="17"/>
      <c r="Q338" s="17"/>
      <c r="R338" s="17"/>
      <c r="S338" s="17"/>
      <c r="T338" s="17"/>
      <c r="U338" s="17"/>
      <c r="V338" s="17"/>
      <c r="W338" s="17"/>
      <c r="X338" s="17"/>
      <c r="Y338" s="17"/>
      <c r="Z338" s="14"/>
      <c r="AA338" s="14"/>
    </row>
    <row r="339" spans="2:27" s="15" customFormat="1" x14ac:dyDescent="0.2">
      <c r="B339" s="16"/>
      <c r="C339" s="16"/>
      <c r="D339" s="17"/>
      <c r="E339" s="17"/>
      <c r="F339" s="17"/>
      <c r="G339" s="17"/>
      <c r="H339" s="17"/>
      <c r="I339" s="17"/>
      <c r="J339" s="17"/>
      <c r="K339" s="17"/>
      <c r="L339" s="17"/>
      <c r="M339" s="17"/>
      <c r="N339" s="17"/>
      <c r="O339" s="17"/>
      <c r="P339" s="17"/>
      <c r="Q339" s="17"/>
      <c r="R339" s="17"/>
      <c r="S339" s="17"/>
      <c r="T339" s="17"/>
      <c r="U339" s="17"/>
      <c r="V339" s="17"/>
      <c r="W339" s="17"/>
      <c r="X339" s="17"/>
      <c r="Y339" s="17"/>
      <c r="Z339" s="14"/>
      <c r="AA339" s="14"/>
    </row>
    <row r="340" spans="2:27" s="15" customFormat="1" x14ac:dyDescent="0.2">
      <c r="B340" s="16"/>
      <c r="C340" s="16"/>
      <c r="D340" s="17"/>
      <c r="E340" s="17"/>
      <c r="F340" s="17"/>
      <c r="G340" s="17"/>
      <c r="H340" s="17"/>
      <c r="I340" s="17"/>
      <c r="J340" s="17"/>
      <c r="K340" s="17"/>
      <c r="L340" s="17"/>
      <c r="M340" s="17"/>
      <c r="N340" s="17"/>
      <c r="O340" s="17"/>
      <c r="P340" s="17"/>
      <c r="Q340" s="17"/>
      <c r="R340" s="17"/>
      <c r="S340" s="17"/>
      <c r="T340" s="17"/>
      <c r="U340" s="17"/>
      <c r="V340" s="17"/>
      <c r="W340" s="17"/>
      <c r="X340" s="17"/>
      <c r="Y340" s="17"/>
      <c r="Z340" s="14"/>
      <c r="AA340" s="14"/>
    </row>
    <row r="341" spans="2:27" s="15" customFormat="1" x14ac:dyDescent="0.2">
      <c r="B341" s="16"/>
      <c r="C341" s="16"/>
      <c r="D341" s="17"/>
      <c r="E341" s="17"/>
      <c r="F341" s="17"/>
      <c r="G341" s="17"/>
      <c r="H341" s="17"/>
      <c r="I341" s="17"/>
      <c r="J341" s="17"/>
      <c r="K341" s="17"/>
      <c r="L341" s="17"/>
      <c r="M341" s="17"/>
      <c r="N341" s="17"/>
      <c r="O341" s="17"/>
      <c r="P341" s="17"/>
      <c r="Q341" s="17"/>
      <c r="R341" s="17"/>
      <c r="S341" s="17"/>
      <c r="T341" s="17"/>
      <c r="U341" s="17"/>
      <c r="V341" s="17"/>
      <c r="W341" s="17"/>
      <c r="X341" s="17"/>
      <c r="Y341" s="17"/>
      <c r="Z341" s="14"/>
      <c r="AA341" s="14"/>
    </row>
    <row r="342" spans="2:27" s="15" customFormat="1" x14ac:dyDescent="0.2">
      <c r="B342" s="16"/>
      <c r="C342" s="16"/>
      <c r="D342" s="17"/>
      <c r="E342" s="17"/>
      <c r="F342" s="17"/>
      <c r="G342" s="17"/>
      <c r="H342" s="17"/>
      <c r="I342" s="17"/>
      <c r="J342" s="17"/>
      <c r="K342" s="17"/>
      <c r="L342" s="17"/>
      <c r="M342" s="17"/>
      <c r="N342" s="17"/>
      <c r="O342" s="17"/>
      <c r="P342" s="17"/>
      <c r="Q342" s="17"/>
      <c r="R342" s="17"/>
      <c r="S342" s="17"/>
      <c r="T342" s="17"/>
      <c r="U342" s="17"/>
      <c r="V342" s="17"/>
      <c r="W342" s="17"/>
      <c r="X342" s="17"/>
      <c r="Y342" s="17"/>
      <c r="Z342" s="14"/>
      <c r="AA342" s="14"/>
    </row>
    <row r="343" spans="2:27" s="15" customFormat="1" x14ac:dyDescent="0.2">
      <c r="B343" s="16"/>
      <c r="C343" s="16"/>
      <c r="D343" s="17"/>
      <c r="E343" s="17"/>
      <c r="F343" s="17"/>
      <c r="G343" s="17"/>
      <c r="H343" s="17"/>
      <c r="I343" s="17"/>
      <c r="J343" s="17"/>
      <c r="K343" s="17"/>
      <c r="L343" s="17"/>
      <c r="M343" s="17"/>
      <c r="N343" s="17"/>
      <c r="O343" s="17"/>
      <c r="P343" s="17"/>
      <c r="Q343" s="17"/>
      <c r="R343" s="17"/>
      <c r="S343" s="17"/>
      <c r="T343" s="17"/>
      <c r="U343" s="17"/>
      <c r="V343" s="17"/>
      <c r="W343" s="17"/>
      <c r="X343" s="17"/>
      <c r="Y343" s="17"/>
      <c r="Z343" s="14"/>
      <c r="AA343" s="14"/>
    </row>
    <row r="344" spans="2:27" s="15" customFormat="1" x14ac:dyDescent="0.2">
      <c r="B344" s="16"/>
      <c r="C344" s="16"/>
      <c r="D344" s="17"/>
      <c r="E344" s="17"/>
      <c r="F344" s="17"/>
      <c r="G344" s="17"/>
      <c r="H344" s="17"/>
      <c r="I344" s="17"/>
      <c r="J344" s="17"/>
      <c r="K344" s="17"/>
      <c r="L344" s="17"/>
      <c r="M344" s="17"/>
      <c r="N344" s="17"/>
      <c r="O344" s="17"/>
      <c r="P344" s="17"/>
      <c r="Q344" s="17"/>
      <c r="R344" s="17"/>
      <c r="S344" s="17"/>
      <c r="T344" s="17"/>
      <c r="U344" s="17"/>
      <c r="V344" s="17"/>
      <c r="W344" s="17"/>
      <c r="X344" s="17"/>
      <c r="Y344" s="17"/>
      <c r="Z344" s="14"/>
      <c r="AA344" s="14"/>
    </row>
    <row r="345" spans="2:27" s="15" customFormat="1" x14ac:dyDescent="0.2">
      <c r="B345" s="16"/>
      <c r="C345" s="16"/>
      <c r="D345" s="17"/>
      <c r="E345" s="17"/>
      <c r="F345" s="17"/>
      <c r="G345" s="17"/>
      <c r="H345" s="17"/>
      <c r="I345" s="17"/>
      <c r="J345" s="17"/>
      <c r="K345" s="17"/>
      <c r="L345" s="17"/>
      <c r="M345" s="17"/>
      <c r="N345" s="17"/>
      <c r="O345" s="17"/>
      <c r="P345" s="17"/>
      <c r="Q345" s="17"/>
      <c r="R345" s="17"/>
      <c r="S345" s="17"/>
      <c r="T345" s="17"/>
      <c r="U345" s="17"/>
      <c r="V345" s="17"/>
      <c r="W345" s="17"/>
      <c r="X345" s="17"/>
      <c r="Y345" s="17"/>
      <c r="Z345" s="14"/>
      <c r="AA345" s="14"/>
    </row>
    <row r="346" spans="2:27" s="15" customFormat="1" x14ac:dyDescent="0.2">
      <c r="B346" s="16"/>
      <c r="C346" s="16"/>
      <c r="D346" s="17"/>
      <c r="E346" s="17"/>
      <c r="F346" s="17"/>
      <c r="G346" s="17"/>
      <c r="H346" s="17"/>
      <c r="I346" s="17"/>
      <c r="J346" s="17"/>
      <c r="K346" s="17"/>
      <c r="L346" s="17"/>
      <c r="M346" s="17"/>
      <c r="N346" s="17"/>
      <c r="O346" s="17"/>
      <c r="P346" s="17"/>
      <c r="Q346" s="17"/>
      <c r="R346" s="17"/>
      <c r="S346" s="17"/>
      <c r="T346" s="17"/>
      <c r="U346" s="17"/>
      <c r="V346" s="17"/>
      <c r="W346" s="17"/>
      <c r="X346" s="17"/>
      <c r="Y346" s="17"/>
      <c r="Z346" s="14"/>
      <c r="AA346" s="14"/>
    </row>
    <row r="347" spans="2:27" s="15" customFormat="1" x14ac:dyDescent="0.2">
      <c r="B347" s="16"/>
      <c r="C347" s="16"/>
      <c r="D347" s="17"/>
      <c r="E347" s="17"/>
      <c r="F347" s="17"/>
      <c r="G347" s="17"/>
      <c r="H347" s="17"/>
      <c r="I347" s="17"/>
      <c r="J347" s="17"/>
      <c r="K347" s="17"/>
      <c r="L347" s="17"/>
      <c r="M347" s="17"/>
      <c r="N347" s="17"/>
      <c r="O347" s="17"/>
      <c r="P347" s="17"/>
      <c r="Q347" s="17"/>
      <c r="R347" s="17"/>
      <c r="S347" s="17"/>
      <c r="T347" s="17"/>
      <c r="U347" s="17"/>
      <c r="V347" s="17"/>
      <c r="W347" s="17"/>
      <c r="X347" s="17"/>
      <c r="Y347" s="17"/>
      <c r="Z347" s="14"/>
      <c r="AA347" s="14"/>
    </row>
    <row r="348" spans="2:27" s="15" customFormat="1" x14ac:dyDescent="0.2">
      <c r="B348" s="16"/>
      <c r="C348" s="16"/>
      <c r="D348" s="17"/>
      <c r="E348" s="17"/>
      <c r="F348" s="17"/>
      <c r="G348" s="17"/>
      <c r="H348" s="17"/>
      <c r="I348" s="17"/>
      <c r="J348" s="17"/>
      <c r="K348" s="17"/>
      <c r="L348" s="17"/>
      <c r="M348" s="17"/>
      <c r="N348" s="17"/>
      <c r="O348" s="17"/>
      <c r="P348" s="17"/>
      <c r="Q348" s="17"/>
      <c r="R348" s="17"/>
      <c r="S348" s="17"/>
      <c r="T348" s="17"/>
      <c r="U348" s="17"/>
      <c r="V348" s="17"/>
      <c r="W348" s="17"/>
      <c r="X348" s="17"/>
      <c r="Y348" s="17"/>
      <c r="Z348" s="14"/>
      <c r="AA348" s="14"/>
    </row>
    <row r="349" spans="2:27" s="15" customFormat="1" x14ac:dyDescent="0.2">
      <c r="B349" s="16"/>
      <c r="C349" s="16"/>
      <c r="D349" s="17"/>
      <c r="E349" s="17"/>
      <c r="F349" s="17"/>
      <c r="G349" s="17"/>
      <c r="H349" s="17"/>
      <c r="I349" s="17"/>
      <c r="J349" s="17"/>
      <c r="K349" s="17"/>
      <c r="L349" s="17"/>
      <c r="M349" s="17"/>
      <c r="N349" s="17"/>
      <c r="O349" s="17"/>
      <c r="P349" s="17"/>
      <c r="Q349" s="17"/>
      <c r="R349" s="17"/>
      <c r="S349" s="17"/>
      <c r="T349" s="17"/>
      <c r="U349" s="17"/>
      <c r="V349" s="17"/>
      <c r="W349" s="17"/>
      <c r="X349" s="17"/>
      <c r="Y349" s="17"/>
      <c r="Z349" s="14"/>
      <c r="AA349" s="14"/>
    </row>
    <row r="350" spans="2:27" s="15" customFormat="1" x14ac:dyDescent="0.2">
      <c r="B350" s="16"/>
      <c r="C350" s="16"/>
      <c r="D350" s="17"/>
      <c r="E350" s="17"/>
      <c r="F350" s="17"/>
      <c r="G350" s="17"/>
      <c r="H350" s="17"/>
      <c r="I350" s="17"/>
      <c r="J350" s="17"/>
      <c r="K350" s="17"/>
      <c r="L350" s="17"/>
      <c r="M350" s="17"/>
      <c r="N350" s="17"/>
      <c r="O350" s="17"/>
      <c r="P350" s="17"/>
      <c r="Q350" s="17"/>
      <c r="R350" s="17"/>
      <c r="S350" s="17"/>
      <c r="T350" s="17"/>
      <c r="U350" s="17"/>
      <c r="V350" s="17"/>
      <c r="W350" s="17"/>
      <c r="X350" s="17"/>
      <c r="Y350" s="17"/>
      <c r="Z350" s="14"/>
      <c r="AA350" s="14"/>
    </row>
    <row r="351" spans="2:27" s="15" customFormat="1" x14ac:dyDescent="0.2">
      <c r="B351" s="16"/>
      <c r="C351" s="16"/>
      <c r="D351" s="17"/>
      <c r="E351" s="17"/>
      <c r="F351" s="17"/>
      <c r="G351" s="17"/>
      <c r="H351" s="17"/>
      <c r="I351" s="17"/>
      <c r="J351" s="17"/>
      <c r="K351" s="17"/>
      <c r="L351" s="17"/>
      <c r="M351" s="17"/>
      <c r="N351" s="17"/>
      <c r="O351" s="17"/>
      <c r="P351" s="17"/>
      <c r="Q351" s="17"/>
      <c r="R351" s="17"/>
      <c r="S351" s="17"/>
      <c r="T351" s="17"/>
      <c r="U351" s="17"/>
      <c r="V351" s="17"/>
      <c r="W351" s="17"/>
      <c r="X351" s="17"/>
      <c r="Y351" s="17"/>
      <c r="Z351" s="14"/>
      <c r="AA351" s="14"/>
    </row>
    <row r="352" spans="2:27" s="15" customFormat="1" x14ac:dyDescent="0.2">
      <c r="B352" s="16"/>
      <c r="C352" s="16"/>
      <c r="D352" s="17"/>
      <c r="E352" s="17"/>
      <c r="F352" s="17"/>
      <c r="G352" s="17"/>
      <c r="H352" s="17"/>
      <c r="I352" s="17"/>
      <c r="J352" s="17"/>
      <c r="K352" s="17"/>
      <c r="L352" s="17"/>
      <c r="M352" s="17"/>
      <c r="N352" s="17"/>
      <c r="O352" s="17"/>
      <c r="P352" s="17"/>
      <c r="Q352" s="17"/>
      <c r="R352" s="17"/>
      <c r="S352" s="17"/>
      <c r="T352" s="17"/>
      <c r="U352" s="17"/>
      <c r="V352" s="17"/>
      <c r="W352" s="17"/>
      <c r="X352" s="17"/>
      <c r="Y352" s="17"/>
      <c r="Z352" s="14"/>
      <c r="AA352" s="14"/>
    </row>
    <row r="353" spans="2:27" s="15" customFormat="1" x14ac:dyDescent="0.2">
      <c r="B353" s="16"/>
      <c r="C353" s="16"/>
      <c r="D353" s="17"/>
      <c r="E353" s="17"/>
      <c r="F353" s="17"/>
      <c r="G353" s="17"/>
      <c r="H353" s="17"/>
      <c r="I353" s="17"/>
      <c r="J353" s="17"/>
      <c r="K353" s="17"/>
      <c r="L353" s="17"/>
      <c r="M353" s="17"/>
      <c r="N353" s="17"/>
      <c r="O353" s="17"/>
      <c r="P353" s="17"/>
      <c r="Q353" s="17"/>
      <c r="R353" s="17"/>
      <c r="S353" s="17"/>
      <c r="T353" s="17"/>
      <c r="U353" s="17"/>
      <c r="V353" s="17"/>
      <c r="W353" s="17"/>
      <c r="X353" s="17"/>
      <c r="Y353" s="17"/>
      <c r="Z353" s="14"/>
      <c r="AA353" s="14"/>
    </row>
    <row r="354" spans="2:27" s="15" customFormat="1" x14ac:dyDescent="0.2">
      <c r="B354" s="16"/>
      <c r="C354" s="16"/>
      <c r="D354" s="17"/>
      <c r="E354" s="17"/>
      <c r="F354" s="17"/>
      <c r="G354" s="17"/>
      <c r="H354" s="17"/>
      <c r="I354" s="17"/>
      <c r="J354" s="17"/>
      <c r="K354" s="17"/>
      <c r="L354" s="17"/>
      <c r="M354" s="17"/>
      <c r="N354" s="17"/>
      <c r="O354" s="17"/>
      <c r="P354" s="17"/>
      <c r="Q354" s="17"/>
      <c r="R354" s="17"/>
      <c r="S354" s="17"/>
      <c r="T354" s="17"/>
      <c r="U354" s="17"/>
      <c r="V354" s="17"/>
      <c r="W354" s="17"/>
      <c r="X354" s="17"/>
      <c r="Y354" s="17"/>
      <c r="Z354" s="14"/>
      <c r="AA354" s="14"/>
    </row>
    <row r="355" spans="2:27" s="15" customFormat="1" x14ac:dyDescent="0.2">
      <c r="B355" s="16"/>
      <c r="C355" s="16"/>
      <c r="D355" s="17"/>
      <c r="E355" s="17"/>
      <c r="F355" s="17"/>
      <c r="G355" s="17"/>
      <c r="H355" s="17"/>
      <c r="I355" s="17"/>
      <c r="J355" s="17"/>
      <c r="K355" s="17"/>
      <c r="L355" s="17"/>
      <c r="M355" s="17"/>
      <c r="N355" s="17"/>
      <c r="O355" s="17"/>
      <c r="P355" s="17"/>
      <c r="Q355" s="17"/>
      <c r="R355" s="17"/>
      <c r="S355" s="17"/>
      <c r="T355" s="17"/>
      <c r="U355" s="17"/>
      <c r="V355" s="17"/>
      <c r="W355" s="17"/>
      <c r="X355" s="17"/>
      <c r="Y355" s="17"/>
      <c r="Z355" s="14"/>
      <c r="AA355" s="14"/>
    </row>
    <row r="356" spans="2:27" s="15" customFormat="1" x14ac:dyDescent="0.2">
      <c r="B356" s="16"/>
      <c r="C356" s="16"/>
      <c r="D356" s="17"/>
      <c r="E356" s="17"/>
      <c r="F356" s="17"/>
      <c r="G356" s="17"/>
      <c r="H356" s="17"/>
      <c r="I356" s="17"/>
      <c r="J356" s="17"/>
      <c r="K356" s="17"/>
      <c r="L356" s="17"/>
      <c r="M356" s="17"/>
      <c r="N356" s="17"/>
      <c r="O356" s="17"/>
      <c r="P356" s="17"/>
      <c r="Q356" s="17"/>
      <c r="R356" s="17"/>
      <c r="S356" s="17"/>
      <c r="T356" s="17"/>
      <c r="U356" s="17"/>
      <c r="V356" s="17"/>
      <c r="W356" s="17"/>
      <c r="X356" s="17"/>
      <c r="Y356" s="17"/>
      <c r="Z356" s="14"/>
      <c r="AA356" s="14"/>
    </row>
    <row r="357" spans="2:27" s="15" customFormat="1" x14ac:dyDescent="0.2">
      <c r="B357" s="16"/>
      <c r="C357" s="16"/>
      <c r="D357" s="17"/>
      <c r="E357" s="17"/>
      <c r="F357" s="17"/>
      <c r="G357" s="17"/>
      <c r="H357" s="17"/>
      <c r="I357" s="17"/>
      <c r="J357" s="17"/>
      <c r="K357" s="17"/>
      <c r="L357" s="17"/>
      <c r="M357" s="17"/>
      <c r="N357" s="17"/>
      <c r="O357" s="17"/>
      <c r="P357" s="17"/>
      <c r="Q357" s="17"/>
      <c r="R357" s="17"/>
      <c r="S357" s="17"/>
      <c r="T357" s="17"/>
      <c r="U357" s="17"/>
      <c r="V357" s="17"/>
      <c r="W357" s="17"/>
      <c r="X357" s="17"/>
      <c r="Y357" s="17"/>
      <c r="Z357" s="14"/>
      <c r="AA357" s="14"/>
    </row>
    <row r="358" spans="2:27" s="15" customFormat="1" x14ac:dyDescent="0.2">
      <c r="B358" s="16"/>
      <c r="C358" s="16"/>
      <c r="D358" s="17"/>
      <c r="E358" s="17"/>
      <c r="F358" s="17"/>
      <c r="G358" s="17"/>
      <c r="H358" s="17"/>
      <c r="I358" s="17"/>
      <c r="J358" s="17"/>
      <c r="K358" s="17"/>
      <c r="L358" s="17"/>
      <c r="M358" s="17"/>
      <c r="N358" s="17"/>
      <c r="O358" s="17"/>
      <c r="P358" s="17"/>
      <c r="Q358" s="17"/>
      <c r="R358" s="17"/>
      <c r="S358" s="17"/>
      <c r="T358" s="17"/>
      <c r="U358" s="17"/>
      <c r="V358" s="17"/>
      <c r="W358" s="17"/>
      <c r="X358" s="17"/>
      <c r="Y358" s="17"/>
      <c r="Z358" s="14"/>
      <c r="AA358" s="14"/>
    </row>
    <row r="359" spans="2:27" s="15" customFormat="1" x14ac:dyDescent="0.2">
      <c r="B359" s="16"/>
      <c r="C359" s="16"/>
      <c r="D359" s="17"/>
      <c r="E359" s="17"/>
      <c r="F359" s="17"/>
      <c r="G359" s="17"/>
      <c r="H359" s="17"/>
      <c r="I359" s="17"/>
      <c r="J359" s="17"/>
      <c r="K359" s="17"/>
      <c r="L359" s="17"/>
      <c r="M359" s="17"/>
      <c r="N359" s="17"/>
      <c r="O359" s="17"/>
      <c r="P359" s="17"/>
      <c r="Q359" s="17"/>
      <c r="R359" s="17"/>
      <c r="S359" s="17"/>
      <c r="T359" s="17"/>
      <c r="U359" s="17"/>
      <c r="V359" s="17"/>
      <c r="W359" s="17"/>
      <c r="X359" s="17"/>
      <c r="Y359" s="17"/>
      <c r="Z359" s="14"/>
      <c r="AA359" s="14"/>
    </row>
    <row r="360" spans="2:27" s="15" customFormat="1" x14ac:dyDescent="0.2">
      <c r="B360" s="16"/>
      <c r="C360" s="16"/>
      <c r="D360" s="17"/>
      <c r="E360" s="17"/>
      <c r="F360" s="17"/>
      <c r="G360" s="17"/>
      <c r="H360" s="17"/>
      <c r="I360" s="17"/>
      <c r="J360" s="17"/>
      <c r="K360" s="17"/>
      <c r="L360" s="17"/>
      <c r="M360" s="17"/>
      <c r="N360" s="17"/>
      <c r="O360" s="17"/>
      <c r="P360" s="17"/>
      <c r="Q360" s="17"/>
      <c r="R360" s="17"/>
      <c r="S360" s="17"/>
      <c r="T360" s="17"/>
      <c r="U360" s="17"/>
      <c r="V360" s="17"/>
      <c r="W360" s="17"/>
      <c r="X360" s="17"/>
      <c r="Y360" s="17"/>
      <c r="Z360" s="14"/>
      <c r="AA360" s="14"/>
    </row>
    <row r="361" spans="2:27" s="15" customFormat="1" x14ac:dyDescent="0.2">
      <c r="B361" s="16"/>
      <c r="C361" s="16"/>
      <c r="D361" s="17"/>
      <c r="E361" s="17"/>
      <c r="F361" s="17"/>
      <c r="G361" s="17"/>
      <c r="H361" s="17"/>
      <c r="I361" s="17"/>
      <c r="J361" s="17"/>
      <c r="K361" s="17"/>
      <c r="L361" s="17"/>
      <c r="M361" s="17"/>
      <c r="N361" s="17"/>
      <c r="O361" s="17"/>
      <c r="P361" s="17"/>
      <c r="Q361" s="17"/>
      <c r="R361" s="17"/>
      <c r="S361" s="17"/>
      <c r="T361" s="17"/>
      <c r="U361" s="17"/>
      <c r="V361" s="17"/>
      <c r="W361" s="17"/>
      <c r="X361" s="17"/>
      <c r="Y361" s="17"/>
      <c r="Z361" s="14"/>
      <c r="AA361" s="14"/>
    </row>
    <row r="362" spans="2:27" s="15" customFormat="1" x14ac:dyDescent="0.2">
      <c r="B362" s="16"/>
      <c r="C362" s="16"/>
      <c r="D362" s="17"/>
      <c r="E362" s="17"/>
      <c r="F362" s="17"/>
      <c r="G362" s="17"/>
      <c r="H362" s="17"/>
      <c r="I362" s="17"/>
      <c r="J362" s="17"/>
      <c r="K362" s="17"/>
      <c r="L362" s="17"/>
      <c r="M362" s="17"/>
      <c r="N362" s="17"/>
      <c r="O362" s="17"/>
      <c r="P362" s="17"/>
      <c r="Q362" s="17"/>
      <c r="R362" s="17"/>
      <c r="S362" s="17"/>
      <c r="T362" s="17"/>
      <c r="U362" s="17"/>
      <c r="V362" s="17"/>
      <c r="W362" s="17"/>
      <c r="X362" s="17"/>
      <c r="Y362" s="17"/>
      <c r="Z362" s="14"/>
      <c r="AA362" s="14"/>
    </row>
    <row r="363" spans="2:27" s="15" customFormat="1" x14ac:dyDescent="0.2">
      <c r="B363" s="16"/>
      <c r="C363" s="16"/>
      <c r="D363" s="17"/>
      <c r="E363" s="17"/>
      <c r="F363" s="17"/>
      <c r="G363" s="17"/>
      <c r="H363" s="17"/>
      <c r="I363" s="17"/>
      <c r="J363" s="17"/>
      <c r="K363" s="17"/>
      <c r="L363" s="17"/>
      <c r="M363" s="17"/>
      <c r="N363" s="17"/>
      <c r="O363" s="17"/>
      <c r="P363" s="17"/>
      <c r="Q363" s="17"/>
      <c r="R363" s="17"/>
      <c r="S363" s="17"/>
      <c r="T363" s="17"/>
      <c r="U363" s="17"/>
      <c r="V363" s="17"/>
      <c r="W363" s="17"/>
      <c r="X363" s="17"/>
      <c r="Y363" s="17"/>
      <c r="Z363" s="14"/>
      <c r="AA363" s="14"/>
    </row>
    <row r="364" spans="2:27" s="15" customFormat="1" x14ac:dyDescent="0.2">
      <c r="B364" s="16"/>
      <c r="C364" s="16"/>
      <c r="D364" s="17"/>
      <c r="E364" s="17"/>
      <c r="F364" s="17"/>
      <c r="G364" s="17"/>
      <c r="H364" s="17"/>
      <c r="I364" s="17"/>
      <c r="J364" s="17"/>
      <c r="K364" s="17"/>
      <c r="L364" s="17"/>
      <c r="M364" s="17"/>
      <c r="N364" s="17"/>
      <c r="O364" s="17"/>
      <c r="P364" s="17"/>
      <c r="Q364" s="17"/>
      <c r="R364" s="17"/>
      <c r="S364" s="17"/>
      <c r="T364" s="17"/>
      <c r="U364" s="17"/>
      <c r="V364" s="17"/>
      <c r="W364" s="17"/>
      <c r="X364" s="17"/>
      <c r="Y364" s="17"/>
      <c r="Z364" s="14"/>
      <c r="AA364" s="14"/>
    </row>
    <row r="365" spans="2:27" s="15" customFormat="1" x14ac:dyDescent="0.2">
      <c r="B365" s="16"/>
      <c r="C365" s="16"/>
      <c r="D365" s="17"/>
      <c r="E365" s="17"/>
      <c r="F365" s="17"/>
      <c r="G365" s="17"/>
      <c r="H365" s="17"/>
      <c r="I365" s="17"/>
      <c r="J365" s="17"/>
      <c r="K365" s="17"/>
      <c r="L365" s="17"/>
      <c r="M365" s="17"/>
      <c r="N365" s="17"/>
      <c r="O365" s="17"/>
      <c r="P365" s="17"/>
      <c r="Q365" s="17"/>
      <c r="R365" s="17"/>
      <c r="S365" s="17"/>
      <c r="T365" s="17"/>
      <c r="U365" s="17"/>
      <c r="V365" s="17"/>
      <c r="W365" s="17"/>
      <c r="X365" s="17"/>
      <c r="Y365" s="17"/>
      <c r="Z365" s="14"/>
      <c r="AA365" s="14"/>
    </row>
    <row r="366" spans="2:27" s="15" customFormat="1" x14ac:dyDescent="0.2">
      <c r="B366" s="16"/>
      <c r="C366" s="16"/>
      <c r="D366" s="17"/>
      <c r="E366" s="17"/>
      <c r="F366" s="17"/>
      <c r="G366" s="17"/>
      <c r="H366" s="17"/>
      <c r="I366" s="17"/>
      <c r="J366" s="17"/>
      <c r="K366" s="17"/>
      <c r="L366" s="17"/>
      <c r="M366" s="17"/>
      <c r="N366" s="17"/>
      <c r="O366" s="17"/>
      <c r="P366" s="17"/>
      <c r="Q366" s="17"/>
      <c r="R366" s="17"/>
      <c r="S366" s="17"/>
      <c r="T366" s="17"/>
      <c r="U366" s="17"/>
      <c r="V366" s="17"/>
      <c r="W366" s="17"/>
      <c r="X366" s="17"/>
      <c r="Y366" s="17"/>
      <c r="Z366" s="14"/>
      <c r="AA366" s="14"/>
    </row>
    <row r="367" spans="2:27" s="15" customFormat="1" x14ac:dyDescent="0.2">
      <c r="B367" s="16"/>
      <c r="C367" s="16"/>
      <c r="D367" s="17"/>
      <c r="E367" s="17"/>
      <c r="F367" s="17"/>
      <c r="G367" s="17"/>
      <c r="H367" s="17"/>
      <c r="I367" s="17"/>
      <c r="J367" s="17"/>
      <c r="K367" s="17"/>
      <c r="L367" s="17"/>
      <c r="M367" s="17"/>
      <c r="N367" s="17"/>
      <c r="O367" s="17"/>
      <c r="P367" s="17"/>
      <c r="Q367" s="17"/>
      <c r="R367" s="17"/>
      <c r="S367" s="17"/>
      <c r="T367" s="17"/>
      <c r="U367" s="17"/>
      <c r="V367" s="17"/>
      <c r="W367" s="17"/>
      <c r="X367" s="17"/>
      <c r="Y367" s="17"/>
      <c r="Z367" s="14"/>
      <c r="AA367" s="14"/>
    </row>
    <row r="368" spans="2:27" s="15" customFormat="1" x14ac:dyDescent="0.2">
      <c r="B368" s="16"/>
      <c r="C368" s="16"/>
      <c r="D368" s="17"/>
      <c r="E368" s="17"/>
      <c r="F368" s="17"/>
      <c r="G368" s="17"/>
      <c r="H368" s="17"/>
      <c r="I368" s="17"/>
      <c r="J368" s="17"/>
      <c r="K368" s="17"/>
      <c r="L368" s="17"/>
      <c r="M368" s="17"/>
      <c r="N368" s="17"/>
      <c r="O368" s="17"/>
      <c r="P368" s="17"/>
      <c r="Q368" s="17"/>
      <c r="R368" s="17"/>
      <c r="S368" s="17"/>
      <c r="T368" s="17"/>
      <c r="U368" s="17"/>
      <c r="V368" s="17"/>
      <c r="W368" s="17"/>
      <c r="X368" s="17"/>
      <c r="Y368" s="17"/>
      <c r="Z368" s="14"/>
      <c r="AA368" s="14"/>
    </row>
    <row r="369" spans="2:27" s="15" customFormat="1" x14ac:dyDescent="0.2">
      <c r="B369" s="16"/>
      <c r="C369" s="16"/>
      <c r="D369" s="17"/>
      <c r="E369" s="17"/>
      <c r="F369" s="17"/>
      <c r="G369" s="17"/>
      <c r="H369" s="17"/>
      <c r="I369" s="17"/>
      <c r="J369" s="17"/>
      <c r="K369" s="17"/>
      <c r="L369" s="17"/>
      <c r="M369" s="17"/>
      <c r="N369" s="17"/>
      <c r="O369" s="17"/>
      <c r="P369" s="17"/>
      <c r="Q369" s="17"/>
      <c r="R369" s="17"/>
      <c r="S369" s="17"/>
      <c r="T369" s="17"/>
      <c r="U369" s="17"/>
      <c r="V369" s="17"/>
      <c r="W369" s="17"/>
      <c r="X369" s="17"/>
      <c r="Y369" s="17"/>
      <c r="Z369" s="14"/>
      <c r="AA369" s="14"/>
    </row>
    <row r="370" spans="2:27" s="15" customFormat="1" x14ac:dyDescent="0.2">
      <c r="B370" s="16"/>
      <c r="C370" s="16"/>
      <c r="D370" s="17"/>
      <c r="E370" s="17"/>
      <c r="F370" s="17"/>
      <c r="G370" s="17"/>
      <c r="H370" s="17"/>
      <c r="I370" s="17"/>
      <c r="J370" s="17"/>
      <c r="K370" s="17"/>
      <c r="L370" s="17"/>
      <c r="M370" s="17"/>
      <c r="N370" s="17"/>
      <c r="O370" s="17"/>
      <c r="P370" s="17"/>
      <c r="Q370" s="17"/>
      <c r="R370" s="17"/>
      <c r="S370" s="17"/>
      <c r="T370" s="17"/>
      <c r="U370" s="17"/>
      <c r="V370" s="17"/>
      <c r="W370" s="17"/>
      <c r="X370" s="17"/>
      <c r="Y370" s="17"/>
      <c r="Z370" s="14"/>
      <c r="AA370" s="14"/>
    </row>
    <row r="371" spans="2:27" s="15" customFormat="1" x14ac:dyDescent="0.2">
      <c r="B371" s="16"/>
      <c r="C371" s="16"/>
      <c r="D371" s="17"/>
      <c r="E371" s="17"/>
      <c r="F371" s="17"/>
      <c r="G371" s="17"/>
      <c r="H371" s="17"/>
      <c r="I371" s="17"/>
      <c r="J371" s="17"/>
      <c r="K371" s="17"/>
      <c r="L371" s="17"/>
      <c r="M371" s="17"/>
      <c r="N371" s="17"/>
      <c r="O371" s="17"/>
      <c r="P371" s="17"/>
      <c r="Q371" s="17"/>
      <c r="R371" s="17"/>
      <c r="S371" s="17"/>
      <c r="T371" s="17"/>
      <c r="U371" s="17"/>
      <c r="V371" s="17"/>
      <c r="W371" s="17"/>
      <c r="X371" s="17"/>
      <c r="Y371" s="17"/>
      <c r="Z371" s="14"/>
      <c r="AA371" s="14"/>
    </row>
    <row r="372" spans="2:27" s="15" customFormat="1" x14ac:dyDescent="0.2">
      <c r="B372" s="16"/>
      <c r="C372" s="16"/>
      <c r="D372" s="17"/>
      <c r="E372" s="17"/>
      <c r="F372" s="17"/>
      <c r="G372" s="17"/>
      <c r="H372" s="17"/>
      <c r="I372" s="17"/>
      <c r="J372" s="17"/>
      <c r="K372" s="17"/>
      <c r="L372" s="17"/>
      <c r="M372" s="17"/>
      <c r="N372" s="17"/>
      <c r="O372" s="17"/>
      <c r="P372" s="17"/>
      <c r="Q372" s="17"/>
      <c r="R372" s="17"/>
      <c r="S372" s="17"/>
      <c r="T372" s="17"/>
      <c r="U372" s="17"/>
      <c r="V372" s="17"/>
      <c r="W372" s="17"/>
      <c r="X372" s="17"/>
      <c r="Y372" s="17"/>
      <c r="Z372" s="14"/>
      <c r="AA372" s="14"/>
    </row>
    <row r="373" spans="2:27" s="15" customFormat="1" x14ac:dyDescent="0.2">
      <c r="B373" s="16"/>
      <c r="C373" s="16"/>
      <c r="D373" s="17"/>
      <c r="E373" s="17"/>
      <c r="F373" s="17"/>
      <c r="G373" s="17"/>
      <c r="H373" s="17"/>
      <c r="I373" s="17"/>
      <c r="J373" s="17"/>
      <c r="K373" s="17"/>
      <c r="L373" s="17"/>
      <c r="M373" s="17"/>
      <c r="N373" s="17"/>
      <c r="O373" s="17"/>
      <c r="P373" s="17"/>
      <c r="Q373" s="17"/>
      <c r="R373" s="17"/>
      <c r="S373" s="17"/>
      <c r="T373" s="17"/>
      <c r="U373" s="17"/>
      <c r="V373" s="17"/>
      <c r="W373" s="17"/>
      <c r="X373" s="17"/>
      <c r="Y373" s="17"/>
      <c r="Z373" s="14"/>
      <c r="AA373" s="14"/>
    </row>
    <row r="374" spans="2:27" s="15" customFormat="1" x14ac:dyDescent="0.2">
      <c r="B374" s="16"/>
      <c r="C374" s="16"/>
      <c r="D374" s="17"/>
      <c r="E374" s="17"/>
      <c r="F374" s="17"/>
      <c r="G374" s="17"/>
      <c r="H374" s="17"/>
      <c r="I374" s="17"/>
      <c r="J374" s="17"/>
      <c r="K374" s="17"/>
      <c r="L374" s="17"/>
      <c r="M374" s="17"/>
      <c r="N374" s="17"/>
      <c r="O374" s="17"/>
      <c r="P374" s="17"/>
      <c r="Q374" s="17"/>
      <c r="R374" s="17"/>
      <c r="S374" s="17"/>
      <c r="T374" s="17"/>
      <c r="U374" s="17"/>
      <c r="V374" s="17"/>
      <c r="W374" s="17"/>
      <c r="X374" s="17"/>
      <c r="Y374" s="17"/>
      <c r="Z374" s="14"/>
      <c r="AA374" s="14"/>
    </row>
    <row r="375" spans="2:27" s="15" customFormat="1" x14ac:dyDescent="0.2">
      <c r="B375" s="16"/>
      <c r="C375" s="16"/>
      <c r="D375" s="17"/>
      <c r="E375" s="17"/>
      <c r="F375" s="17"/>
      <c r="G375" s="17"/>
      <c r="H375" s="17"/>
      <c r="I375" s="17"/>
      <c r="J375" s="17"/>
      <c r="K375" s="17"/>
      <c r="L375" s="17"/>
      <c r="M375" s="17"/>
      <c r="N375" s="17"/>
      <c r="O375" s="17"/>
      <c r="P375" s="17"/>
      <c r="Q375" s="17"/>
      <c r="R375" s="17"/>
      <c r="S375" s="17"/>
      <c r="T375" s="17"/>
      <c r="U375" s="17"/>
      <c r="V375" s="17"/>
      <c r="W375" s="17"/>
      <c r="X375" s="17"/>
      <c r="Y375" s="17"/>
      <c r="Z375" s="14"/>
      <c r="AA375" s="14"/>
    </row>
    <row r="376" spans="2:27" s="15" customFormat="1" x14ac:dyDescent="0.2">
      <c r="B376" s="16"/>
      <c r="C376" s="16"/>
      <c r="D376" s="17"/>
      <c r="E376" s="17"/>
      <c r="F376" s="17"/>
      <c r="G376" s="17"/>
      <c r="H376" s="17"/>
      <c r="I376" s="17"/>
      <c r="J376" s="17"/>
      <c r="K376" s="17"/>
      <c r="L376" s="17"/>
      <c r="M376" s="17"/>
      <c r="N376" s="17"/>
      <c r="O376" s="17"/>
      <c r="P376" s="17"/>
      <c r="Q376" s="17"/>
      <c r="R376" s="17"/>
      <c r="S376" s="17"/>
      <c r="T376" s="17"/>
      <c r="U376" s="17"/>
      <c r="V376" s="17"/>
      <c r="W376" s="17"/>
      <c r="X376" s="17"/>
      <c r="Y376" s="17"/>
      <c r="Z376" s="14"/>
      <c r="AA376" s="14"/>
    </row>
    <row r="377" spans="2:27" s="15" customFormat="1" x14ac:dyDescent="0.2">
      <c r="B377" s="16"/>
      <c r="C377" s="16"/>
      <c r="D377" s="17"/>
      <c r="E377" s="17"/>
      <c r="F377" s="17"/>
      <c r="G377" s="17"/>
      <c r="H377" s="17"/>
      <c r="I377" s="17"/>
      <c r="J377" s="17"/>
      <c r="K377" s="17"/>
      <c r="L377" s="17"/>
      <c r="M377" s="17"/>
      <c r="N377" s="17"/>
      <c r="O377" s="17"/>
      <c r="P377" s="17"/>
      <c r="Q377" s="17"/>
      <c r="R377" s="17"/>
      <c r="S377" s="17"/>
      <c r="T377" s="17"/>
      <c r="U377" s="17"/>
      <c r="V377" s="17"/>
      <c r="W377" s="17"/>
      <c r="X377" s="17"/>
      <c r="Y377" s="17"/>
      <c r="Z377" s="14"/>
      <c r="AA377" s="14"/>
    </row>
    <row r="378" spans="2:27" s="15" customFormat="1" x14ac:dyDescent="0.2">
      <c r="B378" s="16"/>
      <c r="C378" s="16"/>
      <c r="D378" s="17"/>
      <c r="E378" s="17"/>
      <c r="F378" s="17"/>
      <c r="G378" s="17"/>
      <c r="H378" s="17"/>
      <c r="I378" s="17"/>
      <c r="J378" s="17"/>
      <c r="K378" s="17"/>
      <c r="L378" s="17"/>
      <c r="M378" s="17"/>
      <c r="N378" s="17"/>
      <c r="O378" s="17"/>
      <c r="P378" s="17"/>
      <c r="Q378" s="17"/>
      <c r="R378" s="17"/>
      <c r="S378" s="17"/>
      <c r="T378" s="17"/>
      <c r="U378" s="17"/>
      <c r="V378" s="17"/>
      <c r="W378" s="17"/>
      <c r="X378" s="17"/>
      <c r="Y378" s="17"/>
      <c r="Z378" s="14"/>
      <c r="AA378" s="14"/>
    </row>
    <row r="379" spans="2:27" s="15" customFormat="1" x14ac:dyDescent="0.2">
      <c r="B379" s="16"/>
      <c r="C379" s="16"/>
      <c r="D379" s="17"/>
      <c r="E379" s="17"/>
      <c r="F379" s="17"/>
      <c r="G379" s="17"/>
      <c r="H379" s="17"/>
      <c r="I379" s="17"/>
      <c r="J379" s="17"/>
      <c r="K379" s="17"/>
      <c r="L379" s="17"/>
      <c r="M379" s="17"/>
      <c r="N379" s="17"/>
      <c r="O379" s="17"/>
      <c r="P379" s="17"/>
      <c r="Q379" s="17"/>
      <c r="R379" s="17"/>
      <c r="S379" s="17"/>
      <c r="T379" s="17"/>
      <c r="U379" s="17"/>
      <c r="V379" s="17"/>
      <c r="W379" s="17"/>
      <c r="X379" s="17"/>
      <c r="Y379" s="17"/>
      <c r="Z379" s="14"/>
      <c r="AA379" s="14"/>
    </row>
    <row r="380" spans="2:27" s="15" customFormat="1" x14ac:dyDescent="0.2">
      <c r="B380" s="16"/>
      <c r="C380" s="16"/>
      <c r="D380" s="17"/>
      <c r="E380" s="17"/>
      <c r="F380" s="17"/>
      <c r="G380" s="17"/>
      <c r="H380" s="17"/>
      <c r="I380" s="17"/>
      <c r="J380" s="17"/>
      <c r="K380" s="17"/>
      <c r="L380" s="17"/>
      <c r="M380" s="17"/>
      <c r="N380" s="17"/>
      <c r="O380" s="17"/>
      <c r="P380" s="17"/>
      <c r="Q380" s="17"/>
      <c r="R380" s="17"/>
      <c r="S380" s="17"/>
      <c r="T380" s="17"/>
      <c r="U380" s="17"/>
      <c r="V380" s="17"/>
      <c r="W380" s="17"/>
      <c r="X380" s="17"/>
      <c r="Y380" s="17"/>
      <c r="Z380" s="14"/>
      <c r="AA380" s="14"/>
    </row>
    <row r="381" spans="2:27" s="15" customFormat="1" x14ac:dyDescent="0.2">
      <c r="B381" s="16"/>
      <c r="C381" s="16"/>
      <c r="D381" s="17"/>
      <c r="E381" s="17"/>
      <c r="F381" s="17"/>
      <c r="G381" s="17"/>
      <c r="H381" s="17"/>
      <c r="I381" s="17"/>
      <c r="J381" s="17"/>
      <c r="K381" s="17"/>
      <c r="L381" s="17"/>
      <c r="M381" s="17"/>
      <c r="N381" s="17"/>
      <c r="O381" s="17"/>
      <c r="P381" s="17"/>
      <c r="Q381" s="17"/>
      <c r="R381" s="17"/>
      <c r="S381" s="17"/>
      <c r="T381" s="17"/>
      <c r="U381" s="17"/>
      <c r="V381" s="17"/>
      <c r="W381" s="17"/>
      <c r="X381" s="17"/>
      <c r="Y381" s="17"/>
      <c r="Z381" s="14"/>
      <c r="AA381" s="14"/>
    </row>
    <row r="382" spans="2:27" s="15" customFormat="1" x14ac:dyDescent="0.2">
      <c r="B382" s="16"/>
      <c r="C382" s="16"/>
      <c r="D382" s="17"/>
      <c r="E382" s="17"/>
      <c r="F382" s="17"/>
      <c r="G382" s="17"/>
      <c r="H382" s="17"/>
      <c r="I382" s="17"/>
      <c r="J382" s="17"/>
      <c r="K382" s="17"/>
      <c r="L382" s="17"/>
      <c r="M382" s="17"/>
      <c r="N382" s="17"/>
      <c r="O382" s="17"/>
      <c r="P382" s="17"/>
      <c r="Q382" s="17"/>
      <c r="R382" s="17"/>
      <c r="S382" s="17"/>
      <c r="T382" s="17"/>
      <c r="U382" s="17"/>
      <c r="V382" s="17"/>
      <c r="W382" s="17"/>
      <c r="X382" s="17"/>
      <c r="Y382" s="17"/>
      <c r="Z382" s="14"/>
      <c r="AA382" s="14"/>
    </row>
    <row r="383" spans="2:27" s="15" customFormat="1" x14ac:dyDescent="0.2">
      <c r="B383" s="16"/>
      <c r="C383" s="16"/>
      <c r="D383" s="17"/>
      <c r="E383" s="17"/>
      <c r="F383" s="17"/>
      <c r="G383" s="17"/>
      <c r="H383" s="17"/>
      <c r="I383" s="17"/>
      <c r="J383" s="17"/>
      <c r="K383" s="17"/>
      <c r="L383" s="17"/>
      <c r="M383" s="17"/>
      <c r="N383" s="17"/>
      <c r="O383" s="17"/>
      <c r="P383" s="17"/>
      <c r="Q383" s="17"/>
      <c r="R383" s="17"/>
      <c r="S383" s="17"/>
      <c r="T383" s="17"/>
      <c r="U383" s="17"/>
      <c r="V383" s="17"/>
      <c r="W383" s="17"/>
      <c r="X383" s="17"/>
      <c r="Y383" s="17"/>
      <c r="Z383" s="14"/>
      <c r="AA383" s="14"/>
    </row>
    <row r="384" spans="2:27" s="15" customFormat="1" x14ac:dyDescent="0.2">
      <c r="B384" s="16"/>
      <c r="C384" s="16"/>
      <c r="D384" s="17"/>
      <c r="E384" s="17"/>
      <c r="F384" s="17"/>
      <c r="G384" s="17"/>
      <c r="H384" s="17"/>
      <c r="I384" s="17"/>
      <c r="J384" s="17"/>
      <c r="K384" s="17"/>
      <c r="L384" s="17"/>
      <c r="M384" s="17"/>
      <c r="N384" s="17"/>
      <c r="O384" s="17"/>
      <c r="P384" s="17"/>
      <c r="Q384" s="17"/>
      <c r="R384" s="17"/>
      <c r="S384" s="17"/>
      <c r="T384" s="17"/>
      <c r="U384" s="17"/>
      <c r="V384" s="17"/>
      <c r="W384" s="17"/>
      <c r="X384" s="17"/>
      <c r="Y384" s="17"/>
      <c r="Z384" s="14"/>
      <c r="AA384" s="14"/>
    </row>
    <row r="385" spans="2:27" s="15" customFormat="1" x14ac:dyDescent="0.2">
      <c r="B385" s="16"/>
      <c r="C385" s="16"/>
      <c r="D385" s="17"/>
      <c r="E385" s="17"/>
      <c r="F385" s="17"/>
      <c r="G385" s="17"/>
      <c r="H385" s="17"/>
      <c r="I385" s="17"/>
      <c r="J385" s="17"/>
      <c r="K385" s="17"/>
      <c r="L385" s="17"/>
      <c r="M385" s="17"/>
      <c r="N385" s="17"/>
      <c r="O385" s="17"/>
      <c r="P385" s="17"/>
      <c r="Q385" s="17"/>
      <c r="R385" s="17"/>
      <c r="S385" s="17"/>
      <c r="T385" s="17"/>
      <c r="U385" s="17"/>
      <c r="V385" s="17"/>
      <c r="W385" s="17"/>
      <c r="X385" s="17"/>
      <c r="Y385" s="17"/>
      <c r="Z385" s="14"/>
      <c r="AA385" s="14"/>
    </row>
    <row r="386" spans="2:27" s="15" customFormat="1" x14ac:dyDescent="0.2">
      <c r="B386" s="16"/>
      <c r="C386" s="16"/>
      <c r="D386" s="17"/>
      <c r="E386" s="17"/>
      <c r="F386" s="17"/>
      <c r="G386" s="17"/>
      <c r="H386" s="17"/>
      <c r="I386" s="17"/>
      <c r="J386" s="17"/>
      <c r="K386" s="17"/>
      <c r="L386" s="17"/>
      <c r="M386" s="17"/>
      <c r="N386" s="17"/>
      <c r="O386" s="17"/>
      <c r="P386" s="17"/>
      <c r="Q386" s="17"/>
      <c r="R386" s="17"/>
      <c r="S386" s="17"/>
      <c r="T386" s="17"/>
      <c r="U386" s="17"/>
      <c r="V386" s="17"/>
      <c r="W386" s="17"/>
      <c r="X386" s="17"/>
      <c r="Y386" s="17"/>
      <c r="Z386" s="14"/>
      <c r="AA386" s="14"/>
    </row>
    <row r="387" spans="2:27" s="15" customFormat="1" x14ac:dyDescent="0.2">
      <c r="B387" s="16"/>
      <c r="C387" s="16"/>
      <c r="D387" s="17"/>
      <c r="E387" s="17"/>
      <c r="F387" s="17"/>
      <c r="G387" s="17"/>
      <c r="H387" s="17"/>
      <c r="I387" s="17"/>
      <c r="J387" s="17"/>
      <c r="K387" s="17"/>
      <c r="L387" s="17"/>
      <c r="M387" s="17"/>
      <c r="N387" s="17"/>
      <c r="O387" s="17"/>
      <c r="P387" s="17"/>
      <c r="Q387" s="17"/>
      <c r="R387" s="17"/>
      <c r="S387" s="17"/>
      <c r="T387" s="17"/>
      <c r="U387" s="17"/>
      <c r="V387" s="17"/>
      <c r="W387" s="17"/>
      <c r="X387" s="17"/>
      <c r="Y387" s="17"/>
      <c r="Z387" s="14"/>
      <c r="AA387" s="14"/>
    </row>
    <row r="388" spans="2:27" s="15" customFormat="1" x14ac:dyDescent="0.2">
      <c r="B388" s="16"/>
      <c r="C388" s="16"/>
      <c r="D388" s="17"/>
      <c r="E388" s="17"/>
      <c r="F388" s="17"/>
      <c r="G388" s="17"/>
      <c r="H388" s="17"/>
      <c r="I388" s="17"/>
      <c r="J388" s="17"/>
      <c r="K388" s="17"/>
      <c r="L388" s="17"/>
      <c r="M388" s="17"/>
      <c r="N388" s="17"/>
      <c r="O388" s="17"/>
      <c r="P388" s="17"/>
      <c r="Q388" s="17"/>
      <c r="R388" s="17"/>
      <c r="S388" s="17"/>
      <c r="T388" s="17"/>
      <c r="U388" s="17"/>
      <c r="V388" s="17"/>
      <c r="W388" s="17"/>
      <c r="X388" s="17"/>
      <c r="Y388" s="17"/>
      <c r="Z388" s="14"/>
      <c r="AA388" s="14"/>
    </row>
    <row r="389" spans="2:27" s="15" customFormat="1" x14ac:dyDescent="0.2">
      <c r="B389" s="16"/>
      <c r="C389" s="16"/>
      <c r="D389" s="17"/>
      <c r="E389" s="17"/>
      <c r="F389" s="17"/>
      <c r="G389" s="17"/>
      <c r="H389" s="17"/>
      <c r="I389" s="17"/>
      <c r="J389" s="17"/>
      <c r="K389" s="17"/>
      <c r="L389" s="17"/>
      <c r="M389" s="17"/>
      <c r="N389" s="17"/>
      <c r="O389" s="17"/>
      <c r="P389" s="17"/>
      <c r="Q389" s="17"/>
      <c r="R389" s="17"/>
      <c r="S389" s="17"/>
      <c r="T389" s="17"/>
      <c r="U389" s="17"/>
      <c r="V389" s="17"/>
      <c r="W389" s="17"/>
      <c r="X389" s="17"/>
      <c r="Y389" s="17"/>
      <c r="Z389" s="14"/>
      <c r="AA389" s="14"/>
    </row>
    <row r="390" spans="2:27" s="15" customFormat="1" x14ac:dyDescent="0.2">
      <c r="B390" s="16"/>
      <c r="C390" s="16"/>
      <c r="D390" s="17"/>
      <c r="E390" s="17"/>
      <c r="F390" s="17"/>
      <c r="G390" s="17"/>
      <c r="H390" s="17"/>
      <c r="I390" s="17"/>
      <c r="J390" s="17"/>
      <c r="K390" s="17"/>
      <c r="L390" s="17"/>
      <c r="M390" s="17"/>
      <c r="N390" s="17"/>
      <c r="O390" s="17"/>
      <c r="P390" s="17"/>
      <c r="Q390" s="17"/>
      <c r="R390" s="17"/>
      <c r="S390" s="17"/>
      <c r="T390" s="17"/>
      <c r="U390" s="17"/>
      <c r="V390" s="17"/>
      <c r="W390" s="17"/>
      <c r="X390" s="17"/>
      <c r="Y390" s="17"/>
      <c r="Z390" s="14"/>
      <c r="AA390" s="14"/>
    </row>
    <row r="391" spans="2:27" s="15" customFormat="1" x14ac:dyDescent="0.2">
      <c r="B391" s="16"/>
      <c r="C391" s="16"/>
      <c r="D391" s="17"/>
      <c r="E391" s="17"/>
      <c r="F391" s="17"/>
      <c r="G391" s="17"/>
      <c r="H391" s="17"/>
      <c r="I391" s="17"/>
      <c r="J391" s="17"/>
      <c r="K391" s="17"/>
      <c r="L391" s="17"/>
      <c r="M391" s="17"/>
      <c r="N391" s="17"/>
      <c r="O391" s="17"/>
      <c r="P391" s="17"/>
      <c r="Q391" s="17"/>
      <c r="R391" s="17"/>
      <c r="S391" s="17"/>
      <c r="T391" s="17"/>
      <c r="U391" s="17"/>
      <c r="V391" s="17"/>
      <c r="W391" s="17"/>
      <c r="X391" s="17"/>
      <c r="Y391" s="17"/>
      <c r="Z391" s="14"/>
      <c r="AA391" s="14"/>
    </row>
    <row r="392" spans="2:27" s="15" customFormat="1" x14ac:dyDescent="0.2">
      <c r="B392" s="16"/>
      <c r="C392" s="16"/>
      <c r="D392" s="17"/>
      <c r="E392" s="17"/>
      <c r="F392" s="17"/>
      <c r="G392" s="17"/>
      <c r="H392" s="17"/>
      <c r="I392" s="17"/>
      <c r="J392" s="17"/>
      <c r="K392" s="17"/>
      <c r="L392" s="17"/>
      <c r="M392" s="17"/>
      <c r="N392" s="17"/>
      <c r="O392" s="17"/>
      <c r="P392" s="17"/>
      <c r="Q392" s="17"/>
      <c r="R392" s="17"/>
      <c r="S392" s="17"/>
      <c r="T392" s="17"/>
      <c r="U392" s="17"/>
      <c r="V392" s="17"/>
      <c r="W392" s="17"/>
      <c r="X392" s="17"/>
      <c r="Y392" s="17"/>
      <c r="Z392" s="14"/>
      <c r="AA392" s="14"/>
    </row>
    <row r="393" spans="2:27" s="15" customFormat="1" x14ac:dyDescent="0.2">
      <c r="B393" s="16"/>
      <c r="C393" s="16"/>
      <c r="D393" s="17"/>
      <c r="E393" s="17"/>
      <c r="F393" s="17"/>
      <c r="G393" s="17"/>
      <c r="H393" s="17"/>
      <c r="I393" s="17"/>
      <c r="J393" s="17"/>
      <c r="K393" s="17"/>
      <c r="L393" s="17"/>
      <c r="M393" s="17"/>
      <c r="N393" s="17"/>
      <c r="O393" s="17"/>
      <c r="P393" s="17"/>
      <c r="Q393" s="17"/>
      <c r="R393" s="17"/>
      <c r="S393" s="17"/>
      <c r="T393" s="17"/>
      <c r="U393" s="17"/>
      <c r="V393" s="17"/>
      <c r="W393" s="17"/>
      <c r="X393" s="17"/>
      <c r="Y393" s="17"/>
      <c r="Z393" s="14"/>
      <c r="AA393" s="14"/>
    </row>
    <row r="394" spans="2:27" s="15" customFormat="1" x14ac:dyDescent="0.2">
      <c r="B394" s="16"/>
      <c r="C394" s="16"/>
      <c r="D394" s="17"/>
      <c r="E394" s="17"/>
      <c r="F394" s="17"/>
      <c r="G394" s="17"/>
      <c r="H394" s="17"/>
      <c r="I394" s="17"/>
      <c r="J394" s="17"/>
      <c r="K394" s="17"/>
      <c r="L394" s="17"/>
      <c r="M394" s="17"/>
      <c r="N394" s="17"/>
      <c r="O394" s="17"/>
      <c r="P394" s="17"/>
      <c r="Q394" s="17"/>
      <c r="R394" s="17"/>
      <c r="S394" s="17"/>
      <c r="T394" s="17"/>
      <c r="U394" s="17"/>
      <c r="V394" s="17"/>
      <c r="W394" s="17"/>
      <c r="X394" s="17"/>
      <c r="Y394" s="17"/>
      <c r="Z394" s="14"/>
      <c r="AA394" s="14"/>
    </row>
    <row r="395" spans="2:27" s="15" customFormat="1" x14ac:dyDescent="0.2">
      <c r="B395" s="16"/>
      <c r="C395" s="16"/>
      <c r="D395" s="17"/>
      <c r="E395" s="17"/>
      <c r="F395" s="17"/>
      <c r="G395" s="17"/>
      <c r="H395" s="17"/>
      <c r="I395" s="17"/>
      <c r="J395" s="17"/>
      <c r="K395" s="17"/>
      <c r="L395" s="17"/>
      <c r="M395" s="17"/>
      <c r="N395" s="17"/>
      <c r="O395" s="17"/>
      <c r="P395" s="17"/>
      <c r="Q395" s="17"/>
      <c r="R395" s="17"/>
      <c r="S395" s="17"/>
      <c r="T395" s="17"/>
      <c r="U395" s="17"/>
      <c r="V395" s="17"/>
      <c r="W395" s="17"/>
      <c r="X395" s="17"/>
      <c r="Y395" s="17"/>
      <c r="Z395" s="14"/>
      <c r="AA395" s="14"/>
    </row>
    <row r="396" spans="2:27" s="15" customFormat="1" x14ac:dyDescent="0.2">
      <c r="B396" s="16"/>
      <c r="C396" s="16"/>
      <c r="D396" s="17"/>
      <c r="E396" s="17"/>
      <c r="F396" s="17"/>
      <c r="G396" s="17"/>
      <c r="H396" s="17"/>
      <c r="I396" s="17"/>
      <c r="J396" s="17"/>
      <c r="K396" s="17"/>
      <c r="L396" s="17"/>
      <c r="M396" s="17"/>
      <c r="N396" s="17"/>
      <c r="O396" s="17"/>
      <c r="P396" s="17"/>
      <c r="Q396" s="17"/>
      <c r="R396" s="17"/>
      <c r="S396" s="17"/>
      <c r="T396" s="17"/>
      <c r="U396" s="17"/>
      <c r="V396" s="17"/>
      <c r="W396" s="17"/>
      <c r="X396" s="17"/>
      <c r="Y396" s="17"/>
      <c r="Z396" s="14"/>
      <c r="AA396" s="14"/>
    </row>
    <row r="397" spans="2:27" s="15" customFormat="1" x14ac:dyDescent="0.2">
      <c r="B397" s="16"/>
      <c r="C397" s="16"/>
      <c r="D397" s="17"/>
      <c r="E397" s="17"/>
      <c r="F397" s="17"/>
      <c r="G397" s="17"/>
      <c r="H397" s="17"/>
      <c r="I397" s="17"/>
      <c r="J397" s="17"/>
      <c r="K397" s="17"/>
      <c r="L397" s="17"/>
      <c r="M397" s="17"/>
      <c r="N397" s="17"/>
      <c r="O397" s="17"/>
      <c r="P397" s="17"/>
      <c r="Q397" s="17"/>
      <c r="R397" s="17"/>
      <c r="S397" s="17"/>
      <c r="T397" s="17"/>
      <c r="U397" s="17"/>
      <c r="V397" s="17"/>
      <c r="W397" s="17"/>
      <c r="X397" s="17"/>
      <c r="Y397" s="17"/>
      <c r="Z397" s="14"/>
      <c r="AA397" s="14"/>
    </row>
    <row r="398" spans="2:27" s="15" customFormat="1" x14ac:dyDescent="0.2">
      <c r="B398" s="16"/>
      <c r="C398" s="16"/>
      <c r="D398" s="17"/>
      <c r="E398" s="17"/>
      <c r="F398" s="17"/>
      <c r="G398" s="17"/>
      <c r="H398" s="17"/>
      <c r="I398" s="17"/>
      <c r="J398" s="17"/>
      <c r="K398" s="17"/>
      <c r="L398" s="17"/>
      <c r="M398" s="17"/>
      <c r="N398" s="17"/>
      <c r="O398" s="17"/>
      <c r="P398" s="17"/>
      <c r="Q398" s="17"/>
      <c r="R398" s="17"/>
      <c r="S398" s="17"/>
      <c r="T398" s="17"/>
      <c r="U398" s="17"/>
      <c r="V398" s="17"/>
      <c r="W398" s="17"/>
      <c r="X398" s="17"/>
      <c r="Y398" s="17"/>
      <c r="Z398" s="14"/>
      <c r="AA398" s="14"/>
    </row>
    <row r="399" spans="2:27" s="15" customFormat="1" x14ac:dyDescent="0.2">
      <c r="B399" s="16"/>
      <c r="C399" s="16"/>
      <c r="D399" s="17"/>
      <c r="E399" s="17"/>
      <c r="F399" s="17"/>
      <c r="G399" s="17"/>
      <c r="H399" s="17"/>
      <c r="I399" s="17"/>
      <c r="J399" s="17"/>
      <c r="K399" s="17"/>
      <c r="L399" s="17"/>
      <c r="M399" s="17"/>
      <c r="N399" s="17"/>
      <c r="O399" s="17"/>
      <c r="P399" s="17"/>
      <c r="Q399" s="17"/>
      <c r="R399" s="17"/>
      <c r="S399" s="17"/>
      <c r="T399" s="17"/>
      <c r="U399" s="17"/>
      <c r="V399" s="17"/>
      <c r="W399" s="17"/>
      <c r="X399" s="17"/>
      <c r="Y399" s="17"/>
      <c r="Z399" s="14"/>
      <c r="AA399" s="14"/>
    </row>
    <row r="400" spans="2:27" s="15" customFormat="1" x14ac:dyDescent="0.2">
      <c r="B400" s="16"/>
      <c r="C400" s="16"/>
      <c r="D400" s="17"/>
      <c r="E400" s="17"/>
      <c r="F400" s="17"/>
      <c r="G400" s="17"/>
      <c r="H400" s="17"/>
      <c r="I400" s="17"/>
      <c r="J400" s="17"/>
      <c r="K400" s="17"/>
      <c r="L400" s="17"/>
      <c r="M400" s="17"/>
      <c r="N400" s="17"/>
      <c r="O400" s="17"/>
      <c r="P400" s="17"/>
      <c r="Q400" s="17"/>
      <c r="R400" s="17"/>
      <c r="S400" s="17"/>
      <c r="T400" s="17"/>
      <c r="U400" s="17"/>
      <c r="V400" s="17"/>
      <c r="W400" s="17"/>
      <c r="X400" s="17"/>
      <c r="Y400" s="17"/>
      <c r="Z400" s="14"/>
      <c r="AA400" s="14"/>
    </row>
    <row r="401" spans="2:28" s="15" customFormat="1" x14ac:dyDescent="0.2">
      <c r="B401" s="16"/>
      <c r="C401" s="16"/>
      <c r="D401" s="17"/>
      <c r="E401" s="17"/>
      <c r="F401" s="17"/>
      <c r="G401" s="17"/>
      <c r="H401" s="17"/>
      <c r="I401" s="17"/>
      <c r="J401" s="17"/>
      <c r="K401" s="17"/>
      <c r="L401" s="17"/>
      <c r="M401" s="17"/>
      <c r="N401" s="17"/>
      <c r="O401" s="17"/>
      <c r="P401" s="17"/>
      <c r="Q401" s="17"/>
      <c r="R401" s="17"/>
      <c r="S401" s="17"/>
      <c r="T401" s="17"/>
      <c r="U401" s="17"/>
      <c r="V401" s="17"/>
      <c r="W401" s="17"/>
      <c r="X401" s="17"/>
      <c r="Y401" s="17"/>
      <c r="Z401" s="14"/>
      <c r="AA401" s="14"/>
    </row>
    <row r="402" spans="2:28" s="15" customFormat="1" x14ac:dyDescent="0.2">
      <c r="B402" s="16"/>
      <c r="C402" s="16"/>
      <c r="D402" s="17"/>
      <c r="E402" s="17"/>
      <c r="F402" s="17"/>
      <c r="G402" s="17"/>
      <c r="H402" s="17"/>
      <c r="I402" s="17"/>
      <c r="J402" s="17"/>
      <c r="K402" s="17"/>
      <c r="L402" s="17"/>
      <c r="M402" s="17"/>
      <c r="N402" s="17"/>
      <c r="O402" s="17"/>
      <c r="P402" s="17"/>
      <c r="Q402" s="17"/>
      <c r="R402" s="17"/>
      <c r="S402" s="17"/>
      <c r="T402" s="17"/>
      <c r="U402" s="17"/>
      <c r="V402" s="17"/>
      <c r="W402" s="17"/>
      <c r="X402" s="17"/>
      <c r="Y402" s="17"/>
      <c r="Z402" s="14"/>
      <c r="AA402" s="14"/>
    </row>
    <row r="403" spans="2:28" s="15" customFormat="1" x14ac:dyDescent="0.2">
      <c r="B403" s="16"/>
      <c r="C403" s="16"/>
      <c r="D403" s="17"/>
      <c r="E403" s="17"/>
      <c r="F403" s="17"/>
      <c r="G403" s="17"/>
      <c r="H403" s="17"/>
      <c r="I403" s="17"/>
      <c r="J403" s="17"/>
      <c r="K403" s="17"/>
      <c r="L403" s="17"/>
      <c r="M403" s="17"/>
      <c r="N403" s="17"/>
      <c r="O403" s="17"/>
      <c r="P403" s="17"/>
      <c r="Q403" s="17"/>
      <c r="R403" s="17"/>
      <c r="S403" s="17"/>
      <c r="T403" s="17"/>
      <c r="U403" s="17"/>
      <c r="V403" s="17"/>
      <c r="W403" s="17"/>
      <c r="X403" s="17"/>
      <c r="Y403" s="17"/>
      <c r="Z403" s="14"/>
      <c r="AA403" s="14"/>
    </row>
    <row r="404" spans="2:28" s="15" customFormat="1" x14ac:dyDescent="0.2">
      <c r="B404" s="16"/>
      <c r="C404" s="16"/>
      <c r="D404" s="17"/>
      <c r="E404" s="17"/>
      <c r="F404" s="17"/>
      <c r="G404" s="17"/>
      <c r="H404" s="17"/>
      <c r="I404" s="17"/>
      <c r="J404" s="17"/>
      <c r="K404" s="17"/>
      <c r="L404" s="17"/>
      <c r="M404" s="17"/>
      <c r="N404" s="17"/>
      <c r="O404" s="17"/>
      <c r="P404" s="17"/>
      <c r="Q404" s="17"/>
      <c r="R404" s="17"/>
      <c r="S404" s="17"/>
      <c r="T404" s="17"/>
      <c r="U404" s="17"/>
      <c r="V404" s="17"/>
      <c r="W404" s="17"/>
      <c r="X404" s="17"/>
      <c r="Y404" s="17"/>
      <c r="Z404" s="14"/>
      <c r="AA404" s="14"/>
    </row>
    <row r="405" spans="2:28" s="15" customFormat="1" x14ac:dyDescent="0.2">
      <c r="B405" s="16"/>
      <c r="C405" s="16"/>
      <c r="D405" s="17"/>
      <c r="E405" s="17"/>
      <c r="F405" s="17"/>
      <c r="G405" s="17"/>
      <c r="H405" s="17"/>
      <c r="I405" s="17"/>
      <c r="J405" s="17"/>
      <c r="K405" s="17"/>
      <c r="L405" s="17"/>
      <c r="M405" s="17"/>
      <c r="N405" s="17"/>
      <c r="O405" s="17"/>
      <c r="P405" s="17"/>
      <c r="Q405" s="17"/>
      <c r="R405" s="17"/>
      <c r="S405" s="17"/>
      <c r="T405" s="17"/>
      <c r="U405" s="17"/>
      <c r="V405" s="17"/>
      <c r="W405" s="17"/>
      <c r="X405" s="17"/>
      <c r="Y405" s="17"/>
      <c r="Z405" s="14"/>
      <c r="AA405" s="14"/>
    </row>
    <row r="406" spans="2:28" s="15" customFormat="1" x14ac:dyDescent="0.2">
      <c r="B406" s="16"/>
      <c r="C406" s="16"/>
      <c r="D406" s="17"/>
      <c r="E406" s="17"/>
      <c r="F406" s="17"/>
      <c r="G406" s="17"/>
      <c r="H406" s="17"/>
      <c r="I406" s="17"/>
      <c r="J406" s="17"/>
      <c r="K406" s="17"/>
      <c r="L406" s="17"/>
      <c r="M406" s="17"/>
      <c r="N406" s="17"/>
      <c r="O406" s="17"/>
      <c r="P406" s="17"/>
      <c r="Q406" s="17"/>
      <c r="R406" s="17"/>
      <c r="S406" s="17"/>
      <c r="T406" s="17"/>
      <c r="U406" s="17"/>
      <c r="V406" s="17"/>
      <c r="W406" s="17"/>
      <c r="X406" s="17"/>
      <c r="Y406" s="17"/>
      <c r="Z406" s="14"/>
      <c r="AA406" s="14"/>
    </row>
    <row r="407" spans="2:28" s="15" customFormat="1" x14ac:dyDescent="0.2">
      <c r="B407" s="16"/>
      <c r="C407" s="16"/>
      <c r="D407" s="17"/>
      <c r="E407" s="17"/>
      <c r="F407" s="17"/>
      <c r="G407" s="17"/>
      <c r="H407" s="17"/>
      <c r="I407" s="17"/>
      <c r="J407" s="17"/>
      <c r="K407" s="17"/>
      <c r="L407" s="17"/>
      <c r="M407" s="17"/>
      <c r="N407" s="17"/>
      <c r="O407" s="17"/>
      <c r="P407" s="17"/>
      <c r="Q407" s="17"/>
      <c r="R407" s="17"/>
      <c r="S407" s="17"/>
      <c r="T407" s="17"/>
      <c r="U407" s="17"/>
      <c r="V407" s="17"/>
      <c r="W407" s="17"/>
      <c r="X407" s="17"/>
      <c r="Y407" s="17"/>
      <c r="Z407" s="14"/>
      <c r="AA407" s="14"/>
    </row>
    <row r="408" spans="2:28" s="21" customFormat="1" x14ac:dyDescent="0.2">
      <c r="B408" s="234" t="s">
        <v>485</v>
      </c>
      <c r="C408" s="24"/>
      <c r="D408" s="18"/>
      <c r="E408" s="18"/>
      <c r="F408" s="28"/>
      <c r="G408" s="28"/>
      <c r="H408" s="18"/>
      <c r="I408" s="18"/>
      <c r="J408" s="18"/>
      <c r="K408" s="28"/>
      <c r="L408" s="28"/>
      <c r="M408" s="18"/>
      <c r="N408" s="18"/>
      <c r="O408" s="18"/>
      <c r="P408" s="28"/>
      <c r="Q408" s="28"/>
      <c r="R408" s="18"/>
      <c r="S408" s="18"/>
      <c r="T408" s="18"/>
      <c r="U408" s="28"/>
      <c r="V408" s="28"/>
      <c r="W408" s="18"/>
      <c r="X408" s="18"/>
      <c r="Y408" s="18"/>
      <c r="Z408" s="13"/>
      <c r="AA408" s="14"/>
      <c r="AB408" s="15"/>
    </row>
    <row r="409" spans="2:28" s="21" customFormat="1" x14ac:dyDescent="0.2">
      <c r="B409" s="20"/>
      <c r="C409" s="29"/>
      <c r="D409" s="29">
        <v>2017</v>
      </c>
      <c r="E409" s="29">
        <v>2018</v>
      </c>
      <c r="F409" s="29">
        <v>2019</v>
      </c>
      <c r="G409" s="20">
        <v>2020</v>
      </c>
      <c r="H409" s="20">
        <v>2021</v>
      </c>
      <c r="I409" s="30">
        <v>2022</v>
      </c>
      <c r="J409" s="29">
        <v>2023</v>
      </c>
      <c r="K409" s="29">
        <v>2024</v>
      </c>
      <c r="L409" s="20">
        <v>2025</v>
      </c>
      <c r="M409" s="20">
        <v>2026</v>
      </c>
      <c r="N409" s="30">
        <v>2027</v>
      </c>
      <c r="O409" s="29">
        <v>2028</v>
      </c>
      <c r="P409" s="29">
        <v>2029</v>
      </c>
      <c r="Q409" s="20">
        <v>2030</v>
      </c>
      <c r="R409" s="20">
        <v>2031</v>
      </c>
      <c r="S409" s="30">
        <v>2032</v>
      </c>
      <c r="T409" s="29">
        <v>2033</v>
      </c>
      <c r="U409" s="29">
        <v>2034</v>
      </c>
      <c r="V409" s="31">
        <v>2035</v>
      </c>
      <c r="W409" s="29">
        <v>2036</v>
      </c>
      <c r="X409" s="31">
        <v>2037</v>
      </c>
      <c r="Y409" s="29">
        <v>2038</v>
      </c>
      <c r="Z409" s="31">
        <v>2039</v>
      </c>
      <c r="AA409" s="20">
        <v>2040</v>
      </c>
      <c r="AB409" s="15"/>
    </row>
    <row r="410" spans="2:28" s="21" customFormat="1" x14ac:dyDescent="0.2">
      <c r="B410" s="11" t="s">
        <v>229</v>
      </c>
      <c r="C410" s="11"/>
      <c r="D410" s="8">
        <f t="shared" ref="D410:AA410" si="119">+D11+D23</f>
        <v>2369.9670000000001</v>
      </c>
      <c r="E410" s="8">
        <f t="shared" si="119"/>
        <v>2294.0102000000002</v>
      </c>
      <c r="F410" s="8">
        <f t="shared" si="119"/>
        <v>2228.3713000000002</v>
      </c>
      <c r="G410" s="8">
        <f t="shared" si="119"/>
        <v>2162.7323999999999</v>
      </c>
      <c r="H410" s="8">
        <f t="shared" si="119"/>
        <v>2079.3402857142855</v>
      </c>
      <c r="I410" s="8">
        <f t="shared" si="119"/>
        <v>1995.9481714285716</v>
      </c>
      <c r="J410" s="8">
        <f t="shared" si="119"/>
        <v>1839.4907714285714</v>
      </c>
      <c r="K410" s="8">
        <f t="shared" si="119"/>
        <v>1683.0333714285716</v>
      </c>
      <c r="L410" s="8">
        <f t="shared" si="119"/>
        <v>1526.5759714285716</v>
      </c>
      <c r="M410" s="8">
        <f t="shared" si="119"/>
        <v>1370.1185714285718</v>
      </c>
      <c r="N410" s="8">
        <f t="shared" si="119"/>
        <v>1174.3873469387759</v>
      </c>
      <c r="O410" s="8">
        <f t="shared" si="119"/>
        <v>978.65612244897989</v>
      </c>
      <c r="P410" s="8">
        <f t="shared" si="119"/>
        <v>782.92489795918402</v>
      </c>
      <c r="Q410" s="8">
        <f t="shared" si="119"/>
        <v>587.19367346938805</v>
      </c>
      <c r="R410" s="8">
        <f t="shared" si="119"/>
        <v>391.46244897959207</v>
      </c>
      <c r="S410" s="8">
        <f t="shared" si="119"/>
        <v>195.73122448979615</v>
      </c>
      <c r="T410" s="8">
        <f t="shared" si="119"/>
        <v>1.7053025658242404E-13</v>
      </c>
      <c r="U410" s="8">
        <f t="shared" si="119"/>
        <v>0</v>
      </c>
      <c r="V410" s="8">
        <f t="shared" si="119"/>
        <v>0</v>
      </c>
      <c r="W410" s="8">
        <f t="shared" si="119"/>
        <v>0</v>
      </c>
      <c r="X410" s="8">
        <f t="shared" si="119"/>
        <v>0</v>
      </c>
      <c r="Y410" s="8">
        <f t="shared" si="119"/>
        <v>0</v>
      </c>
      <c r="Z410" s="8">
        <f t="shared" si="119"/>
        <v>0</v>
      </c>
      <c r="AA410" s="8">
        <f t="shared" si="119"/>
        <v>0</v>
      </c>
      <c r="AB410" s="15"/>
    </row>
    <row r="411" spans="2:28" s="21" customFormat="1" x14ac:dyDescent="0.2">
      <c r="B411" s="11" t="s">
        <v>231</v>
      </c>
      <c r="C411" s="11"/>
      <c r="D411" s="8">
        <f t="shared" ref="D411:AA411" si="120">+D12+D24</f>
        <v>1032.0419999999999</v>
      </c>
      <c r="E411" s="8">
        <f t="shared" si="120"/>
        <v>1032.0419999999999</v>
      </c>
      <c r="F411" s="8">
        <f t="shared" si="120"/>
        <v>1032.0419999999999</v>
      </c>
      <c r="G411" s="8">
        <f t="shared" si="120"/>
        <v>1032.0419999999999</v>
      </c>
      <c r="H411" s="8">
        <f t="shared" si="120"/>
        <v>1032.0419999999999</v>
      </c>
      <c r="I411" s="8">
        <f t="shared" si="120"/>
        <v>1032.0419999999999</v>
      </c>
      <c r="J411" s="8">
        <f t="shared" si="120"/>
        <v>1032.0419999999999</v>
      </c>
      <c r="K411" s="8">
        <f t="shared" si="120"/>
        <v>1032.0419999999999</v>
      </c>
      <c r="L411" s="8">
        <f t="shared" si="120"/>
        <v>1032.0419999999999</v>
      </c>
      <c r="M411" s="8">
        <f t="shared" si="120"/>
        <v>1032.0419999999999</v>
      </c>
      <c r="N411" s="8">
        <f t="shared" si="120"/>
        <v>1032.0419999999999</v>
      </c>
      <c r="O411" s="8">
        <f t="shared" si="120"/>
        <v>1032.0419999999999</v>
      </c>
      <c r="P411" s="8">
        <f t="shared" si="120"/>
        <v>1032.0419999999999</v>
      </c>
      <c r="Q411" s="8">
        <f t="shared" si="120"/>
        <v>1032.0419999999999</v>
      </c>
      <c r="R411" s="8">
        <f t="shared" si="120"/>
        <v>1032.0419999999999</v>
      </c>
      <c r="S411" s="8">
        <f t="shared" si="120"/>
        <v>1032.0419999999999</v>
      </c>
      <c r="T411" s="8">
        <f t="shared" si="120"/>
        <v>1032.0419999999999</v>
      </c>
      <c r="U411" s="8">
        <f t="shared" si="120"/>
        <v>860.03500000000008</v>
      </c>
      <c r="V411" s="8">
        <f t="shared" si="120"/>
        <v>688.02800000000002</v>
      </c>
      <c r="W411" s="8">
        <f t="shared" si="120"/>
        <v>516.02100000000007</v>
      </c>
      <c r="X411" s="8">
        <f t="shared" si="120"/>
        <v>344.01400000000007</v>
      </c>
      <c r="Y411" s="8">
        <f t="shared" si="120"/>
        <v>172.00700000000006</v>
      </c>
      <c r="Z411" s="8">
        <f t="shared" si="120"/>
        <v>0</v>
      </c>
      <c r="AA411" s="8">
        <f t="shared" si="120"/>
        <v>0</v>
      </c>
      <c r="AB411" s="15"/>
    </row>
    <row r="412" spans="2:28" s="21" customFormat="1" x14ac:dyDescent="0.2">
      <c r="B412" s="11" t="s">
        <v>232</v>
      </c>
      <c r="C412" s="11"/>
      <c r="D412" s="8">
        <f t="shared" ref="D412:AA412" si="121">+D13+D25</f>
        <v>572.03199999999993</v>
      </c>
      <c r="E412" s="8">
        <f t="shared" si="121"/>
        <v>792.03199999999993</v>
      </c>
      <c r="F412" s="8">
        <f t="shared" si="121"/>
        <v>887.03199999999993</v>
      </c>
      <c r="G412" s="8">
        <f t="shared" si="121"/>
        <v>1037.0320000000002</v>
      </c>
      <c r="H412" s="8">
        <f t="shared" si="121"/>
        <v>1037.0320000000002</v>
      </c>
      <c r="I412" s="8">
        <f t="shared" si="121"/>
        <v>1037.0320000000002</v>
      </c>
      <c r="J412" s="8">
        <f t="shared" si="121"/>
        <v>1037.0320000000002</v>
      </c>
      <c r="K412" s="8">
        <f t="shared" si="121"/>
        <v>1037.0320000000002</v>
      </c>
      <c r="L412" s="8">
        <f t="shared" si="121"/>
        <v>1037.0320000000002</v>
      </c>
      <c r="M412" s="8">
        <f t="shared" si="121"/>
        <v>1037.0320000000002</v>
      </c>
      <c r="N412" s="8">
        <f t="shared" si="121"/>
        <v>1037.0320000000002</v>
      </c>
      <c r="O412" s="8">
        <f t="shared" si="121"/>
        <v>1037.0320000000002</v>
      </c>
      <c r="P412" s="8">
        <f t="shared" si="121"/>
        <v>1037.0320000000002</v>
      </c>
      <c r="Q412" s="8">
        <f t="shared" si="121"/>
        <v>1037.0320000000002</v>
      </c>
      <c r="R412" s="8">
        <f t="shared" si="121"/>
        <v>1037.0320000000002</v>
      </c>
      <c r="S412" s="8">
        <f t="shared" si="121"/>
        <v>1037.0320000000002</v>
      </c>
      <c r="T412" s="8">
        <f t="shared" si="121"/>
        <v>1037.0320000000002</v>
      </c>
      <c r="U412" s="8">
        <f t="shared" si="121"/>
        <v>1037.0320000000002</v>
      </c>
      <c r="V412" s="8">
        <f t="shared" si="121"/>
        <v>1037.0320000000002</v>
      </c>
      <c r="W412" s="8">
        <f t="shared" si="121"/>
        <v>1037.0320000000002</v>
      </c>
      <c r="X412" s="8">
        <f t="shared" si="121"/>
        <v>1037.0320000000002</v>
      </c>
      <c r="Y412" s="8">
        <f t="shared" si="121"/>
        <v>1037.0320000000002</v>
      </c>
      <c r="Z412" s="8">
        <f t="shared" si="121"/>
        <v>1037.0320000000002</v>
      </c>
      <c r="AA412" s="8">
        <f t="shared" si="121"/>
        <v>864.19333333333338</v>
      </c>
      <c r="AB412" s="15"/>
    </row>
    <row r="413" spans="2:28" s="21" customFormat="1" x14ac:dyDescent="0.2">
      <c r="B413" s="11" t="s">
        <v>239</v>
      </c>
      <c r="C413" s="11"/>
      <c r="D413" s="8">
        <f t="shared" ref="D413:AA413" si="122">+D14+D26</f>
        <v>0</v>
      </c>
      <c r="E413" s="8">
        <f t="shared" si="122"/>
        <v>0</v>
      </c>
      <c r="F413" s="8">
        <f t="shared" si="122"/>
        <v>0</v>
      </c>
      <c r="G413" s="8">
        <f t="shared" si="122"/>
        <v>0</v>
      </c>
      <c r="H413" s="8">
        <f t="shared" si="122"/>
        <v>150.00000000000023</v>
      </c>
      <c r="I413" s="8">
        <f t="shared" si="122"/>
        <v>350.00000000000045</v>
      </c>
      <c r="J413" s="8">
        <f t="shared" si="122"/>
        <v>550.00000000000045</v>
      </c>
      <c r="K413" s="8">
        <f t="shared" si="122"/>
        <v>800.00000000000011</v>
      </c>
      <c r="L413" s="8">
        <f t="shared" si="122"/>
        <v>1050</v>
      </c>
      <c r="M413" s="8">
        <f t="shared" si="122"/>
        <v>1299.9999999999995</v>
      </c>
      <c r="N413" s="8">
        <f t="shared" si="122"/>
        <v>1570.7312244897957</v>
      </c>
      <c r="O413" s="8">
        <f t="shared" si="122"/>
        <v>1841.4624489795915</v>
      </c>
      <c r="P413" s="8">
        <f t="shared" si="122"/>
        <v>2112.1936734693877</v>
      </c>
      <c r="Q413" s="8">
        <f t="shared" si="122"/>
        <v>2382.9248979591835</v>
      </c>
      <c r="R413" s="8">
        <f t="shared" si="122"/>
        <v>2653.6561224489797</v>
      </c>
      <c r="S413" s="8">
        <f t="shared" si="122"/>
        <v>2924.3873469387754</v>
      </c>
      <c r="T413" s="8">
        <f t="shared" si="122"/>
        <v>3195.1185714285712</v>
      </c>
      <c r="U413" s="8">
        <f t="shared" si="122"/>
        <v>3442.1255714285717</v>
      </c>
      <c r="V413" s="8">
        <f t="shared" si="122"/>
        <v>3689.1325714285713</v>
      </c>
      <c r="W413" s="8">
        <f t="shared" si="122"/>
        <v>3936.1395714285709</v>
      </c>
      <c r="X413" s="8">
        <f t="shared" si="122"/>
        <v>4183.1465714285714</v>
      </c>
      <c r="Y413" s="8">
        <f t="shared" si="122"/>
        <v>4430.153571428571</v>
      </c>
      <c r="Z413" s="8">
        <f t="shared" si="122"/>
        <v>4677.1605714285706</v>
      </c>
      <c r="AA413" s="8">
        <f t="shared" si="122"/>
        <v>4924.9992380952372</v>
      </c>
      <c r="AB413" s="15"/>
    </row>
    <row r="414" spans="2:28" s="21" customFormat="1" x14ac:dyDescent="0.2">
      <c r="B414" s="11" t="s">
        <v>240</v>
      </c>
      <c r="C414" s="11"/>
      <c r="D414" s="8">
        <f>SUM(D410:D413)</f>
        <v>3974.0410000000002</v>
      </c>
      <c r="E414" s="8">
        <f t="shared" ref="E414:AA414" si="123">SUM(E410:E413)</f>
        <v>4118.0842000000002</v>
      </c>
      <c r="F414" s="8">
        <f t="shared" si="123"/>
        <v>4147.4453000000003</v>
      </c>
      <c r="G414" s="8">
        <f t="shared" si="123"/>
        <v>4231.8063999999995</v>
      </c>
      <c r="H414" s="8">
        <f t="shared" si="123"/>
        <v>4298.4142857142851</v>
      </c>
      <c r="I414" s="8">
        <f t="shared" si="123"/>
        <v>4415.0221714285726</v>
      </c>
      <c r="J414" s="8">
        <f t="shared" si="123"/>
        <v>4458.5647714285715</v>
      </c>
      <c r="K414" s="8">
        <f t="shared" si="123"/>
        <v>4552.1073714285722</v>
      </c>
      <c r="L414" s="8">
        <f t="shared" si="123"/>
        <v>4645.6499714285719</v>
      </c>
      <c r="M414" s="8">
        <f t="shared" si="123"/>
        <v>4739.1925714285717</v>
      </c>
      <c r="N414" s="8">
        <f t="shared" si="123"/>
        <v>4814.1925714285717</v>
      </c>
      <c r="O414" s="8">
        <f t="shared" si="123"/>
        <v>4889.1925714285717</v>
      </c>
      <c r="P414" s="8">
        <f t="shared" si="123"/>
        <v>4964.1925714285717</v>
      </c>
      <c r="Q414" s="8">
        <f t="shared" si="123"/>
        <v>5039.1925714285717</v>
      </c>
      <c r="R414" s="8">
        <f t="shared" si="123"/>
        <v>5114.1925714285717</v>
      </c>
      <c r="S414" s="8">
        <f t="shared" si="123"/>
        <v>5189.1925714285717</v>
      </c>
      <c r="T414" s="8">
        <f t="shared" si="123"/>
        <v>5264.1925714285717</v>
      </c>
      <c r="U414" s="8">
        <f t="shared" si="123"/>
        <v>5339.1925714285717</v>
      </c>
      <c r="V414" s="8">
        <f t="shared" si="123"/>
        <v>5414.1925714285717</v>
      </c>
      <c r="W414" s="8">
        <f t="shared" si="123"/>
        <v>5489.1925714285717</v>
      </c>
      <c r="X414" s="8">
        <f t="shared" si="123"/>
        <v>5564.1925714285717</v>
      </c>
      <c r="Y414" s="8">
        <f t="shared" si="123"/>
        <v>5639.1925714285717</v>
      </c>
      <c r="Z414" s="8">
        <f t="shared" si="123"/>
        <v>5714.1925714285708</v>
      </c>
      <c r="AA414" s="8">
        <f t="shared" si="123"/>
        <v>5789.1925714285708</v>
      </c>
      <c r="AB414" s="15"/>
    </row>
    <row r="415" spans="2:28" s="21" customFormat="1" x14ac:dyDescent="0.2">
      <c r="B415" s="32" t="s">
        <v>237</v>
      </c>
      <c r="C415" s="32"/>
      <c r="D415" s="33">
        <f>D275</f>
        <v>3919.8395</v>
      </c>
      <c r="E415" s="33">
        <f t="shared" ref="E415:AA415" si="124">D247</f>
        <v>3951.4791000000005</v>
      </c>
      <c r="F415" s="33">
        <f t="shared" si="124"/>
        <v>4095.8402000000006</v>
      </c>
      <c r="G415" s="33">
        <f t="shared" si="124"/>
        <v>4220.8401999999996</v>
      </c>
      <c r="H415" s="33">
        <f t="shared" si="124"/>
        <v>4345.8402000000006</v>
      </c>
      <c r="I415" s="33">
        <f t="shared" si="124"/>
        <v>4470.8402000000006</v>
      </c>
      <c r="J415" s="33">
        <f t="shared" si="124"/>
        <v>4595.8401999999996</v>
      </c>
      <c r="K415" s="33">
        <f t="shared" si="124"/>
        <v>4720.8401999999996</v>
      </c>
      <c r="L415" s="33">
        <f t="shared" si="124"/>
        <v>4845.8401999999996</v>
      </c>
      <c r="M415" s="33">
        <f t="shared" si="124"/>
        <v>4970.8402000000006</v>
      </c>
      <c r="N415" s="33">
        <f t="shared" si="124"/>
        <v>5095.8402000000006</v>
      </c>
      <c r="O415" s="33">
        <f t="shared" si="124"/>
        <v>5220.8402000000006</v>
      </c>
      <c r="P415" s="33">
        <f t="shared" si="124"/>
        <v>5345.8402000000006</v>
      </c>
      <c r="Q415" s="33">
        <f t="shared" si="124"/>
        <v>5470.8401999999996</v>
      </c>
      <c r="R415" s="33">
        <f t="shared" si="124"/>
        <v>5595.8401999999996</v>
      </c>
      <c r="S415" s="33">
        <f t="shared" si="124"/>
        <v>5720.8401999999996</v>
      </c>
      <c r="T415" s="33">
        <f t="shared" si="124"/>
        <v>5845.8401999999996</v>
      </c>
      <c r="U415" s="33">
        <f t="shared" si="124"/>
        <v>5970.8401999999987</v>
      </c>
      <c r="V415" s="33">
        <f t="shared" si="124"/>
        <v>6095.8401999999987</v>
      </c>
      <c r="W415" s="33">
        <f t="shared" si="124"/>
        <v>6220.8401999999987</v>
      </c>
      <c r="X415" s="33">
        <f t="shared" si="124"/>
        <v>6345.8401999999987</v>
      </c>
      <c r="Y415" s="33">
        <f t="shared" si="124"/>
        <v>6470.8401999999987</v>
      </c>
      <c r="Z415" s="33">
        <f t="shared" si="124"/>
        <v>6595.8401999999996</v>
      </c>
      <c r="AA415" s="33">
        <f t="shared" si="124"/>
        <v>6720.8401999999996</v>
      </c>
      <c r="AB415" s="15"/>
    </row>
    <row r="416" spans="2:28" s="24" customFormat="1" x14ac:dyDescent="0.2"/>
    <row r="417" spans="2:28" s="21" customFormat="1" x14ac:dyDescent="0.2">
      <c r="B417" s="22" t="s">
        <v>233</v>
      </c>
      <c r="C417" s="22"/>
      <c r="D417" s="8">
        <f t="shared" ref="D417:AA417" si="125">+D218</f>
        <v>1141.5</v>
      </c>
      <c r="E417" s="8">
        <f t="shared" si="125"/>
        <v>1141.5</v>
      </c>
      <c r="F417" s="8">
        <f t="shared" si="125"/>
        <v>1548.2000000000003</v>
      </c>
      <c r="G417" s="8">
        <f t="shared" si="125"/>
        <v>1548.2000000000003</v>
      </c>
      <c r="H417" s="8">
        <f t="shared" si="125"/>
        <v>1548.2000000000003</v>
      </c>
      <c r="I417" s="8">
        <f t="shared" si="125"/>
        <v>2148.2000000000003</v>
      </c>
      <c r="J417" s="8">
        <f t="shared" si="125"/>
        <v>2148.2000000000003</v>
      </c>
      <c r="K417" s="8">
        <f t="shared" si="125"/>
        <v>2148.2000000000003</v>
      </c>
      <c r="L417" s="8">
        <f t="shared" si="125"/>
        <v>2148.2000000000003</v>
      </c>
      <c r="M417" s="8">
        <f t="shared" si="125"/>
        <v>2448.2000000000003</v>
      </c>
      <c r="N417" s="8">
        <f t="shared" si="125"/>
        <v>2748.2000000000003</v>
      </c>
      <c r="O417" s="8">
        <f t="shared" si="125"/>
        <v>2588.2000000000003</v>
      </c>
      <c r="P417" s="8">
        <f t="shared" si="125"/>
        <v>2722.6000000000004</v>
      </c>
      <c r="Q417" s="8">
        <f t="shared" si="125"/>
        <v>3022.6000000000004</v>
      </c>
      <c r="R417" s="8">
        <f t="shared" si="125"/>
        <v>3022.6000000000004</v>
      </c>
      <c r="S417" s="8">
        <f t="shared" si="125"/>
        <v>3322.6000000000004</v>
      </c>
      <c r="T417" s="8">
        <f t="shared" si="125"/>
        <v>3622.6000000000004</v>
      </c>
      <c r="U417" s="8">
        <f t="shared" si="125"/>
        <v>3622.6000000000004</v>
      </c>
      <c r="V417" s="8">
        <f t="shared" si="125"/>
        <v>3713.3</v>
      </c>
      <c r="W417" s="8">
        <f t="shared" si="125"/>
        <v>3806.3</v>
      </c>
      <c r="X417" s="8">
        <f t="shared" si="125"/>
        <v>3806.3</v>
      </c>
      <c r="Y417" s="8">
        <f t="shared" si="125"/>
        <v>4106.3</v>
      </c>
      <c r="Z417" s="8">
        <f t="shared" si="125"/>
        <v>4006.7</v>
      </c>
      <c r="AA417" s="8">
        <f t="shared" si="125"/>
        <v>4006.7</v>
      </c>
      <c r="AB417" s="15"/>
    </row>
    <row r="418" spans="2:28" s="21" customFormat="1" x14ac:dyDescent="0.2">
      <c r="B418" s="22" t="s">
        <v>234</v>
      </c>
      <c r="C418" s="22"/>
      <c r="D418" s="8">
        <f t="shared" ref="D418:AA418" si="126">+D217</f>
        <v>124.6</v>
      </c>
      <c r="E418" s="8">
        <f t="shared" si="126"/>
        <v>124.6</v>
      </c>
      <c r="F418" s="8">
        <f t="shared" si="126"/>
        <v>124.6</v>
      </c>
      <c r="G418" s="8">
        <f t="shared" si="126"/>
        <v>502.6</v>
      </c>
      <c r="H418" s="8">
        <f t="shared" si="126"/>
        <v>497.6</v>
      </c>
      <c r="I418" s="8">
        <f t="shared" si="126"/>
        <v>497.6</v>
      </c>
      <c r="J418" s="8">
        <f t="shared" si="126"/>
        <v>497.6</v>
      </c>
      <c r="K418" s="8">
        <f t="shared" si="126"/>
        <v>497.6</v>
      </c>
      <c r="L418" s="8">
        <f t="shared" si="126"/>
        <v>647.6</v>
      </c>
      <c r="M418" s="8">
        <f t="shared" si="126"/>
        <v>607.6</v>
      </c>
      <c r="N418" s="8">
        <f t="shared" si="126"/>
        <v>607.6</v>
      </c>
      <c r="O418" s="8">
        <f t="shared" si="126"/>
        <v>607.6</v>
      </c>
      <c r="P418" s="8">
        <f t="shared" si="126"/>
        <v>559.79999999999995</v>
      </c>
      <c r="Q418" s="8">
        <f t="shared" si="126"/>
        <v>709.8</v>
      </c>
      <c r="R418" s="8">
        <f t="shared" si="126"/>
        <v>709.8</v>
      </c>
      <c r="S418" s="8">
        <f t="shared" si="126"/>
        <v>709.8</v>
      </c>
      <c r="T418" s="8">
        <f t="shared" si="126"/>
        <v>709.8</v>
      </c>
      <c r="U418" s="8">
        <f t="shared" si="126"/>
        <v>709.8</v>
      </c>
      <c r="V418" s="8">
        <f t="shared" si="126"/>
        <v>831.6</v>
      </c>
      <c r="W418" s="8">
        <f t="shared" si="126"/>
        <v>831.6</v>
      </c>
      <c r="X418" s="8">
        <f t="shared" si="126"/>
        <v>828</v>
      </c>
      <c r="Y418" s="8">
        <f t="shared" si="126"/>
        <v>828</v>
      </c>
      <c r="Z418" s="8">
        <f t="shared" si="126"/>
        <v>828</v>
      </c>
      <c r="AA418" s="8">
        <f t="shared" si="126"/>
        <v>978</v>
      </c>
      <c r="AB418" s="15"/>
    </row>
    <row r="419" spans="2:28" s="21" customFormat="1" x14ac:dyDescent="0.2">
      <c r="B419" s="32" t="s">
        <v>238</v>
      </c>
      <c r="C419" s="32"/>
      <c r="D419" s="34">
        <f>+D276+D277</f>
        <v>1271.05</v>
      </c>
      <c r="E419" s="34">
        <f t="shared" ref="E419:AA419" si="127">D248+D249</f>
        <v>1266.0999999999999</v>
      </c>
      <c r="F419" s="34">
        <f t="shared" si="127"/>
        <v>1266.0999999999999</v>
      </c>
      <c r="G419" s="34">
        <f t="shared" si="127"/>
        <v>1672.8</v>
      </c>
      <c r="H419" s="34">
        <f t="shared" si="127"/>
        <v>2272.8000000000002</v>
      </c>
      <c r="I419" s="34">
        <f t="shared" si="127"/>
        <v>2517.8000000000002</v>
      </c>
      <c r="J419" s="34">
        <f t="shared" si="127"/>
        <v>2717.7999999999997</v>
      </c>
      <c r="K419" s="34">
        <f t="shared" si="127"/>
        <v>2717.7999999999997</v>
      </c>
      <c r="L419" s="34">
        <f t="shared" si="127"/>
        <v>2717.7999999999997</v>
      </c>
      <c r="M419" s="34">
        <f t="shared" si="127"/>
        <v>2717.7999999999997</v>
      </c>
      <c r="N419" s="34">
        <f t="shared" si="127"/>
        <v>2677.7999999999997</v>
      </c>
      <c r="O419" s="34">
        <f t="shared" si="127"/>
        <v>2877.7999999999997</v>
      </c>
      <c r="P419" s="34">
        <f t="shared" si="127"/>
        <v>2917.7999999999997</v>
      </c>
      <c r="Q419" s="34">
        <f t="shared" si="127"/>
        <v>2704.4000000000005</v>
      </c>
      <c r="R419" s="34">
        <f t="shared" si="127"/>
        <v>2904.4000000000005</v>
      </c>
      <c r="S419" s="34">
        <f t="shared" si="127"/>
        <v>3104.4000000000005</v>
      </c>
      <c r="T419" s="34">
        <f t="shared" si="127"/>
        <v>3104.4000000000005</v>
      </c>
      <c r="U419" s="34">
        <f t="shared" si="127"/>
        <v>3304.4000000000005</v>
      </c>
      <c r="V419" s="34">
        <f t="shared" si="127"/>
        <v>3504.4000000000005</v>
      </c>
      <c r="W419" s="34">
        <f t="shared" si="127"/>
        <v>3266.9</v>
      </c>
      <c r="X419" s="34">
        <f t="shared" si="127"/>
        <v>3259.9</v>
      </c>
      <c r="Y419" s="34">
        <f t="shared" si="127"/>
        <v>3456.3</v>
      </c>
      <c r="Z419" s="34">
        <f t="shared" si="127"/>
        <v>3456.3</v>
      </c>
      <c r="AA419" s="34">
        <f t="shared" si="127"/>
        <v>3256.7</v>
      </c>
      <c r="AB419" s="15"/>
    </row>
    <row r="420" spans="2:28" s="24" customFormat="1" x14ac:dyDescent="0.2"/>
    <row r="421" spans="2:28" s="21" customFormat="1" x14ac:dyDescent="0.2">
      <c r="B421" s="32" t="s">
        <v>100</v>
      </c>
      <c r="C421" s="32"/>
      <c r="D421" s="34">
        <f>D419+D415</f>
        <v>5190.8895000000002</v>
      </c>
      <c r="E421" s="34">
        <f t="shared" ref="E421:AA421" si="128">E419+E415</f>
        <v>5217.5791000000008</v>
      </c>
      <c r="F421" s="34">
        <f t="shared" si="128"/>
        <v>5361.9402000000009</v>
      </c>
      <c r="G421" s="34">
        <f t="shared" si="128"/>
        <v>5893.6401999999998</v>
      </c>
      <c r="H421" s="34">
        <f t="shared" si="128"/>
        <v>6618.6402000000007</v>
      </c>
      <c r="I421" s="34">
        <f t="shared" si="128"/>
        <v>6988.6402000000007</v>
      </c>
      <c r="J421" s="34">
        <f t="shared" si="128"/>
        <v>7313.6401999999998</v>
      </c>
      <c r="K421" s="34">
        <f t="shared" si="128"/>
        <v>7438.6401999999998</v>
      </c>
      <c r="L421" s="34">
        <f t="shared" si="128"/>
        <v>7563.6401999999998</v>
      </c>
      <c r="M421" s="34">
        <f t="shared" si="128"/>
        <v>7688.6401999999998</v>
      </c>
      <c r="N421" s="34">
        <f t="shared" si="128"/>
        <v>7773.6401999999998</v>
      </c>
      <c r="O421" s="34">
        <f t="shared" si="128"/>
        <v>8098.6401999999998</v>
      </c>
      <c r="P421" s="34">
        <f t="shared" si="128"/>
        <v>8263.6401999999998</v>
      </c>
      <c r="Q421" s="34">
        <f t="shared" si="128"/>
        <v>8175.2402000000002</v>
      </c>
      <c r="R421" s="34">
        <f t="shared" si="128"/>
        <v>8500.2402000000002</v>
      </c>
      <c r="S421" s="34">
        <f t="shared" si="128"/>
        <v>8825.2402000000002</v>
      </c>
      <c r="T421" s="34">
        <f t="shared" si="128"/>
        <v>8950.2402000000002</v>
      </c>
      <c r="U421" s="34">
        <f t="shared" si="128"/>
        <v>9275.2402000000002</v>
      </c>
      <c r="V421" s="34">
        <f t="shared" si="128"/>
        <v>9600.2402000000002</v>
      </c>
      <c r="W421" s="34">
        <f t="shared" si="128"/>
        <v>9487.7401999999984</v>
      </c>
      <c r="X421" s="34">
        <f t="shared" si="128"/>
        <v>9605.7401999999984</v>
      </c>
      <c r="Y421" s="34">
        <f t="shared" si="128"/>
        <v>9927.140199999998</v>
      </c>
      <c r="Z421" s="34">
        <f t="shared" si="128"/>
        <v>10052.1402</v>
      </c>
      <c r="AA421" s="34">
        <f t="shared" si="128"/>
        <v>9977.5401999999995</v>
      </c>
      <c r="AB421" s="15"/>
    </row>
  </sheetData>
  <conditionalFormatting sqref="X151:AM151 AG32:AM32 AF15:AM17 AM22:AM31 E23:AF25 E31:AF31 H26:AF26 AG12:AM14 X38:AM38 G7:AM8 AB45:AM66 AB152:AM172 AB111:AM124 AB89:AM89 AC84:AM88 AB192:AM192 AB150:AM150 F183:AM183 D17:F17 D29:F29 E11:AM11 B67:C67 B90:C90 AB72:AM72 AB95:AM95 AB109:AM109 AB129:AM129 AB177:AM177 D14:F14 D26:F26 D9:AM10 D22:AF22 D28:AE28 D33:AM37 D6:AM6 D30:AE30 D18:AM21 D183 D84:Z85 D86:AA88 D110:AM110 D111:AA123 D125:AM128 D152:AA171 D193:AM208 D184:AM191 D40:AM44 D67:AM71 D90:AM92 D173:AM176 D45:AA65 D73:AM83 D96:AM108 D130:AM149 D178:AM182">
    <cfRule type="cellIs" dxfId="27" priority="122" stopIfTrue="1" operator="equal">
      <formula>#REF!</formula>
    </cfRule>
  </conditionalFormatting>
  <conditionalFormatting sqref="D32:AF32 D38:AE38 D66:AA66 D172:AA172 D209:AA209 D231:AA231 D89:AA89 D124:AA124 D219:AA219 D225:AA225 D409:AA409 D27:AE27 D15:AE16 D72:AA72 D95:AA95 D109:AA109 D129:AA129 D150:AA150 D177:AA177 D192:AA192 D214:AA214">
    <cfRule type="cellIs" dxfId="26" priority="117" stopIfTrue="1" operator="equal">
      <formula>#REF!</formula>
    </cfRule>
  </conditionalFormatting>
  <conditionalFormatting sqref="D31">
    <cfRule type="cellIs" dxfId="25" priority="102" stopIfTrue="1" operator="equal">
      <formula>#REF!</formula>
    </cfRule>
  </conditionalFormatting>
  <conditionalFormatting sqref="E12:M13">
    <cfRule type="cellIs" dxfId="24" priority="69" stopIfTrue="1" operator="equal">
      <formula>#REF!</formula>
    </cfRule>
  </conditionalFormatting>
  <conditionalFormatting sqref="G17:AD17">
    <cfRule type="cellIs" dxfId="23" priority="68" stopIfTrue="1" operator="equal">
      <formula>#REF!</formula>
    </cfRule>
  </conditionalFormatting>
  <conditionalFormatting sqref="AG22:AL31">
    <cfRule type="cellIs" dxfId="22" priority="75" stopIfTrue="1" operator="equal">
      <formula>#REF!</formula>
    </cfRule>
  </conditionalFormatting>
  <conditionalFormatting sqref="AF27:AF30">
    <cfRule type="cellIs" dxfId="21" priority="74" stopIfTrue="1" operator="equal">
      <formula>#REF!</formula>
    </cfRule>
  </conditionalFormatting>
  <conditionalFormatting sqref="AF38">
    <cfRule type="cellIs" dxfId="20" priority="67" stopIfTrue="1" operator="equal">
      <formula>#REF!</formula>
    </cfRule>
  </conditionalFormatting>
  <conditionalFormatting sqref="G29:AE29">
    <cfRule type="cellIs" dxfId="19" priority="73" stopIfTrue="1" operator="equal">
      <formula>#REF!</formula>
    </cfRule>
  </conditionalFormatting>
  <conditionalFormatting sqref="H14:AF14 N12:AF13">
    <cfRule type="cellIs" dxfId="18" priority="72" stopIfTrue="1" operator="equal">
      <formula>#REF!</formula>
    </cfRule>
  </conditionalFormatting>
  <conditionalFormatting sqref="D8">
    <cfRule type="cellIs" dxfId="17" priority="60" stopIfTrue="1" operator="equal">
      <formula>#REF!</formula>
    </cfRule>
  </conditionalFormatting>
  <conditionalFormatting sqref="AB84:AB88">
    <cfRule type="cellIs" dxfId="16" priority="57" stopIfTrue="1" operator="equal">
      <formula>#REF!</formula>
    </cfRule>
  </conditionalFormatting>
  <conditionalFormatting sqref="D7">
    <cfRule type="cellIs" dxfId="15" priority="59" stopIfTrue="1" operator="equal">
      <formula>#REF!</formula>
    </cfRule>
  </conditionalFormatting>
  <conditionalFormatting sqref="Z84:Z85">
    <cfRule type="cellIs" dxfId="14" priority="58" stopIfTrue="1" operator="equal">
      <formula>#REF!</formula>
    </cfRule>
  </conditionalFormatting>
  <conditionalFormatting sqref="AE17">
    <cfRule type="cellIs" dxfId="13" priority="61" stopIfTrue="1" operator="equal">
      <formula>#REF!</formula>
    </cfRule>
  </conditionalFormatting>
  <conditionalFormatting sqref="E183">
    <cfRule type="cellIs" dxfId="12" priority="40" stopIfTrue="1" operator="equal">
      <formula>#REF!</formula>
    </cfRule>
  </conditionalFormatting>
  <conditionalFormatting sqref="B409:C409">
    <cfRule type="cellIs" dxfId="11" priority="36" stopIfTrue="1" operator="equal">
      <formula>#REF!</formula>
    </cfRule>
  </conditionalFormatting>
  <conditionalFormatting sqref="D11">
    <cfRule type="cellIs" dxfId="10" priority="29" stopIfTrue="1" operator="equal">
      <formula>#REF!</formula>
    </cfRule>
  </conditionalFormatting>
  <conditionalFormatting sqref="D24">
    <cfRule type="cellIs" dxfId="9" priority="26" stopIfTrue="1" operator="equal">
      <formula>#REF!</formula>
    </cfRule>
  </conditionalFormatting>
  <conditionalFormatting sqref="D12">
    <cfRule type="cellIs" dxfId="8" priority="28" stopIfTrue="1" operator="equal">
      <formula>#REF!</formula>
    </cfRule>
  </conditionalFormatting>
  <conditionalFormatting sqref="D23">
    <cfRule type="cellIs" dxfId="7" priority="27" stopIfTrue="1" operator="equal">
      <formula>#REF!</formula>
    </cfRule>
  </conditionalFormatting>
  <conditionalFormatting sqref="D25">
    <cfRule type="cellIs" dxfId="6" priority="25" stopIfTrue="1" operator="equal">
      <formula>#REF!</formula>
    </cfRule>
  </conditionalFormatting>
  <conditionalFormatting sqref="D13">
    <cfRule type="cellIs" dxfId="5" priority="30" stopIfTrue="1" operator="equal">
      <formula>#REF!</formula>
    </cfRule>
  </conditionalFormatting>
  <conditionalFormatting sqref="F7">
    <cfRule type="cellIs" dxfId="4" priority="22" stopIfTrue="1" operator="equal">
      <formula>#REF!</formula>
    </cfRule>
  </conditionalFormatting>
  <conditionalFormatting sqref="E7">
    <cfRule type="cellIs" dxfId="3" priority="19" stopIfTrue="1" operator="equal">
      <formula>#REF!</formula>
    </cfRule>
  </conditionalFormatting>
  <conditionalFormatting sqref="F8">
    <cfRule type="cellIs" dxfId="2" priority="21" stopIfTrue="1" operator="equal">
      <formula>#REF!</formula>
    </cfRule>
  </conditionalFormatting>
  <conditionalFormatting sqref="E8">
    <cfRule type="cellIs" dxfId="1" priority="20" stopIfTrue="1" operator="equal">
      <formula>#REF!</formula>
    </cfRule>
  </conditionalFormatting>
  <conditionalFormatting sqref="AA84:AA85">
    <cfRule type="cellIs" dxfId="0" priority="18" stopIfTrue="1" operator="equal">
      <formula>#REF!</formula>
    </cfRule>
  </conditionalFormatting>
  <pageMargins left="0.7" right="0.7" top="0.75" bottom="0.75" header="0.3" footer="0.3"/>
  <pageSetup paperSize="9"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Ark10">
    <tabColor theme="6"/>
  </sheetPr>
  <dimension ref="A1:AB29"/>
  <sheetViews>
    <sheetView showGridLines="0" zoomScale="110" zoomScaleNormal="110" workbookViewId="0"/>
  </sheetViews>
  <sheetFormatPr baseColWidth="10" defaultColWidth="8.83203125" defaultRowHeight="15" x14ac:dyDescent="0.2"/>
  <cols>
    <col min="1" max="1" width="5.6640625" style="12" customWidth="1"/>
    <col min="2" max="2" width="33.1640625" customWidth="1"/>
    <col min="3" max="3" width="7.1640625" customWidth="1"/>
    <col min="4" max="4" width="7.1640625" style="12" customWidth="1"/>
  </cols>
  <sheetData>
    <row r="1" spans="2:28" s="68" customFormat="1" ht="21" x14ac:dyDescent="0.25">
      <c r="B1" s="68" t="s">
        <v>304</v>
      </c>
    </row>
    <row r="4" spans="2:28" s="70" customFormat="1" x14ac:dyDescent="0.2">
      <c r="B4" s="70" t="s">
        <v>486</v>
      </c>
    </row>
    <row r="6" spans="2:28" x14ac:dyDescent="0.2">
      <c r="B6" s="1" t="s">
        <v>331</v>
      </c>
      <c r="C6" s="1" t="s">
        <v>334</v>
      </c>
      <c r="D6" s="1" t="s">
        <v>335</v>
      </c>
      <c r="E6" s="151">
        <v>2017</v>
      </c>
      <c r="F6" s="151">
        <v>2018</v>
      </c>
      <c r="G6" s="151">
        <v>2019</v>
      </c>
      <c r="H6" s="151">
        <v>2020</v>
      </c>
      <c r="I6" s="151">
        <v>2021</v>
      </c>
      <c r="J6" s="151">
        <v>2022</v>
      </c>
      <c r="K6" s="151">
        <v>2023</v>
      </c>
      <c r="L6" s="151">
        <v>2024</v>
      </c>
      <c r="M6" s="151">
        <v>2025</v>
      </c>
      <c r="N6" s="151">
        <v>2026</v>
      </c>
      <c r="O6" s="151">
        <v>2027</v>
      </c>
      <c r="P6" s="151">
        <v>2028</v>
      </c>
      <c r="Q6" s="151">
        <v>2029</v>
      </c>
      <c r="R6" s="151">
        <v>2030</v>
      </c>
      <c r="S6" s="151">
        <v>2031</v>
      </c>
      <c r="T6" s="151">
        <v>2032</v>
      </c>
      <c r="U6" s="151">
        <v>2033</v>
      </c>
      <c r="V6" s="151">
        <v>2034</v>
      </c>
      <c r="W6" s="151">
        <v>2035</v>
      </c>
      <c r="X6" s="151">
        <v>2036</v>
      </c>
      <c r="Y6" s="151">
        <v>2037</v>
      </c>
      <c r="Z6" s="151">
        <v>2038</v>
      </c>
      <c r="AA6" s="151">
        <v>2039</v>
      </c>
      <c r="AB6" s="151">
        <v>2040</v>
      </c>
    </row>
    <row r="7" spans="2:28" x14ac:dyDescent="0.2">
      <c r="B7" s="1" t="s">
        <v>190</v>
      </c>
      <c r="C7" s="1"/>
      <c r="D7" s="1"/>
      <c r="E7" s="178"/>
      <c r="F7" s="178"/>
      <c r="G7" s="178"/>
      <c r="H7" s="178"/>
      <c r="I7" s="178"/>
      <c r="J7" s="178"/>
      <c r="K7" s="178"/>
      <c r="L7" s="178"/>
      <c r="M7" s="178"/>
      <c r="N7" s="178"/>
      <c r="O7" s="178"/>
      <c r="P7" s="178"/>
      <c r="Q7" s="178"/>
      <c r="R7" s="178"/>
      <c r="S7" s="178"/>
      <c r="T7" s="178"/>
      <c r="U7" s="178"/>
      <c r="V7" s="178"/>
      <c r="W7" s="178"/>
      <c r="X7" s="178"/>
      <c r="Y7" s="178"/>
      <c r="Z7" s="178"/>
      <c r="AA7" s="178"/>
      <c r="AB7" s="178"/>
    </row>
    <row r="8" spans="2:28" x14ac:dyDescent="0.2">
      <c r="B8" s="12" t="s">
        <v>74</v>
      </c>
      <c r="C8" s="12" t="s">
        <v>65</v>
      </c>
      <c r="D8" s="12" t="s">
        <v>75</v>
      </c>
      <c r="E8" s="179">
        <v>1632</v>
      </c>
      <c r="F8" s="178">
        <f t="shared" ref="F8:F17" si="0">E8</f>
        <v>1632</v>
      </c>
      <c r="G8" s="178">
        <f t="shared" ref="G8:AB8" si="1">F8</f>
        <v>1632</v>
      </c>
      <c r="H8" s="178">
        <f t="shared" si="1"/>
        <v>1632</v>
      </c>
      <c r="I8" s="178">
        <f t="shared" si="1"/>
        <v>1632</v>
      </c>
      <c r="J8" s="178">
        <f t="shared" si="1"/>
        <v>1632</v>
      </c>
      <c r="K8" s="178">
        <f t="shared" si="1"/>
        <v>1632</v>
      </c>
      <c r="L8" s="178">
        <f t="shared" si="1"/>
        <v>1632</v>
      </c>
      <c r="M8" s="178">
        <f t="shared" si="1"/>
        <v>1632</v>
      </c>
      <c r="N8" s="178">
        <f t="shared" si="1"/>
        <v>1632</v>
      </c>
      <c r="O8" s="178">
        <f t="shared" si="1"/>
        <v>1632</v>
      </c>
      <c r="P8" s="178">
        <f t="shared" si="1"/>
        <v>1632</v>
      </c>
      <c r="Q8" s="178">
        <f t="shared" si="1"/>
        <v>1632</v>
      </c>
      <c r="R8" s="178">
        <f t="shared" si="1"/>
        <v>1632</v>
      </c>
      <c r="S8" s="178">
        <f t="shared" si="1"/>
        <v>1632</v>
      </c>
      <c r="T8" s="178">
        <f t="shared" si="1"/>
        <v>1632</v>
      </c>
      <c r="U8" s="178">
        <f t="shared" si="1"/>
        <v>1632</v>
      </c>
      <c r="V8" s="178">
        <f t="shared" si="1"/>
        <v>1632</v>
      </c>
      <c r="W8" s="178">
        <f t="shared" si="1"/>
        <v>1632</v>
      </c>
      <c r="X8" s="178">
        <f t="shared" si="1"/>
        <v>1632</v>
      </c>
      <c r="Y8" s="178">
        <f t="shared" si="1"/>
        <v>1632</v>
      </c>
      <c r="Z8" s="178">
        <f t="shared" si="1"/>
        <v>1632</v>
      </c>
      <c r="AA8" s="178">
        <f t="shared" si="1"/>
        <v>1632</v>
      </c>
      <c r="AB8" s="178">
        <f t="shared" si="1"/>
        <v>1632</v>
      </c>
    </row>
    <row r="9" spans="2:28" x14ac:dyDescent="0.2">
      <c r="B9" s="177" t="s">
        <v>74</v>
      </c>
      <c r="C9" s="177" t="s">
        <v>75</v>
      </c>
      <c r="D9" s="177" t="s">
        <v>65</v>
      </c>
      <c r="E9" s="180">
        <v>1632</v>
      </c>
      <c r="F9" s="181">
        <f t="shared" si="0"/>
        <v>1632</v>
      </c>
      <c r="G9" s="181">
        <f t="shared" ref="G9:AB9" si="2">F9</f>
        <v>1632</v>
      </c>
      <c r="H9" s="181">
        <f t="shared" si="2"/>
        <v>1632</v>
      </c>
      <c r="I9" s="181">
        <f t="shared" si="2"/>
        <v>1632</v>
      </c>
      <c r="J9" s="181">
        <f t="shared" si="2"/>
        <v>1632</v>
      </c>
      <c r="K9" s="181">
        <f t="shared" si="2"/>
        <v>1632</v>
      </c>
      <c r="L9" s="181">
        <f t="shared" si="2"/>
        <v>1632</v>
      </c>
      <c r="M9" s="181">
        <f t="shared" si="2"/>
        <v>1632</v>
      </c>
      <c r="N9" s="181">
        <f t="shared" si="2"/>
        <v>1632</v>
      </c>
      <c r="O9" s="181">
        <f t="shared" si="2"/>
        <v>1632</v>
      </c>
      <c r="P9" s="181">
        <f t="shared" si="2"/>
        <v>1632</v>
      </c>
      <c r="Q9" s="181">
        <f t="shared" si="2"/>
        <v>1632</v>
      </c>
      <c r="R9" s="181">
        <f t="shared" si="2"/>
        <v>1632</v>
      </c>
      <c r="S9" s="181">
        <f t="shared" si="2"/>
        <v>1632</v>
      </c>
      <c r="T9" s="181">
        <f t="shared" si="2"/>
        <v>1632</v>
      </c>
      <c r="U9" s="181">
        <f t="shared" si="2"/>
        <v>1632</v>
      </c>
      <c r="V9" s="181">
        <f t="shared" si="2"/>
        <v>1632</v>
      </c>
      <c r="W9" s="181">
        <f t="shared" si="2"/>
        <v>1632</v>
      </c>
      <c r="X9" s="181">
        <f t="shared" si="2"/>
        <v>1632</v>
      </c>
      <c r="Y9" s="181">
        <f t="shared" si="2"/>
        <v>1632</v>
      </c>
      <c r="Z9" s="181">
        <f t="shared" si="2"/>
        <v>1632</v>
      </c>
      <c r="AA9" s="181">
        <f t="shared" si="2"/>
        <v>1632</v>
      </c>
      <c r="AB9" s="181">
        <f t="shared" si="2"/>
        <v>1632</v>
      </c>
    </row>
    <row r="10" spans="2:28" x14ac:dyDescent="0.2">
      <c r="B10" s="12" t="s">
        <v>76</v>
      </c>
      <c r="C10" s="12" t="s">
        <v>65</v>
      </c>
      <c r="D10" s="12" t="s">
        <v>77</v>
      </c>
      <c r="E10" s="179">
        <v>740</v>
      </c>
      <c r="F10" s="178">
        <f t="shared" si="0"/>
        <v>740</v>
      </c>
      <c r="G10" s="178">
        <f t="shared" ref="G10:H13" si="3">F10</f>
        <v>740</v>
      </c>
      <c r="H10" s="178">
        <f t="shared" si="3"/>
        <v>740</v>
      </c>
      <c r="I10" s="178">
        <f t="shared" ref="I10:AB10" si="4">H10</f>
        <v>740</v>
      </c>
      <c r="J10" s="178">
        <f t="shared" si="4"/>
        <v>740</v>
      </c>
      <c r="K10" s="178">
        <f t="shared" si="4"/>
        <v>740</v>
      </c>
      <c r="L10" s="178">
        <f t="shared" si="4"/>
        <v>740</v>
      </c>
      <c r="M10" s="178">
        <f t="shared" si="4"/>
        <v>740</v>
      </c>
      <c r="N10" s="178">
        <f t="shared" si="4"/>
        <v>740</v>
      </c>
      <c r="O10" s="178">
        <f t="shared" si="4"/>
        <v>740</v>
      </c>
      <c r="P10" s="178">
        <f t="shared" si="4"/>
        <v>740</v>
      </c>
      <c r="Q10" s="178">
        <f t="shared" si="4"/>
        <v>740</v>
      </c>
      <c r="R10" s="178">
        <f t="shared" si="4"/>
        <v>740</v>
      </c>
      <c r="S10" s="178">
        <f t="shared" si="4"/>
        <v>740</v>
      </c>
      <c r="T10" s="178">
        <f t="shared" si="4"/>
        <v>740</v>
      </c>
      <c r="U10" s="178">
        <f t="shared" si="4"/>
        <v>740</v>
      </c>
      <c r="V10" s="178">
        <f t="shared" si="4"/>
        <v>740</v>
      </c>
      <c r="W10" s="178">
        <f t="shared" si="4"/>
        <v>740</v>
      </c>
      <c r="X10" s="178">
        <f t="shared" si="4"/>
        <v>740</v>
      </c>
      <c r="Y10" s="178">
        <f t="shared" si="4"/>
        <v>740</v>
      </c>
      <c r="Z10" s="178">
        <f t="shared" si="4"/>
        <v>740</v>
      </c>
      <c r="AA10" s="178">
        <f t="shared" si="4"/>
        <v>740</v>
      </c>
      <c r="AB10" s="178">
        <f t="shared" si="4"/>
        <v>740</v>
      </c>
    </row>
    <row r="11" spans="2:28" x14ac:dyDescent="0.2">
      <c r="B11" s="177" t="s">
        <v>76</v>
      </c>
      <c r="C11" s="177" t="s">
        <v>77</v>
      </c>
      <c r="D11" s="177" t="s">
        <v>65</v>
      </c>
      <c r="E11" s="180">
        <v>680</v>
      </c>
      <c r="F11" s="181">
        <f t="shared" si="0"/>
        <v>680</v>
      </c>
      <c r="G11" s="181">
        <f t="shared" si="3"/>
        <v>680</v>
      </c>
      <c r="H11" s="181">
        <f t="shared" si="3"/>
        <v>680</v>
      </c>
      <c r="I11" s="181">
        <f t="shared" ref="I11:AB13" si="5">H11</f>
        <v>680</v>
      </c>
      <c r="J11" s="181">
        <f t="shared" si="5"/>
        <v>680</v>
      </c>
      <c r="K11" s="181">
        <f t="shared" si="5"/>
        <v>680</v>
      </c>
      <c r="L11" s="181">
        <f t="shared" si="5"/>
        <v>680</v>
      </c>
      <c r="M11" s="181">
        <f t="shared" si="5"/>
        <v>680</v>
      </c>
      <c r="N11" s="181">
        <f t="shared" si="5"/>
        <v>680</v>
      </c>
      <c r="O11" s="181">
        <f t="shared" si="5"/>
        <v>680</v>
      </c>
      <c r="P11" s="181">
        <f t="shared" si="5"/>
        <v>680</v>
      </c>
      <c r="Q11" s="181">
        <f t="shared" si="5"/>
        <v>680</v>
      </c>
      <c r="R11" s="181">
        <f t="shared" si="5"/>
        <v>680</v>
      </c>
      <c r="S11" s="181">
        <f t="shared" si="5"/>
        <v>680</v>
      </c>
      <c r="T11" s="181">
        <f t="shared" si="5"/>
        <v>680</v>
      </c>
      <c r="U11" s="181">
        <f t="shared" si="5"/>
        <v>680</v>
      </c>
      <c r="V11" s="181">
        <f t="shared" si="5"/>
        <v>680</v>
      </c>
      <c r="W11" s="181">
        <f t="shared" si="5"/>
        <v>680</v>
      </c>
      <c r="X11" s="181">
        <f t="shared" si="5"/>
        <v>680</v>
      </c>
      <c r="Y11" s="181">
        <f t="shared" si="5"/>
        <v>680</v>
      </c>
      <c r="Z11" s="181">
        <f t="shared" si="5"/>
        <v>680</v>
      </c>
      <c r="AA11" s="181">
        <f t="shared" si="5"/>
        <v>680</v>
      </c>
      <c r="AB11" s="181">
        <f t="shared" si="5"/>
        <v>680</v>
      </c>
    </row>
    <row r="12" spans="2:28" x14ac:dyDescent="0.2">
      <c r="B12" s="12" t="s">
        <v>332</v>
      </c>
      <c r="C12" s="12" t="s">
        <v>65</v>
      </c>
      <c r="D12" s="12" t="s">
        <v>78</v>
      </c>
      <c r="E12" s="179">
        <v>1640</v>
      </c>
      <c r="F12" s="178">
        <f t="shared" si="0"/>
        <v>1640</v>
      </c>
      <c r="G12" s="178">
        <f t="shared" si="3"/>
        <v>1640</v>
      </c>
      <c r="H12" s="178">
        <f t="shared" si="3"/>
        <v>1640</v>
      </c>
      <c r="I12" s="179">
        <v>2500</v>
      </c>
      <c r="J12" s="178">
        <f>I12</f>
        <v>2500</v>
      </c>
      <c r="K12" s="179">
        <v>3500</v>
      </c>
      <c r="L12" s="178">
        <f>K12</f>
        <v>3500</v>
      </c>
      <c r="M12" s="178">
        <f t="shared" si="5"/>
        <v>3500</v>
      </c>
      <c r="N12" s="178">
        <f t="shared" si="5"/>
        <v>3500</v>
      </c>
      <c r="O12" s="178">
        <f t="shared" si="5"/>
        <v>3500</v>
      </c>
      <c r="P12" s="178">
        <f t="shared" si="5"/>
        <v>3500</v>
      </c>
      <c r="Q12" s="178">
        <f t="shared" si="5"/>
        <v>3500</v>
      </c>
      <c r="R12" s="178">
        <f t="shared" si="5"/>
        <v>3500</v>
      </c>
      <c r="S12" s="178">
        <f t="shared" si="5"/>
        <v>3500</v>
      </c>
      <c r="T12" s="178">
        <f t="shared" si="5"/>
        <v>3500</v>
      </c>
      <c r="U12" s="178">
        <f t="shared" si="5"/>
        <v>3500</v>
      </c>
      <c r="V12" s="178">
        <f t="shared" si="5"/>
        <v>3500</v>
      </c>
      <c r="W12" s="178">
        <f t="shared" si="5"/>
        <v>3500</v>
      </c>
      <c r="X12" s="178">
        <f t="shared" si="5"/>
        <v>3500</v>
      </c>
      <c r="Y12" s="178">
        <f t="shared" si="5"/>
        <v>3500</v>
      </c>
      <c r="Z12" s="178">
        <f t="shared" si="5"/>
        <v>3500</v>
      </c>
      <c r="AA12" s="178">
        <f t="shared" si="5"/>
        <v>3500</v>
      </c>
      <c r="AB12" s="178">
        <f t="shared" si="5"/>
        <v>3500</v>
      </c>
    </row>
    <row r="13" spans="2:28" x14ac:dyDescent="0.2">
      <c r="B13" s="177" t="s">
        <v>332</v>
      </c>
      <c r="C13" s="177" t="s">
        <v>78</v>
      </c>
      <c r="D13" s="177" t="s">
        <v>65</v>
      </c>
      <c r="E13" s="180">
        <v>1500</v>
      </c>
      <c r="F13" s="181">
        <f t="shared" si="0"/>
        <v>1500</v>
      </c>
      <c r="G13" s="181">
        <f t="shared" si="3"/>
        <v>1500</v>
      </c>
      <c r="H13" s="181">
        <f t="shared" si="3"/>
        <v>1500</v>
      </c>
      <c r="I13" s="180">
        <v>2500</v>
      </c>
      <c r="J13" s="181">
        <f>I13</f>
        <v>2500</v>
      </c>
      <c r="K13" s="180">
        <v>3500</v>
      </c>
      <c r="L13" s="181">
        <f>K13</f>
        <v>3500</v>
      </c>
      <c r="M13" s="181">
        <f t="shared" si="5"/>
        <v>3500</v>
      </c>
      <c r="N13" s="181">
        <f t="shared" si="5"/>
        <v>3500</v>
      </c>
      <c r="O13" s="181">
        <f t="shared" si="5"/>
        <v>3500</v>
      </c>
      <c r="P13" s="181">
        <f t="shared" si="5"/>
        <v>3500</v>
      </c>
      <c r="Q13" s="181">
        <f t="shared" si="5"/>
        <v>3500</v>
      </c>
      <c r="R13" s="181">
        <f t="shared" si="5"/>
        <v>3500</v>
      </c>
      <c r="S13" s="181">
        <f t="shared" si="5"/>
        <v>3500</v>
      </c>
      <c r="T13" s="181">
        <f t="shared" si="5"/>
        <v>3500</v>
      </c>
      <c r="U13" s="181">
        <f t="shared" si="5"/>
        <v>3500</v>
      </c>
      <c r="V13" s="181">
        <f t="shared" si="5"/>
        <v>3500</v>
      </c>
      <c r="W13" s="181">
        <f t="shared" si="5"/>
        <v>3500</v>
      </c>
      <c r="X13" s="181">
        <f t="shared" si="5"/>
        <v>3500</v>
      </c>
      <c r="Y13" s="181">
        <f t="shared" si="5"/>
        <v>3500</v>
      </c>
      <c r="Z13" s="181">
        <f t="shared" si="5"/>
        <v>3500</v>
      </c>
      <c r="AA13" s="181">
        <f t="shared" si="5"/>
        <v>3500</v>
      </c>
      <c r="AB13" s="181">
        <f t="shared" si="5"/>
        <v>3500</v>
      </c>
    </row>
    <row r="14" spans="2:28" x14ac:dyDescent="0.2">
      <c r="B14" s="12" t="s">
        <v>79</v>
      </c>
      <c r="C14" s="12" t="s">
        <v>65</v>
      </c>
      <c r="D14" s="12" t="s">
        <v>80</v>
      </c>
      <c r="E14" s="178">
        <v>0</v>
      </c>
      <c r="F14" s="178">
        <f t="shared" si="0"/>
        <v>0</v>
      </c>
      <c r="G14" s="178">
        <f t="shared" ref="G14:G17" si="6">F14</f>
        <v>0</v>
      </c>
      <c r="H14" s="179">
        <v>700</v>
      </c>
      <c r="I14" s="178">
        <f>H14</f>
        <v>700</v>
      </c>
      <c r="J14" s="178">
        <f t="shared" ref="J14:AB14" si="7">I14</f>
        <v>700</v>
      </c>
      <c r="K14" s="178">
        <f t="shared" si="7"/>
        <v>700</v>
      </c>
      <c r="L14" s="178">
        <f t="shared" si="7"/>
        <v>700</v>
      </c>
      <c r="M14" s="178">
        <f t="shared" si="7"/>
        <v>700</v>
      </c>
      <c r="N14" s="178">
        <f t="shared" si="7"/>
        <v>700</v>
      </c>
      <c r="O14" s="178">
        <f t="shared" si="7"/>
        <v>700</v>
      </c>
      <c r="P14" s="178">
        <f t="shared" si="7"/>
        <v>700</v>
      </c>
      <c r="Q14" s="178">
        <f t="shared" si="7"/>
        <v>700</v>
      </c>
      <c r="R14" s="178">
        <f t="shared" si="7"/>
        <v>700</v>
      </c>
      <c r="S14" s="178">
        <f t="shared" si="7"/>
        <v>700</v>
      </c>
      <c r="T14" s="178">
        <f t="shared" si="7"/>
        <v>700</v>
      </c>
      <c r="U14" s="178">
        <f t="shared" si="7"/>
        <v>700</v>
      </c>
      <c r="V14" s="178">
        <f t="shared" si="7"/>
        <v>700</v>
      </c>
      <c r="W14" s="178">
        <f t="shared" si="7"/>
        <v>700</v>
      </c>
      <c r="X14" s="178">
        <f t="shared" si="7"/>
        <v>700</v>
      </c>
      <c r="Y14" s="178">
        <f t="shared" si="7"/>
        <v>700</v>
      </c>
      <c r="Z14" s="178">
        <f t="shared" si="7"/>
        <v>700</v>
      </c>
      <c r="AA14" s="178">
        <f t="shared" si="7"/>
        <v>700</v>
      </c>
      <c r="AB14" s="178">
        <f t="shared" si="7"/>
        <v>700</v>
      </c>
    </row>
    <row r="15" spans="2:28" x14ac:dyDescent="0.2">
      <c r="B15" s="177" t="s">
        <v>79</v>
      </c>
      <c r="C15" s="177" t="s">
        <v>80</v>
      </c>
      <c r="D15" s="177" t="s">
        <v>65</v>
      </c>
      <c r="E15" s="181">
        <v>0</v>
      </c>
      <c r="F15" s="181">
        <f t="shared" si="0"/>
        <v>0</v>
      </c>
      <c r="G15" s="181">
        <f t="shared" si="6"/>
        <v>0</v>
      </c>
      <c r="H15" s="180">
        <v>700</v>
      </c>
      <c r="I15" s="181">
        <f>H15</f>
        <v>700</v>
      </c>
      <c r="J15" s="181">
        <f t="shared" ref="J15:AB15" si="8">I15</f>
        <v>700</v>
      </c>
      <c r="K15" s="181">
        <f t="shared" si="8"/>
        <v>700</v>
      </c>
      <c r="L15" s="181">
        <f t="shared" si="8"/>
        <v>700</v>
      </c>
      <c r="M15" s="181">
        <f t="shared" si="8"/>
        <v>700</v>
      </c>
      <c r="N15" s="181">
        <f t="shared" si="8"/>
        <v>700</v>
      </c>
      <c r="O15" s="181">
        <f t="shared" si="8"/>
        <v>700</v>
      </c>
      <c r="P15" s="181">
        <f t="shared" si="8"/>
        <v>700</v>
      </c>
      <c r="Q15" s="181">
        <f t="shared" si="8"/>
        <v>700</v>
      </c>
      <c r="R15" s="181">
        <f t="shared" si="8"/>
        <v>700</v>
      </c>
      <c r="S15" s="181">
        <f t="shared" si="8"/>
        <v>700</v>
      </c>
      <c r="T15" s="181">
        <f t="shared" si="8"/>
        <v>700</v>
      </c>
      <c r="U15" s="181">
        <f t="shared" si="8"/>
        <v>700</v>
      </c>
      <c r="V15" s="181">
        <f t="shared" si="8"/>
        <v>700</v>
      </c>
      <c r="W15" s="181">
        <f t="shared" si="8"/>
        <v>700</v>
      </c>
      <c r="X15" s="181">
        <f t="shared" si="8"/>
        <v>700</v>
      </c>
      <c r="Y15" s="181">
        <f t="shared" si="8"/>
        <v>700</v>
      </c>
      <c r="Z15" s="181">
        <f t="shared" si="8"/>
        <v>700</v>
      </c>
      <c r="AA15" s="181">
        <f t="shared" si="8"/>
        <v>700</v>
      </c>
      <c r="AB15" s="181">
        <f t="shared" si="8"/>
        <v>700</v>
      </c>
    </row>
    <row r="16" spans="2:28" x14ac:dyDescent="0.2">
      <c r="B16" s="12" t="s">
        <v>81</v>
      </c>
      <c r="C16" s="12" t="s">
        <v>65</v>
      </c>
      <c r="D16" s="12" t="s">
        <v>82</v>
      </c>
      <c r="E16" s="178">
        <v>0</v>
      </c>
      <c r="F16" s="178">
        <f t="shared" si="0"/>
        <v>0</v>
      </c>
      <c r="G16" s="178">
        <f t="shared" si="6"/>
        <v>0</v>
      </c>
      <c r="H16" s="178">
        <f>G16</f>
        <v>0</v>
      </c>
      <c r="I16" s="178">
        <f>H16</f>
        <v>0</v>
      </c>
      <c r="J16" s="178">
        <f>I16</f>
        <v>0</v>
      </c>
      <c r="K16" s="179">
        <v>1400</v>
      </c>
      <c r="L16" s="178">
        <f>K16</f>
        <v>1400</v>
      </c>
      <c r="M16" s="178">
        <f t="shared" ref="M16:AB17" si="9">L16</f>
        <v>1400</v>
      </c>
      <c r="N16" s="178">
        <f t="shared" si="9"/>
        <v>1400</v>
      </c>
      <c r="O16" s="178">
        <f t="shared" si="9"/>
        <v>1400</v>
      </c>
      <c r="P16" s="178">
        <f t="shared" si="9"/>
        <v>1400</v>
      </c>
      <c r="Q16" s="178">
        <f t="shared" si="9"/>
        <v>1400</v>
      </c>
      <c r="R16" s="178">
        <f t="shared" si="9"/>
        <v>1400</v>
      </c>
      <c r="S16" s="178">
        <f t="shared" si="9"/>
        <v>1400</v>
      </c>
      <c r="T16" s="178">
        <f t="shared" si="9"/>
        <v>1400</v>
      </c>
      <c r="U16" s="178">
        <f t="shared" si="9"/>
        <v>1400</v>
      </c>
      <c r="V16" s="178">
        <f t="shared" si="9"/>
        <v>1400</v>
      </c>
      <c r="W16" s="178">
        <f t="shared" si="9"/>
        <v>1400</v>
      </c>
      <c r="X16" s="178">
        <f t="shared" si="9"/>
        <v>1400</v>
      </c>
      <c r="Y16" s="178">
        <f t="shared" si="9"/>
        <v>1400</v>
      </c>
      <c r="Z16" s="178">
        <f t="shared" si="9"/>
        <v>1400</v>
      </c>
      <c r="AA16" s="178">
        <f t="shared" si="9"/>
        <v>1400</v>
      </c>
      <c r="AB16" s="178">
        <f t="shared" si="9"/>
        <v>1400</v>
      </c>
    </row>
    <row r="17" spans="2:28" x14ac:dyDescent="0.2">
      <c r="B17" s="12" t="s">
        <v>81</v>
      </c>
      <c r="C17" s="12" t="s">
        <v>82</v>
      </c>
      <c r="D17" s="12" t="s">
        <v>65</v>
      </c>
      <c r="E17" s="178">
        <v>0</v>
      </c>
      <c r="F17" s="178">
        <f t="shared" si="0"/>
        <v>0</v>
      </c>
      <c r="G17" s="178">
        <f t="shared" si="6"/>
        <v>0</v>
      </c>
      <c r="H17" s="178">
        <f>G17</f>
        <v>0</v>
      </c>
      <c r="I17" s="178">
        <f>H17</f>
        <v>0</v>
      </c>
      <c r="J17" s="178">
        <f>I17</f>
        <v>0</v>
      </c>
      <c r="K17" s="179">
        <v>1400</v>
      </c>
      <c r="L17" s="178">
        <f>K17</f>
        <v>1400</v>
      </c>
      <c r="M17" s="178">
        <f t="shared" si="9"/>
        <v>1400</v>
      </c>
      <c r="N17" s="178">
        <f t="shared" si="9"/>
        <v>1400</v>
      </c>
      <c r="O17" s="178">
        <f t="shared" si="9"/>
        <v>1400</v>
      </c>
      <c r="P17" s="178">
        <f t="shared" si="9"/>
        <v>1400</v>
      </c>
      <c r="Q17" s="178">
        <f t="shared" si="9"/>
        <v>1400</v>
      </c>
      <c r="R17" s="178">
        <f t="shared" si="9"/>
        <v>1400</v>
      </c>
      <c r="S17" s="178">
        <f t="shared" si="9"/>
        <v>1400</v>
      </c>
      <c r="T17" s="178">
        <f t="shared" si="9"/>
        <v>1400</v>
      </c>
      <c r="U17" s="178">
        <f t="shared" si="9"/>
        <v>1400</v>
      </c>
      <c r="V17" s="178">
        <f t="shared" si="9"/>
        <v>1400</v>
      </c>
      <c r="W17" s="178">
        <f t="shared" si="9"/>
        <v>1400</v>
      </c>
      <c r="X17" s="178">
        <f t="shared" si="9"/>
        <v>1400</v>
      </c>
      <c r="Y17" s="178">
        <f t="shared" si="9"/>
        <v>1400</v>
      </c>
      <c r="Z17" s="178">
        <f t="shared" si="9"/>
        <v>1400</v>
      </c>
      <c r="AA17" s="178">
        <f t="shared" si="9"/>
        <v>1400</v>
      </c>
      <c r="AB17" s="178">
        <f t="shared" si="9"/>
        <v>1400</v>
      </c>
    </row>
    <row r="18" spans="2:28" x14ac:dyDescent="0.2">
      <c r="B18" s="12"/>
      <c r="C18" s="12"/>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row>
    <row r="19" spans="2:28" x14ac:dyDescent="0.2">
      <c r="B19" s="1" t="s">
        <v>192</v>
      </c>
      <c r="C19" s="1"/>
      <c r="D19" s="1"/>
      <c r="E19" s="178"/>
      <c r="F19" s="178"/>
      <c r="G19" s="178"/>
      <c r="H19" s="178"/>
      <c r="I19" s="178"/>
      <c r="J19" s="178"/>
      <c r="K19" s="178"/>
      <c r="L19" s="178"/>
      <c r="M19" s="178"/>
      <c r="N19" s="178"/>
      <c r="O19" s="178"/>
      <c r="P19" s="178"/>
      <c r="Q19" s="178"/>
      <c r="R19" s="178"/>
      <c r="S19" s="178"/>
      <c r="T19" s="178"/>
      <c r="U19" s="178"/>
      <c r="V19" s="178"/>
      <c r="W19" s="178"/>
      <c r="X19" s="178"/>
      <c r="Y19" s="178"/>
      <c r="Z19" s="178"/>
      <c r="AA19" s="178"/>
      <c r="AB19" s="178"/>
    </row>
    <row r="20" spans="2:28" x14ac:dyDescent="0.2">
      <c r="B20" s="12" t="s">
        <v>72</v>
      </c>
      <c r="C20" s="12" t="s">
        <v>66</v>
      </c>
      <c r="D20" s="12" t="s">
        <v>77</v>
      </c>
      <c r="E20" s="179">
        <v>1700</v>
      </c>
      <c r="F20" s="178">
        <f t="shared" ref="F20:F25" si="10">E20</f>
        <v>1700</v>
      </c>
      <c r="G20" s="178">
        <f t="shared" ref="G20:AB20" si="11">F20</f>
        <v>1700</v>
      </c>
      <c r="H20" s="178">
        <f t="shared" si="11"/>
        <v>1700</v>
      </c>
      <c r="I20" s="178">
        <f t="shared" si="11"/>
        <v>1700</v>
      </c>
      <c r="J20" s="178">
        <f t="shared" si="11"/>
        <v>1700</v>
      </c>
      <c r="K20" s="178">
        <f t="shared" si="11"/>
        <v>1700</v>
      </c>
      <c r="L20" s="178">
        <f t="shared" si="11"/>
        <v>1700</v>
      </c>
      <c r="M20" s="178">
        <f t="shared" si="11"/>
        <v>1700</v>
      </c>
      <c r="N20" s="178">
        <f t="shared" si="11"/>
        <v>1700</v>
      </c>
      <c r="O20" s="178">
        <f t="shared" si="11"/>
        <v>1700</v>
      </c>
      <c r="P20" s="178">
        <f t="shared" si="11"/>
        <v>1700</v>
      </c>
      <c r="Q20" s="178">
        <f t="shared" si="11"/>
        <v>1700</v>
      </c>
      <c r="R20" s="178">
        <f t="shared" si="11"/>
        <v>1700</v>
      </c>
      <c r="S20" s="178">
        <f t="shared" si="11"/>
        <v>1700</v>
      </c>
      <c r="T20" s="178">
        <f t="shared" si="11"/>
        <v>1700</v>
      </c>
      <c r="U20" s="178">
        <f t="shared" si="11"/>
        <v>1700</v>
      </c>
      <c r="V20" s="178">
        <f t="shared" si="11"/>
        <v>1700</v>
      </c>
      <c r="W20" s="178">
        <f t="shared" si="11"/>
        <v>1700</v>
      </c>
      <c r="X20" s="178">
        <f t="shared" si="11"/>
        <v>1700</v>
      </c>
      <c r="Y20" s="178">
        <f t="shared" si="11"/>
        <v>1700</v>
      </c>
      <c r="Z20" s="178">
        <f t="shared" si="11"/>
        <v>1700</v>
      </c>
      <c r="AA20" s="178">
        <f t="shared" si="11"/>
        <v>1700</v>
      </c>
      <c r="AB20" s="178">
        <f t="shared" si="11"/>
        <v>1700</v>
      </c>
    </row>
    <row r="21" spans="2:28" x14ac:dyDescent="0.2">
      <c r="B21" s="177" t="s">
        <v>72</v>
      </c>
      <c r="C21" s="177" t="s">
        <v>77</v>
      </c>
      <c r="D21" s="177" t="s">
        <v>66</v>
      </c>
      <c r="E21" s="180">
        <v>1300</v>
      </c>
      <c r="F21" s="181">
        <f t="shared" si="10"/>
        <v>1300</v>
      </c>
      <c r="G21" s="181">
        <f t="shared" ref="G21:AB21" si="12">F21</f>
        <v>1300</v>
      </c>
      <c r="H21" s="181">
        <f t="shared" si="12"/>
        <v>1300</v>
      </c>
      <c r="I21" s="181">
        <f t="shared" si="12"/>
        <v>1300</v>
      </c>
      <c r="J21" s="181">
        <f t="shared" si="12"/>
        <v>1300</v>
      </c>
      <c r="K21" s="181">
        <f t="shared" si="12"/>
        <v>1300</v>
      </c>
      <c r="L21" s="181">
        <f t="shared" si="12"/>
        <v>1300</v>
      </c>
      <c r="M21" s="181">
        <f t="shared" si="12"/>
        <v>1300</v>
      </c>
      <c r="N21" s="181">
        <f t="shared" si="12"/>
        <v>1300</v>
      </c>
      <c r="O21" s="181">
        <f t="shared" si="12"/>
        <v>1300</v>
      </c>
      <c r="P21" s="181">
        <f t="shared" si="12"/>
        <v>1300</v>
      </c>
      <c r="Q21" s="181">
        <f t="shared" si="12"/>
        <v>1300</v>
      </c>
      <c r="R21" s="181">
        <f t="shared" si="12"/>
        <v>1300</v>
      </c>
      <c r="S21" s="181">
        <f t="shared" si="12"/>
        <v>1300</v>
      </c>
      <c r="T21" s="181">
        <f t="shared" si="12"/>
        <v>1300</v>
      </c>
      <c r="U21" s="181">
        <f t="shared" si="12"/>
        <v>1300</v>
      </c>
      <c r="V21" s="181">
        <f t="shared" si="12"/>
        <v>1300</v>
      </c>
      <c r="W21" s="181">
        <f t="shared" si="12"/>
        <v>1300</v>
      </c>
      <c r="X21" s="181">
        <f t="shared" si="12"/>
        <v>1300</v>
      </c>
      <c r="Y21" s="181">
        <f t="shared" si="12"/>
        <v>1300</v>
      </c>
      <c r="Z21" s="181">
        <f t="shared" si="12"/>
        <v>1300</v>
      </c>
      <c r="AA21" s="181">
        <f t="shared" si="12"/>
        <v>1300</v>
      </c>
      <c r="AB21" s="181">
        <f t="shared" si="12"/>
        <v>1300</v>
      </c>
    </row>
    <row r="22" spans="2:28" x14ac:dyDescent="0.2">
      <c r="B22" s="12" t="s">
        <v>73</v>
      </c>
      <c r="C22" s="12" t="s">
        <v>66</v>
      </c>
      <c r="D22" s="12" t="s">
        <v>78</v>
      </c>
      <c r="E22" s="179">
        <v>585</v>
      </c>
      <c r="F22" s="178">
        <f t="shared" si="10"/>
        <v>585</v>
      </c>
      <c r="G22" s="178">
        <f t="shared" ref="G22:AB22" si="13">F22</f>
        <v>585</v>
      </c>
      <c r="H22" s="178">
        <f t="shared" si="13"/>
        <v>585</v>
      </c>
      <c r="I22" s="178">
        <f t="shared" si="13"/>
        <v>585</v>
      </c>
      <c r="J22" s="178">
        <f t="shared" si="13"/>
        <v>585</v>
      </c>
      <c r="K22" s="178">
        <f t="shared" si="13"/>
        <v>585</v>
      </c>
      <c r="L22" s="178">
        <f t="shared" si="13"/>
        <v>585</v>
      </c>
      <c r="M22" s="178">
        <f t="shared" si="13"/>
        <v>585</v>
      </c>
      <c r="N22" s="178">
        <f t="shared" si="13"/>
        <v>585</v>
      </c>
      <c r="O22" s="178">
        <f t="shared" si="13"/>
        <v>585</v>
      </c>
      <c r="P22" s="178">
        <f t="shared" si="13"/>
        <v>585</v>
      </c>
      <c r="Q22" s="178">
        <f t="shared" si="13"/>
        <v>585</v>
      </c>
      <c r="R22" s="178">
        <f t="shared" si="13"/>
        <v>585</v>
      </c>
      <c r="S22" s="178">
        <f t="shared" si="13"/>
        <v>585</v>
      </c>
      <c r="T22" s="178">
        <f t="shared" si="13"/>
        <v>585</v>
      </c>
      <c r="U22" s="178">
        <f t="shared" si="13"/>
        <v>585</v>
      </c>
      <c r="V22" s="178">
        <f t="shared" si="13"/>
        <v>585</v>
      </c>
      <c r="W22" s="178">
        <f t="shared" si="13"/>
        <v>585</v>
      </c>
      <c r="X22" s="178">
        <f t="shared" si="13"/>
        <v>585</v>
      </c>
      <c r="Y22" s="178">
        <f t="shared" si="13"/>
        <v>585</v>
      </c>
      <c r="Z22" s="178">
        <f t="shared" si="13"/>
        <v>585</v>
      </c>
      <c r="AA22" s="178">
        <f t="shared" si="13"/>
        <v>585</v>
      </c>
      <c r="AB22" s="178">
        <f t="shared" si="13"/>
        <v>585</v>
      </c>
    </row>
    <row r="23" spans="2:28" x14ac:dyDescent="0.2">
      <c r="B23" s="177" t="s">
        <v>73</v>
      </c>
      <c r="C23" s="177" t="s">
        <v>78</v>
      </c>
      <c r="D23" s="177" t="s">
        <v>66</v>
      </c>
      <c r="E23" s="180">
        <v>600</v>
      </c>
      <c r="F23" s="181">
        <f t="shared" si="10"/>
        <v>600</v>
      </c>
      <c r="G23" s="181">
        <f t="shared" ref="G23:AB25" si="14">F23</f>
        <v>600</v>
      </c>
      <c r="H23" s="181">
        <f t="shared" si="14"/>
        <v>600</v>
      </c>
      <c r="I23" s="181">
        <f t="shared" si="14"/>
        <v>600</v>
      </c>
      <c r="J23" s="181">
        <f t="shared" si="14"/>
        <v>600</v>
      </c>
      <c r="K23" s="181">
        <f t="shared" si="14"/>
        <v>600</v>
      </c>
      <c r="L23" s="181">
        <f t="shared" si="14"/>
        <v>600</v>
      </c>
      <c r="M23" s="181">
        <f t="shared" si="14"/>
        <v>600</v>
      </c>
      <c r="N23" s="181">
        <f t="shared" si="14"/>
        <v>600</v>
      </c>
      <c r="O23" s="181">
        <f t="shared" si="14"/>
        <v>600</v>
      </c>
      <c r="P23" s="181">
        <f t="shared" si="14"/>
        <v>600</v>
      </c>
      <c r="Q23" s="181">
        <f t="shared" si="14"/>
        <v>600</v>
      </c>
      <c r="R23" s="181">
        <f t="shared" si="14"/>
        <v>600</v>
      </c>
      <c r="S23" s="181">
        <f t="shared" si="14"/>
        <v>600</v>
      </c>
      <c r="T23" s="181">
        <f t="shared" si="14"/>
        <v>600</v>
      </c>
      <c r="U23" s="181">
        <f t="shared" si="14"/>
        <v>600</v>
      </c>
      <c r="V23" s="181">
        <f t="shared" si="14"/>
        <v>600</v>
      </c>
      <c r="W23" s="181">
        <f t="shared" si="14"/>
        <v>600</v>
      </c>
      <c r="X23" s="181">
        <f t="shared" si="14"/>
        <v>600</v>
      </c>
      <c r="Y23" s="181">
        <f t="shared" si="14"/>
        <v>600</v>
      </c>
      <c r="Z23" s="181">
        <f t="shared" si="14"/>
        <v>600</v>
      </c>
      <c r="AA23" s="181">
        <f t="shared" si="14"/>
        <v>600</v>
      </c>
      <c r="AB23" s="181">
        <f t="shared" si="14"/>
        <v>600</v>
      </c>
    </row>
    <row r="24" spans="2:28" x14ac:dyDescent="0.2">
      <c r="B24" s="12" t="s">
        <v>67</v>
      </c>
      <c r="C24" s="12" t="s">
        <v>66</v>
      </c>
      <c r="D24" s="12" t="s">
        <v>78</v>
      </c>
      <c r="E24" s="178">
        <v>0</v>
      </c>
      <c r="F24" s="178">
        <f t="shared" si="10"/>
        <v>0</v>
      </c>
      <c r="G24" s="179">
        <v>400</v>
      </c>
      <c r="H24" s="178">
        <f>G24</f>
        <v>400</v>
      </c>
      <c r="I24" s="178">
        <f t="shared" si="14"/>
        <v>400</v>
      </c>
      <c r="J24" s="178">
        <f t="shared" si="14"/>
        <v>400</v>
      </c>
      <c r="K24" s="178">
        <f t="shared" si="14"/>
        <v>400</v>
      </c>
      <c r="L24" s="178">
        <f t="shared" si="14"/>
        <v>400</v>
      </c>
      <c r="M24" s="178">
        <f t="shared" si="14"/>
        <v>400</v>
      </c>
      <c r="N24" s="178">
        <f t="shared" si="14"/>
        <v>400</v>
      </c>
      <c r="O24" s="178">
        <f t="shared" si="14"/>
        <v>400</v>
      </c>
      <c r="P24" s="178">
        <f t="shared" si="14"/>
        <v>400</v>
      </c>
      <c r="Q24" s="178">
        <f t="shared" si="14"/>
        <v>400</v>
      </c>
      <c r="R24" s="178">
        <f t="shared" si="14"/>
        <v>400</v>
      </c>
      <c r="S24" s="178">
        <f t="shared" si="14"/>
        <v>400</v>
      </c>
      <c r="T24" s="178">
        <f t="shared" si="14"/>
        <v>400</v>
      </c>
      <c r="U24" s="178">
        <f t="shared" si="14"/>
        <v>400</v>
      </c>
      <c r="V24" s="178">
        <f t="shared" si="14"/>
        <v>400</v>
      </c>
      <c r="W24" s="178">
        <f t="shared" si="14"/>
        <v>400</v>
      </c>
      <c r="X24" s="178">
        <f t="shared" si="14"/>
        <v>400</v>
      </c>
      <c r="Y24" s="178">
        <f t="shared" si="14"/>
        <v>400</v>
      </c>
      <c r="Z24" s="178">
        <f t="shared" si="14"/>
        <v>400</v>
      </c>
      <c r="AA24" s="178">
        <f t="shared" si="14"/>
        <v>400</v>
      </c>
      <c r="AB24" s="178">
        <f t="shared" si="14"/>
        <v>400</v>
      </c>
    </row>
    <row r="25" spans="2:28" x14ac:dyDescent="0.2">
      <c r="B25" s="12" t="s">
        <v>67</v>
      </c>
      <c r="C25" s="12" t="s">
        <v>78</v>
      </c>
      <c r="D25" s="12" t="s">
        <v>66</v>
      </c>
      <c r="E25" s="178">
        <v>0</v>
      </c>
      <c r="F25" s="178">
        <f t="shared" si="10"/>
        <v>0</v>
      </c>
      <c r="G25" s="179">
        <v>400</v>
      </c>
      <c r="H25" s="178">
        <f>G25</f>
        <v>400</v>
      </c>
      <c r="I25" s="178">
        <f t="shared" si="14"/>
        <v>400</v>
      </c>
      <c r="J25" s="178">
        <f t="shared" si="14"/>
        <v>400</v>
      </c>
      <c r="K25" s="178">
        <f t="shared" si="14"/>
        <v>400</v>
      </c>
      <c r="L25" s="178">
        <f t="shared" si="14"/>
        <v>400</v>
      </c>
      <c r="M25" s="178">
        <f t="shared" si="14"/>
        <v>400</v>
      </c>
      <c r="N25" s="178">
        <f t="shared" si="14"/>
        <v>400</v>
      </c>
      <c r="O25" s="178">
        <f t="shared" si="14"/>
        <v>400</v>
      </c>
      <c r="P25" s="178">
        <f t="shared" si="14"/>
        <v>400</v>
      </c>
      <c r="Q25" s="178">
        <f t="shared" si="14"/>
        <v>400</v>
      </c>
      <c r="R25" s="178">
        <f t="shared" si="14"/>
        <v>400</v>
      </c>
      <c r="S25" s="178">
        <f t="shared" si="14"/>
        <v>400</v>
      </c>
      <c r="T25" s="178">
        <f t="shared" si="14"/>
        <v>400</v>
      </c>
      <c r="U25" s="178">
        <f t="shared" si="14"/>
        <v>400</v>
      </c>
      <c r="V25" s="178">
        <f t="shared" si="14"/>
        <v>400</v>
      </c>
      <c r="W25" s="178">
        <f t="shared" si="14"/>
        <v>400</v>
      </c>
      <c r="X25" s="178">
        <f t="shared" si="14"/>
        <v>400</v>
      </c>
      <c r="Y25" s="178">
        <f t="shared" si="14"/>
        <v>400</v>
      </c>
      <c r="Z25" s="178">
        <f t="shared" si="14"/>
        <v>400</v>
      </c>
      <c r="AA25" s="178">
        <f t="shared" si="14"/>
        <v>400</v>
      </c>
      <c r="AB25" s="178">
        <f t="shared" si="14"/>
        <v>400</v>
      </c>
    </row>
    <row r="27" spans="2:28" s="12" customFormat="1" x14ac:dyDescent="0.2">
      <c r="B27" s="1" t="s">
        <v>333</v>
      </c>
    </row>
    <row r="28" spans="2:28" x14ac:dyDescent="0.2">
      <c r="B28" s="12" t="s">
        <v>333</v>
      </c>
      <c r="C28" s="12" t="s">
        <v>65</v>
      </c>
      <c r="D28" s="12" t="s">
        <v>66</v>
      </c>
      <c r="E28" s="179">
        <v>590</v>
      </c>
      <c r="F28" s="178">
        <f t="shared" ref="F28:H29" si="15">E28</f>
        <v>590</v>
      </c>
      <c r="G28" s="178">
        <f t="shared" si="15"/>
        <v>590</v>
      </c>
      <c r="H28" s="178">
        <f t="shared" si="15"/>
        <v>590</v>
      </c>
      <c r="I28" s="178">
        <f t="shared" ref="I28:AB28" si="16">H28</f>
        <v>590</v>
      </c>
      <c r="J28" s="178">
        <f t="shared" si="16"/>
        <v>590</v>
      </c>
      <c r="K28" s="178">
        <f t="shared" si="16"/>
        <v>590</v>
      </c>
      <c r="L28" s="178">
        <f t="shared" si="16"/>
        <v>590</v>
      </c>
      <c r="M28" s="178">
        <f t="shared" si="16"/>
        <v>590</v>
      </c>
      <c r="N28" s="178">
        <f t="shared" si="16"/>
        <v>590</v>
      </c>
      <c r="O28" s="178">
        <f t="shared" si="16"/>
        <v>590</v>
      </c>
      <c r="P28" s="178">
        <f t="shared" si="16"/>
        <v>590</v>
      </c>
      <c r="Q28" s="178">
        <f t="shared" si="16"/>
        <v>590</v>
      </c>
      <c r="R28" s="178">
        <f t="shared" si="16"/>
        <v>590</v>
      </c>
      <c r="S28" s="178">
        <f t="shared" si="16"/>
        <v>590</v>
      </c>
      <c r="T28" s="178">
        <f t="shared" si="16"/>
        <v>590</v>
      </c>
      <c r="U28" s="178">
        <f t="shared" si="16"/>
        <v>590</v>
      </c>
      <c r="V28" s="178">
        <f t="shared" si="16"/>
        <v>590</v>
      </c>
      <c r="W28" s="178">
        <f t="shared" si="16"/>
        <v>590</v>
      </c>
      <c r="X28" s="178">
        <f t="shared" si="16"/>
        <v>590</v>
      </c>
      <c r="Y28" s="178">
        <f t="shared" si="16"/>
        <v>590</v>
      </c>
      <c r="Z28" s="178">
        <f t="shared" si="16"/>
        <v>590</v>
      </c>
      <c r="AA28" s="178">
        <f t="shared" si="16"/>
        <v>590</v>
      </c>
      <c r="AB28" s="178">
        <f t="shared" si="16"/>
        <v>590</v>
      </c>
    </row>
    <row r="29" spans="2:28" x14ac:dyDescent="0.2">
      <c r="B29" s="60" t="s">
        <v>333</v>
      </c>
      <c r="C29" s="60" t="s">
        <v>66</v>
      </c>
      <c r="D29" s="60" t="s">
        <v>65</v>
      </c>
      <c r="E29" s="229">
        <v>600</v>
      </c>
      <c r="F29" s="236">
        <f t="shared" si="15"/>
        <v>600</v>
      </c>
      <c r="G29" s="236">
        <f t="shared" si="15"/>
        <v>600</v>
      </c>
      <c r="H29" s="236">
        <f t="shared" si="15"/>
        <v>600</v>
      </c>
      <c r="I29" s="236">
        <f t="shared" ref="I29:AB29" si="17">H29</f>
        <v>600</v>
      </c>
      <c r="J29" s="236">
        <f t="shared" si="17"/>
        <v>600</v>
      </c>
      <c r="K29" s="236">
        <f t="shared" si="17"/>
        <v>600</v>
      </c>
      <c r="L29" s="236">
        <f t="shared" si="17"/>
        <v>600</v>
      </c>
      <c r="M29" s="236">
        <f t="shared" si="17"/>
        <v>600</v>
      </c>
      <c r="N29" s="236">
        <f t="shared" si="17"/>
        <v>600</v>
      </c>
      <c r="O29" s="236">
        <f t="shared" si="17"/>
        <v>600</v>
      </c>
      <c r="P29" s="236">
        <f t="shared" si="17"/>
        <v>600</v>
      </c>
      <c r="Q29" s="236">
        <f t="shared" si="17"/>
        <v>600</v>
      </c>
      <c r="R29" s="236">
        <f t="shared" si="17"/>
        <v>600</v>
      </c>
      <c r="S29" s="236">
        <f t="shared" si="17"/>
        <v>600</v>
      </c>
      <c r="T29" s="236">
        <f t="shared" si="17"/>
        <v>600</v>
      </c>
      <c r="U29" s="236">
        <f t="shared" si="17"/>
        <v>600</v>
      </c>
      <c r="V29" s="236">
        <f t="shared" si="17"/>
        <v>600</v>
      </c>
      <c r="W29" s="236">
        <f t="shared" si="17"/>
        <v>600</v>
      </c>
      <c r="X29" s="236">
        <f t="shared" si="17"/>
        <v>600</v>
      </c>
      <c r="Y29" s="236">
        <f t="shared" si="17"/>
        <v>600</v>
      </c>
      <c r="Z29" s="236">
        <f t="shared" si="17"/>
        <v>600</v>
      </c>
      <c r="AA29" s="236">
        <f t="shared" si="17"/>
        <v>600</v>
      </c>
      <c r="AB29" s="236">
        <f t="shared" si="17"/>
        <v>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Ark11">
    <tabColor theme="4"/>
  </sheetPr>
  <dimension ref="A1:AB80"/>
  <sheetViews>
    <sheetView showGridLines="0" zoomScale="110" zoomScaleNormal="110" workbookViewId="0"/>
  </sheetViews>
  <sheetFormatPr baseColWidth="10" defaultColWidth="8.83203125" defaultRowHeight="15" outlineLevelRow="1" x14ac:dyDescent="0.2"/>
  <cols>
    <col min="1" max="1" width="5.6640625" style="12" customWidth="1"/>
    <col min="2" max="2" width="30.6640625" customWidth="1"/>
    <col min="3" max="3" width="20.5" customWidth="1"/>
    <col min="4" max="4" width="10.6640625" customWidth="1"/>
  </cols>
  <sheetData>
    <row r="1" spans="2:28" s="68" customFormat="1" ht="21" x14ac:dyDescent="0.25">
      <c r="B1" s="68" t="s">
        <v>305</v>
      </c>
    </row>
    <row r="4" spans="2:28" s="70" customFormat="1" x14ac:dyDescent="0.2">
      <c r="B4" s="70" t="s">
        <v>316</v>
      </c>
    </row>
    <row r="5" spans="2:28" s="12" customFormat="1" x14ac:dyDescent="0.2"/>
    <row r="6" spans="2:28" s="12" customFormat="1" x14ac:dyDescent="0.2">
      <c r="B6" s="62" t="s">
        <v>317</v>
      </c>
      <c r="C6" s="62"/>
      <c r="D6" s="62" t="s">
        <v>141</v>
      </c>
      <c r="E6" s="74" t="s">
        <v>293</v>
      </c>
    </row>
    <row r="7" spans="2:28" x14ac:dyDescent="0.2">
      <c r="B7" s="59" t="s">
        <v>318</v>
      </c>
      <c r="C7" s="59"/>
      <c r="D7" s="59" t="s">
        <v>88</v>
      </c>
      <c r="E7" s="152">
        <f>E8*3.6/1000</f>
        <v>4.3560000000000001E-2</v>
      </c>
    </row>
    <row r="8" spans="2:28" x14ac:dyDescent="0.2">
      <c r="B8" s="59" t="s">
        <v>319</v>
      </c>
      <c r="C8" s="59"/>
      <c r="D8" s="59" t="s">
        <v>87</v>
      </c>
      <c r="E8" s="104">
        <v>12.1</v>
      </c>
    </row>
    <row r="10" spans="2:28" s="12" customFormat="1" x14ac:dyDescent="0.2"/>
    <row r="11" spans="2:28" s="70" customFormat="1" x14ac:dyDescent="0.2">
      <c r="B11" s="70" t="s">
        <v>320</v>
      </c>
    </row>
    <row r="13" spans="2:28" x14ac:dyDescent="0.2">
      <c r="B13" s="62" t="s">
        <v>321</v>
      </c>
      <c r="C13" s="62"/>
      <c r="D13" s="62" t="s">
        <v>141</v>
      </c>
      <c r="E13" s="74">
        <v>2017</v>
      </c>
      <c r="F13" s="74">
        <v>2018</v>
      </c>
      <c r="G13" s="74">
        <v>2019</v>
      </c>
      <c r="H13" s="74">
        <v>2020</v>
      </c>
      <c r="I13" s="74">
        <v>2021</v>
      </c>
      <c r="J13" s="74">
        <v>2022</v>
      </c>
      <c r="K13" s="74">
        <v>2023</v>
      </c>
      <c r="L13" s="74">
        <v>2024</v>
      </c>
      <c r="M13" s="74">
        <v>2025</v>
      </c>
      <c r="N13" s="74">
        <v>2026</v>
      </c>
      <c r="O13" s="74">
        <v>2027</v>
      </c>
      <c r="P13" s="74">
        <v>2028</v>
      </c>
      <c r="Q13" s="74">
        <v>2029</v>
      </c>
      <c r="R13" s="74">
        <v>2030</v>
      </c>
      <c r="S13" s="74">
        <v>2031</v>
      </c>
      <c r="T13" s="74">
        <v>2032</v>
      </c>
      <c r="U13" s="74">
        <v>2033</v>
      </c>
      <c r="V13" s="74">
        <v>2034</v>
      </c>
      <c r="W13" s="74">
        <v>2035</v>
      </c>
      <c r="X13" s="74">
        <v>2036</v>
      </c>
      <c r="Y13" s="74">
        <v>2037</v>
      </c>
      <c r="Z13" s="74">
        <v>2038</v>
      </c>
      <c r="AA13" s="74">
        <v>2039</v>
      </c>
      <c r="AB13" s="74">
        <v>2040</v>
      </c>
    </row>
    <row r="14" spans="2:28" x14ac:dyDescent="0.2">
      <c r="B14" s="59" t="s">
        <v>119</v>
      </c>
      <c r="C14" s="59"/>
      <c r="D14" s="59" t="s">
        <v>85</v>
      </c>
      <c r="E14" s="84">
        <v>2648.9999999999991</v>
      </c>
      <c r="F14" s="84">
        <v>2544.9705599688277</v>
      </c>
      <c r="G14" s="84">
        <v>2388.4297582361642</v>
      </c>
      <c r="H14" s="84">
        <v>2308.8121115128538</v>
      </c>
      <c r="I14" s="84">
        <v>2299.6372330172321</v>
      </c>
      <c r="J14" s="84">
        <v>2292.6549680503567</v>
      </c>
      <c r="K14" s="84">
        <v>2280.5136304677735</v>
      </c>
      <c r="L14" s="84">
        <v>2301.7828602787858</v>
      </c>
      <c r="M14" s="84">
        <v>2297.5791122806627</v>
      </c>
      <c r="N14" s="84">
        <v>2294.8744203861834</v>
      </c>
      <c r="O14" s="84">
        <v>2269.4040907017948</v>
      </c>
      <c r="P14" s="84">
        <v>2212.8239895934275</v>
      </c>
      <c r="Q14" s="84">
        <v>2133.9535172704786</v>
      </c>
      <c r="R14" s="84">
        <v>2054.2380122291206</v>
      </c>
      <c r="S14" s="84">
        <v>1957.1828345144202</v>
      </c>
      <c r="T14" s="84">
        <v>1874.5034303167085</v>
      </c>
      <c r="U14" s="84">
        <v>1796.5204658397904</v>
      </c>
      <c r="V14" s="84">
        <v>1724.2153826645103</v>
      </c>
      <c r="W14" s="84">
        <v>1652.6715651024472</v>
      </c>
      <c r="X14" s="84">
        <v>1626.8354261544691</v>
      </c>
      <c r="Y14" s="84">
        <v>1589.1722674710547</v>
      </c>
      <c r="Z14" s="84">
        <v>1558.3546496433071</v>
      </c>
      <c r="AA14" s="84">
        <v>1529.8168305293707</v>
      </c>
      <c r="AB14" s="84">
        <v>1509.5428032749137</v>
      </c>
    </row>
    <row r="15" spans="2:28" x14ac:dyDescent="0.2">
      <c r="B15" s="59" t="s">
        <v>258</v>
      </c>
      <c r="C15" s="59"/>
      <c r="D15" s="59" t="s">
        <v>85</v>
      </c>
      <c r="E15" s="84">
        <v>900</v>
      </c>
      <c r="F15" s="84">
        <v>900</v>
      </c>
      <c r="G15" s="84">
        <v>900</v>
      </c>
      <c r="H15" s="84">
        <v>900</v>
      </c>
      <c r="I15" s="84">
        <v>900</v>
      </c>
      <c r="J15" s="84">
        <v>900</v>
      </c>
      <c r="K15" s="84">
        <v>900</v>
      </c>
      <c r="L15" s="84">
        <v>900</v>
      </c>
      <c r="M15" s="84">
        <v>900</v>
      </c>
      <c r="N15" s="84">
        <v>864</v>
      </c>
      <c r="O15" s="84">
        <v>828</v>
      </c>
      <c r="P15" s="84">
        <v>791.99999999999989</v>
      </c>
      <c r="Q15" s="84">
        <v>755.99999999999989</v>
      </c>
      <c r="R15" s="84">
        <v>719.99999999999989</v>
      </c>
      <c r="S15" s="84">
        <v>683.99999999999989</v>
      </c>
      <c r="T15" s="84">
        <v>647.99999999999977</v>
      </c>
      <c r="U15" s="84">
        <v>611.99999999999977</v>
      </c>
      <c r="V15" s="84">
        <v>575.99999999999977</v>
      </c>
      <c r="W15" s="84">
        <v>539.99999999999966</v>
      </c>
      <c r="X15" s="84">
        <v>503.99999999999966</v>
      </c>
      <c r="Y15" s="84">
        <v>467.99999999999966</v>
      </c>
      <c r="Z15" s="84">
        <v>431.9999999999996</v>
      </c>
      <c r="AA15" s="84">
        <v>395.9999999999996</v>
      </c>
      <c r="AB15" s="84">
        <v>359.99999999999955</v>
      </c>
    </row>
    <row r="16" spans="2:28" x14ac:dyDescent="0.2">
      <c r="B16" s="62" t="str">
        <f>"Total, "&amp;B14&amp;" and "&amp;B15</f>
        <v>Total, Denmark and Sweden</v>
      </c>
      <c r="C16" s="62"/>
      <c r="D16" s="62" t="s">
        <v>85</v>
      </c>
      <c r="E16" s="85">
        <f>E14+E15</f>
        <v>3548.9999999999991</v>
      </c>
      <c r="F16" s="85">
        <f t="shared" ref="F16:AB16" si="0">F14+F15</f>
        <v>3444.9705599688277</v>
      </c>
      <c r="G16" s="85">
        <f t="shared" si="0"/>
        <v>3288.4297582361642</v>
      </c>
      <c r="H16" s="85">
        <f t="shared" si="0"/>
        <v>3208.8121115128538</v>
      </c>
      <c r="I16" s="85">
        <f t="shared" si="0"/>
        <v>3199.6372330172321</v>
      </c>
      <c r="J16" s="85">
        <f t="shared" si="0"/>
        <v>3192.6549680503567</v>
      </c>
      <c r="K16" s="85">
        <f t="shared" si="0"/>
        <v>3180.5136304677735</v>
      </c>
      <c r="L16" s="85">
        <f t="shared" si="0"/>
        <v>3201.7828602787858</v>
      </c>
      <c r="M16" s="85">
        <f t="shared" si="0"/>
        <v>3197.5791122806627</v>
      </c>
      <c r="N16" s="85">
        <f t="shared" si="0"/>
        <v>3158.8744203861834</v>
      </c>
      <c r="O16" s="85">
        <f t="shared" si="0"/>
        <v>3097.4040907017948</v>
      </c>
      <c r="P16" s="85">
        <f t="shared" si="0"/>
        <v>3004.8239895934275</v>
      </c>
      <c r="Q16" s="85">
        <f t="shared" si="0"/>
        <v>2889.9535172704786</v>
      </c>
      <c r="R16" s="85">
        <f t="shared" si="0"/>
        <v>2774.2380122291206</v>
      </c>
      <c r="S16" s="85">
        <f t="shared" si="0"/>
        <v>2641.1828345144199</v>
      </c>
      <c r="T16" s="85">
        <f t="shared" si="0"/>
        <v>2522.5034303167085</v>
      </c>
      <c r="U16" s="85">
        <f t="shared" si="0"/>
        <v>2408.5204658397902</v>
      </c>
      <c r="V16" s="85">
        <f t="shared" si="0"/>
        <v>2300.2153826645099</v>
      </c>
      <c r="W16" s="85">
        <f t="shared" si="0"/>
        <v>2192.6715651024469</v>
      </c>
      <c r="X16" s="85">
        <f t="shared" si="0"/>
        <v>2130.8354261544687</v>
      </c>
      <c r="Y16" s="85">
        <f t="shared" si="0"/>
        <v>2057.1722674710545</v>
      </c>
      <c r="Z16" s="85">
        <f t="shared" si="0"/>
        <v>1990.3546496433066</v>
      </c>
      <c r="AA16" s="85">
        <f t="shared" si="0"/>
        <v>1925.8168305293702</v>
      </c>
      <c r="AB16" s="85">
        <f t="shared" si="0"/>
        <v>1869.5428032749132</v>
      </c>
    </row>
    <row r="17" spans="2:28" x14ac:dyDescent="0.2">
      <c r="B17" s="59"/>
      <c r="C17" s="59"/>
      <c r="D17" s="59"/>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2:28" x14ac:dyDescent="0.2">
      <c r="B18" s="59" t="s">
        <v>322</v>
      </c>
      <c r="C18" s="59"/>
      <c r="D18" s="59" t="s">
        <v>85</v>
      </c>
      <c r="E18" s="84">
        <v>670</v>
      </c>
      <c r="F18" s="84">
        <v>525.57434057393198</v>
      </c>
      <c r="G18" s="84">
        <v>5.3625009476032659E-2</v>
      </c>
      <c r="H18" s="84">
        <v>0</v>
      </c>
      <c r="I18" s="84">
        <v>0</v>
      </c>
      <c r="J18" s="84">
        <v>0</v>
      </c>
      <c r="K18" s="84">
        <v>300</v>
      </c>
      <c r="L18" s="84">
        <v>600</v>
      </c>
      <c r="M18" s="84">
        <v>800</v>
      </c>
      <c r="N18" s="84">
        <v>800</v>
      </c>
      <c r="O18" s="84">
        <v>800</v>
      </c>
      <c r="P18" s="84">
        <v>700</v>
      </c>
      <c r="Q18" s="84">
        <v>600</v>
      </c>
      <c r="R18" s="84">
        <v>500</v>
      </c>
      <c r="S18" s="84">
        <v>400</v>
      </c>
      <c r="T18" s="84">
        <v>300</v>
      </c>
      <c r="U18" s="84">
        <v>200</v>
      </c>
      <c r="V18" s="84">
        <v>100</v>
      </c>
      <c r="W18" s="84">
        <v>0</v>
      </c>
      <c r="X18" s="84">
        <v>0</v>
      </c>
      <c r="Y18" s="84">
        <v>0</v>
      </c>
      <c r="Z18" s="84">
        <v>0</v>
      </c>
      <c r="AA18" s="84">
        <v>0</v>
      </c>
      <c r="AB18" s="84">
        <v>0</v>
      </c>
    </row>
    <row r="19" spans="2:28" x14ac:dyDescent="0.2">
      <c r="B19" s="59"/>
      <c r="C19" s="59"/>
      <c r="D19" s="59"/>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2:28" x14ac:dyDescent="0.2">
      <c r="B20" s="91" t="s">
        <v>323</v>
      </c>
      <c r="C20" s="91"/>
      <c r="D20" s="91" t="s">
        <v>85</v>
      </c>
      <c r="E20" s="92">
        <f>E16+E18</f>
        <v>4218.9999999999991</v>
      </c>
      <c r="F20" s="92">
        <f t="shared" ref="F20:AB20" si="1">F16+F18</f>
        <v>3970.5449005427599</v>
      </c>
      <c r="G20" s="92">
        <f t="shared" si="1"/>
        <v>3288.4833832456402</v>
      </c>
      <c r="H20" s="92">
        <f t="shared" si="1"/>
        <v>3208.8121115128538</v>
      </c>
      <c r="I20" s="92">
        <f t="shared" si="1"/>
        <v>3199.6372330172321</v>
      </c>
      <c r="J20" s="92">
        <f t="shared" si="1"/>
        <v>3192.6549680503567</v>
      </c>
      <c r="K20" s="92">
        <f t="shared" si="1"/>
        <v>3480.5136304677735</v>
      </c>
      <c r="L20" s="92">
        <f t="shared" si="1"/>
        <v>3801.7828602787858</v>
      </c>
      <c r="M20" s="92">
        <f t="shared" si="1"/>
        <v>3997.5791122806627</v>
      </c>
      <c r="N20" s="92">
        <f t="shared" si="1"/>
        <v>3958.8744203861834</v>
      </c>
      <c r="O20" s="92">
        <f t="shared" si="1"/>
        <v>3897.4040907017948</v>
      </c>
      <c r="P20" s="92">
        <f t="shared" si="1"/>
        <v>3704.8239895934275</v>
      </c>
      <c r="Q20" s="92">
        <f t="shared" si="1"/>
        <v>3489.9535172704786</v>
      </c>
      <c r="R20" s="92">
        <f t="shared" si="1"/>
        <v>3274.2380122291206</v>
      </c>
      <c r="S20" s="92">
        <f t="shared" si="1"/>
        <v>3041.1828345144199</v>
      </c>
      <c r="T20" s="92">
        <f t="shared" si="1"/>
        <v>2822.5034303167085</v>
      </c>
      <c r="U20" s="92">
        <f t="shared" si="1"/>
        <v>2608.5204658397902</v>
      </c>
      <c r="V20" s="92">
        <f t="shared" si="1"/>
        <v>2400.2153826645099</v>
      </c>
      <c r="W20" s="92">
        <f t="shared" si="1"/>
        <v>2192.6715651024469</v>
      </c>
      <c r="X20" s="92">
        <f t="shared" si="1"/>
        <v>2130.8354261544687</v>
      </c>
      <c r="Y20" s="92">
        <f t="shared" si="1"/>
        <v>2057.1722674710545</v>
      </c>
      <c r="Z20" s="92">
        <f t="shared" si="1"/>
        <v>1990.3546496433066</v>
      </c>
      <c r="AA20" s="92">
        <f t="shared" si="1"/>
        <v>1925.8168305293702</v>
      </c>
      <c r="AB20" s="92">
        <f t="shared" si="1"/>
        <v>1869.5428032749132</v>
      </c>
    </row>
    <row r="21" spans="2:28" x14ac:dyDescent="0.2">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row>
    <row r="22" spans="2:28" s="12" customFormat="1" x14ac:dyDescent="0.2">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row>
    <row r="23" spans="2:28" x14ac:dyDescent="0.2">
      <c r="B23" s="62" t="s">
        <v>318</v>
      </c>
      <c r="C23" s="62"/>
      <c r="D23" s="62" t="s">
        <v>141</v>
      </c>
      <c r="E23" s="74">
        <f>E$13</f>
        <v>2017</v>
      </c>
      <c r="F23" s="74">
        <f t="shared" ref="F23:AB23" si="2">F$13</f>
        <v>2018</v>
      </c>
      <c r="G23" s="74">
        <f t="shared" si="2"/>
        <v>2019</v>
      </c>
      <c r="H23" s="74">
        <f t="shared" si="2"/>
        <v>2020</v>
      </c>
      <c r="I23" s="74">
        <f t="shared" si="2"/>
        <v>2021</v>
      </c>
      <c r="J23" s="74">
        <f t="shared" si="2"/>
        <v>2022</v>
      </c>
      <c r="K23" s="74">
        <f t="shared" si="2"/>
        <v>2023</v>
      </c>
      <c r="L23" s="74">
        <f t="shared" si="2"/>
        <v>2024</v>
      </c>
      <c r="M23" s="74">
        <f t="shared" si="2"/>
        <v>2025</v>
      </c>
      <c r="N23" s="74">
        <f t="shared" si="2"/>
        <v>2026</v>
      </c>
      <c r="O23" s="74">
        <f t="shared" si="2"/>
        <v>2027</v>
      </c>
      <c r="P23" s="74">
        <f t="shared" si="2"/>
        <v>2028</v>
      </c>
      <c r="Q23" s="74">
        <f t="shared" si="2"/>
        <v>2029</v>
      </c>
      <c r="R23" s="74">
        <f t="shared" si="2"/>
        <v>2030</v>
      </c>
      <c r="S23" s="74">
        <f t="shared" si="2"/>
        <v>2031</v>
      </c>
      <c r="T23" s="74">
        <f t="shared" si="2"/>
        <v>2032</v>
      </c>
      <c r="U23" s="74">
        <f t="shared" si="2"/>
        <v>2033</v>
      </c>
      <c r="V23" s="74">
        <f t="shared" si="2"/>
        <v>2034</v>
      </c>
      <c r="W23" s="74">
        <f t="shared" si="2"/>
        <v>2035</v>
      </c>
      <c r="X23" s="74">
        <f t="shared" si="2"/>
        <v>2036</v>
      </c>
      <c r="Y23" s="74">
        <f t="shared" si="2"/>
        <v>2037</v>
      </c>
      <c r="Z23" s="74">
        <f t="shared" si="2"/>
        <v>2038</v>
      </c>
      <c r="AA23" s="74">
        <f t="shared" si="2"/>
        <v>2039</v>
      </c>
      <c r="AB23" s="74">
        <f t="shared" si="2"/>
        <v>2040</v>
      </c>
    </row>
    <row r="24" spans="2:28" x14ac:dyDescent="0.2">
      <c r="B24" s="59" t="s">
        <v>119</v>
      </c>
      <c r="C24" s="59"/>
      <c r="D24" s="59" t="s">
        <v>86</v>
      </c>
      <c r="E24" s="81">
        <f>E14*$E$7</f>
        <v>115.39043999999997</v>
      </c>
      <c r="F24" s="81">
        <f t="shared" ref="F24:AB25" si="3">F14*$E$7</f>
        <v>110.85891759224214</v>
      </c>
      <c r="G24" s="81">
        <f t="shared" si="3"/>
        <v>104.04000026876732</v>
      </c>
      <c r="H24" s="81">
        <f t="shared" si="3"/>
        <v>100.57185557749992</v>
      </c>
      <c r="I24" s="81">
        <f t="shared" si="3"/>
        <v>100.17219787023063</v>
      </c>
      <c r="J24" s="81">
        <f t="shared" si="3"/>
        <v>99.868050408273547</v>
      </c>
      <c r="K24" s="81">
        <f t="shared" si="3"/>
        <v>99.339173743176218</v>
      </c>
      <c r="L24" s="81">
        <f t="shared" si="3"/>
        <v>100.26566139374391</v>
      </c>
      <c r="M24" s="81">
        <f t="shared" si="3"/>
        <v>100.08254613094567</v>
      </c>
      <c r="N24" s="81">
        <f t="shared" si="3"/>
        <v>99.964729752022151</v>
      </c>
      <c r="O24" s="81">
        <f t="shared" si="3"/>
        <v>98.855242190970188</v>
      </c>
      <c r="P24" s="81">
        <f t="shared" si="3"/>
        <v>96.390612986689703</v>
      </c>
      <c r="Q24" s="81">
        <f t="shared" si="3"/>
        <v>92.955015212302058</v>
      </c>
      <c r="R24" s="81">
        <f t="shared" si="3"/>
        <v>89.482607812700493</v>
      </c>
      <c r="S24" s="81">
        <f t="shared" si="3"/>
        <v>85.254884271448148</v>
      </c>
      <c r="T24" s="81">
        <f t="shared" si="3"/>
        <v>81.653369424595823</v>
      </c>
      <c r="U24" s="81">
        <f t="shared" si="3"/>
        <v>78.256431491981274</v>
      </c>
      <c r="V24" s="81">
        <f t="shared" si="3"/>
        <v>75.10682206886608</v>
      </c>
      <c r="W24" s="81">
        <f t="shared" si="3"/>
        <v>71.990373375862603</v>
      </c>
      <c r="X24" s="81">
        <f t="shared" si="3"/>
        <v>70.86495116328868</v>
      </c>
      <c r="Y24" s="81">
        <f t="shared" si="3"/>
        <v>69.224343971039147</v>
      </c>
      <c r="Z24" s="81">
        <f t="shared" si="3"/>
        <v>67.881928538462461</v>
      </c>
      <c r="AA24" s="81">
        <f t="shared" si="3"/>
        <v>66.638821137859395</v>
      </c>
      <c r="AB24" s="81">
        <f t="shared" si="3"/>
        <v>65.755684510655243</v>
      </c>
    </row>
    <row r="25" spans="2:28" x14ac:dyDescent="0.2">
      <c r="B25" s="59" t="s">
        <v>258</v>
      </c>
      <c r="C25" s="59"/>
      <c r="D25" s="59" t="s">
        <v>86</v>
      </c>
      <c r="E25" s="81">
        <f>E15*$E$7</f>
        <v>39.204000000000001</v>
      </c>
      <c r="F25" s="81">
        <f t="shared" si="3"/>
        <v>39.204000000000001</v>
      </c>
      <c r="G25" s="81">
        <f t="shared" si="3"/>
        <v>39.204000000000001</v>
      </c>
      <c r="H25" s="81">
        <f t="shared" si="3"/>
        <v>39.204000000000001</v>
      </c>
      <c r="I25" s="81">
        <f t="shared" si="3"/>
        <v>39.204000000000001</v>
      </c>
      <c r="J25" s="81">
        <f t="shared" si="3"/>
        <v>39.204000000000001</v>
      </c>
      <c r="K25" s="81">
        <f t="shared" si="3"/>
        <v>39.204000000000001</v>
      </c>
      <c r="L25" s="81">
        <f t="shared" si="3"/>
        <v>39.204000000000001</v>
      </c>
      <c r="M25" s="81">
        <f t="shared" si="3"/>
        <v>39.204000000000001</v>
      </c>
      <c r="N25" s="81">
        <f t="shared" si="3"/>
        <v>37.635840000000002</v>
      </c>
      <c r="O25" s="81">
        <f t="shared" si="3"/>
        <v>36.067680000000003</v>
      </c>
      <c r="P25" s="81">
        <f t="shared" si="3"/>
        <v>34.499519999999997</v>
      </c>
      <c r="Q25" s="81">
        <f t="shared" si="3"/>
        <v>32.931359999999998</v>
      </c>
      <c r="R25" s="81">
        <f t="shared" si="3"/>
        <v>31.363199999999996</v>
      </c>
      <c r="S25" s="81">
        <f t="shared" si="3"/>
        <v>29.795039999999997</v>
      </c>
      <c r="T25" s="81">
        <f t="shared" si="3"/>
        <v>28.226879999999991</v>
      </c>
      <c r="U25" s="81">
        <f t="shared" si="3"/>
        <v>26.658719999999992</v>
      </c>
      <c r="V25" s="81">
        <f t="shared" si="3"/>
        <v>25.090559999999989</v>
      </c>
      <c r="W25" s="81">
        <f t="shared" si="3"/>
        <v>23.522399999999987</v>
      </c>
      <c r="X25" s="81">
        <f t="shared" si="3"/>
        <v>21.954239999999984</v>
      </c>
      <c r="Y25" s="81">
        <f t="shared" si="3"/>
        <v>20.386079999999986</v>
      </c>
      <c r="Z25" s="81">
        <f t="shared" si="3"/>
        <v>18.817919999999983</v>
      </c>
      <c r="AA25" s="81">
        <f t="shared" si="3"/>
        <v>17.249759999999984</v>
      </c>
      <c r="AB25" s="81">
        <f t="shared" si="3"/>
        <v>15.68159999999998</v>
      </c>
    </row>
    <row r="26" spans="2:28" x14ac:dyDescent="0.2">
      <c r="B26" s="62" t="str">
        <f>"Total, "&amp;B24&amp;" and "&amp;B25</f>
        <v>Total, Denmark and Sweden</v>
      </c>
      <c r="C26" s="62"/>
      <c r="D26" s="62" t="s">
        <v>86</v>
      </c>
      <c r="E26" s="85">
        <f t="shared" ref="E26:AB26" si="4">E24+E25</f>
        <v>154.59443999999996</v>
      </c>
      <c r="F26" s="85">
        <f t="shared" si="4"/>
        <v>150.06291759224214</v>
      </c>
      <c r="G26" s="85">
        <f t="shared" si="4"/>
        <v>143.24400026876731</v>
      </c>
      <c r="H26" s="85">
        <f t="shared" si="4"/>
        <v>139.77585557749993</v>
      </c>
      <c r="I26" s="85">
        <f t="shared" si="4"/>
        <v>139.37619787023064</v>
      </c>
      <c r="J26" s="85">
        <f t="shared" si="4"/>
        <v>139.07205040827355</v>
      </c>
      <c r="K26" s="85">
        <f t="shared" si="4"/>
        <v>138.54317374317623</v>
      </c>
      <c r="L26" s="85">
        <f t="shared" si="4"/>
        <v>139.46966139374391</v>
      </c>
      <c r="M26" s="85">
        <f t="shared" si="4"/>
        <v>139.28654613094568</v>
      </c>
      <c r="N26" s="85">
        <f t="shared" si="4"/>
        <v>137.60056975202215</v>
      </c>
      <c r="O26" s="85">
        <f t="shared" si="4"/>
        <v>134.92292219097018</v>
      </c>
      <c r="P26" s="85">
        <f t="shared" si="4"/>
        <v>130.89013298668971</v>
      </c>
      <c r="Q26" s="85">
        <f t="shared" si="4"/>
        <v>125.88637521230206</v>
      </c>
      <c r="R26" s="85">
        <f t="shared" si="4"/>
        <v>120.84580781270049</v>
      </c>
      <c r="S26" s="85">
        <f t="shared" si="4"/>
        <v>115.04992427144815</v>
      </c>
      <c r="T26" s="85">
        <f t="shared" si="4"/>
        <v>109.88024942459582</v>
      </c>
      <c r="U26" s="85">
        <f t="shared" si="4"/>
        <v>104.91515149198126</v>
      </c>
      <c r="V26" s="85">
        <f t="shared" si="4"/>
        <v>100.19738206886606</v>
      </c>
      <c r="W26" s="85">
        <f t="shared" si="4"/>
        <v>95.512773375862594</v>
      </c>
      <c r="X26" s="85">
        <f t="shared" si="4"/>
        <v>92.819191163288664</v>
      </c>
      <c r="Y26" s="85">
        <f t="shared" si="4"/>
        <v>89.610423971039125</v>
      </c>
      <c r="Z26" s="85">
        <f t="shared" si="4"/>
        <v>86.699848538462447</v>
      </c>
      <c r="AA26" s="85">
        <f t="shared" si="4"/>
        <v>83.888581137859376</v>
      </c>
      <c r="AB26" s="85">
        <f t="shared" si="4"/>
        <v>81.437284510655218</v>
      </c>
    </row>
    <row r="27" spans="2:28" x14ac:dyDescent="0.2">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row>
    <row r="28" spans="2:28" x14ac:dyDescent="0.2">
      <c r="B28" s="59" t="s">
        <v>322</v>
      </c>
      <c r="C28" s="59"/>
      <c r="D28" s="59" t="s">
        <v>86</v>
      </c>
      <c r="E28" s="81">
        <f>E18*$E$7</f>
        <v>29.185200000000002</v>
      </c>
      <c r="F28" s="81">
        <f t="shared" ref="F28:AB28" si="5">F18*$E$7</f>
        <v>22.894018275400477</v>
      </c>
      <c r="G28" s="81">
        <f t="shared" si="5"/>
        <v>2.3359054127759828E-3</v>
      </c>
      <c r="H28" s="81">
        <f t="shared" si="5"/>
        <v>0</v>
      </c>
      <c r="I28" s="81">
        <f t="shared" si="5"/>
        <v>0</v>
      </c>
      <c r="J28" s="81">
        <f t="shared" si="5"/>
        <v>0</v>
      </c>
      <c r="K28" s="81">
        <f t="shared" si="5"/>
        <v>13.068</v>
      </c>
      <c r="L28" s="81">
        <f t="shared" si="5"/>
        <v>26.135999999999999</v>
      </c>
      <c r="M28" s="81">
        <f t="shared" si="5"/>
        <v>34.847999999999999</v>
      </c>
      <c r="N28" s="81">
        <f t="shared" si="5"/>
        <v>34.847999999999999</v>
      </c>
      <c r="O28" s="81">
        <f t="shared" si="5"/>
        <v>34.847999999999999</v>
      </c>
      <c r="P28" s="81">
        <f t="shared" si="5"/>
        <v>30.492000000000001</v>
      </c>
      <c r="Q28" s="81">
        <f t="shared" si="5"/>
        <v>26.135999999999999</v>
      </c>
      <c r="R28" s="81">
        <f t="shared" si="5"/>
        <v>21.78</v>
      </c>
      <c r="S28" s="81">
        <f t="shared" si="5"/>
        <v>17.423999999999999</v>
      </c>
      <c r="T28" s="81">
        <f t="shared" si="5"/>
        <v>13.068</v>
      </c>
      <c r="U28" s="81">
        <f t="shared" si="5"/>
        <v>8.7119999999999997</v>
      </c>
      <c r="V28" s="81">
        <f t="shared" si="5"/>
        <v>4.3559999999999999</v>
      </c>
      <c r="W28" s="81">
        <f t="shared" si="5"/>
        <v>0</v>
      </c>
      <c r="X28" s="81">
        <f t="shared" si="5"/>
        <v>0</v>
      </c>
      <c r="Y28" s="81">
        <f t="shared" si="5"/>
        <v>0</v>
      </c>
      <c r="Z28" s="81">
        <f t="shared" si="5"/>
        <v>0</v>
      </c>
      <c r="AA28" s="81">
        <f t="shared" si="5"/>
        <v>0</v>
      </c>
      <c r="AB28" s="81">
        <f t="shared" si="5"/>
        <v>0</v>
      </c>
    </row>
    <row r="29" spans="2:28" x14ac:dyDescent="0.2">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row>
    <row r="30" spans="2:28" x14ac:dyDescent="0.2">
      <c r="B30" s="91" t="s">
        <v>323</v>
      </c>
      <c r="C30" s="91"/>
      <c r="D30" s="91" t="s">
        <v>86</v>
      </c>
      <c r="E30" s="92">
        <f>E26+E28</f>
        <v>183.77963999999997</v>
      </c>
      <c r="F30" s="92">
        <f t="shared" ref="F30:AB30" si="6">F26+F28</f>
        <v>172.95693586764261</v>
      </c>
      <c r="G30" s="92">
        <f t="shared" si="6"/>
        <v>143.24633617418007</v>
      </c>
      <c r="H30" s="92">
        <f t="shared" si="6"/>
        <v>139.77585557749993</v>
      </c>
      <c r="I30" s="92">
        <f t="shared" si="6"/>
        <v>139.37619787023064</v>
      </c>
      <c r="J30" s="92">
        <f t="shared" si="6"/>
        <v>139.07205040827355</v>
      </c>
      <c r="K30" s="92">
        <f t="shared" si="6"/>
        <v>151.61117374317624</v>
      </c>
      <c r="L30" s="92">
        <f t="shared" si="6"/>
        <v>165.6056613937439</v>
      </c>
      <c r="M30" s="92">
        <f t="shared" si="6"/>
        <v>174.13454613094569</v>
      </c>
      <c r="N30" s="92">
        <f t="shared" si="6"/>
        <v>172.44856975202214</v>
      </c>
      <c r="O30" s="92">
        <f t="shared" si="6"/>
        <v>169.77092219097017</v>
      </c>
      <c r="P30" s="92">
        <f t="shared" si="6"/>
        <v>161.3821329866897</v>
      </c>
      <c r="Q30" s="92">
        <f t="shared" si="6"/>
        <v>152.02237521230205</v>
      </c>
      <c r="R30" s="92">
        <f t="shared" si="6"/>
        <v>142.62580781270049</v>
      </c>
      <c r="S30" s="92">
        <f t="shared" si="6"/>
        <v>132.47392427144814</v>
      </c>
      <c r="T30" s="92">
        <f t="shared" si="6"/>
        <v>122.94824942459582</v>
      </c>
      <c r="U30" s="92">
        <f t="shared" si="6"/>
        <v>113.62715149198127</v>
      </c>
      <c r="V30" s="92">
        <f t="shared" si="6"/>
        <v>104.55338206886606</v>
      </c>
      <c r="W30" s="92">
        <f t="shared" si="6"/>
        <v>95.512773375862594</v>
      </c>
      <c r="X30" s="92">
        <f t="shared" si="6"/>
        <v>92.819191163288664</v>
      </c>
      <c r="Y30" s="92">
        <f t="shared" si="6"/>
        <v>89.610423971039125</v>
      </c>
      <c r="Z30" s="92">
        <f t="shared" si="6"/>
        <v>86.699848538462447</v>
      </c>
      <c r="AA30" s="92">
        <f t="shared" si="6"/>
        <v>83.888581137859376</v>
      </c>
      <c r="AB30" s="92">
        <f t="shared" si="6"/>
        <v>81.437284510655218</v>
      </c>
    </row>
    <row r="31" spans="2:28" x14ac:dyDescent="0.2">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row>
    <row r="32" spans="2:28" x14ac:dyDescent="0.2">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row>
    <row r="33" spans="2:28" x14ac:dyDescent="0.2">
      <c r="B33" s="62" t="s">
        <v>319</v>
      </c>
      <c r="C33" s="62"/>
      <c r="D33" s="62" t="s">
        <v>141</v>
      </c>
      <c r="E33" s="74">
        <f>E$13</f>
        <v>2017</v>
      </c>
      <c r="F33" s="74">
        <f t="shared" ref="F33:AB33" si="7">F$13</f>
        <v>2018</v>
      </c>
      <c r="G33" s="74">
        <f t="shared" si="7"/>
        <v>2019</v>
      </c>
      <c r="H33" s="74">
        <f t="shared" si="7"/>
        <v>2020</v>
      </c>
      <c r="I33" s="74">
        <f t="shared" si="7"/>
        <v>2021</v>
      </c>
      <c r="J33" s="74">
        <f t="shared" si="7"/>
        <v>2022</v>
      </c>
      <c r="K33" s="74">
        <f t="shared" si="7"/>
        <v>2023</v>
      </c>
      <c r="L33" s="74">
        <f t="shared" si="7"/>
        <v>2024</v>
      </c>
      <c r="M33" s="74">
        <f t="shared" si="7"/>
        <v>2025</v>
      </c>
      <c r="N33" s="74">
        <f t="shared" si="7"/>
        <v>2026</v>
      </c>
      <c r="O33" s="74">
        <f t="shared" si="7"/>
        <v>2027</v>
      </c>
      <c r="P33" s="74">
        <f t="shared" si="7"/>
        <v>2028</v>
      </c>
      <c r="Q33" s="74">
        <f t="shared" si="7"/>
        <v>2029</v>
      </c>
      <c r="R33" s="74">
        <f t="shared" si="7"/>
        <v>2030</v>
      </c>
      <c r="S33" s="74">
        <f t="shared" si="7"/>
        <v>2031</v>
      </c>
      <c r="T33" s="74">
        <f t="shared" si="7"/>
        <v>2032</v>
      </c>
      <c r="U33" s="74">
        <f t="shared" si="7"/>
        <v>2033</v>
      </c>
      <c r="V33" s="74">
        <f t="shared" si="7"/>
        <v>2034</v>
      </c>
      <c r="W33" s="74">
        <f t="shared" si="7"/>
        <v>2035</v>
      </c>
      <c r="X33" s="74">
        <f t="shared" si="7"/>
        <v>2036</v>
      </c>
      <c r="Y33" s="74">
        <f t="shared" si="7"/>
        <v>2037</v>
      </c>
      <c r="Z33" s="74">
        <f t="shared" si="7"/>
        <v>2038</v>
      </c>
      <c r="AA33" s="74">
        <f t="shared" si="7"/>
        <v>2039</v>
      </c>
      <c r="AB33" s="74">
        <f t="shared" si="7"/>
        <v>2040</v>
      </c>
    </row>
    <row r="34" spans="2:28" x14ac:dyDescent="0.2">
      <c r="B34" s="59" t="s">
        <v>119</v>
      </c>
      <c r="C34" s="59"/>
      <c r="D34" s="59" t="s">
        <v>70</v>
      </c>
      <c r="E34" s="81">
        <f>E14*$E$8</f>
        <v>32052.899999999987</v>
      </c>
      <c r="F34" s="81">
        <f t="shared" ref="F34:AB35" si="8">F14*$E$8</f>
        <v>30794.143775622815</v>
      </c>
      <c r="G34" s="81">
        <f t="shared" si="8"/>
        <v>28900.000074657586</v>
      </c>
      <c r="H34" s="81">
        <f t="shared" si="8"/>
        <v>27936.626549305529</v>
      </c>
      <c r="I34" s="81">
        <f t="shared" si="8"/>
        <v>27825.610519508507</v>
      </c>
      <c r="J34" s="81">
        <f t="shared" si="8"/>
        <v>27741.125113409315</v>
      </c>
      <c r="K34" s="81">
        <f t="shared" si="8"/>
        <v>27594.214928660058</v>
      </c>
      <c r="L34" s="81">
        <f t="shared" si="8"/>
        <v>27851.572609373306</v>
      </c>
      <c r="M34" s="81">
        <f t="shared" si="8"/>
        <v>27800.707258596016</v>
      </c>
      <c r="N34" s="81">
        <f t="shared" si="8"/>
        <v>27767.980486672819</v>
      </c>
      <c r="O34" s="81">
        <f t="shared" si="8"/>
        <v>27459.789497491714</v>
      </c>
      <c r="P34" s="81">
        <f t="shared" si="8"/>
        <v>26775.170274080472</v>
      </c>
      <c r="Q34" s="81">
        <f t="shared" si="8"/>
        <v>25820.837558972791</v>
      </c>
      <c r="R34" s="81">
        <f t="shared" si="8"/>
        <v>24856.279947972358</v>
      </c>
      <c r="S34" s="81">
        <f t="shared" si="8"/>
        <v>23681.912297624483</v>
      </c>
      <c r="T34" s="81">
        <f t="shared" si="8"/>
        <v>22681.491506832172</v>
      </c>
      <c r="U34" s="81">
        <f t="shared" si="8"/>
        <v>21737.897636661462</v>
      </c>
      <c r="V34" s="81">
        <f t="shared" si="8"/>
        <v>20863.006130240574</v>
      </c>
      <c r="W34" s="81">
        <f t="shared" si="8"/>
        <v>19997.32593773961</v>
      </c>
      <c r="X34" s="81">
        <f t="shared" si="8"/>
        <v>19684.708656469076</v>
      </c>
      <c r="Y34" s="81">
        <f t="shared" si="8"/>
        <v>19228.984436399762</v>
      </c>
      <c r="Z34" s="81">
        <f t="shared" si="8"/>
        <v>18856.091260684014</v>
      </c>
      <c r="AA34" s="81">
        <f t="shared" si="8"/>
        <v>18510.783649405384</v>
      </c>
      <c r="AB34" s="81">
        <f t="shared" si="8"/>
        <v>18265.467919626455</v>
      </c>
    </row>
    <row r="35" spans="2:28" x14ac:dyDescent="0.2">
      <c r="B35" s="59" t="s">
        <v>258</v>
      </c>
      <c r="C35" s="59"/>
      <c r="D35" s="59" t="s">
        <v>70</v>
      </c>
      <c r="E35" s="81">
        <f>E15*$E$8</f>
        <v>10890</v>
      </c>
      <c r="F35" s="81">
        <f t="shared" si="8"/>
        <v>10890</v>
      </c>
      <c r="G35" s="81">
        <f t="shared" si="8"/>
        <v>10890</v>
      </c>
      <c r="H35" s="81">
        <f t="shared" si="8"/>
        <v>10890</v>
      </c>
      <c r="I35" s="81">
        <f t="shared" si="8"/>
        <v>10890</v>
      </c>
      <c r="J35" s="81">
        <f t="shared" si="8"/>
        <v>10890</v>
      </c>
      <c r="K35" s="81">
        <f t="shared" si="8"/>
        <v>10890</v>
      </c>
      <c r="L35" s="81">
        <f t="shared" si="8"/>
        <v>10890</v>
      </c>
      <c r="M35" s="81">
        <f t="shared" si="8"/>
        <v>10890</v>
      </c>
      <c r="N35" s="81">
        <f t="shared" si="8"/>
        <v>10454.4</v>
      </c>
      <c r="O35" s="81">
        <f t="shared" si="8"/>
        <v>10018.799999999999</v>
      </c>
      <c r="P35" s="81">
        <f t="shared" si="8"/>
        <v>9583.1999999999989</v>
      </c>
      <c r="Q35" s="81">
        <f t="shared" si="8"/>
        <v>9147.5999999999985</v>
      </c>
      <c r="R35" s="81">
        <f t="shared" si="8"/>
        <v>8711.9999999999982</v>
      </c>
      <c r="S35" s="81">
        <f t="shared" si="8"/>
        <v>8276.3999999999978</v>
      </c>
      <c r="T35" s="81">
        <f t="shared" si="8"/>
        <v>7840.7999999999975</v>
      </c>
      <c r="U35" s="81">
        <f t="shared" si="8"/>
        <v>7405.1999999999971</v>
      </c>
      <c r="V35" s="81">
        <f t="shared" si="8"/>
        <v>6969.5999999999967</v>
      </c>
      <c r="W35" s="81">
        <f t="shared" si="8"/>
        <v>6533.9999999999955</v>
      </c>
      <c r="X35" s="81">
        <f t="shared" si="8"/>
        <v>6098.399999999996</v>
      </c>
      <c r="Y35" s="81">
        <f t="shared" si="8"/>
        <v>5662.7999999999956</v>
      </c>
      <c r="Z35" s="81">
        <f t="shared" si="8"/>
        <v>5227.1999999999953</v>
      </c>
      <c r="AA35" s="81">
        <f t="shared" si="8"/>
        <v>4791.5999999999949</v>
      </c>
      <c r="AB35" s="81">
        <f t="shared" si="8"/>
        <v>4355.9999999999945</v>
      </c>
    </row>
    <row r="36" spans="2:28" x14ac:dyDescent="0.2">
      <c r="B36" s="62" t="str">
        <f>"Total, "&amp;B34&amp;" og "&amp;B35</f>
        <v>Total, Denmark og Sweden</v>
      </c>
      <c r="C36" s="62"/>
      <c r="D36" s="62" t="s">
        <v>70</v>
      </c>
      <c r="E36" s="85">
        <f t="shared" ref="E36:AB36" si="9">E34+E35</f>
        <v>42942.899999999987</v>
      </c>
      <c r="F36" s="85">
        <f t="shared" si="9"/>
        <v>41684.143775622812</v>
      </c>
      <c r="G36" s="85">
        <f t="shared" si="9"/>
        <v>39790.000074657582</v>
      </c>
      <c r="H36" s="85">
        <f t="shared" si="9"/>
        <v>38826.626549305525</v>
      </c>
      <c r="I36" s="85">
        <f t="shared" si="9"/>
        <v>38715.610519508511</v>
      </c>
      <c r="J36" s="85">
        <f t="shared" si="9"/>
        <v>38631.125113409318</v>
      </c>
      <c r="K36" s="85">
        <f t="shared" si="9"/>
        <v>38484.214928660062</v>
      </c>
      <c r="L36" s="85">
        <f t="shared" si="9"/>
        <v>38741.57260937331</v>
      </c>
      <c r="M36" s="85">
        <f t="shared" si="9"/>
        <v>38690.707258596012</v>
      </c>
      <c r="N36" s="85">
        <f t="shared" si="9"/>
        <v>38222.380486672817</v>
      </c>
      <c r="O36" s="85">
        <f t="shared" si="9"/>
        <v>37478.589497491717</v>
      </c>
      <c r="P36" s="85">
        <f t="shared" si="9"/>
        <v>36358.370274080473</v>
      </c>
      <c r="Q36" s="85">
        <f t="shared" si="9"/>
        <v>34968.437558972786</v>
      </c>
      <c r="R36" s="85">
        <f t="shared" si="9"/>
        <v>33568.279947972354</v>
      </c>
      <c r="S36" s="85">
        <f t="shared" si="9"/>
        <v>31958.312297624481</v>
      </c>
      <c r="T36" s="85">
        <f t="shared" si="9"/>
        <v>30522.291506832167</v>
      </c>
      <c r="U36" s="85">
        <f t="shared" si="9"/>
        <v>29143.09763666146</v>
      </c>
      <c r="V36" s="85">
        <f t="shared" si="9"/>
        <v>27832.606130240572</v>
      </c>
      <c r="W36" s="85">
        <f t="shared" si="9"/>
        <v>26531.325937739606</v>
      </c>
      <c r="X36" s="85">
        <f t="shared" si="9"/>
        <v>25783.10865646907</v>
      </c>
      <c r="Y36" s="85">
        <f t="shared" si="9"/>
        <v>24891.784436399757</v>
      </c>
      <c r="Z36" s="85">
        <f t="shared" si="9"/>
        <v>24083.291260684011</v>
      </c>
      <c r="AA36" s="85">
        <f t="shared" si="9"/>
        <v>23302.383649405379</v>
      </c>
      <c r="AB36" s="85">
        <f t="shared" si="9"/>
        <v>22621.467919626448</v>
      </c>
    </row>
    <row r="37" spans="2:28" x14ac:dyDescent="0.2">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row>
    <row r="38" spans="2:28" x14ac:dyDescent="0.2">
      <c r="B38" s="59" t="s">
        <v>322</v>
      </c>
      <c r="C38" s="59"/>
      <c r="D38" s="59" t="s">
        <v>70</v>
      </c>
      <c r="E38" s="81">
        <f>E18*$E$8</f>
        <v>8107</v>
      </c>
      <c r="F38" s="81">
        <f t="shared" ref="F38:AB38" si="10">F18*$E$8</f>
        <v>6359.4495209445768</v>
      </c>
      <c r="G38" s="81">
        <f t="shared" si="10"/>
        <v>0.64886261465999517</v>
      </c>
      <c r="H38" s="81">
        <f t="shared" si="10"/>
        <v>0</v>
      </c>
      <c r="I38" s="81">
        <f t="shared" si="10"/>
        <v>0</v>
      </c>
      <c r="J38" s="81">
        <f t="shared" si="10"/>
        <v>0</v>
      </c>
      <c r="K38" s="81">
        <f t="shared" si="10"/>
        <v>3630</v>
      </c>
      <c r="L38" s="81">
        <f t="shared" si="10"/>
        <v>7260</v>
      </c>
      <c r="M38" s="81">
        <f t="shared" si="10"/>
        <v>9680</v>
      </c>
      <c r="N38" s="81">
        <f t="shared" si="10"/>
        <v>9680</v>
      </c>
      <c r="O38" s="81">
        <f t="shared" si="10"/>
        <v>9680</v>
      </c>
      <c r="P38" s="81">
        <f t="shared" si="10"/>
        <v>8470</v>
      </c>
      <c r="Q38" s="81">
        <f t="shared" si="10"/>
        <v>7260</v>
      </c>
      <c r="R38" s="81">
        <f t="shared" si="10"/>
        <v>6050</v>
      </c>
      <c r="S38" s="81">
        <f t="shared" si="10"/>
        <v>4840</v>
      </c>
      <c r="T38" s="81">
        <f t="shared" si="10"/>
        <v>3630</v>
      </c>
      <c r="U38" s="81">
        <f t="shared" si="10"/>
        <v>2420</v>
      </c>
      <c r="V38" s="81">
        <f t="shared" si="10"/>
        <v>1210</v>
      </c>
      <c r="W38" s="81">
        <f t="shared" si="10"/>
        <v>0</v>
      </c>
      <c r="X38" s="81">
        <f t="shared" si="10"/>
        <v>0</v>
      </c>
      <c r="Y38" s="81">
        <f t="shared" si="10"/>
        <v>0</v>
      </c>
      <c r="Z38" s="81">
        <f t="shared" si="10"/>
        <v>0</v>
      </c>
      <c r="AA38" s="81">
        <f t="shared" si="10"/>
        <v>0</v>
      </c>
      <c r="AB38" s="81">
        <f t="shared" si="10"/>
        <v>0</v>
      </c>
    </row>
    <row r="39" spans="2:28" x14ac:dyDescent="0.2">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row>
    <row r="40" spans="2:28" x14ac:dyDescent="0.2">
      <c r="B40" s="91" t="s">
        <v>323</v>
      </c>
      <c r="C40" s="91"/>
      <c r="D40" s="91" t="s">
        <v>70</v>
      </c>
      <c r="E40" s="92">
        <f>E36+E38</f>
        <v>51049.899999999987</v>
      </c>
      <c r="F40" s="92">
        <f t="shared" ref="F40:AB40" si="11">F36+F38</f>
        <v>48043.593296567386</v>
      </c>
      <c r="G40" s="92">
        <f t="shared" si="11"/>
        <v>39790.648937272243</v>
      </c>
      <c r="H40" s="92">
        <f t="shared" si="11"/>
        <v>38826.626549305525</v>
      </c>
      <c r="I40" s="92">
        <f t="shared" si="11"/>
        <v>38715.610519508511</v>
      </c>
      <c r="J40" s="92">
        <f t="shared" si="11"/>
        <v>38631.125113409318</v>
      </c>
      <c r="K40" s="92">
        <f t="shared" si="11"/>
        <v>42114.214928660062</v>
      </c>
      <c r="L40" s="92">
        <f t="shared" si="11"/>
        <v>46001.57260937331</v>
      </c>
      <c r="M40" s="92">
        <f t="shared" si="11"/>
        <v>48370.707258596012</v>
      </c>
      <c r="N40" s="92">
        <f t="shared" si="11"/>
        <v>47902.380486672817</v>
      </c>
      <c r="O40" s="92">
        <f t="shared" si="11"/>
        <v>47158.589497491717</v>
      </c>
      <c r="P40" s="92">
        <f t="shared" si="11"/>
        <v>44828.370274080473</v>
      </c>
      <c r="Q40" s="92">
        <f t="shared" si="11"/>
        <v>42228.437558972786</v>
      </c>
      <c r="R40" s="92">
        <f t="shared" si="11"/>
        <v>39618.279947972354</v>
      </c>
      <c r="S40" s="92">
        <f t="shared" si="11"/>
        <v>36798.312297624478</v>
      </c>
      <c r="T40" s="92">
        <f t="shared" si="11"/>
        <v>34152.291506832167</v>
      </c>
      <c r="U40" s="92">
        <f t="shared" si="11"/>
        <v>31563.09763666146</v>
      </c>
      <c r="V40" s="92">
        <f t="shared" si="11"/>
        <v>29042.606130240572</v>
      </c>
      <c r="W40" s="92">
        <f t="shared" si="11"/>
        <v>26531.325937739606</v>
      </c>
      <c r="X40" s="92">
        <f t="shared" si="11"/>
        <v>25783.10865646907</v>
      </c>
      <c r="Y40" s="92">
        <f t="shared" si="11"/>
        <v>24891.784436399757</v>
      </c>
      <c r="Z40" s="92">
        <f t="shared" si="11"/>
        <v>24083.291260684011</v>
      </c>
      <c r="AA40" s="92">
        <f t="shared" si="11"/>
        <v>23302.383649405379</v>
      </c>
      <c r="AB40" s="92">
        <f t="shared" si="11"/>
        <v>22621.467919626448</v>
      </c>
    </row>
    <row r="42" spans="2:28" s="12" customFormat="1" x14ac:dyDescent="0.2"/>
    <row r="43" spans="2:28" s="70" customFormat="1" x14ac:dyDescent="0.2">
      <c r="B43" s="70" t="s">
        <v>324</v>
      </c>
    </row>
    <row r="45" spans="2:28" x14ac:dyDescent="0.2">
      <c r="B45" s="62" t="s">
        <v>321</v>
      </c>
      <c r="C45" s="62"/>
      <c r="D45" s="62" t="s">
        <v>141</v>
      </c>
      <c r="E45" s="74">
        <v>2017</v>
      </c>
      <c r="F45" s="74">
        <v>2018</v>
      </c>
      <c r="G45" s="74">
        <v>2019</v>
      </c>
      <c r="H45" s="74">
        <v>2020</v>
      </c>
      <c r="I45" s="74">
        <v>2021</v>
      </c>
      <c r="J45" s="74">
        <v>2022</v>
      </c>
      <c r="K45" s="74">
        <v>2023</v>
      </c>
      <c r="L45" s="74">
        <v>2024</v>
      </c>
      <c r="M45" s="74">
        <v>2025</v>
      </c>
      <c r="N45" s="74">
        <v>2026</v>
      </c>
      <c r="O45" s="74">
        <v>2027</v>
      </c>
      <c r="P45" s="74">
        <v>2028</v>
      </c>
      <c r="Q45" s="74">
        <v>2029</v>
      </c>
      <c r="R45" s="74">
        <v>2030</v>
      </c>
      <c r="S45" s="74">
        <v>2031</v>
      </c>
      <c r="T45" s="74">
        <v>2032</v>
      </c>
      <c r="U45" s="74">
        <v>2033</v>
      </c>
      <c r="V45" s="74">
        <v>2034</v>
      </c>
      <c r="W45" s="74">
        <v>2035</v>
      </c>
      <c r="X45" s="74">
        <v>2036</v>
      </c>
      <c r="Y45" s="74">
        <v>2037</v>
      </c>
      <c r="Z45" s="74">
        <v>2038</v>
      </c>
      <c r="AA45" s="74">
        <v>2039</v>
      </c>
      <c r="AB45" s="74">
        <v>2040</v>
      </c>
    </row>
    <row r="46" spans="2:28" x14ac:dyDescent="0.2">
      <c r="B46" s="59" t="s">
        <v>262</v>
      </c>
      <c r="C46" s="59"/>
      <c r="D46" s="59" t="s">
        <v>85</v>
      </c>
      <c r="E46" s="84">
        <v>3074.1808752845932</v>
      </c>
      <c r="F46" s="84">
        <v>3013.4712442273958</v>
      </c>
      <c r="G46" s="84">
        <v>2312.1350410606206</v>
      </c>
      <c r="H46" s="84">
        <v>182.5</v>
      </c>
      <c r="I46" s="84">
        <v>182.5</v>
      </c>
      <c r="J46" s="84">
        <v>182.5</v>
      </c>
      <c r="K46" s="84">
        <v>2206.5260261166477</v>
      </c>
      <c r="L46" s="84">
        <v>2524.384654185355</v>
      </c>
      <c r="M46" s="84">
        <v>2716.6413699122513</v>
      </c>
      <c r="N46" s="84">
        <v>2675.1609556601534</v>
      </c>
      <c r="O46" s="84">
        <v>2610.4075402026401</v>
      </c>
      <c r="P46" s="84">
        <v>2343.3982573195303</v>
      </c>
      <c r="Q46" s="84">
        <v>1978.2201226157777</v>
      </c>
      <c r="R46" s="84">
        <v>1650.1655110284814</v>
      </c>
      <c r="S46" s="84">
        <v>1270.9065964625779</v>
      </c>
      <c r="T46" s="84">
        <v>926.02345541366321</v>
      </c>
      <c r="U46" s="84">
        <v>454.836754085542</v>
      </c>
      <c r="V46" s="84">
        <v>241.32793405905886</v>
      </c>
      <c r="W46" s="84">
        <v>75.580379645792618</v>
      </c>
      <c r="X46" s="84">
        <v>13.065890444081106</v>
      </c>
      <c r="Y46" s="84">
        <v>2.0782637505449202</v>
      </c>
      <c r="Z46" s="84">
        <v>1.61006421071761E-2</v>
      </c>
      <c r="AA46" s="84">
        <v>0.2337362474809197</v>
      </c>
      <c r="AB46" s="84">
        <v>-0.28483628766593938</v>
      </c>
    </row>
    <row r="47" spans="2:28" x14ac:dyDescent="0.2">
      <c r="B47" s="59" t="s">
        <v>263</v>
      </c>
      <c r="C47" s="59"/>
      <c r="D47" s="59" t="s">
        <v>85</v>
      </c>
      <c r="E47" s="84">
        <v>154.81912471540602</v>
      </c>
      <c r="F47" s="84">
        <v>197.67365631536418</v>
      </c>
      <c r="G47" s="84">
        <v>216.94834218501938</v>
      </c>
      <c r="H47" s="84">
        <v>219.29284528130316</v>
      </c>
      <c r="I47" s="84">
        <v>225.76309788862162</v>
      </c>
      <c r="J47" s="84">
        <v>233.99949405514795</v>
      </c>
      <c r="K47" s="84">
        <v>232.9876043511257</v>
      </c>
      <c r="L47" s="84">
        <v>236.39820609343093</v>
      </c>
      <c r="M47" s="84">
        <v>239.93774236841122</v>
      </c>
      <c r="N47" s="84">
        <v>242.7134647260302</v>
      </c>
      <c r="O47" s="84">
        <v>245.99655049915484</v>
      </c>
      <c r="P47" s="84">
        <v>249.42573227389698</v>
      </c>
      <c r="Q47" s="84">
        <v>252.73339465470119</v>
      </c>
      <c r="R47" s="84">
        <v>259.07250120063918</v>
      </c>
      <c r="S47" s="84">
        <v>262.2762380518422</v>
      </c>
      <c r="T47" s="84">
        <v>265.47997490304516</v>
      </c>
      <c r="U47" s="84">
        <v>268.68371175424818</v>
      </c>
      <c r="V47" s="84">
        <v>271.88744860545108</v>
      </c>
      <c r="W47" s="84">
        <v>275.09118545665427</v>
      </c>
      <c r="X47" s="84">
        <v>300.84945843981978</v>
      </c>
      <c r="Y47" s="84">
        <v>327.09400372050965</v>
      </c>
      <c r="Z47" s="84">
        <v>353.33854900119945</v>
      </c>
      <c r="AA47" s="84">
        <v>379.58309428188943</v>
      </c>
      <c r="AB47" s="84">
        <v>405.82763956257918</v>
      </c>
    </row>
    <row r="48" spans="2:28" s="12" customFormat="1" x14ac:dyDescent="0.2">
      <c r="B48" s="59" t="s">
        <v>264</v>
      </c>
      <c r="C48" s="59"/>
      <c r="D48" s="59" t="s">
        <v>85</v>
      </c>
      <c r="E48" s="84">
        <v>990</v>
      </c>
      <c r="F48" s="84">
        <v>759.39999999999986</v>
      </c>
      <c r="G48" s="84">
        <v>759.4</v>
      </c>
      <c r="H48" s="84">
        <v>2807.0192662315508</v>
      </c>
      <c r="I48" s="84">
        <v>2791.3741351286103</v>
      </c>
      <c r="J48" s="84">
        <v>2776.1554739952089</v>
      </c>
      <c r="K48" s="84">
        <v>1041</v>
      </c>
      <c r="L48" s="84">
        <v>1041</v>
      </c>
      <c r="M48" s="84">
        <v>1041</v>
      </c>
      <c r="N48" s="84">
        <v>1041</v>
      </c>
      <c r="O48" s="84">
        <v>1041</v>
      </c>
      <c r="P48" s="84">
        <v>1112</v>
      </c>
      <c r="Q48" s="84">
        <v>1259</v>
      </c>
      <c r="R48" s="84">
        <v>1365</v>
      </c>
      <c r="S48" s="84">
        <v>1508</v>
      </c>
      <c r="T48" s="84">
        <v>1631</v>
      </c>
      <c r="U48" s="84">
        <v>1885</v>
      </c>
      <c r="V48" s="84">
        <v>1887</v>
      </c>
      <c r="W48" s="84">
        <v>1842</v>
      </c>
      <c r="X48" s="84">
        <v>1816.9200772705681</v>
      </c>
      <c r="Y48" s="84">
        <v>1728</v>
      </c>
      <c r="Z48" s="84">
        <v>1637</v>
      </c>
      <c r="AA48" s="84">
        <v>1546</v>
      </c>
      <c r="AB48" s="84">
        <v>1464</v>
      </c>
    </row>
    <row r="49" spans="2:28" x14ac:dyDescent="0.2">
      <c r="B49" s="91" t="s">
        <v>325</v>
      </c>
      <c r="C49" s="91"/>
      <c r="D49" s="91" t="s">
        <v>85</v>
      </c>
      <c r="E49" s="92">
        <f>E46+E47+E48</f>
        <v>4218.9999999999991</v>
      </c>
      <c r="F49" s="92">
        <f t="shared" ref="F49:AB49" si="12">F46+F47+F48</f>
        <v>3970.5449005427599</v>
      </c>
      <c r="G49" s="92">
        <f t="shared" si="12"/>
        <v>3288.4833832456402</v>
      </c>
      <c r="H49" s="92">
        <f t="shared" si="12"/>
        <v>3208.8121115128538</v>
      </c>
      <c r="I49" s="92">
        <f t="shared" si="12"/>
        <v>3199.6372330172317</v>
      </c>
      <c r="J49" s="92">
        <f t="shared" si="12"/>
        <v>3192.6549680503567</v>
      </c>
      <c r="K49" s="92">
        <f t="shared" si="12"/>
        <v>3480.5136304677735</v>
      </c>
      <c r="L49" s="92">
        <f t="shared" si="12"/>
        <v>3801.7828602787858</v>
      </c>
      <c r="M49" s="92">
        <f t="shared" si="12"/>
        <v>3997.5791122806627</v>
      </c>
      <c r="N49" s="92">
        <f t="shared" si="12"/>
        <v>3958.8744203861834</v>
      </c>
      <c r="O49" s="92">
        <f t="shared" si="12"/>
        <v>3897.4040907017948</v>
      </c>
      <c r="P49" s="92">
        <f t="shared" si="12"/>
        <v>3704.8239895934275</v>
      </c>
      <c r="Q49" s="92">
        <f t="shared" si="12"/>
        <v>3489.9535172704786</v>
      </c>
      <c r="R49" s="92">
        <f t="shared" si="12"/>
        <v>3274.2380122291206</v>
      </c>
      <c r="S49" s="92">
        <f t="shared" si="12"/>
        <v>3041.1828345144204</v>
      </c>
      <c r="T49" s="92">
        <f t="shared" si="12"/>
        <v>2822.5034303167085</v>
      </c>
      <c r="U49" s="92">
        <f t="shared" si="12"/>
        <v>2608.5204658397902</v>
      </c>
      <c r="V49" s="92">
        <f t="shared" si="12"/>
        <v>2400.2153826645099</v>
      </c>
      <c r="W49" s="92">
        <f t="shared" si="12"/>
        <v>2192.6715651024469</v>
      </c>
      <c r="X49" s="92">
        <f t="shared" si="12"/>
        <v>2130.8354261544691</v>
      </c>
      <c r="Y49" s="92">
        <f t="shared" si="12"/>
        <v>2057.1722674710545</v>
      </c>
      <c r="Z49" s="92">
        <f t="shared" si="12"/>
        <v>1990.3546496433066</v>
      </c>
      <c r="AA49" s="92">
        <f t="shared" si="12"/>
        <v>1925.8168305293702</v>
      </c>
      <c r="AB49" s="92">
        <f t="shared" si="12"/>
        <v>1869.5428032749132</v>
      </c>
    </row>
    <row r="50" spans="2:28" x14ac:dyDescent="0.2">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row>
    <row r="51" spans="2:28" x14ac:dyDescent="0.2">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row>
    <row r="52" spans="2:28" s="12" customFormat="1" x14ac:dyDescent="0.2">
      <c r="B52" s="62" t="s">
        <v>318</v>
      </c>
      <c r="C52" s="62"/>
      <c r="D52" s="62" t="s">
        <v>141</v>
      </c>
      <c r="E52" s="74">
        <v>2017</v>
      </c>
      <c r="F52" s="74">
        <v>2018</v>
      </c>
      <c r="G52" s="74">
        <v>2019</v>
      </c>
      <c r="H52" s="74">
        <v>2020</v>
      </c>
      <c r="I52" s="74">
        <v>2021</v>
      </c>
      <c r="J52" s="74">
        <v>2022</v>
      </c>
      <c r="K52" s="74">
        <v>2023</v>
      </c>
      <c r="L52" s="74">
        <v>2024</v>
      </c>
      <c r="M52" s="74">
        <v>2025</v>
      </c>
      <c r="N52" s="74">
        <v>2026</v>
      </c>
      <c r="O52" s="74">
        <v>2027</v>
      </c>
      <c r="P52" s="74">
        <v>2028</v>
      </c>
      <c r="Q52" s="74">
        <v>2029</v>
      </c>
      <c r="R52" s="74">
        <v>2030</v>
      </c>
      <c r="S52" s="74">
        <v>2031</v>
      </c>
      <c r="T52" s="74">
        <v>2032</v>
      </c>
      <c r="U52" s="74">
        <v>2033</v>
      </c>
      <c r="V52" s="74">
        <v>2034</v>
      </c>
      <c r="W52" s="74">
        <v>2035</v>
      </c>
      <c r="X52" s="74">
        <v>2036</v>
      </c>
      <c r="Y52" s="74">
        <v>2037</v>
      </c>
      <c r="Z52" s="74">
        <v>2038</v>
      </c>
      <c r="AA52" s="74">
        <v>2039</v>
      </c>
      <c r="AB52" s="74">
        <v>2040</v>
      </c>
    </row>
    <row r="53" spans="2:28" s="12" customFormat="1" x14ac:dyDescent="0.2">
      <c r="B53" s="59" t="str">
        <f>B46</f>
        <v>Delivered from the North Sea (Nybro)</v>
      </c>
      <c r="C53" s="59"/>
      <c r="D53" s="59" t="s">
        <v>86</v>
      </c>
      <c r="E53" s="81">
        <f t="shared" ref="E53:AB53" si="13">E46*$E$7</f>
        <v>133.91131892739688</v>
      </c>
      <c r="F53" s="81">
        <f t="shared" si="13"/>
        <v>131.26680739854535</v>
      </c>
      <c r="G53" s="81">
        <f t="shared" si="13"/>
        <v>100.71660238860063</v>
      </c>
      <c r="H53" s="81">
        <f t="shared" si="13"/>
        <v>7.9497</v>
      </c>
      <c r="I53" s="81">
        <f t="shared" si="13"/>
        <v>7.9497</v>
      </c>
      <c r="J53" s="81">
        <f t="shared" si="13"/>
        <v>7.9497</v>
      </c>
      <c r="K53" s="81">
        <f t="shared" si="13"/>
        <v>96.116273697641176</v>
      </c>
      <c r="L53" s="81">
        <f t="shared" si="13"/>
        <v>109.96219553631407</v>
      </c>
      <c r="M53" s="81">
        <f t="shared" si="13"/>
        <v>118.33689807337767</v>
      </c>
      <c r="N53" s="81">
        <f t="shared" si="13"/>
        <v>116.53001122855629</v>
      </c>
      <c r="O53" s="81">
        <f t="shared" si="13"/>
        <v>113.70935245122701</v>
      </c>
      <c r="P53" s="81">
        <f t="shared" si="13"/>
        <v>102.07842808883875</v>
      </c>
      <c r="Q53" s="81">
        <f t="shared" si="13"/>
        <v>86.171268541143277</v>
      </c>
      <c r="R53" s="81">
        <f t="shared" si="13"/>
        <v>71.881209660400657</v>
      </c>
      <c r="S53" s="81">
        <f t="shared" si="13"/>
        <v>55.360691341909899</v>
      </c>
      <c r="T53" s="81">
        <f t="shared" si="13"/>
        <v>40.33758171781917</v>
      </c>
      <c r="U53" s="81">
        <f t="shared" si="13"/>
        <v>19.81268900796621</v>
      </c>
      <c r="V53" s="81">
        <f t="shared" si="13"/>
        <v>10.512244807612605</v>
      </c>
      <c r="W53" s="81">
        <f t="shared" si="13"/>
        <v>3.2922813373707265</v>
      </c>
      <c r="X53" s="81">
        <f t="shared" si="13"/>
        <v>0.56915018774417303</v>
      </c>
      <c r="Y53" s="81">
        <f t="shared" si="13"/>
        <v>9.0529168973736723E-2</v>
      </c>
      <c r="Z53" s="81">
        <f t="shared" si="13"/>
        <v>7.0134397018859092E-4</v>
      </c>
      <c r="AA53" s="81">
        <f t="shared" si="13"/>
        <v>1.0181550940268862E-2</v>
      </c>
      <c r="AB53" s="81">
        <f t="shared" si="13"/>
        <v>-1.240746869072832E-2</v>
      </c>
    </row>
    <row r="54" spans="2:28" s="12" customFormat="1" x14ac:dyDescent="0.2">
      <c r="B54" s="59" t="str">
        <f>B47</f>
        <v>RE gas</v>
      </c>
      <c r="C54" s="59"/>
      <c r="D54" s="59" t="s">
        <v>86</v>
      </c>
      <c r="E54" s="81">
        <f t="shared" ref="E54:AB54" si="14">E47*$E$7</f>
        <v>6.7439210726030865</v>
      </c>
      <c r="F54" s="81">
        <f t="shared" si="14"/>
        <v>8.610664469097264</v>
      </c>
      <c r="G54" s="81">
        <f t="shared" si="14"/>
        <v>9.4502697855794455</v>
      </c>
      <c r="H54" s="81">
        <f t="shared" si="14"/>
        <v>9.5523963404535657</v>
      </c>
      <c r="I54" s="81">
        <f t="shared" si="14"/>
        <v>9.8342405440283578</v>
      </c>
      <c r="J54" s="81">
        <f t="shared" si="14"/>
        <v>10.193017961042244</v>
      </c>
      <c r="K54" s="81">
        <f t="shared" si="14"/>
        <v>10.148940045535035</v>
      </c>
      <c r="L54" s="81">
        <f t="shared" si="14"/>
        <v>10.297505857429851</v>
      </c>
      <c r="M54" s="81">
        <f t="shared" si="14"/>
        <v>10.451688057567994</v>
      </c>
      <c r="N54" s="81">
        <f t="shared" si="14"/>
        <v>10.572598523465876</v>
      </c>
      <c r="O54" s="81">
        <f t="shared" si="14"/>
        <v>10.715609739743185</v>
      </c>
      <c r="P54" s="81">
        <f t="shared" si="14"/>
        <v>10.864984897850952</v>
      </c>
      <c r="Q54" s="81">
        <f t="shared" si="14"/>
        <v>11.009066671158784</v>
      </c>
      <c r="R54" s="81">
        <f t="shared" si="14"/>
        <v>11.285198152299843</v>
      </c>
      <c r="S54" s="81">
        <f t="shared" si="14"/>
        <v>11.424752929538247</v>
      </c>
      <c r="T54" s="81">
        <f t="shared" si="14"/>
        <v>11.564307706776647</v>
      </c>
      <c r="U54" s="81">
        <f t="shared" si="14"/>
        <v>11.703862484015051</v>
      </c>
      <c r="V54" s="81">
        <f t="shared" si="14"/>
        <v>11.84341726125345</v>
      </c>
      <c r="W54" s="81">
        <f t="shared" si="14"/>
        <v>11.982972038491861</v>
      </c>
      <c r="X54" s="81">
        <f t="shared" si="14"/>
        <v>13.10500240963855</v>
      </c>
      <c r="Y54" s="81">
        <f t="shared" si="14"/>
        <v>14.248214802065402</v>
      </c>
      <c r="Z54" s="81">
        <f t="shared" si="14"/>
        <v>15.391427194492248</v>
      </c>
      <c r="AA54" s="81">
        <f t="shared" si="14"/>
        <v>16.534639586919106</v>
      </c>
      <c r="AB54" s="81">
        <f t="shared" si="14"/>
        <v>17.677851979345949</v>
      </c>
    </row>
    <row r="55" spans="2:28" s="12" customFormat="1" x14ac:dyDescent="0.2">
      <c r="B55" s="59" t="str">
        <f>B48</f>
        <v>Import from Germany (Entry Ellund)</v>
      </c>
      <c r="C55" s="59"/>
      <c r="D55" s="59" t="s">
        <v>86</v>
      </c>
      <c r="E55" s="81">
        <f t="shared" ref="E55:AB55" si="15">E48*$E$7</f>
        <v>43.124400000000001</v>
      </c>
      <c r="F55" s="81">
        <f t="shared" si="15"/>
        <v>33.079463999999994</v>
      </c>
      <c r="G55" s="81">
        <f t="shared" si="15"/>
        <v>33.079464000000002</v>
      </c>
      <c r="H55" s="81">
        <f t="shared" si="15"/>
        <v>122.27375923704635</v>
      </c>
      <c r="I55" s="81">
        <f t="shared" si="15"/>
        <v>121.59225732620227</v>
      </c>
      <c r="J55" s="81">
        <f t="shared" si="15"/>
        <v>120.9293324472313</v>
      </c>
      <c r="K55" s="81">
        <f t="shared" si="15"/>
        <v>45.345959999999998</v>
      </c>
      <c r="L55" s="81">
        <f t="shared" si="15"/>
        <v>45.345959999999998</v>
      </c>
      <c r="M55" s="81">
        <f t="shared" si="15"/>
        <v>45.345959999999998</v>
      </c>
      <c r="N55" s="81">
        <f t="shared" si="15"/>
        <v>45.345959999999998</v>
      </c>
      <c r="O55" s="81">
        <f t="shared" si="15"/>
        <v>45.345959999999998</v>
      </c>
      <c r="P55" s="81">
        <f t="shared" si="15"/>
        <v>48.438720000000004</v>
      </c>
      <c r="Q55" s="81">
        <f t="shared" si="15"/>
        <v>54.842040000000004</v>
      </c>
      <c r="R55" s="81">
        <f t="shared" si="15"/>
        <v>59.459400000000002</v>
      </c>
      <c r="S55" s="81">
        <f t="shared" si="15"/>
        <v>65.688479999999998</v>
      </c>
      <c r="T55" s="81">
        <f t="shared" si="15"/>
        <v>71.046360000000007</v>
      </c>
      <c r="U55" s="81">
        <f t="shared" si="15"/>
        <v>82.110600000000005</v>
      </c>
      <c r="V55" s="81">
        <f t="shared" si="15"/>
        <v>82.197720000000004</v>
      </c>
      <c r="W55" s="81">
        <f t="shared" si="15"/>
        <v>80.237520000000004</v>
      </c>
      <c r="X55" s="81">
        <f t="shared" si="15"/>
        <v>79.145038565905949</v>
      </c>
      <c r="Y55" s="81">
        <f t="shared" si="15"/>
        <v>75.271680000000003</v>
      </c>
      <c r="Z55" s="81">
        <f t="shared" si="15"/>
        <v>71.307720000000003</v>
      </c>
      <c r="AA55" s="81">
        <f t="shared" si="15"/>
        <v>67.343760000000003</v>
      </c>
      <c r="AB55" s="81">
        <f t="shared" si="15"/>
        <v>63.771840000000005</v>
      </c>
    </row>
    <row r="56" spans="2:28" s="12" customFormat="1" x14ac:dyDescent="0.2">
      <c r="B56" s="91" t="s">
        <v>325</v>
      </c>
      <c r="C56" s="91"/>
      <c r="D56" s="91" t="s">
        <v>86</v>
      </c>
      <c r="E56" s="92">
        <f>E53+E54+E55</f>
        <v>183.77963999999997</v>
      </c>
      <c r="F56" s="92">
        <f t="shared" ref="F56:AB56" si="16">F53+F54+F55</f>
        <v>172.95693586764261</v>
      </c>
      <c r="G56" s="92">
        <f t="shared" si="16"/>
        <v>143.2463361741801</v>
      </c>
      <c r="H56" s="92">
        <f t="shared" si="16"/>
        <v>139.77585557749993</v>
      </c>
      <c r="I56" s="92">
        <f t="shared" si="16"/>
        <v>139.37619787023064</v>
      </c>
      <c r="J56" s="92">
        <f t="shared" si="16"/>
        <v>139.07205040827355</v>
      </c>
      <c r="K56" s="92">
        <f t="shared" si="16"/>
        <v>151.61117374317621</v>
      </c>
      <c r="L56" s="92">
        <f t="shared" si="16"/>
        <v>165.60566139374393</v>
      </c>
      <c r="M56" s="92">
        <f t="shared" si="16"/>
        <v>174.13454613094567</v>
      </c>
      <c r="N56" s="92">
        <f t="shared" si="16"/>
        <v>172.44856975202217</v>
      </c>
      <c r="O56" s="92">
        <f t="shared" si="16"/>
        <v>169.7709221909702</v>
      </c>
      <c r="P56" s="92">
        <f t="shared" si="16"/>
        <v>161.38213298668973</v>
      </c>
      <c r="Q56" s="92">
        <f t="shared" si="16"/>
        <v>152.02237521230205</v>
      </c>
      <c r="R56" s="92">
        <f t="shared" si="16"/>
        <v>142.62580781270049</v>
      </c>
      <c r="S56" s="92">
        <f t="shared" si="16"/>
        <v>132.47392427144814</v>
      </c>
      <c r="T56" s="92">
        <f t="shared" si="16"/>
        <v>122.94824942459582</v>
      </c>
      <c r="U56" s="92">
        <f t="shared" si="16"/>
        <v>113.62715149198127</v>
      </c>
      <c r="V56" s="92">
        <f t="shared" si="16"/>
        <v>104.55338206886606</v>
      </c>
      <c r="W56" s="92">
        <f t="shared" si="16"/>
        <v>95.512773375862594</v>
      </c>
      <c r="X56" s="92">
        <f t="shared" si="16"/>
        <v>92.819191163288679</v>
      </c>
      <c r="Y56" s="92">
        <f t="shared" si="16"/>
        <v>89.61042397103914</v>
      </c>
      <c r="Z56" s="92">
        <f t="shared" si="16"/>
        <v>86.699848538462447</v>
      </c>
      <c r="AA56" s="92">
        <f t="shared" si="16"/>
        <v>83.888581137859376</v>
      </c>
      <c r="AB56" s="92">
        <f t="shared" si="16"/>
        <v>81.437284510655218</v>
      </c>
    </row>
    <row r="57" spans="2:28" s="12" customFormat="1" x14ac:dyDescent="0.2">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row>
    <row r="58" spans="2:28" x14ac:dyDescent="0.2">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row>
    <row r="59" spans="2:28" s="12" customFormat="1" x14ac:dyDescent="0.2">
      <c r="B59" s="62" t="s">
        <v>319</v>
      </c>
      <c r="C59" s="62"/>
      <c r="D59" s="62" t="s">
        <v>141</v>
      </c>
      <c r="E59" s="74">
        <v>2017</v>
      </c>
      <c r="F59" s="74">
        <v>2018</v>
      </c>
      <c r="G59" s="74">
        <v>2019</v>
      </c>
      <c r="H59" s="74">
        <v>2020</v>
      </c>
      <c r="I59" s="74">
        <v>2021</v>
      </c>
      <c r="J59" s="74">
        <v>2022</v>
      </c>
      <c r="K59" s="74">
        <v>2023</v>
      </c>
      <c r="L59" s="74">
        <v>2024</v>
      </c>
      <c r="M59" s="74">
        <v>2025</v>
      </c>
      <c r="N59" s="74">
        <v>2026</v>
      </c>
      <c r="O59" s="74">
        <v>2027</v>
      </c>
      <c r="P59" s="74">
        <v>2028</v>
      </c>
      <c r="Q59" s="74">
        <v>2029</v>
      </c>
      <c r="R59" s="74">
        <v>2030</v>
      </c>
      <c r="S59" s="74">
        <v>2031</v>
      </c>
      <c r="T59" s="74">
        <v>2032</v>
      </c>
      <c r="U59" s="74">
        <v>2033</v>
      </c>
      <c r="V59" s="74">
        <v>2034</v>
      </c>
      <c r="W59" s="74">
        <v>2035</v>
      </c>
      <c r="X59" s="74">
        <v>2036</v>
      </c>
      <c r="Y59" s="74">
        <v>2037</v>
      </c>
      <c r="Z59" s="74">
        <v>2038</v>
      </c>
      <c r="AA59" s="74">
        <v>2039</v>
      </c>
      <c r="AB59" s="74">
        <v>2040</v>
      </c>
    </row>
    <row r="60" spans="2:28" s="12" customFormat="1" x14ac:dyDescent="0.2">
      <c r="B60" s="59" t="str">
        <f>B53</f>
        <v>Delivered from the North Sea (Nybro)</v>
      </c>
      <c r="C60" s="59"/>
      <c r="D60" s="59" t="s">
        <v>70</v>
      </c>
      <c r="E60" s="81">
        <f t="shared" ref="E60:AB60" si="17">E46*$E$8</f>
        <v>37197.588590943575</v>
      </c>
      <c r="F60" s="81">
        <f t="shared" si="17"/>
        <v>36463.00205515149</v>
      </c>
      <c r="G60" s="81">
        <f t="shared" si="17"/>
        <v>27976.833996833509</v>
      </c>
      <c r="H60" s="81">
        <f t="shared" si="17"/>
        <v>2208.25</v>
      </c>
      <c r="I60" s="81">
        <f t="shared" si="17"/>
        <v>2208.25</v>
      </c>
      <c r="J60" s="81">
        <f t="shared" si="17"/>
        <v>2208.25</v>
      </c>
      <c r="K60" s="81">
        <f t="shared" si="17"/>
        <v>26698.964916011435</v>
      </c>
      <c r="L60" s="81">
        <f t="shared" si="17"/>
        <v>30545.054315642796</v>
      </c>
      <c r="M60" s="81">
        <f t="shared" si="17"/>
        <v>32871.360575938241</v>
      </c>
      <c r="N60" s="81">
        <f t="shared" si="17"/>
        <v>32369.447563487854</v>
      </c>
      <c r="O60" s="81">
        <f t="shared" si="17"/>
        <v>31585.931236451943</v>
      </c>
      <c r="P60" s="81">
        <f t="shared" si="17"/>
        <v>28355.118913566315</v>
      </c>
      <c r="Q60" s="81">
        <f t="shared" si="17"/>
        <v>23936.46348365091</v>
      </c>
      <c r="R60" s="81">
        <f t="shared" si="17"/>
        <v>19967.002683444625</v>
      </c>
      <c r="S60" s="81">
        <f t="shared" si="17"/>
        <v>15377.969817197192</v>
      </c>
      <c r="T60" s="81">
        <f t="shared" si="17"/>
        <v>11204.883810505324</v>
      </c>
      <c r="U60" s="81">
        <f t="shared" si="17"/>
        <v>5503.5247244350576</v>
      </c>
      <c r="V60" s="81">
        <f t="shared" si="17"/>
        <v>2920.0680021146122</v>
      </c>
      <c r="W60" s="81">
        <f t="shared" si="17"/>
        <v>914.5225937140907</v>
      </c>
      <c r="X60" s="81">
        <f t="shared" si="17"/>
        <v>158.09727437338137</v>
      </c>
      <c r="Y60" s="81">
        <f t="shared" si="17"/>
        <v>25.146991381593534</v>
      </c>
      <c r="Z60" s="81">
        <f t="shared" si="17"/>
        <v>0.1948177694968308</v>
      </c>
      <c r="AA60" s="81">
        <f t="shared" si="17"/>
        <v>2.8282085945191282</v>
      </c>
      <c r="AB60" s="81">
        <f t="shared" si="17"/>
        <v>-3.4465190807578665</v>
      </c>
    </row>
    <row r="61" spans="2:28" s="12" customFormat="1" x14ac:dyDescent="0.2">
      <c r="B61" s="59" t="str">
        <f>B54</f>
        <v>RE gas</v>
      </c>
      <c r="C61" s="59"/>
      <c r="D61" s="59" t="s">
        <v>70</v>
      </c>
      <c r="E61" s="81">
        <f t="shared" ref="E61:AB61" si="18">E47*$E$8</f>
        <v>1873.3114090564127</v>
      </c>
      <c r="F61" s="81">
        <f t="shared" si="18"/>
        <v>2391.8512414159068</v>
      </c>
      <c r="G61" s="81">
        <f t="shared" si="18"/>
        <v>2625.0749404387343</v>
      </c>
      <c r="H61" s="81">
        <f t="shared" si="18"/>
        <v>2653.4434279037682</v>
      </c>
      <c r="I61" s="81">
        <f t="shared" si="18"/>
        <v>2731.7334844523216</v>
      </c>
      <c r="J61" s="81">
        <f t="shared" si="18"/>
        <v>2831.3938780672902</v>
      </c>
      <c r="K61" s="81">
        <f t="shared" si="18"/>
        <v>2819.1500126486208</v>
      </c>
      <c r="L61" s="81">
        <f t="shared" si="18"/>
        <v>2860.4182937305141</v>
      </c>
      <c r="M61" s="81">
        <f t="shared" si="18"/>
        <v>2903.2466826577756</v>
      </c>
      <c r="N61" s="81">
        <f t="shared" si="18"/>
        <v>2936.8329231849652</v>
      </c>
      <c r="O61" s="81">
        <f t="shared" si="18"/>
        <v>2976.5582610397732</v>
      </c>
      <c r="P61" s="81">
        <f t="shared" si="18"/>
        <v>3018.0513605141532</v>
      </c>
      <c r="Q61" s="81">
        <f t="shared" si="18"/>
        <v>3058.0740753218843</v>
      </c>
      <c r="R61" s="81">
        <f t="shared" si="18"/>
        <v>3134.7772645277341</v>
      </c>
      <c r="S61" s="81">
        <f t="shared" si="18"/>
        <v>3173.5424804272907</v>
      </c>
      <c r="T61" s="81">
        <f t="shared" si="18"/>
        <v>3212.3076963268463</v>
      </c>
      <c r="U61" s="81">
        <f t="shared" si="18"/>
        <v>3251.0729122264029</v>
      </c>
      <c r="V61" s="81">
        <f t="shared" si="18"/>
        <v>3289.8381281259581</v>
      </c>
      <c r="W61" s="81">
        <f t="shared" si="18"/>
        <v>3328.6033440255164</v>
      </c>
      <c r="X61" s="81">
        <f t="shared" si="18"/>
        <v>3640.2784471218192</v>
      </c>
      <c r="Y61" s="81">
        <f t="shared" si="18"/>
        <v>3957.8374450181668</v>
      </c>
      <c r="Z61" s="81">
        <f t="shared" si="18"/>
        <v>4275.3964429145135</v>
      </c>
      <c r="AA61" s="81">
        <f t="shared" si="18"/>
        <v>4592.9554408108615</v>
      </c>
      <c r="AB61" s="81">
        <f t="shared" si="18"/>
        <v>4910.5144387072078</v>
      </c>
    </row>
    <row r="62" spans="2:28" s="12" customFormat="1" x14ac:dyDescent="0.2">
      <c r="B62" s="59" t="str">
        <f>B55</f>
        <v>Import from Germany (Entry Ellund)</v>
      </c>
      <c r="C62" s="59"/>
      <c r="D62" s="59" t="s">
        <v>70</v>
      </c>
      <c r="E62" s="81">
        <f t="shared" ref="E62:AB62" si="19">E48*$E$8</f>
        <v>11979</v>
      </c>
      <c r="F62" s="81">
        <f t="shared" si="19"/>
        <v>9188.739999999998</v>
      </c>
      <c r="G62" s="81">
        <f t="shared" si="19"/>
        <v>9188.74</v>
      </c>
      <c r="H62" s="81">
        <f t="shared" si="19"/>
        <v>33964.933121401766</v>
      </c>
      <c r="I62" s="81">
        <f t="shared" si="19"/>
        <v>33775.627035056183</v>
      </c>
      <c r="J62" s="81">
        <f t="shared" si="19"/>
        <v>33591.481235342028</v>
      </c>
      <c r="K62" s="81">
        <f t="shared" si="19"/>
        <v>12596.1</v>
      </c>
      <c r="L62" s="81">
        <f t="shared" si="19"/>
        <v>12596.1</v>
      </c>
      <c r="M62" s="81">
        <f t="shared" si="19"/>
        <v>12596.1</v>
      </c>
      <c r="N62" s="81">
        <f t="shared" si="19"/>
        <v>12596.1</v>
      </c>
      <c r="O62" s="81">
        <f t="shared" si="19"/>
        <v>12596.1</v>
      </c>
      <c r="P62" s="81">
        <f t="shared" si="19"/>
        <v>13455.199999999999</v>
      </c>
      <c r="Q62" s="81">
        <f t="shared" si="19"/>
        <v>15233.9</v>
      </c>
      <c r="R62" s="81">
        <f t="shared" si="19"/>
        <v>16516.5</v>
      </c>
      <c r="S62" s="81">
        <f t="shared" si="19"/>
        <v>18246.8</v>
      </c>
      <c r="T62" s="81">
        <f t="shared" si="19"/>
        <v>19735.099999999999</v>
      </c>
      <c r="U62" s="81">
        <f t="shared" si="19"/>
        <v>22808.5</v>
      </c>
      <c r="V62" s="81">
        <f t="shared" si="19"/>
        <v>22832.7</v>
      </c>
      <c r="W62" s="81">
        <f t="shared" si="19"/>
        <v>22288.2</v>
      </c>
      <c r="X62" s="81">
        <f t="shared" si="19"/>
        <v>21984.732934973872</v>
      </c>
      <c r="Y62" s="81">
        <f t="shared" si="19"/>
        <v>20908.8</v>
      </c>
      <c r="Z62" s="81">
        <f t="shared" si="19"/>
        <v>19807.7</v>
      </c>
      <c r="AA62" s="81">
        <f t="shared" si="19"/>
        <v>18706.599999999999</v>
      </c>
      <c r="AB62" s="81">
        <f t="shared" si="19"/>
        <v>17714.399999999998</v>
      </c>
    </row>
    <row r="63" spans="2:28" s="12" customFormat="1" x14ac:dyDescent="0.2">
      <c r="B63" s="91" t="s">
        <v>325</v>
      </c>
      <c r="C63" s="91"/>
      <c r="D63" s="91" t="s">
        <v>70</v>
      </c>
      <c r="E63" s="92">
        <f>E60+E61+E62</f>
        <v>51049.899999999987</v>
      </c>
      <c r="F63" s="92">
        <f t="shared" ref="F63:AB63" si="20">F60+F61+F62</f>
        <v>48043.593296567393</v>
      </c>
      <c r="G63" s="92">
        <f t="shared" si="20"/>
        <v>39790.648937272243</v>
      </c>
      <c r="H63" s="92">
        <f t="shared" si="20"/>
        <v>38826.626549305533</v>
      </c>
      <c r="I63" s="92">
        <f t="shared" si="20"/>
        <v>38715.610519508504</v>
      </c>
      <c r="J63" s="92">
        <f t="shared" si="20"/>
        <v>38631.125113409318</v>
      </c>
      <c r="K63" s="92">
        <f t="shared" si="20"/>
        <v>42114.214928660054</v>
      </c>
      <c r="L63" s="92">
        <f t="shared" si="20"/>
        <v>46001.57260937331</v>
      </c>
      <c r="M63" s="92">
        <f t="shared" si="20"/>
        <v>48370.707258596012</v>
      </c>
      <c r="N63" s="92">
        <f t="shared" si="20"/>
        <v>47902.380486672817</v>
      </c>
      <c r="O63" s="92">
        <f t="shared" si="20"/>
        <v>47158.589497491717</v>
      </c>
      <c r="P63" s="92">
        <f t="shared" si="20"/>
        <v>44828.370274080466</v>
      </c>
      <c r="Q63" s="92">
        <f t="shared" si="20"/>
        <v>42228.437558972793</v>
      </c>
      <c r="R63" s="92">
        <f t="shared" si="20"/>
        <v>39618.279947972362</v>
      </c>
      <c r="S63" s="92">
        <f t="shared" si="20"/>
        <v>36798.312297624478</v>
      </c>
      <c r="T63" s="92">
        <f t="shared" si="20"/>
        <v>34152.291506832167</v>
      </c>
      <c r="U63" s="92">
        <f t="shared" si="20"/>
        <v>31563.09763666146</v>
      </c>
      <c r="V63" s="92">
        <f t="shared" si="20"/>
        <v>29042.606130240572</v>
      </c>
      <c r="W63" s="92">
        <f t="shared" si="20"/>
        <v>26531.32593773961</v>
      </c>
      <c r="X63" s="92">
        <f t="shared" si="20"/>
        <v>25783.108656469074</v>
      </c>
      <c r="Y63" s="92">
        <f t="shared" si="20"/>
        <v>24891.784436399761</v>
      </c>
      <c r="Z63" s="92">
        <f t="shared" si="20"/>
        <v>24083.291260684011</v>
      </c>
      <c r="AA63" s="92">
        <f t="shared" si="20"/>
        <v>23302.383649405379</v>
      </c>
      <c r="AB63" s="92">
        <f t="shared" si="20"/>
        <v>22621.467919626448</v>
      </c>
    </row>
    <row r="64" spans="2:28" x14ac:dyDescent="0.2">
      <c r="B64" s="87"/>
      <c r="C64" s="87"/>
      <c r="D64" s="87"/>
      <c r="E64" s="88"/>
      <c r="F64" s="88"/>
      <c r="G64" s="88"/>
      <c r="H64" s="88"/>
      <c r="I64" s="88"/>
      <c r="J64" s="88"/>
      <c r="K64" s="88"/>
      <c r="L64" s="88"/>
      <c r="M64" s="88"/>
      <c r="N64" s="88"/>
      <c r="O64" s="88"/>
      <c r="P64" s="88"/>
      <c r="Q64" s="88"/>
      <c r="R64" s="88"/>
      <c r="S64" s="88"/>
      <c r="T64" s="88"/>
      <c r="U64" s="88"/>
      <c r="V64" s="88"/>
      <c r="W64" s="88"/>
      <c r="X64" s="88"/>
      <c r="Y64" s="88"/>
      <c r="Z64" s="88"/>
      <c r="AA64" s="88"/>
      <c r="AB64" s="88"/>
    </row>
    <row r="65" spans="1:28" s="12" customFormat="1" x14ac:dyDescent="0.2">
      <c r="B65" s="87"/>
      <c r="C65" s="87"/>
      <c r="D65" s="87"/>
      <c r="E65" s="88"/>
      <c r="F65" s="88"/>
      <c r="G65" s="88"/>
      <c r="H65" s="88"/>
      <c r="I65" s="88"/>
      <c r="J65" s="88"/>
      <c r="K65" s="88"/>
      <c r="L65" s="88"/>
      <c r="M65" s="88"/>
      <c r="N65" s="88"/>
      <c r="O65" s="88"/>
      <c r="P65" s="88"/>
      <c r="Q65" s="88"/>
      <c r="R65" s="88"/>
      <c r="S65" s="88"/>
      <c r="T65" s="88"/>
      <c r="U65" s="88"/>
      <c r="V65" s="88"/>
      <c r="W65" s="88"/>
      <c r="X65" s="88"/>
      <c r="Y65" s="88"/>
      <c r="Z65" s="88"/>
      <c r="AA65" s="88"/>
      <c r="AB65" s="88"/>
    </row>
    <row r="66" spans="1:28" s="70" customFormat="1" x14ac:dyDescent="0.2">
      <c r="B66" s="70" t="s">
        <v>326</v>
      </c>
    </row>
    <row r="67" spans="1:28" x14ac:dyDescent="0.2">
      <c r="A67"/>
    </row>
    <row r="68" spans="1:28" s="12" customFormat="1" x14ac:dyDescent="0.2">
      <c r="B68" s="62" t="s">
        <v>327</v>
      </c>
      <c r="C68" s="62"/>
      <c r="D68" s="62" t="s">
        <v>141</v>
      </c>
      <c r="E68" s="74">
        <v>2017</v>
      </c>
      <c r="F68" s="74">
        <v>2018</v>
      </c>
      <c r="G68" s="74">
        <v>2019</v>
      </c>
      <c r="H68" s="74">
        <v>2020</v>
      </c>
      <c r="I68" s="74">
        <v>2021</v>
      </c>
      <c r="J68" s="74">
        <v>2022</v>
      </c>
      <c r="K68" s="74">
        <v>2023</v>
      </c>
      <c r="L68" s="74">
        <v>2024</v>
      </c>
      <c r="M68" s="74">
        <v>2025</v>
      </c>
      <c r="N68" s="74">
        <v>2026</v>
      </c>
      <c r="O68" s="74">
        <v>2027</v>
      </c>
      <c r="P68" s="74">
        <v>2028</v>
      </c>
      <c r="Q68" s="74">
        <v>2029</v>
      </c>
      <c r="R68" s="74">
        <v>2030</v>
      </c>
      <c r="S68" s="74">
        <v>2031</v>
      </c>
      <c r="T68" s="74">
        <v>2032</v>
      </c>
      <c r="U68" s="74">
        <v>2033</v>
      </c>
      <c r="V68" s="74">
        <v>2034</v>
      </c>
      <c r="W68" s="74">
        <v>2035</v>
      </c>
      <c r="X68" s="74">
        <v>2036</v>
      </c>
      <c r="Y68" s="74">
        <v>2037</v>
      </c>
      <c r="Z68" s="74">
        <v>2038</v>
      </c>
      <c r="AA68" s="74">
        <v>2039</v>
      </c>
      <c r="AB68" s="74">
        <v>2040</v>
      </c>
    </row>
    <row r="69" spans="1:28" s="12" customFormat="1" x14ac:dyDescent="0.2">
      <c r="B69" s="87" t="s">
        <v>328</v>
      </c>
      <c r="C69" s="87"/>
      <c r="D69" s="59" t="s">
        <v>85</v>
      </c>
      <c r="E69" s="88">
        <f t="shared" ref="E69:AB69" si="21">E48-E18</f>
        <v>320</v>
      </c>
      <c r="F69" s="88">
        <f t="shared" si="21"/>
        <v>233.82565942606789</v>
      </c>
      <c r="G69" s="88">
        <f t="shared" si="21"/>
        <v>759.34637499052394</v>
      </c>
      <c r="H69" s="88">
        <f t="shared" si="21"/>
        <v>2807.0192662315508</v>
      </c>
      <c r="I69" s="88">
        <f t="shared" si="21"/>
        <v>2791.3741351286103</v>
      </c>
      <c r="J69" s="88">
        <f t="shared" si="21"/>
        <v>2776.1554739952089</v>
      </c>
      <c r="K69" s="88">
        <f t="shared" si="21"/>
        <v>741</v>
      </c>
      <c r="L69" s="88">
        <f t="shared" si="21"/>
        <v>441</v>
      </c>
      <c r="M69" s="88">
        <f t="shared" si="21"/>
        <v>241</v>
      </c>
      <c r="N69" s="88">
        <f t="shared" si="21"/>
        <v>241</v>
      </c>
      <c r="O69" s="88">
        <f t="shared" si="21"/>
        <v>241</v>
      </c>
      <c r="P69" s="88">
        <f t="shared" si="21"/>
        <v>412</v>
      </c>
      <c r="Q69" s="88">
        <f t="shared" si="21"/>
        <v>659</v>
      </c>
      <c r="R69" s="88">
        <f t="shared" si="21"/>
        <v>865</v>
      </c>
      <c r="S69" s="88">
        <f t="shared" si="21"/>
        <v>1108</v>
      </c>
      <c r="T69" s="88">
        <f t="shared" si="21"/>
        <v>1331</v>
      </c>
      <c r="U69" s="88">
        <f t="shared" si="21"/>
        <v>1685</v>
      </c>
      <c r="V69" s="88">
        <f t="shared" si="21"/>
        <v>1787</v>
      </c>
      <c r="W69" s="88">
        <f t="shared" si="21"/>
        <v>1842</v>
      </c>
      <c r="X69" s="88">
        <f t="shared" si="21"/>
        <v>1816.9200772705681</v>
      </c>
      <c r="Y69" s="88">
        <f t="shared" si="21"/>
        <v>1728</v>
      </c>
      <c r="Z69" s="88">
        <f t="shared" si="21"/>
        <v>1637</v>
      </c>
      <c r="AA69" s="88">
        <f t="shared" si="21"/>
        <v>1546</v>
      </c>
      <c r="AB69" s="88">
        <f t="shared" si="21"/>
        <v>1464</v>
      </c>
    </row>
    <row r="71" spans="1:28" s="70" customFormat="1" x14ac:dyDescent="0.2">
      <c r="B71" s="70" t="s">
        <v>313</v>
      </c>
    </row>
    <row r="73" spans="1:28" s="221" customFormat="1" x14ac:dyDescent="0.2">
      <c r="B73" s="242" t="s">
        <v>310</v>
      </c>
    </row>
    <row r="74" spans="1:28" outlineLevel="1" x14ac:dyDescent="0.2">
      <c r="C74" s="3"/>
      <c r="D74" s="193" t="s">
        <v>141</v>
      </c>
      <c r="E74" s="222">
        <v>2017</v>
      </c>
      <c r="F74" s="222">
        <v>2018</v>
      </c>
      <c r="G74" s="222">
        <v>2019</v>
      </c>
      <c r="H74" s="222">
        <v>2020</v>
      </c>
      <c r="I74" s="222">
        <v>2021</v>
      </c>
      <c r="J74" s="222">
        <v>2022</v>
      </c>
      <c r="K74" s="222">
        <v>2023</v>
      </c>
      <c r="L74" s="222">
        <v>2024</v>
      </c>
      <c r="M74" s="222">
        <v>2025</v>
      </c>
      <c r="N74" s="222">
        <v>2026</v>
      </c>
      <c r="O74" s="222">
        <v>2027</v>
      </c>
      <c r="P74" s="222">
        <v>2028</v>
      </c>
      <c r="Q74" s="222">
        <v>2029</v>
      </c>
      <c r="R74" s="222">
        <v>2030</v>
      </c>
      <c r="S74" s="222">
        <v>2031</v>
      </c>
      <c r="T74" s="222">
        <v>2032</v>
      </c>
      <c r="U74" s="222">
        <v>2033</v>
      </c>
      <c r="V74" s="222">
        <v>2034</v>
      </c>
      <c r="W74" s="222">
        <v>2035</v>
      </c>
      <c r="X74" s="222">
        <v>2036</v>
      </c>
      <c r="Y74" s="222">
        <v>2037</v>
      </c>
      <c r="Z74" s="222">
        <v>2038</v>
      </c>
      <c r="AA74" s="222">
        <v>2039</v>
      </c>
      <c r="AB74" s="222">
        <v>2040</v>
      </c>
    </row>
    <row r="75" spans="1:28" outlineLevel="1" x14ac:dyDescent="0.2">
      <c r="B75" s="3" t="s">
        <v>260</v>
      </c>
      <c r="C75" s="3"/>
      <c r="D75" s="73" t="s">
        <v>85</v>
      </c>
      <c r="E75" s="185">
        <v>3517.3066981219913</v>
      </c>
      <c r="F75" s="185">
        <v>3534.0668385440395</v>
      </c>
      <c r="G75" s="185">
        <v>3460.6535659302572</v>
      </c>
      <c r="H75" s="185">
        <v>3352.7504145023599</v>
      </c>
      <c r="I75" s="185">
        <v>3335.1402030024765</v>
      </c>
      <c r="J75" s="185">
        <v>3329.4853331367804</v>
      </c>
      <c r="K75" s="185">
        <v>3321.2105030359135</v>
      </c>
      <c r="L75" s="185">
        <v>3314.5102065734523</v>
      </c>
      <c r="M75" s="185">
        <v>3306.1349714301218</v>
      </c>
      <c r="N75" s="185">
        <v>3191.0859725446935</v>
      </c>
      <c r="O75" s="185">
        <v>3076.6935396485901</v>
      </c>
      <c r="P75" s="185">
        <v>2962.9576727418116</v>
      </c>
      <c r="Q75" s="185">
        <v>2849.8783718243581</v>
      </c>
      <c r="R75" s="185">
        <v>2737.4556368962294</v>
      </c>
      <c r="S75" s="185">
        <v>2644.9889346240911</v>
      </c>
      <c r="T75" s="185">
        <v>2553.1787983412787</v>
      </c>
      <c r="U75" s="185">
        <v>2462.0252280477907</v>
      </c>
      <c r="V75" s="185">
        <v>2371.5282237436277</v>
      </c>
      <c r="W75" s="185">
        <v>2281.6877854287895</v>
      </c>
      <c r="X75" s="185">
        <v>2219.1652086903532</v>
      </c>
      <c r="Y75" s="185">
        <v>2156.9946818148137</v>
      </c>
      <c r="Z75" s="185">
        <v>2095.1762048021719</v>
      </c>
      <c r="AA75" s="185">
        <v>2033.7097776524274</v>
      </c>
      <c r="AB75" s="185">
        <v>1972.5954003655795</v>
      </c>
    </row>
    <row r="76" spans="1:28" outlineLevel="1" x14ac:dyDescent="0.2">
      <c r="B76" s="3" t="s">
        <v>251</v>
      </c>
      <c r="C76" s="3"/>
      <c r="D76" s="73" t="s">
        <v>85</v>
      </c>
      <c r="E76" s="185">
        <v>3519.6464852368299</v>
      </c>
      <c r="F76" s="185">
        <v>3300.241179117972</v>
      </c>
      <c r="G76" s="185">
        <v>3514.2071909397337</v>
      </c>
      <c r="H76" s="185">
        <v>3327.0930731114777</v>
      </c>
      <c r="I76" s="185">
        <v>3113.8845798601915</v>
      </c>
      <c r="J76" s="185">
        <v>2985.1014223518132</v>
      </c>
      <c r="K76" s="185">
        <v>2679.9457161039199</v>
      </c>
      <c r="L76" s="185">
        <v>2392.0494650485684</v>
      </c>
      <c r="M76" s="185">
        <v>2408.4305689952266</v>
      </c>
      <c r="N76" s="185">
        <v>2148.5250362738552</v>
      </c>
      <c r="O76" s="185">
        <v>2035.7652300015861</v>
      </c>
      <c r="P76" s="185">
        <v>1851.3928423091402</v>
      </c>
      <c r="Q76" s="185">
        <v>1591.2959689360137</v>
      </c>
      <c r="R76" s="185">
        <v>1372.3555631890758</v>
      </c>
      <c r="S76" s="185">
        <v>1136.5833282746951</v>
      </c>
      <c r="T76" s="185">
        <v>922.20252864963413</v>
      </c>
      <c r="U76" s="185">
        <v>577.36488245949636</v>
      </c>
      <c r="V76" s="185">
        <v>484.92935935627793</v>
      </c>
      <c r="W76" s="185">
        <v>439.76770815822147</v>
      </c>
      <c r="X76" s="185">
        <v>437.16959182451637</v>
      </c>
      <c r="Y76" s="185">
        <v>437.43579429397505</v>
      </c>
      <c r="Z76" s="185">
        <v>441.96797446342339</v>
      </c>
      <c r="AA76" s="185">
        <v>447.87195055190432</v>
      </c>
      <c r="AB76" s="185">
        <v>417.71301860601147</v>
      </c>
    </row>
    <row r="77" spans="1:28" s="12" customFormat="1" outlineLevel="1" x14ac:dyDescent="0.2">
      <c r="B77" s="3" t="s">
        <v>329</v>
      </c>
      <c r="C77" s="3"/>
      <c r="D77" s="73" t="s">
        <v>85</v>
      </c>
      <c r="E77" s="185">
        <v>761.73978711483812</v>
      </c>
      <c r="F77" s="185">
        <v>525.57434057393198</v>
      </c>
      <c r="G77" s="185">
        <v>812.95362500947601</v>
      </c>
      <c r="H77" s="185">
        <v>733.74265860911737</v>
      </c>
      <c r="I77" s="185">
        <v>538.1443768577152</v>
      </c>
      <c r="J77" s="185">
        <v>415.01608921503231</v>
      </c>
      <c r="K77" s="185">
        <v>118.13521306800601</v>
      </c>
      <c r="L77" s="185">
        <v>0</v>
      </c>
      <c r="M77" s="185">
        <v>0</v>
      </c>
      <c r="N77" s="185">
        <v>0</v>
      </c>
      <c r="O77" s="185">
        <v>0</v>
      </c>
      <c r="P77" s="185">
        <v>0</v>
      </c>
      <c r="Q77" s="185">
        <v>0</v>
      </c>
      <c r="R77" s="185">
        <v>0</v>
      </c>
      <c r="S77" s="185">
        <v>0</v>
      </c>
      <c r="T77" s="185">
        <v>0</v>
      </c>
      <c r="U77" s="185">
        <v>0</v>
      </c>
      <c r="V77" s="185">
        <v>0</v>
      </c>
      <c r="W77" s="185">
        <v>0</v>
      </c>
      <c r="X77" s="185">
        <v>0</v>
      </c>
      <c r="Y77" s="185">
        <v>0</v>
      </c>
      <c r="Z77" s="185">
        <v>0</v>
      </c>
      <c r="AA77" s="185">
        <v>0</v>
      </c>
      <c r="AB77" s="185">
        <v>0</v>
      </c>
    </row>
    <row r="78" spans="1:28" s="12" customFormat="1" outlineLevel="1" x14ac:dyDescent="0.2">
      <c r="B78" s="3" t="s">
        <v>98</v>
      </c>
      <c r="C78" s="3"/>
      <c r="D78" s="73" t="s">
        <v>85</v>
      </c>
      <c r="E78" s="185">
        <v>759.39999999999986</v>
      </c>
      <c r="F78" s="185">
        <v>759.39999999999986</v>
      </c>
      <c r="G78" s="185">
        <v>759.39999999999986</v>
      </c>
      <c r="H78" s="185">
        <v>759.39999999999986</v>
      </c>
      <c r="I78" s="185">
        <v>759.39999999999986</v>
      </c>
      <c r="J78" s="185">
        <v>759.39999999999986</v>
      </c>
      <c r="K78" s="185">
        <v>759.39999999999986</v>
      </c>
      <c r="L78" s="185">
        <v>922.46074152488382</v>
      </c>
      <c r="M78" s="185">
        <v>897.7044024348952</v>
      </c>
      <c r="N78" s="185">
        <v>1042.5609362708383</v>
      </c>
      <c r="O78" s="185">
        <v>1040.928309647004</v>
      </c>
      <c r="P78" s="185">
        <v>1111.5648304326714</v>
      </c>
      <c r="Q78" s="185">
        <v>1258.5824028883444</v>
      </c>
      <c r="R78" s="185">
        <v>1365.1000737071536</v>
      </c>
      <c r="S78" s="185">
        <v>1508.4056063493965</v>
      </c>
      <c r="T78" s="185">
        <v>1630.9762696916446</v>
      </c>
      <c r="U78" s="185">
        <v>1884.6603455882944</v>
      </c>
      <c r="V78" s="185">
        <v>1886.5988643873497</v>
      </c>
      <c r="W78" s="185">
        <v>1841.9200772705681</v>
      </c>
      <c r="X78" s="185">
        <v>1781.9956168658368</v>
      </c>
      <c r="Y78" s="185">
        <v>1719.5588875208382</v>
      </c>
      <c r="Z78" s="185">
        <v>1653.2082303387485</v>
      </c>
      <c r="AA78" s="185">
        <v>1585.8378271005231</v>
      </c>
      <c r="AB78" s="185">
        <v>1554.882381759568</v>
      </c>
    </row>
    <row r="79" spans="1:28" outlineLevel="1" x14ac:dyDescent="0.2">
      <c r="B79" s="3" t="s">
        <v>330</v>
      </c>
      <c r="D79" s="73" t="s">
        <v>85</v>
      </c>
      <c r="E79" s="185">
        <f>E78-E77</f>
        <v>-2.3397871148382592</v>
      </c>
      <c r="F79" s="185">
        <f t="shared" ref="F79:AB79" si="22">F78-F77</f>
        <v>233.82565942606789</v>
      </c>
      <c r="G79" s="185">
        <f t="shared" si="22"/>
        <v>-53.55362500947615</v>
      </c>
      <c r="H79" s="185">
        <f t="shared" si="22"/>
        <v>25.657341390882493</v>
      </c>
      <c r="I79" s="185">
        <f t="shared" si="22"/>
        <v>221.25562314228466</v>
      </c>
      <c r="J79" s="185">
        <f t="shared" si="22"/>
        <v>344.38391078496755</v>
      </c>
      <c r="K79" s="185">
        <f t="shared" si="22"/>
        <v>641.26478693199385</v>
      </c>
      <c r="L79" s="185">
        <f t="shared" si="22"/>
        <v>922.46074152488382</v>
      </c>
      <c r="M79" s="185">
        <f t="shared" si="22"/>
        <v>897.7044024348952</v>
      </c>
      <c r="N79" s="185">
        <f t="shared" si="22"/>
        <v>1042.5609362708383</v>
      </c>
      <c r="O79" s="185">
        <f t="shared" si="22"/>
        <v>1040.928309647004</v>
      </c>
      <c r="P79" s="185">
        <f t="shared" si="22"/>
        <v>1111.5648304326714</v>
      </c>
      <c r="Q79" s="185">
        <f t="shared" si="22"/>
        <v>1258.5824028883444</v>
      </c>
      <c r="R79" s="185">
        <f t="shared" si="22"/>
        <v>1365.1000737071536</v>
      </c>
      <c r="S79" s="185">
        <f t="shared" si="22"/>
        <v>1508.4056063493965</v>
      </c>
      <c r="T79" s="185">
        <f t="shared" si="22"/>
        <v>1630.9762696916446</v>
      </c>
      <c r="U79" s="185">
        <f t="shared" si="22"/>
        <v>1884.6603455882944</v>
      </c>
      <c r="V79" s="185">
        <f t="shared" si="22"/>
        <v>1886.5988643873497</v>
      </c>
      <c r="W79" s="185">
        <f t="shared" si="22"/>
        <v>1841.9200772705681</v>
      </c>
      <c r="X79" s="185">
        <f t="shared" si="22"/>
        <v>1781.9956168658368</v>
      </c>
      <c r="Y79" s="185">
        <f t="shared" si="22"/>
        <v>1719.5588875208382</v>
      </c>
      <c r="Z79" s="185">
        <f t="shared" si="22"/>
        <v>1653.2082303387485</v>
      </c>
      <c r="AA79" s="185">
        <f t="shared" si="22"/>
        <v>1585.8378271005231</v>
      </c>
      <c r="AB79" s="185">
        <f t="shared" si="22"/>
        <v>1554.882381759568</v>
      </c>
    </row>
    <row r="80" spans="1:28" s="12" customFormat="1" x14ac:dyDescent="0.2">
      <c r="B80" s="3"/>
      <c r="D80" s="73"/>
    </row>
  </sheetData>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Ark20">
    <tabColor theme="4"/>
    <pageSetUpPr fitToPage="1"/>
  </sheetPr>
  <dimension ref="A1:P1"/>
  <sheetViews>
    <sheetView showGridLines="0" zoomScale="110" zoomScaleNormal="110" zoomScaleSheetLayoutView="100" workbookViewId="0"/>
  </sheetViews>
  <sheetFormatPr baseColWidth="10" defaultColWidth="9.1640625" defaultRowHeight="15" x14ac:dyDescent="0.2"/>
  <cols>
    <col min="1" max="1" width="5.6640625" style="12" customWidth="1"/>
    <col min="2" max="2" width="9.1640625" customWidth="1"/>
    <col min="3" max="4" width="11.33203125" style="12" bestFit="1" customWidth="1"/>
    <col min="5" max="5" width="10.33203125" style="12" bestFit="1" customWidth="1"/>
    <col min="6" max="6" width="9.1640625" style="12" customWidth="1"/>
    <col min="7" max="16" width="9.1640625" style="12"/>
  </cols>
  <sheetData>
    <row r="1" spans="2:2" s="68" customFormat="1" ht="21" x14ac:dyDescent="0.25">
      <c r="B1" s="68" t="s">
        <v>306</v>
      </c>
    </row>
  </sheetData>
  <pageMargins left="0.7" right="0.7" top="0.75" bottom="0.75" header="0.3" footer="0.3"/>
  <pageSetup paperSize="9" scale="4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C493E"/>
  </sheetPr>
  <dimension ref="B1:AA28"/>
  <sheetViews>
    <sheetView showGridLines="0" tabSelected="1" zoomScale="110" zoomScaleNormal="110" workbookViewId="0"/>
  </sheetViews>
  <sheetFormatPr baseColWidth="10" defaultColWidth="8.83203125" defaultRowHeight="15" outlineLevelRow="1" x14ac:dyDescent="0.2"/>
  <cols>
    <col min="1" max="1" width="5.6640625" style="12" customWidth="1"/>
    <col min="2" max="2" width="30.6640625" style="12" customWidth="1"/>
    <col min="3" max="3" width="7.1640625" style="12" customWidth="1"/>
    <col min="4" max="27" width="10.33203125" style="12" bestFit="1" customWidth="1"/>
    <col min="28" max="16384" width="8.83203125" style="12"/>
  </cols>
  <sheetData>
    <row r="1" spans="2:27" s="68" customFormat="1" ht="21" x14ac:dyDescent="0.25">
      <c r="B1" s="68" t="s">
        <v>307</v>
      </c>
    </row>
    <row r="4" spans="2:27" s="70" customFormat="1" x14ac:dyDescent="0.2">
      <c r="B4" s="70" t="s">
        <v>261</v>
      </c>
    </row>
    <row r="6" spans="2:27" x14ac:dyDescent="0.2">
      <c r="B6" s="1" t="s">
        <v>309</v>
      </c>
      <c r="C6" s="62" t="s">
        <v>141</v>
      </c>
      <c r="D6" s="151">
        <v>2017</v>
      </c>
      <c r="E6" s="151">
        <v>2018</v>
      </c>
      <c r="F6" s="151">
        <v>2019</v>
      </c>
      <c r="G6" s="151">
        <v>2020</v>
      </c>
      <c r="H6" s="151">
        <v>2021</v>
      </c>
      <c r="I6" s="151">
        <v>2022</v>
      </c>
      <c r="J6" s="151">
        <v>2023</v>
      </c>
      <c r="K6" s="151">
        <v>2024</v>
      </c>
      <c r="L6" s="151">
        <v>2025</v>
      </c>
      <c r="M6" s="151">
        <v>2026</v>
      </c>
      <c r="N6" s="151">
        <v>2027</v>
      </c>
      <c r="O6" s="151">
        <v>2028</v>
      </c>
      <c r="P6" s="151">
        <v>2029</v>
      </c>
      <c r="Q6" s="151">
        <v>2030</v>
      </c>
      <c r="R6" s="151">
        <v>2031</v>
      </c>
      <c r="S6" s="151">
        <v>2032</v>
      </c>
      <c r="T6" s="151">
        <v>2033</v>
      </c>
      <c r="U6" s="151">
        <v>2034</v>
      </c>
      <c r="V6" s="151">
        <v>2035</v>
      </c>
      <c r="W6" s="151">
        <v>2036</v>
      </c>
      <c r="X6" s="151">
        <v>2037</v>
      </c>
      <c r="Y6" s="151">
        <v>2038</v>
      </c>
      <c r="Z6" s="151">
        <v>2039</v>
      </c>
      <c r="AA6" s="151">
        <v>2040</v>
      </c>
    </row>
    <row r="7" spans="2:27" x14ac:dyDescent="0.2">
      <c r="B7" s="1" t="s">
        <v>119</v>
      </c>
      <c r="D7" s="178"/>
      <c r="E7" s="178"/>
      <c r="F7" s="178"/>
      <c r="G7" s="178"/>
      <c r="H7" s="178"/>
      <c r="I7" s="178"/>
      <c r="J7" s="178"/>
      <c r="K7" s="178"/>
      <c r="L7" s="178"/>
      <c r="M7" s="178"/>
      <c r="N7" s="178"/>
      <c r="O7" s="178"/>
      <c r="P7" s="178"/>
      <c r="Q7" s="178"/>
      <c r="R7" s="178"/>
      <c r="S7" s="178"/>
      <c r="T7" s="178"/>
      <c r="U7" s="178"/>
      <c r="V7" s="178"/>
      <c r="W7" s="178"/>
      <c r="X7" s="178"/>
      <c r="Y7" s="178"/>
      <c r="Z7" s="178"/>
      <c r="AA7" s="178"/>
    </row>
    <row r="8" spans="2:27" x14ac:dyDescent="0.2">
      <c r="B8" s="12" t="s">
        <v>213</v>
      </c>
      <c r="C8" s="59" t="s">
        <v>86</v>
      </c>
      <c r="D8" s="179">
        <v>68.260000000000005</v>
      </c>
      <c r="E8" s="179">
        <v>68.180000000000007</v>
      </c>
      <c r="F8" s="179">
        <v>68.099999999999994</v>
      </c>
      <c r="G8" s="179">
        <v>68.02</v>
      </c>
      <c r="H8" s="179">
        <v>67.36</v>
      </c>
      <c r="I8" s="179">
        <v>66.69</v>
      </c>
      <c r="J8" s="179">
        <v>66.02</v>
      </c>
      <c r="K8" s="179">
        <v>65.36</v>
      </c>
      <c r="L8" s="179">
        <v>64.69</v>
      </c>
      <c r="M8" s="179">
        <v>64.06</v>
      </c>
      <c r="N8" s="179">
        <v>63.42</v>
      </c>
      <c r="O8" s="179">
        <v>62.79</v>
      </c>
      <c r="P8" s="179">
        <v>62.15</v>
      </c>
      <c r="Q8" s="179">
        <v>61.52</v>
      </c>
      <c r="R8" s="178">
        <f>Q8</f>
        <v>61.52</v>
      </c>
      <c r="S8" s="178">
        <f t="shared" ref="S8:AA8" si="0">R8</f>
        <v>61.52</v>
      </c>
      <c r="T8" s="178">
        <f t="shared" si="0"/>
        <v>61.52</v>
      </c>
      <c r="U8" s="178">
        <f t="shared" si="0"/>
        <v>61.52</v>
      </c>
      <c r="V8" s="178">
        <f t="shared" si="0"/>
        <v>61.52</v>
      </c>
      <c r="W8" s="178">
        <f t="shared" si="0"/>
        <v>61.52</v>
      </c>
      <c r="X8" s="178">
        <f t="shared" si="0"/>
        <v>61.52</v>
      </c>
      <c r="Y8" s="178">
        <f t="shared" si="0"/>
        <v>61.52</v>
      </c>
      <c r="Z8" s="178">
        <f t="shared" si="0"/>
        <v>61.52</v>
      </c>
      <c r="AA8" s="178">
        <f t="shared" si="0"/>
        <v>61.52</v>
      </c>
    </row>
    <row r="9" spans="2:27" s="60" customFormat="1" x14ac:dyDescent="0.2">
      <c r="B9" s="60" t="s">
        <v>216</v>
      </c>
      <c r="C9" s="59" t="s">
        <v>86</v>
      </c>
      <c r="D9" s="229">
        <v>47.36</v>
      </c>
      <c r="E9" s="229">
        <v>46.85</v>
      </c>
      <c r="F9" s="229">
        <v>46.42</v>
      </c>
      <c r="G9" s="229">
        <v>46.05</v>
      </c>
      <c r="H9" s="229">
        <v>46.739999999999995</v>
      </c>
      <c r="I9" s="229">
        <v>47.42</v>
      </c>
      <c r="J9" s="229">
        <v>48.04</v>
      </c>
      <c r="K9" s="229">
        <v>48.58</v>
      </c>
      <c r="L9" s="229">
        <v>49.05</v>
      </c>
      <c r="M9" s="229">
        <v>49.45</v>
      </c>
      <c r="N9" s="229">
        <v>49.8</v>
      </c>
      <c r="O9" s="229">
        <v>50.09</v>
      </c>
      <c r="P9" s="229">
        <v>50.34</v>
      </c>
      <c r="Q9" s="229">
        <v>50.66</v>
      </c>
      <c r="R9" s="178">
        <f t="shared" ref="R9:AA10" si="1">Q9</f>
        <v>50.66</v>
      </c>
      <c r="S9" s="178">
        <f t="shared" si="1"/>
        <v>50.66</v>
      </c>
      <c r="T9" s="178">
        <f t="shared" si="1"/>
        <v>50.66</v>
      </c>
      <c r="U9" s="178">
        <f t="shared" si="1"/>
        <v>50.66</v>
      </c>
      <c r="V9" s="178">
        <f t="shared" si="1"/>
        <v>50.66</v>
      </c>
      <c r="W9" s="178">
        <f t="shared" si="1"/>
        <v>50.66</v>
      </c>
      <c r="X9" s="178">
        <f t="shared" si="1"/>
        <v>50.66</v>
      </c>
      <c r="Y9" s="178">
        <f t="shared" si="1"/>
        <v>50.66</v>
      </c>
      <c r="Z9" s="178">
        <f t="shared" si="1"/>
        <v>50.66</v>
      </c>
      <c r="AA9" s="178">
        <f t="shared" si="1"/>
        <v>50.66</v>
      </c>
    </row>
    <row r="10" spans="2:27" s="60" customFormat="1" x14ac:dyDescent="0.2">
      <c r="B10" s="65" t="s">
        <v>214</v>
      </c>
      <c r="C10" s="59" t="s">
        <v>86</v>
      </c>
      <c r="D10" s="229">
        <v>25.91</v>
      </c>
      <c r="E10" s="229">
        <v>25.76</v>
      </c>
      <c r="F10" s="229">
        <v>25.63</v>
      </c>
      <c r="G10" s="229">
        <v>25.52</v>
      </c>
      <c r="H10" s="229">
        <v>25.52</v>
      </c>
      <c r="I10" s="229">
        <v>25.53</v>
      </c>
      <c r="J10" s="229">
        <v>25.52</v>
      </c>
      <c r="K10" s="229">
        <v>25.48</v>
      </c>
      <c r="L10" s="229">
        <v>25.44</v>
      </c>
      <c r="M10" s="229">
        <v>25.38</v>
      </c>
      <c r="N10" s="229">
        <v>25.3</v>
      </c>
      <c r="O10" s="229">
        <v>25.22</v>
      </c>
      <c r="P10" s="229">
        <v>25.12</v>
      </c>
      <c r="Q10" s="229">
        <v>25.04</v>
      </c>
      <c r="R10" s="178">
        <f t="shared" si="1"/>
        <v>25.04</v>
      </c>
      <c r="S10" s="178">
        <f t="shared" si="1"/>
        <v>25.04</v>
      </c>
      <c r="T10" s="178">
        <f t="shared" si="1"/>
        <v>25.04</v>
      </c>
      <c r="U10" s="178">
        <f t="shared" si="1"/>
        <v>25.04</v>
      </c>
      <c r="V10" s="178">
        <f t="shared" si="1"/>
        <v>25.04</v>
      </c>
      <c r="W10" s="178">
        <f t="shared" si="1"/>
        <v>25.04</v>
      </c>
      <c r="X10" s="178">
        <f t="shared" si="1"/>
        <v>25.04</v>
      </c>
      <c r="Y10" s="178">
        <f t="shared" si="1"/>
        <v>25.04</v>
      </c>
      <c r="Z10" s="178">
        <f t="shared" si="1"/>
        <v>25.04</v>
      </c>
      <c r="AA10" s="178">
        <f t="shared" si="1"/>
        <v>25.04</v>
      </c>
    </row>
    <row r="11" spans="2:27" x14ac:dyDescent="0.2">
      <c r="B11" s="91" t="s">
        <v>215</v>
      </c>
      <c r="C11" s="91" t="s">
        <v>86</v>
      </c>
      <c r="D11" s="224">
        <f>SUM(D8:D10)</f>
        <v>141.53</v>
      </c>
      <c r="E11" s="224">
        <f t="shared" ref="E11:Q11" si="2">SUM(E8:E10)</f>
        <v>140.79</v>
      </c>
      <c r="F11" s="224">
        <f t="shared" si="2"/>
        <v>140.15</v>
      </c>
      <c r="G11" s="224">
        <f t="shared" si="2"/>
        <v>139.59</v>
      </c>
      <c r="H11" s="224">
        <f t="shared" si="2"/>
        <v>139.62</v>
      </c>
      <c r="I11" s="224">
        <f t="shared" si="2"/>
        <v>139.63999999999999</v>
      </c>
      <c r="J11" s="224">
        <f t="shared" si="2"/>
        <v>139.58000000000001</v>
      </c>
      <c r="K11" s="224">
        <f t="shared" si="2"/>
        <v>139.41999999999999</v>
      </c>
      <c r="L11" s="224">
        <f t="shared" si="2"/>
        <v>139.18</v>
      </c>
      <c r="M11" s="224">
        <f t="shared" si="2"/>
        <v>138.89000000000001</v>
      </c>
      <c r="N11" s="224">
        <f t="shared" si="2"/>
        <v>138.52000000000001</v>
      </c>
      <c r="O11" s="224">
        <f t="shared" si="2"/>
        <v>138.1</v>
      </c>
      <c r="P11" s="224">
        <f t="shared" si="2"/>
        <v>137.61000000000001</v>
      </c>
      <c r="Q11" s="224">
        <f t="shared" si="2"/>
        <v>137.22</v>
      </c>
      <c r="R11" s="224">
        <f t="shared" ref="R11" si="3">SUM(R8:R10)</f>
        <v>137.22</v>
      </c>
      <c r="S11" s="224">
        <f t="shared" ref="S11" si="4">SUM(S8:S10)</f>
        <v>137.22</v>
      </c>
      <c r="T11" s="224">
        <f t="shared" ref="T11" si="5">SUM(T8:T10)</f>
        <v>137.22</v>
      </c>
      <c r="U11" s="224">
        <f t="shared" ref="U11" si="6">SUM(U8:U10)</f>
        <v>137.22</v>
      </c>
      <c r="V11" s="224">
        <f t="shared" ref="V11" si="7">SUM(V8:V10)</f>
        <v>137.22</v>
      </c>
      <c r="W11" s="224">
        <f t="shared" ref="W11" si="8">SUM(W8:W10)</f>
        <v>137.22</v>
      </c>
      <c r="X11" s="224">
        <f t="shared" ref="X11" si="9">SUM(X8:X10)</f>
        <v>137.22</v>
      </c>
      <c r="Y11" s="224">
        <f t="shared" ref="Y11" si="10">SUM(Y8:Y10)</f>
        <v>137.22</v>
      </c>
      <c r="Z11" s="224">
        <f t="shared" ref="Z11" si="11">SUM(Z8:Z10)</f>
        <v>137.22</v>
      </c>
      <c r="AA11" s="224">
        <f t="shared" ref="AA11" si="12">SUM(AA8:AA10)</f>
        <v>137.22</v>
      </c>
    </row>
    <row r="12" spans="2:27" x14ac:dyDescent="0.2">
      <c r="B12" s="72" t="s">
        <v>311</v>
      </c>
    </row>
    <row r="15" spans="2:27" x14ac:dyDescent="0.2">
      <c r="B15" s="1" t="s">
        <v>308</v>
      </c>
      <c r="C15" s="62" t="s">
        <v>141</v>
      </c>
      <c r="D15" s="151">
        <v>2017</v>
      </c>
      <c r="E15" s="151">
        <v>2018</v>
      </c>
      <c r="F15" s="151">
        <v>2019</v>
      </c>
      <c r="G15" s="151">
        <v>2020</v>
      </c>
      <c r="H15" s="151">
        <v>2021</v>
      </c>
      <c r="I15" s="151">
        <v>2022</v>
      </c>
      <c r="J15" s="151">
        <v>2023</v>
      </c>
      <c r="K15" s="151">
        <v>2024</v>
      </c>
      <c r="L15" s="151">
        <v>2025</v>
      </c>
      <c r="M15" s="151">
        <v>2026</v>
      </c>
      <c r="N15" s="151">
        <v>2027</v>
      </c>
      <c r="O15" s="151">
        <v>2028</v>
      </c>
      <c r="P15" s="151">
        <v>2029</v>
      </c>
      <c r="Q15" s="151">
        <v>2030</v>
      </c>
      <c r="R15" s="151">
        <v>2031</v>
      </c>
      <c r="S15" s="151">
        <v>2032</v>
      </c>
      <c r="T15" s="151">
        <v>2033</v>
      </c>
      <c r="U15" s="151">
        <v>2034</v>
      </c>
      <c r="V15" s="151">
        <v>2035</v>
      </c>
      <c r="W15" s="151">
        <v>2036</v>
      </c>
      <c r="X15" s="151">
        <v>2037</v>
      </c>
      <c r="Y15" s="151">
        <v>2038</v>
      </c>
      <c r="Z15" s="151">
        <v>2039</v>
      </c>
      <c r="AA15" s="151">
        <v>2040</v>
      </c>
    </row>
    <row r="16" spans="2:27" x14ac:dyDescent="0.2">
      <c r="B16" s="1" t="s">
        <v>119</v>
      </c>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row>
    <row r="17" spans="2:27" x14ac:dyDescent="0.2">
      <c r="B17" s="12" t="str">
        <f>B8</f>
        <v>Households</v>
      </c>
      <c r="C17" s="59" t="s">
        <v>70</v>
      </c>
      <c r="D17" s="230">
        <f>D8/3.6*1000</f>
        <v>18961.111111111113</v>
      </c>
      <c r="E17" s="230">
        <f t="shared" ref="E17:AA17" si="13">E8/3.6*1000</f>
        <v>18938.888888888891</v>
      </c>
      <c r="F17" s="230">
        <f t="shared" si="13"/>
        <v>18916.666666666664</v>
      </c>
      <c r="G17" s="230">
        <f t="shared" si="13"/>
        <v>18894.444444444442</v>
      </c>
      <c r="H17" s="230">
        <f t="shared" si="13"/>
        <v>18711.111111111113</v>
      </c>
      <c r="I17" s="230">
        <f t="shared" si="13"/>
        <v>18525</v>
      </c>
      <c r="J17" s="230">
        <f t="shared" si="13"/>
        <v>18338.888888888887</v>
      </c>
      <c r="K17" s="230">
        <f t="shared" si="13"/>
        <v>18155.555555555555</v>
      </c>
      <c r="L17" s="230">
        <f t="shared" si="13"/>
        <v>17969.444444444445</v>
      </c>
      <c r="M17" s="230">
        <f t="shared" si="13"/>
        <v>17794.444444444445</v>
      </c>
      <c r="N17" s="230">
        <f t="shared" si="13"/>
        <v>17616.666666666668</v>
      </c>
      <c r="O17" s="230">
        <f t="shared" si="13"/>
        <v>17441.666666666668</v>
      </c>
      <c r="P17" s="230">
        <f t="shared" si="13"/>
        <v>17263.888888888891</v>
      </c>
      <c r="Q17" s="230">
        <f t="shared" si="13"/>
        <v>17088.888888888887</v>
      </c>
      <c r="R17" s="230">
        <f t="shared" si="13"/>
        <v>17088.888888888887</v>
      </c>
      <c r="S17" s="230">
        <f t="shared" si="13"/>
        <v>17088.888888888887</v>
      </c>
      <c r="T17" s="230">
        <f t="shared" si="13"/>
        <v>17088.888888888887</v>
      </c>
      <c r="U17" s="230">
        <f t="shared" si="13"/>
        <v>17088.888888888887</v>
      </c>
      <c r="V17" s="230">
        <f t="shared" si="13"/>
        <v>17088.888888888887</v>
      </c>
      <c r="W17" s="230">
        <f t="shared" si="13"/>
        <v>17088.888888888887</v>
      </c>
      <c r="X17" s="230">
        <f t="shared" si="13"/>
        <v>17088.888888888887</v>
      </c>
      <c r="Y17" s="230">
        <f t="shared" si="13"/>
        <v>17088.888888888887</v>
      </c>
      <c r="Z17" s="230">
        <f t="shared" si="13"/>
        <v>17088.888888888887</v>
      </c>
      <c r="AA17" s="230">
        <f t="shared" si="13"/>
        <v>17088.888888888887</v>
      </c>
    </row>
    <row r="18" spans="2:27" x14ac:dyDescent="0.2">
      <c r="B18" s="60" t="str">
        <f>B9</f>
        <v>Businesses and industry</v>
      </c>
      <c r="C18" s="59" t="s">
        <v>70</v>
      </c>
      <c r="D18" s="230">
        <f t="shared" ref="D18:AA18" si="14">D9/3.6*1000</f>
        <v>13155.555555555555</v>
      </c>
      <c r="E18" s="230">
        <f t="shared" si="14"/>
        <v>13013.888888888889</v>
      </c>
      <c r="F18" s="230">
        <f t="shared" si="14"/>
        <v>12894.444444444443</v>
      </c>
      <c r="G18" s="230">
        <f t="shared" si="14"/>
        <v>12791.666666666666</v>
      </c>
      <c r="H18" s="230">
        <f t="shared" si="14"/>
        <v>12983.33333333333</v>
      </c>
      <c r="I18" s="230">
        <f t="shared" si="14"/>
        <v>13172.222222222223</v>
      </c>
      <c r="J18" s="230">
        <f t="shared" si="14"/>
        <v>13344.444444444443</v>
      </c>
      <c r="K18" s="230">
        <f t="shared" si="14"/>
        <v>13494.444444444443</v>
      </c>
      <c r="L18" s="230">
        <f t="shared" si="14"/>
        <v>13624.999999999998</v>
      </c>
      <c r="M18" s="230">
        <f t="shared" si="14"/>
        <v>13736.111111111111</v>
      </c>
      <c r="N18" s="230">
        <f t="shared" si="14"/>
        <v>13833.333333333332</v>
      </c>
      <c r="O18" s="230">
        <f t="shared" si="14"/>
        <v>13913.888888888891</v>
      </c>
      <c r="P18" s="230">
        <f t="shared" si="14"/>
        <v>13983.333333333334</v>
      </c>
      <c r="Q18" s="230">
        <f t="shared" si="14"/>
        <v>14072.222222222221</v>
      </c>
      <c r="R18" s="230">
        <f t="shared" si="14"/>
        <v>14072.222222222221</v>
      </c>
      <c r="S18" s="230">
        <f t="shared" si="14"/>
        <v>14072.222222222221</v>
      </c>
      <c r="T18" s="230">
        <f t="shared" si="14"/>
        <v>14072.222222222221</v>
      </c>
      <c r="U18" s="230">
        <f t="shared" si="14"/>
        <v>14072.222222222221</v>
      </c>
      <c r="V18" s="230">
        <f t="shared" si="14"/>
        <v>14072.222222222221</v>
      </c>
      <c r="W18" s="230">
        <f t="shared" si="14"/>
        <v>14072.222222222221</v>
      </c>
      <c r="X18" s="230">
        <f t="shared" si="14"/>
        <v>14072.222222222221</v>
      </c>
      <c r="Y18" s="230">
        <f t="shared" si="14"/>
        <v>14072.222222222221</v>
      </c>
      <c r="Z18" s="230">
        <f t="shared" si="14"/>
        <v>14072.222222222221</v>
      </c>
      <c r="AA18" s="230">
        <f t="shared" si="14"/>
        <v>14072.222222222221</v>
      </c>
    </row>
    <row r="19" spans="2:27" x14ac:dyDescent="0.2">
      <c r="B19" s="65" t="str">
        <f>B10</f>
        <v>Loss</v>
      </c>
      <c r="C19" s="59" t="s">
        <v>70</v>
      </c>
      <c r="D19" s="230">
        <f t="shared" ref="D19:AA19" si="15">D10/3.6*1000</f>
        <v>7197.2222222222217</v>
      </c>
      <c r="E19" s="230">
        <f t="shared" si="15"/>
        <v>7155.5555555555557</v>
      </c>
      <c r="F19" s="230">
        <f t="shared" si="15"/>
        <v>7119.4444444444434</v>
      </c>
      <c r="G19" s="230">
        <f t="shared" si="15"/>
        <v>7088.8888888888887</v>
      </c>
      <c r="H19" s="230">
        <f t="shared" si="15"/>
        <v>7088.8888888888887</v>
      </c>
      <c r="I19" s="230">
        <f t="shared" si="15"/>
        <v>7091.666666666667</v>
      </c>
      <c r="J19" s="230">
        <f t="shared" si="15"/>
        <v>7088.8888888888887</v>
      </c>
      <c r="K19" s="230">
        <f t="shared" si="15"/>
        <v>7077.7777777777774</v>
      </c>
      <c r="L19" s="230">
        <f t="shared" si="15"/>
        <v>7066.6666666666661</v>
      </c>
      <c r="M19" s="230">
        <f t="shared" si="15"/>
        <v>7050</v>
      </c>
      <c r="N19" s="230">
        <f t="shared" si="15"/>
        <v>7027.7777777777774</v>
      </c>
      <c r="O19" s="230">
        <f t="shared" si="15"/>
        <v>7005.5555555555547</v>
      </c>
      <c r="P19" s="230">
        <f t="shared" si="15"/>
        <v>6977.7777777777783</v>
      </c>
      <c r="Q19" s="230">
        <f t="shared" si="15"/>
        <v>6955.5555555555547</v>
      </c>
      <c r="R19" s="230">
        <f t="shared" si="15"/>
        <v>6955.5555555555547</v>
      </c>
      <c r="S19" s="230">
        <f t="shared" si="15"/>
        <v>6955.5555555555547</v>
      </c>
      <c r="T19" s="230">
        <f t="shared" si="15"/>
        <v>6955.5555555555547</v>
      </c>
      <c r="U19" s="230">
        <f t="shared" si="15"/>
        <v>6955.5555555555547</v>
      </c>
      <c r="V19" s="230">
        <f t="shared" si="15"/>
        <v>6955.5555555555547</v>
      </c>
      <c r="W19" s="230">
        <f t="shared" si="15"/>
        <v>6955.5555555555547</v>
      </c>
      <c r="X19" s="230">
        <f t="shared" si="15"/>
        <v>6955.5555555555547</v>
      </c>
      <c r="Y19" s="230">
        <f t="shared" si="15"/>
        <v>6955.5555555555547</v>
      </c>
      <c r="Z19" s="230">
        <f t="shared" si="15"/>
        <v>6955.5555555555547</v>
      </c>
      <c r="AA19" s="230">
        <f t="shared" si="15"/>
        <v>6955.5555555555547</v>
      </c>
    </row>
    <row r="20" spans="2:27" x14ac:dyDescent="0.2">
      <c r="B20" s="91" t="str">
        <f>B11</f>
        <v>Total</v>
      </c>
      <c r="C20" s="91" t="s">
        <v>70</v>
      </c>
      <c r="D20" s="92">
        <f>SUM(D17:D19)</f>
        <v>39313.888888888891</v>
      </c>
      <c r="E20" s="92">
        <f t="shared" ref="E20" si="16">SUM(E17:E19)</f>
        <v>39108.333333333336</v>
      </c>
      <c r="F20" s="92">
        <f t="shared" ref="F20" si="17">SUM(F17:F19)</f>
        <v>38930.555555555555</v>
      </c>
      <c r="G20" s="92">
        <f t="shared" ref="G20" si="18">SUM(G17:G19)</f>
        <v>38775</v>
      </c>
      <c r="H20" s="92">
        <f t="shared" ref="H20" si="19">SUM(H17:H19)</f>
        <v>38783.333333333336</v>
      </c>
      <c r="I20" s="92">
        <f t="shared" ref="I20" si="20">SUM(I17:I19)</f>
        <v>38788.888888888891</v>
      </c>
      <c r="J20" s="92">
        <f t="shared" ref="J20" si="21">SUM(J17:J19)</f>
        <v>38772.222222222219</v>
      </c>
      <c r="K20" s="92">
        <f t="shared" ref="K20" si="22">SUM(K17:K19)</f>
        <v>38727.777777777781</v>
      </c>
      <c r="L20" s="92">
        <f t="shared" ref="L20" si="23">SUM(L17:L19)</f>
        <v>38661.111111111109</v>
      </c>
      <c r="M20" s="92">
        <f t="shared" ref="M20" si="24">SUM(M17:M19)</f>
        <v>38580.555555555555</v>
      </c>
      <c r="N20" s="92">
        <f t="shared" ref="N20" si="25">SUM(N17:N19)</f>
        <v>38477.777777777781</v>
      </c>
      <c r="O20" s="92">
        <f t="shared" ref="O20" si="26">SUM(O17:O19)</f>
        <v>38361.111111111109</v>
      </c>
      <c r="P20" s="92">
        <f t="shared" ref="P20" si="27">SUM(P17:P19)</f>
        <v>38225.000000000007</v>
      </c>
      <c r="Q20" s="92">
        <f t="shared" ref="Q20" si="28">SUM(Q17:Q19)</f>
        <v>38116.666666666664</v>
      </c>
      <c r="R20" s="92">
        <f t="shared" ref="R20" si="29">SUM(R17:R19)</f>
        <v>38116.666666666664</v>
      </c>
      <c r="S20" s="92">
        <f t="shared" ref="S20" si="30">SUM(S17:S19)</f>
        <v>38116.666666666664</v>
      </c>
      <c r="T20" s="92">
        <f t="shared" ref="T20" si="31">SUM(T17:T19)</f>
        <v>38116.666666666664</v>
      </c>
      <c r="U20" s="92">
        <f t="shared" ref="U20" si="32">SUM(U17:U19)</f>
        <v>38116.666666666664</v>
      </c>
      <c r="V20" s="92">
        <f t="shared" ref="V20" si="33">SUM(V17:V19)</f>
        <v>38116.666666666664</v>
      </c>
      <c r="W20" s="92">
        <f t="shared" ref="W20" si="34">SUM(W17:W19)</f>
        <v>38116.666666666664</v>
      </c>
      <c r="X20" s="92">
        <f t="shared" ref="X20" si="35">SUM(X17:X19)</f>
        <v>38116.666666666664</v>
      </c>
      <c r="Y20" s="92">
        <f t="shared" ref="Y20" si="36">SUM(Y17:Y19)</f>
        <v>38116.666666666664</v>
      </c>
      <c r="Z20" s="92">
        <f t="shared" ref="Z20" si="37">SUM(Z17:Z19)</f>
        <v>38116.666666666664</v>
      </c>
      <c r="AA20" s="92">
        <f t="shared" ref="AA20" si="38">SUM(AA17:AA19)</f>
        <v>38116.666666666664</v>
      </c>
    </row>
    <row r="23" spans="2:27" x14ac:dyDescent="0.2">
      <c r="B23" s="1" t="s">
        <v>310</v>
      </c>
    </row>
    <row r="24" spans="2:27" s="3" customFormat="1" outlineLevel="1" x14ac:dyDescent="0.2">
      <c r="B24" s="183" t="s">
        <v>308</v>
      </c>
      <c r="C24" s="193" t="s">
        <v>141</v>
      </c>
      <c r="D24" s="184">
        <v>2017</v>
      </c>
      <c r="E24" s="184">
        <v>2018</v>
      </c>
      <c r="F24" s="184">
        <v>2019</v>
      </c>
      <c r="G24" s="184">
        <v>2020</v>
      </c>
      <c r="H24" s="184">
        <v>2021</v>
      </c>
      <c r="I24" s="184">
        <v>2022</v>
      </c>
      <c r="J24" s="184">
        <v>2023</v>
      </c>
      <c r="K24" s="184">
        <v>2024</v>
      </c>
      <c r="L24" s="184">
        <v>2025</v>
      </c>
      <c r="M24" s="184">
        <v>2026</v>
      </c>
      <c r="N24" s="184">
        <v>2027</v>
      </c>
      <c r="O24" s="184">
        <v>2028</v>
      </c>
      <c r="P24" s="184">
        <v>2029</v>
      </c>
      <c r="Q24" s="184">
        <v>2030</v>
      </c>
      <c r="R24" s="184">
        <v>2031</v>
      </c>
      <c r="S24" s="184">
        <v>2032</v>
      </c>
      <c r="T24" s="184">
        <v>2033</v>
      </c>
      <c r="U24" s="184">
        <v>2034</v>
      </c>
      <c r="V24" s="184">
        <v>2035</v>
      </c>
      <c r="W24" s="184">
        <v>2036</v>
      </c>
      <c r="X24" s="184">
        <v>2037</v>
      </c>
      <c r="Y24" s="184">
        <v>2038</v>
      </c>
      <c r="Z24" s="184">
        <v>2039</v>
      </c>
      <c r="AA24" s="184">
        <v>2040</v>
      </c>
    </row>
    <row r="25" spans="2:27" s="3" customFormat="1" outlineLevel="1" x14ac:dyDescent="0.2">
      <c r="B25" s="183" t="s">
        <v>119</v>
      </c>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row>
    <row r="26" spans="2:27" s="3" customFormat="1" outlineLevel="1" x14ac:dyDescent="0.2">
      <c r="B26" s="232" t="s">
        <v>99</v>
      </c>
      <c r="C26" s="232" t="s">
        <v>70</v>
      </c>
      <c r="D26" s="233">
        <v>36845.444281475691</v>
      </c>
      <c r="E26" s="233">
        <v>36611.904970126197</v>
      </c>
      <c r="F26" s="233">
        <v>36402.764622870731</v>
      </c>
      <c r="G26" s="233">
        <v>36172.275260160473</v>
      </c>
      <c r="H26" s="233">
        <v>36310.140907891866</v>
      </c>
      <c r="I26" s="233">
        <v>36389.610576267049</v>
      </c>
      <c r="J26" s="233">
        <v>36444.559065439789</v>
      </c>
      <c r="K26" s="233">
        <v>36489.203933572702</v>
      </c>
      <c r="L26" s="233">
        <v>36503.741748341658</v>
      </c>
      <c r="M26" s="233">
        <f>L26</f>
        <v>36503.741748341658</v>
      </c>
      <c r="N26" s="233">
        <f t="shared" ref="N26:AA26" si="39">M26</f>
        <v>36503.741748341658</v>
      </c>
      <c r="O26" s="233">
        <f t="shared" si="39"/>
        <v>36503.741748341658</v>
      </c>
      <c r="P26" s="233">
        <f t="shared" si="39"/>
        <v>36503.741748341658</v>
      </c>
      <c r="Q26" s="233">
        <f t="shared" si="39"/>
        <v>36503.741748341658</v>
      </c>
      <c r="R26" s="233">
        <f t="shared" si="39"/>
        <v>36503.741748341658</v>
      </c>
      <c r="S26" s="233">
        <f t="shared" si="39"/>
        <v>36503.741748341658</v>
      </c>
      <c r="T26" s="233">
        <f t="shared" si="39"/>
        <v>36503.741748341658</v>
      </c>
      <c r="U26" s="233">
        <f t="shared" si="39"/>
        <v>36503.741748341658</v>
      </c>
      <c r="V26" s="233">
        <f t="shared" si="39"/>
        <v>36503.741748341658</v>
      </c>
      <c r="W26" s="233">
        <f t="shared" si="39"/>
        <v>36503.741748341658</v>
      </c>
      <c r="X26" s="233">
        <f t="shared" si="39"/>
        <v>36503.741748341658</v>
      </c>
      <c r="Y26" s="233">
        <f t="shared" si="39"/>
        <v>36503.741748341658</v>
      </c>
      <c r="Z26" s="233">
        <f t="shared" si="39"/>
        <v>36503.741748341658</v>
      </c>
      <c r="AA26" s="233">
        <f t="shared" si="39"/>
        <v>36503.741748341658</v>
      </c>
    </row>
    <row r="27" spans="2:27" s="225" customFormat="1" x14ac:dyDescent="0.2">
      <c r="B27" s="226"/>
      <c r="C27" s="226"/>
      <c r="D27" s="227"/>
      <c r="E27" s="227"/>
      <c r="F27" s="227"/>
      <c r="G27" s="227"/>
      <c r="H27" s="227"/>
      <c r="I27" s="227"/>
      <c r="J27" s="227"/>
      <c r="K27" s="227"/>
      <c r="L27" s="227"/>
      <c r="M27" s="227"/>
      <c r="N27" s="227"/>
      <c r="O27" s="227"/>
      <c r="P27" s="227"/>
      <c r="Q27" s="227"/>
      <c r="R27" s="227"/>
      <c r="S27" s="227"/>
      <c r="T27" s="227"/>
      <c r="U27" s="227"/>
      <c r="V27" s="227"/>
      <c r="W27" s="227"/>
      <c r="X27" s="227"/>
      <c r="Y27" s="227"/>
      <c r="Z27" s="227"/>
      <c r="AA27" s="227"/>
    </row>
    <row r="28" spans="2:27" s="70" customFormat="1" x14ac:dyDescent="0.2">
      <c r="B28" s="70" t="s">
        <v>312</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3">
    <tabColor theme="5"/>
  </sheetPr>
  <dimension ref="A1:AB35"/>
  <sheetViews>
    <sheetView showGridLines="0" topLeftCell="A5" zoomScale="110" zoomScaleNormal="110" workbookViewId="0"/>
  </sheetViews>
  <sheetFormatPr baseColWidth="10" defaultColWidth="8.83203125" defaultRowHeight="15" x14ac:dyDescent="0.2"/>
  <cols>
    <col min="1" max="1" width="5.6640625" style="12" customWidth="1"/>
    <col min="2" max="2" width="40.5" customWidth="1"/>
    <col min="3" max="3" width="10.6640625" style="12" customWidth="1"/>
    <col min="4" max="4" width="10.83203125" customWidth="1"/>
  </cols>
  <sheetData>
    <row r="1" spans="2:28" s="68" customFormat="1" ht="21" x14ac:dyDescent="0.25">
      <c r="B1" s="68" t="s">
        <v>276</v>
      </c>
    </row>
    <row r="4" spans="2:28" s="70" customFormat="1" x14ac:dyDescent="0.2">
      <c r="B4" s="70" t="s">
        <v>277</v>
      </c>
    </row>
    <row r="6" spans="2:28" x14ac:dyDescent="0.2">
      <c r="B6" s="62" t="s">
        <v>294</v>
      </c>
      <c r="C6" s="62"/>
      <c r="D6" s="62" t="s">
        <v>141</v>
      </c>
      <c r="E6" s="74">
        <v>2017</v>
      </c>
      <c r="F6" s="74">
        <v>2018</v>
      </c>
      <c r="G6" s="74">
        <v>2019</v>
      </c>
      <c r="H6" s="74">
        <v>2020</v>
      </c>
      <c r="I6" s="74">
        <v>2021</v>
      </c>
      <c r="J6" s="74">
        <v>2022</v>
      </c>
      <c r="K6" s="74">
        <v>2023</v>
      </c>
      <c r="L6" s="74">
        <v>2024</v>
      </c>
      <c r="M6" s="74">
        <v>2025</v>
      </c>
      <c r="N6" s="74">
        <v>2026</v>
      </c>
      <c r="O6" s="74">
        <v>2027</v>
      </c>
      <c r="P6" s="74">
        <v>2028</v>
      </c>
      <c r="Q6" s="74">
        <v>2029</v>
      </c>
      <c r="R6" s="74">
        <v>2030</v>
      </c>
      <c r="S6" s="74">
        <v>2031</v>
      </c>
      <c r="T6" s="74">
        <v>2032</v>
      </c>
      <c r="U6" s="74">
        <v>2033</v>
      </c>
      <c r="V6" s="74">
        <v>2034</v>
      </c>
      <c r="W6" s="74">
        <v>2035</v>
      </c>
      <c r="X6" s="74">
        <v>2036</v>
      </c>
      <c r="Y6" s="74">
        <v>2037</v>
      </c>
      <c r="Z6" s="74">
        <v>2038</v>
      </c>
      <c r="AA6" s="74">
        <v>2039</v>
      </c>
      <c r="AB6" s="74">
        <v>2040</v>
      </c>
    </row>
    <row r="7" spans="2:28" x14ac:dyDescent="0.2">
      <c r="B7" s="59" t="s">
        <v>286</v>
      </c>
      <c r="C7" s="59"/>
      <c r="D7" s="59" t="s">
        <v>441</v>
      </c>
      <c r="E7" s="75">
        <v>1.4988400690277719E-2</v>
      </c>
      <c r="F7" s="75">
        <v>1.7425825235955216E-2</v>
      </c>
      <c r="G7" s="75">
        <v>1.7215224936855324E-2</v>
      </c>
      <c r="H7" s="75">
        <v>2.0275704415574365E-2</v>
      </c>
      <c r="I7" s="75">
        <v>1.4005287171330153E-2</v>
      </c>
      <c r="J7" s="75">
        <v>1.8671381889275068E-2</v>
      </c>
      <c r="K7" s="75">
        <v>1.3691041310580092E-2</v>
      </c>
      <c r="L7" s="75">
        <v>1.2461145887081571E-2</v>
      </c>
      <c r="M7" s="75">
        <v>1.1583318059269723E-2</v>
      </c>
      <c r="N7" s="75">
        <v>1.1466530910612126E-2</v>
      </c>
      <c r="O7" s="75">
        <v>1.1131488529937133E-2</v>
      </c>
      <c r="P7" s="75">
        <v>1.0086736434653455E-2</v>
      </c>
      <c r="Q7" s="75">
        <v>8.2224779660129386E-3</v>
      </c>
      <c r="R7" s="75">
        <v>1.5737960895361339E-2</v>
      </c>
      <c r="S7" s="75">
        <v>8.5458214891987235E-3</v>
      </c>
      <c r="T7" s="75">
        <v>9.3444420055828741E-3</v>
      </c>
      <c r="U7" s="75">
        <v>6.9254171810382787E-3</v>
      </c>
      <c r="V7" s="75">
        <v>5.7723637533187233E-3</v>
      </c>
      <c r="W7" s="75">
        <v>1.5126420941188374E-2</v>
      </c>
      <c r="X7" s="75">
        <v>6.5054829000088668E-3</v>
      </c>
      <c r="Y7" s="75">
        <v>9.8230270069255242E-3</v>
      </c>
      <c r="Z7" s="75">
        <v>9.0529752797505556E-3</v>
      </c>
      <c r="AA7" s="75">
        <v>8.1561211561216318E-3</v>
      </c>
      <c r="AB7" s="75">
        <v>1.5364545360111547E-2</v>
      </c>
    </row>
    <row r="8" spans="2:28" x14ac:dyDescent="0.2">
      <c r="B8" s="59" t="s">
        <v>287</v>
      </c>
      <c r="C8" s="59"/>
      <c r="D8" s="59" t="s">
        <v>441</v>
      </c>
      <c r="E8" s="75">
        <v>7.4900000000000001E-3</v>
      </c>
      <c r="F8" s="75">
        <v>1.1050000000000001E-2</v>
      </c>
      <c r="G8" s="75">
        <v>1.6E-2</v>
      </c>
      <c r="H8" s="75">
        <v>2.2000000000000002E-2</v>
      </c>
      <c r="I8" s="75">
        <v>2.6000000000000002E-2</v>
      </c>
      <c r="J8" s="75">
        <v>3.1E-2</v>
      </c>
      <c r="K8" s="75">
        <v>3.6000000000000004E-2</v>
      </c>
      <c r="L8" s="75">
        <v>3.9399999999999998E-2</v>
      </c>
      <c r="M8" s="75">
        <v>4.41E-2</v>
      </c>
      <c r="N8" s="75">
        <v>4.4400000000000002E-2</v>
      </c>
      <c r="O8" s="75">
        <v>4.4600000000000001E-2</v>
      </c>
      <c r="P8" s="75">
        <v>4.4800000000000006E-2</v>
      </c>
      <c r="Q8" s="75">
        <v>4.4900000000000002E-2</v>
      </c>
      <c r="R8" s="75">
        <v>4.4999999999999998E-2</v>
      </c>
      <c r="S8" s="75">
        <v>4.4999999999999998E-2</v>
      </c>
      <c r="T8" s="75">
        <v>4.4999999999999998E-2</v>
      </c>
      <c r="U8" s="75">
        <v>4.4999999999999998E-2</v>
      </c>
      <c r="V8" s="75">
        <v>4.4999999999999998E-2</v>
      </c>
      <c r="W8" s="75">
        <v>4.4999999999999998E-2</v>
      </c>
      <c r="X8" s="75">
        <v>4.4999999999999998E-2</v>
      </c>
      <c r="Y8" s="75">
        <v>4.4999999999999998E-2</v>
      </c>
      <c r="Z8" s="75">
        <v>4.4999999999999998E-2</v>
      </c>
      <c r="AA8" s="75">
        <v>4.4999999999999998E-2</v>
      </c>
      <c r="AB8" s="75">
        <v>4.4999999999999998E-2</v>
      </c>
    </row>
    <row r="9" spans="2:28" s="12" customFormat="1" x14ac:dyDescent="0.2">
      <c r="B9" s="59" t="s">
        <v>288</v>
      </c>
      <c r="C9" s="59"/>
      <c r="D9" s="59" t="s">
        <v>295</v>
      </c>
      <c r="E9" s="76">
        <v>1</v>
      </c>
      <c r="F9" s="76">
        <v>1.0162509461908467</v>
      </c>
      <c r="G9" s="76">
        <v>1.0306685293230844</v>
      </c>
      <c r="H9" s="76">
        <v>1.0485927057776456</v>
      </c>
      <c r="I9" s="76">
        <v>1.0681869829750179</v>
      </c>
      <c r="J9" s="76">
        <v>1.0883713661528382</v>
      </c>
      <c r="K9" s="76">
        <v>1.1090247652029463</v>
      </c>
      <c r="L9" s="76">
        <v>1.1297467542520812</v>
      </c>
      <c r="M9" s="76">
        <v>1.1510657021359918</v>
      </c>
      <c r="N9" s="76">
        <v>1.17335324542024</v>
      </c>
      <c r="O9" s="76">
        <v>1.1961174039333693</v>
      </c>
      <c r="P9" s="76">
        <v>1.2192995130409232</v>
      </c>
      <c r="Q9" s="76">
        <v>1.2427613572006275</v>
      </c>
      <c r="R9" s="76">
        <v>1.2664670530449831</v>
      </c>
      <c r="S9" s="76">
        <v>1.2911349878621379</v>
      </c>
      <c r="T9" s="76">
        <v>1.3161657832705884</v>
      </c>
      <c r="U9" s="76">
        <v>1.3416514133380641</v>
      </c>
      <c r="V9" s="76">
        <v>1.3676163284791178</v>
      </c>
      <c r="W9" s="76">
        <v>1.3937852907165913</v>
      </c>
      <c r="X9" s="76">
        <v>1.4206642181004532</v>
      </c>
      <c r="Y9" s="76">
        <v>1.4479488949044248</v>
      </c>
      <c r="Z9" s="76">
        <v>1.4756681718942164</v>
      </c>
      <c r="AA9" s="76">
        <v>1.5039213643354237</v>
      </c>
      <c r="AB9" s="76">
        <v>1.5324438562042813</v>
      </c>
    </row>
    <row r="10" spans="2:28" s="12" customFormat="1" x14ac:dyDescent="0.2">
      <c r="B10" s="59" t="s">
        <v>289</v>
      </c>
      <c r="C10" s="59"/>
      <c r="D10" s="59" t="s">
        <v>441</v>
      </c>
      <c r="E10" s="75">
        <v>1.5356890379155214E-2</v>
      </c>
      <c r="F10" s="75">
        <v>1.625094619084666E-2</v>
      </c>
      <c r="G10" s="75">
        <v>1.4187030463566412E-2</v>
      </c>
      <c r="H10" s="75">
        <v>1.7390825415357698E-2</v>
      </c>
      <c r="I10" s="75">
        <v>1.8686261204574173E-2</v>
      </c>
      <c r="J10" s="75">
        <v>1.8895926929950617E-2</v>
      </c>
      <c r="K10" s="75">
        <v>1.8976426330576376E-2</v>
      </c>
      <c r="L10" s="75">
        <v>1.8684874945369481E-2</v>
      </c>
      <c r="M10" s="75">
        <v>1.8870554665168557E-2</v>
      </c>
      <c r="N10" s="75">
        <v>1.9362529213484511E-2</v>
      </c>
      <c r="O10" s="75">
        <v>1.9400942215808372E-2</v>
      </c>
      <c r="P10" s="75">
        <v>1.9381131844851324E-2</v>
      </c>
      <c r="Q10" s="75">
        <v>1.9242068014273757E-2</v>
      </c>
      <c r="R10" s="75">
        <v>1.9075018471570147E-2</v>
      </c>
      <c r="S10" s="75">
        <v>1.9477754875537708E-2</v>
      </c>
      <c r="T10" s="75">
        <v>1.9386660297926364E-2</v>
      </c>
      <c r="U10" s="75">
        <v>1.936354096985074E-2</v>
      </c>
      <c r="V10" s="75">
        <v>1.9352951804710812E-2</v>
      </c>
      <c r="W10" s="75">
        <v>1.9134724917020483E-2</v>
      </c>
      <c r="X10" s="75">
        <v>1.9284840759111854E-2</v>
      </c>
      <c r="Y10" s="75">
        <v>1.9205577543477171E-2</v>
      </c>
      <c r="Z10" s="75">
        <v>1.9143822746327848E-2</v>
      </c>
      <c r="AA10" s="75">
        <v>1.9146033626882761E-2</v>
      </c>
      <c r="AB10" s="75">
        <v>1.8965414379535427E-2</v>
      </c>
    </row>
    <row r="11" spans="2:28" x14ac:dyDescent="0.2">
      <c r="B11" s="59" t="s">
        <v>437</v>
      </c>
      <c r="C11" s="59"/>
      <c r="D11" s="59" t="s">
        <v>295</v>
      </c>
      <c r="E11" s="76">
        <v>1</v>
      </c>
      <c r="F11" s="76">
        <v>1.0177737873646344</v>
      </c>
      <c r="G11" s="76">
        <v>1.0297924360372244</v>
      </c>
      <c r="H11" s="76">
        <v>1.0499108074513877</v>
      </c>
      <c r="I11" s="76">
        <v>1.066970933529922</v>
      </c>
      <c r="J11" s="76">
        <v>1.0851995359049234</v>
      </c>
      <c r="K11" s="76">
        <v>1.1061866650439469</v>
      </c>
      <c r="L11" s="76">
        <v>1.1280242659162374</v>
      </c>
      <c r="M11" s="76">
        <v>1.1498664036895743</v>
      </c>
      <c r="N11" s="76">
        <v>1.1730357737346624</v>
      </c>
      <c r="O11" s="76">
        <v>1.1965151474302798</v>
      </c>
      <c r="P11" s="76">
        <v>1.2203987366556974</v>
      </c>
      <c r="Q11" s="76">
        <v>1.2444410848380418</v>
      </c>
      <c r="R11" s="76">
        <v>1.2687216253090832</v>
      </c>
      <c r="S11" s="76">
        <v>1.2940755506788282</v>
      </c>
      <c r="T11" s="76">
        <v>1.3197383063098769</v>
      </c>
      <c r="U11" s="76">
        <v>1.3458351305588598</v>
      </c>
      <c r="V11" s="76">
        <v>1.3723528593538619</v>
      </c>
      <c r="W11" s="76">
        <v>1.3992867361093584</v>
      </c>
      <c r="X11" s="76">
        <v>1.4266536622378734</v>
      </c>
      <c r="Y11" s="76">
        <v>1.4544542262402511</v>
      </c>
      <c r="Z11" s="76">
        <v>1.4827400905916701</v>
      </c>
      <c r="AA11" s="76">
        <v>1.5114998591343223</v>
      </c>
      <c r="AB11" s="76">
        <v>1.5407759798902285</v>
      </c>
    </row>
    <row r="12" spans="2:28" x14ac:dyDescent="0.2">
      <c r="B12" s="59" t="s">
        <v>438</v>
      </c>
      <c r="C12" s="59"/>
      <c r="D12" s="59" t="s">
        <v>441</v>
      </c>
      <c r="E12" s="75">
        <v>1.6291710203583828E-2</v>
      </c>
      <c r="F12" s="75">
        <v>1.7773787364634492E-2</v>
      </c>
      <c r="G12" s="75">
        <v>1.1808762243435422E-2</v>
      </c>
      <c r="H12" s="75">
        <v>1.9536336362676703E-2</v>
      </c>
      <c r="I12" s="75">
        <v>1.6249119408482948E-2</v>
      </c>
      <c r="J12" s="75">
        <v>1.7084441386509424E-2</v>
      </c>
      <c r="K12" s="75">
        <v>1.9339419567225496E-2</v>
      </c>
      <c r="L12" s="75">
        <v>1.9741334407988857E-2</v>
      </c>
      <c r="M12" s="75">
        <v>1.9363180769516111E-2</v>
      </c>
      <c r="N12" s="75">
        <v>2.0149619095526657E-2</v>
      </c>
      <c r="O12" s="75">
        <v>2.0015905926606879E-2</v>
      </c>
      <c r="P12" s="75">
        <v>1.9960958519172744E-2</v>
      </c>
      <c r="Q12" s="75">
        <v>1.9700404023875351E-2</v>
      </c>
      <c r="R12" s="75">
        <v>1.9511201266873498E-2</v>
      </c>
      <c r="S12" s="75">
        <v>1.9983836378266517E-2</v>
      </c>
      <c r="T12" s="75">
        <v>1.9830956251037188E-2</v>
      </c>
      <c r="U12" s="75">
        <v>1.977424169944134E-2</v>
      </c>
      <c r="V12" s="75">
        <v>1.9703549263118545E-2</v>
      </c>
      <c r="W12" s="75">
        <v>1.9626057957264489E-2</v>
      </c>
      <c r="X12" s="75">
        <v>1.9557768556148235E-2</v>
      </c>
      <c r="Y12" s="75">
        <v>1.9486554262068915E-2</v>
      </c>
      <c r="Z12" s="75">
        <v>1.9447751494069149E-2</v>
      </c>
      <c r="AA12" s="75">
        <v>1.9396365367834682E-2</v>
      </c>
      <c r="AB12" s="75">
        <v>1.9368920598294613E-2</v>
      </c>
    </row>
    <row r="13" spans="2:28" x14ac:dyDescent="0.2">
      <c r="B13" s="2" t="s">
        <v>439</v>
      </c>
      <c r="C13" s="59"/>
      <c r="D13" s="59"/>
      <c r="E13" s="61"/>
      <c r="F13" s="61"/>
      <c r="G13" s="61"/>
      <c r="H13" s="61"/>
      <c r="I13" s="61"/>
      <c r="J13" s="61"/>
      <c r="K13" s="61"/>
      <c r="L13" s="61"/>
      <c r="M13" s="61"/>
      <c r="N13" s="61"/>
      <c r="O13" s="61"/>
      <c r="P13" s="61"/>
      <c r="Q13" s="61"/>
      <c r="R13" s="61"/>
      <c r="S13" s="61"/>
      <c r="T13" s="61"/>
      <c r="U13" s="61"/>
      <c r="V13" s="61"/>
      <c r="W13" s="61"/>
      <c r="X13" s="61"/>
      <c r="Y13" s="61"/>
      <c r="Z13" s="61"/>
      <c r="AA13" s="61"/>
      <c r="AB13" s="61"/>
    </row>
    <row r="14" spans="2:28" s="12" customFormat="1" x14ac:dyDescent="0.2">
      <c r="B14" s="59"/>
      <c r="C14" s="59"/>
      <c r="D14" s="59"/>
      <c r="E14" s="61"/>
      <c r="F14" s="61"/>
      <c r="G14" s="61"/>
      <c r="H14" s="61"/>
      <c r="I14" s="61"/>
      <c r="J14" s="61"/>
      <c r="K14" s="61"/>
      <c r="L14" s="61"/>
      <c r="M14" s="61"/>
      <c r="N14" s="61"/>
      <c r="O14" s="61"/>
      <c r="P14" s="61"/>
      <c r="Q14" s="61"/>
      <c r="R14" s="61"/>
      <c r="S14" s="61"/>
      <c r="T14" s="61"/>
      <c r="U14" s="61"/>
      <c r="V14" s="61"/>
      <c r="W14" s="61"/>
      <c r="X14" s="61"/>
      <c r="Y14" s="61"/>
      <c r="Z14" s="61"/>
      <c r="AA14" s="61"/>
      <c r="AB14" s="61"/>
    </row>
    <row r="15" spans="2:28" s="12" customFormat="1" x14ac:dyDescent="0.2"/>
    <row r="16" spans="2:28" s="70" customFormat="1" x14ac:dyDescent="0.2">
      <c r="B16" s="70" t="s">
        <v>278</v>
      </c>
    </row>
    <row r="18" spans="2:28" x14ac:dyDescent="0.2">
      <c r="B18" s="62" t="s">
        <v>440</v>
      </c>
      <c r="C18" s="62"/>
      <c r="D18" s="62" t="s">
        <v>141</v>
      </c>
      <c r="E18" s="74" t="s">
        <v>293</v>
      </c>
    </row>
    <row r="19" spans="2:28" x14ac:dyDescent="0.2">
      <c r="B19" s="59" t="s">
        <v>290</v>
      </c>
      <c r="C19" s="59"/>
      <c r="D19" s="59" t="s">
        <v>441</v>
      </c>
      <c r="E19" s="77">
        <v>0.04</v>
      </c>
    </row>
    <row r="20" spans="2:28" x14ac:dyDescent="0.2">
      <c r="B20" s="59" t="s">
        <v>291</v>
      </c>
      <c r="C20" s="59"/>
      <c r="D20" s="59" t="s">
        <v>441</v>
      </c>
      <c r="E20" s="77">
        <v>0.03</v>
      </c>
    </row>
    <row r="21" spans="2:28" x14ac:dyDescent="0.2">
      <c r="B21" s="59" t="s">
        <v>292</v>
      </c>
      <c r="C21" s="59"/>
      <c r="D21" s="59" t="s">
        <v>441</v>
      </c>
      <c r="E21" s="77">
        <v>0.02</v>
      </c>
    </row>
    <row r="22" spans="2:28" x14ac:dyDescent="0.2">
      <c r="B22" s="2" t="s">
        <v>285</v>
      </c>
    </row>
    <row r="24" spans="2:28" s="12" customFormat="1" x14ac:dyDescent="0.2"/>
    <row r="25" spans="2:28" s="70" customFormat="1" x14ac:dyDescent="0.2">
      <c r="B25" s="70" t="s">
        <v>279</v>
      </c>
    </row>
    <row r="27" spans="2:28" x14ac:dyDescent="0.2">
      <c r="B27" s="62" t="s">
        <v>280</v>
      </c>
      <c r="C27" s="62"/>
      <c r="D27" s="62" t="s">
        <v>141</v>
      </c>
      <c r="E27" s="74">
        <f>E$6</f>
        <v>2017</v>
      </c>
      <c r="F27" s="74">
        <f t="shared" ref="F27:AB27" si="0">F$6</f>
        <v>2018</v>
      </c>
      <c r="G27" s="74">
        <f t="shared" si="0"/>
        <v>2019</v>
      </c>
      <c r="H27" s="74">
        <f t="shared" si="0"/>
        <v>2020</v>
      </c>
      <c r="I27" s="74">
        <f t="shared" si="0"/>
        <v>2021</v>
      </c>
      <c r="J27" s="74">
        <f t="shared" si="0"/>
        <v>2022</v>
      </c>
      <c r="K27" s="74">
        <f t="shared" si="0"/>
        <v>2023</v>
      </c>
      <c r="L27" s="74">
        <f t="shared" si="0"/>
        <v>2024</v>
      </c>
      <c r="M27" s="74">
        <f t="shared" si="0"/>
        <v>2025</v>
      </c>
      <c r="N27" s="74">
        <f t="shared" si="0"/>
        <v>2026</v>
      </c>
      <c r="O27" s="74">
        <f t="shared" si="0"/>
        <v>2027</v>
      </c>
      <c r="P27" s="74">
        <f t="shared" si="0"/>
        <v>2028</v>
      </c>
      <c r="Q27" s="74">
        <f t="shared" si="0"/>
        <v>2029</v>
      </c>
      <c r="R27" s="74">
        <f t="shared" si="0"/>
        <v>2030</v>
      </c>
      <c r="S27" s="74">
        <f t="shared" si="0"/>
        <v>2031</v>
      </c>
      <c r="T27" s="74">
        <f t="shared" si="0"/>
        <v>2032</v>
      </c>
      <c r="U27" s="74">
        <f t="shared" si="0"/>
        <v>2033</v>
      </c>
      <c r="V27" s="74">
        <f t="shared" si="0"/>
        <v>2034</v>
      </c>
      <c r="W27" s="74">
        <f t="shared" si="0"/>
        <v>2035</v>
      </c>
      <c r="X27" s="74">
        <f t="shared" si="0"/>
        <v>2036</v>
      </c>
      <c r="Y27" s="74">
        <f t="shared" si="0"/>
        <v>2037</v>
      </c>
      <c r="Z27" s="74">
        <f t="shared" si="0"/>
        <v>2038</v>
      </c>
      <c r="AA27" s="74">
        <f t="shared" si="0"/>
        <v>2039</v>
      </c>
      <c r="AB27" s="74">
        <f t="shared" si="0"/>
        <v>2040</v>
      </c>
    </row>
    <row r="28" spans="2:28" x14ac:dyDescent="0.2">
      <c r="B28" s="59" t="s">
        <v>281</v>
      </c>
      <c r="C28" s="59"/>
      <c r="D28" s="59" t="s">
        <v>283</v>
      </c>
      <c r="E28" s="78">
        <v>6.9320000000000004</v>
      </c>
      <c r="F28" s="78">
        <v>6.89</v>
      </c>
      <c r="G28" s="78">
        <v>6.8</v>
      </c>
      <c r="H28" s="78">
        <v>6.7</v>
      </c>
      <c r="I28" s="78">
        <v>6.61</v>
      </c>
      <c r="J28" s="78">
        <v>6.52</v>
      </c>
      <c r="K28" s="78">
        <v>6.43</v>
      </c>
      <c r="L28" s="78">
        <v>6.34</v>
      </c>
      <c r="M28" s="78">
        <v>6.25</v>
      </c>
      <c r="N28" s="78">
        <v>6.25</v>
      </c>
      <c r="O28" s="78">
        <v>6.25</v>
      </c>
      <c r="P28" s="78">
        <v>6.25</v>
      </c>
      <c r="Q28" s="78">
        <v>6.25</v>
      </c>
      <c r="R28" s="78">
        <v>6.25</v>
      </c>
      <c r="S28" s="78">
        <v>6.25</v>
      </c>
      <c r="T28" s="78">
        <v>6.25</v>
      </c>
      <c r="U28" s="78">
        <v>6.25</v>
      </c>
      <c r="V28" s="78">
        <v>6.25</v>
      </c>
      <c r="W28" s="78">
        <v>6.25</v>
      </c>
      <c r="X28" s="78">
        <v>6.25</v>
      </c>
      <c r="Y28" s="78">
        <v>6.25</v>
      </c>
      <c r="Z28" s="78">
        <v>6.25</v>
      </c>
      <c r="AA28" s="78">
        <v>6.25</v>
      </c>
      <c r="AB28" s="78">
        <v>6.25</v>
      </c>
    </row>
    <row r="29" spans="2:28" x14ac:dyDescent="0.2">
      <c r="B29" s="59" t="s">
        <v>282</v>
      </c>
      <c r="C29" s="59"/>
      <c r="D29" s="59" t="s">
        <v>284</v>
      </c>
      <c r="E29" s="78">
        <v>7.4390000000000001</v>
      </c>
      <c r="F29" s="78">
        <v>7.4390000000000001</v>
      </c>
      <c r="G29" s="78">
        <v>7.4390000000000001</v>
      </c>
      <c r="H29" s="78">
        <v>7.4390000000000001</v>
      </c>
      <c r="I29" s="78">
        <v>7.4390000000000001</v>
      </c>
      <c r="J29" s="78">
        <v>7.4390000000000001</v>
      </c>
      <c r="K29" s="78">
        <v>7.4390000000000001</v>
      </c>
      <c r="L29" s="78">
        <v>7.4390000000000001</v>
      </c>
      <c r="M29" s="78">
        <v>7.4390000000000001</v>
      </c>
      <c r="N29" s="78">
        <v>7.4390000000000001</v>
      </c>
      <c r="O29" s="78">
        <v>7.4390000000000001</v>
      </c>
      <c r="P29" s="78">
        <v>7.4390000000000001</v>
      </c>
      <c r="Q29" s="78">
        <v>7.4390000000000001</v>
      </c>
      <c r="R29" s="78">
        <v>7.4390000000000001</v>
      </c>
      <c r="S29" s="78">
        <v>7.4390000000000001</v>
      </c>
      <c r="T29" s="78">
        <v>7.4390000000000001</v>
      </c>
      <c r="U29" s="78">
        <v>7.4390000000000001</v>
      </c>
      <c r="V29" s="78">
        <v>7.4390000000000001</v>
      </c>
      <c r="W29" s="78">
        <v>7.4390000000000001</v>
      </c>
      <c r="X29" s="78">
        <v>7.4390000000000001</v>
      </c>
      <c r="Y29" s="78">
        <v>7.4390000000000001</v>
      </c>
      <c r="Z29" s="78">
        <v>7.4390000000000001</v>
      </c>
      <c r="AA29" s="78">
        <v>7.4390000000000001</v>
      </c>
      <c r="AB29" s="78">
        <v>7.4390000000000001</v>
      </c>
    </row>
    <row r="30" spans="2:28" x14ac:dyDescent="0.2">
      <c r="B30" s="2" t="s">
        <v>439</v>
      </c>
    </row>
    <row r="31" spans="2:28" x14ac:dyDescent="0.2">
      <c r="C31"/>
    </row>
    <row r="32" spans="2:28" x14ac:dyDescent="0.2">
      <c r="C32"/>
    </row>
    <row r="33" spans="3:3" x14ac:dyDescent="0.2">
      <c r="C33"/>
    </row>
    <row r="34" spans="3:3" x14ac:dyDescent="0.2">
      <c r="C34"/>
    </row>
    <row r="35" spans="3:3" x14ac:dyDescent="0.2">
      <c r="C35"/>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4">
    <tabColor theme="5"/>
  </sheetPr>
  <dimension ref="A1:AB138"/>
  <sheetViews>
    <sheetView showGridLines="0" zoomScale="110" zoomScaleNormal="110" workbookViewId="0"/>
  </sheetViews>
  <sheetFormatPr baseColWidth="10" defaultColWidth="8.83203125" defaultRowHeight="15" outlineLevelRow="1" x14ac:dyDescent="0.2"/>
  <cols>
    <col min="1" max="1" width="5.6640625" style="12" customWidth="1"/>
    <col min="2" max="2" width="40.5" customWidth="1"/>
    <col min="3" max="3" width="10.6640625" customWidth="1"/>
    <col min="4" max="4" width="11" style="12" customWidth="1"/>
    <col min="5" max="28" width="9.1640625" style="60"/>
  </cols>
  <sheetData>
    <row r="1" spans="2:28" s="68" customFormat="1" ht="21" x14ac:dyDescent="0.25">
      <c r="B1" s="68" t="s">
        <v>442</v>
      </c>
      <c r="E1" s="69"/>
      <c r="F1" s="69"/>
      <c r="G1" s="69"/>
      <c r="H1" s="69"/>
      <c r="I1" s="69"/>
      <c r="J1" s="69"/>
      <c r="K1" s="69"/>
      <c r="L1" s="69"/>
      <c r="M1" s="69"/>
      <c r="N1" s="69"/>
      <c r="O1" s="69"/>
      <c r="P1" s="69"/>
      <c r="Q1" s="69"/>
      <c r="R1" s="69"/>
      <c r="S1" s="69"/>
      <c r="T1" s="69"/>
      <c r="U1" s="69"/>
      <c r="V1" s="69"/>
      <c r="W1" s="69"/>
      <c r="X1" s="69"/>
      <c r="Y1" s="69"/>
      <c r="Z1" s="69"/>
      <c r="AA1" s="69"/>
      <c r="AB1" s="69"/>
    </row>
    <row r="3" spans="2:28" s="12" customFormat="1" x14ac:dyDescent="0.2">
      <c r="E3" s="60"/>
      <c r="F3" s="60"/>
      <c r="G3" s="60"/>
      <c r="H3" s="60"/>
      <c r="I3" s="60"/>
      <c r="J3" s="60"/>
      <c r="K3" s="60"/>
      <c r="L3" s="60"/>
      <c r="M3" s="60"/>
      <c r="N3" s="60"/>
      <c r="O3" s="60"/>
      <c r="P3" s="60"/>
      <c r="Q3" s="60"/>
      <c r="R3" s="60"/>
      <c r="S3" s="60"/>
      <c r="T3" s="60"/>
      <c r="U3" s="60"/>
      <c r="V3" s="60"/>
      <c r="W3" s="60"/>
      <c r="X3" s="60"/>
      <c r="Y3" s="60"/>
      <c r="Z3" s="60"/>
      <c r="AA3" s="60"/>
      <c r="AB3" s="60"/>
    </row>
    <row r="4" spans="2:28" s="70" customFormat="1" x14ac:dyDescent="0.2">
      <c r="B4" s="70" t="s">
        <v>182</v>
      </c>
      <c r="E4" s="71"/>
      <c r="F4" s="71"/>
      <c r="G4" s="71"/>
      <c r="H4" s="71"/>
      <c r="I4" s="71"/>
      <c r="J4" s="71"/>
      <c r="K4" s="71"/>
      <c r="L4" s="71"/>
      <c r="M4" s="71"/>
      <c r="N4" s="71"/>
      <c r="O4" s="71"/>
      <c r="P4" s="71"/>
      <c r="Q4" s="71"/>
      <c r="R4" s="71"/>
      <c r="S4" s="71"/>
      <c r="T4" s="71"/>
      <c r="U4" s="71"/>
      <c r="V4" s="71"/>
      <c r="W4" s="71"/>
      <c r="X4" s="71"/>
      <c r="Y4" s="71"/>
      <c r="Z4" s="71"/>
      <c r="AA4" s="71"/>
      <c r="AB4" s="71"/>
    </row>
    <row r="6" spans="2:28" s="59" customFormat="1" x14ac:dyDescent="0.2">
      <c r="B6" s="62" t="s">
        <v>183</v>
      </c>
      <c r="C6" s="62" t="s">
        <v>141</v>
      </c>
      <c r="D6" s="62" t="s">
        <v>184</v>
      </c>
      <c r="E6" s="63">
        <v>2017</v>
      </c>
      <c r="F6" s="63">
        <v>2018</v>
      </c>
      <c r="G6" s="63">
        <v>2019</v>
      </c>
      <c r="H6" s="63">
        <v>2020</v>
      </c>
      <c r="I6" s="63">
        <v>2021</v>
      </c>
      <c r="J6" s="63">
        <v>2022</v>
      </c>
      <c r="K6" s="63">
        <v>2023</v>
      </c>
      <c r="L6" s="63">
        <v>2024</v>
      </c>
      <c r="M6" s="63">
        <v>2025</v>
      </c>
      <c r="N6" s="63">
        <v>2026</v>
      </c>
      <c r="O6" s="63">
        <v>2027</v>
      </c>
      <c r="P6" s="63">
        <v>2028</v>
      </c>
      <c r="Q6" s="63">
        <v>2029</v>
      </c>
      <c r="R6" s="63">
        <v>2030</v>
      </c>
      <c r="S6" s="63">
        <v>2031</v>
      </c>
      <c r="T6" s="63">
        <v>2032</v>
      </c>
      <c r="U6" s="63">
        <v>2033</v>
      </c>
      <c r="V6" s="63">
        <v>2034</v>
      </c>
      <c r="W6" s="63">
        <v>2035</v>
      </c>
      <c r="X6" s="63">
        <v>2036</v>
      </c>
      <c r="Y6" s="63">
        <v>2037</v>
      </c>
      <c r="Z6" s="63">
        <v>2038</v>
      </c>
      <c r="AA6" s="63">
        <v>2039</v>
      </c>
      <c r="AB6" s="63">
        <v>2040</v>
      </c>
    </row>
    <row r="7" spans="2:28" s="59" customFormat="1" x14ac:dyDescent="0.2">
      <c r="B7" s="59" t="s">
        <v>164</v>
      </c>
      <c r="C7" s="59" t="s">
        <v>174</v>
      </c>
      <c r="D7" s="59" t="s">
        <v>164</v>
      </c>
      <c r="E7" s="64">
        <v>19.449272806527961</v>
      </c>
      <c r="F7" s="64">
        <v>17.471916568926023</v>
      </c>
      <c r="G7" s="64">
        <v>16.066227439509191</v>
      </c>
      <c r="H7" s="64">
        <v>15.412560320162909</v>
      </c>
      <c r="I7" s="64">
        <v>15.43709389977643</v>
      </c>
      <c r="J7" s="64">
        <v>15.599419625888029</v>
      </c>
      <c r="K7" s="64">
        <v>15.869255568348747</v>
      </c>
      <c r="L7" s="64">
        <v>16.402374127956882</v>
      </c>
      <c r="M7" s="64">
        <v>16.969246723130606</v>
      </c>
      <c r="N7" s="64">
        <v>17.597802879094573</v>
      </c>
      <c r="O7" s="64">
        <v>18.263779055668419</v>
      </c>
      <c r="P7" s="64">
        <v>18.965238043873416</v>
      </c>
      <c r="Q7" s="64">
        <v>19.703333096080566</v>
      </c>
      <c r="R7" s="64">
        <v>20.476575342563411</v>
      </c>
      <c r="S7" s="64">
        <v>20.615793306981395</v>
      </c>
      <c r="T7" s="64">
        <v>20.743819818452586</v>
      </c>
      <c r="U7" s="64">
        <v>20.860241393517168</v>
      </c>
      <c r="V7" s="64">
        <v>20.966105675837198</v>
      </c>
      <c r="W7" s="64">
        <v>21.060057808771351</v>
      </c>
      <c r="X7" s="64">
        <v>21.145518664305119</v>
      </c>
      <c r="Y7" s="64">
        <v>21.221087913857627</v>
      </c>
      <c r="Z7" s="64">
        <v>21.286653404894825</v>
      </c>
      <c r="AA7" s="64">
        <v>21.343596122212912</v>
      </c>
      <c r="AB7" s="64">
        <v>21.390055648665445</v>
      </c>
    </row>
    <row r="8" spans="2:28" s="59" customFormat="1" x14ac:dyDescent="0.2">
      <c r="B8" s="59" t="s">
        <v>172</v>
      </c>
      <c r="C8" s="59" t="s">
        <v>174</v>
      </c>
      <c r="D8" s="59" t="s">
        <v>172</v>
      </c>
      <c r="E8" s="64">
        <v>64.21000160770258</v>
      </c>
      <c r="F8" s="64">
        <v>62.032188465427083</v>
      </c>
      <c r="G8" s="64">
        <v>59.279917105479655</v>
      </c>
      <c r="H8" s="64">
        <v>60.609399335071032</v>
      </c>
      <c r="I8" s="64">
        <v>64.697831290200568</v>
      </c>
      <c r="J8" s="64">
        <v>69.831174551350799</v>
      </c>
      <c r="K8" s="64">
        <v>75.57144327371455</v>
      </c>
      <c r="L8" s="64">
        <v>81.83501972549918</v>
      </c>
      <c r="M8" s="64">
        <v>88.60956811984974</v>
      </c>
      <c r="N8" s="64">
        <v>96.035787372008343</v>
      </c>
      <c r="O8" s="64">
        <v>103.95646709565297</v>
      </c>
      <c r="P8" s="64">
        <v>112.3428432164486</v>
      </c>
      <c r="Q8" s="64">
        <v>121.18659444152937</v>
      </c>
      <c r="R8" s="64">
        <v>130.46524984251661</v>
      </c>
      <c r="S8" s="64">
        <v>132.46927809222424</v>
      </c>
      <c r="T8" s="64">
        <v>134.35987656767202</v>
      </c>
      <c r="U8" s="64">
        <v>136.13591450610619</v>
      </c>
      <c r="V8" s="64">
        <v>137.80538576181422</v>
      </c>
      <c r="W8" s="64">
        <v>139.36087122900196</v>
      </c>
      <c r="X8" s="64">
        <v>140.82558075483976</v>
      </c>
      <c r="Y8" s="64">
        <v>142.19172073716518</v>
      </c>
      <c r="Z8" s="64">
        <v>143.45961793918707</v>
      </c>
      <c r="AA8" s="64">
        <v>144.63935798572979</v>
      </c>
      <c r="AB8" s="64">
        <v>145.71960691457579</v>
      </c>
    </row>
    <row r="9" spans="2:28" s="59" customFormat="1" x14ac:dyDescent="0.2">
      <c r="B9" s="59" t="s">
        <v>173</v>
      </c>
      <c r="C9" s="59" t="s">
        <v>174</v>
      </c>
      <c r="D9" s="59" t="s">
        <v>167</v>
      </c>
      <c r="E9" s="64">
        <v>25.870311861658138</v>
      </c>
      <c r="F9" s="64">
        <v>26.735118194441213</v>
      </c>
      <c r="G9" s="64">
        <v>26.60211505234059</v>
      </c>
      <c r="H9" s="64">
        <v>27.452266992297197</v>
      </c>
      <c r="I9" s="64">
        <v>29.211453509399888</v>
      </c>
      <c r="J9" s="64">
        <v>32.013722237195601</v>
      </c>
      <c r="K9" s="64">
        <v>35.240760050587468</v>
      </c>
      <c r="L9" s="64">
        <v>38.85600271654264</v>
      </c>
      <c r="M9" s="64">
        <v>42.788896278012103</v>
      </c>
      <c r="N9" s="64">
        <v>47.116404361217207</v>
      </c>
      <c r="O9" s="64">
        <v>51.748617807443551</v>
      </c>
      <c r="P9" s="64">
        <v>56.66767604708965</v>
      </c>
      <c r="Q9" s="64">
        <v>61.867446238560987</v>
      </c>
      <c r="R9" s="64">
        <v>67.333961622829364</v>
      </c>
      <c r="S9" s="64">
        <v>69.172136978113272</v>
      </c>
      <c r="T9" s="64">
        <v>70.946102939980491</v>
      </c>
      <c r="U9" s="64">
        <v>72.655210930566881</v>
      </c>
      <c r="V9" s="64">
        <v>74.303993322207944</v>
      </c>
      <c r="W9" s="64">
        <v>75.888232863987639</v>
      </c>
      <c r="X9" s="64">
        <v>76.715703964366313</v>
      </c>
      <c r="Y9" s="64">
        <v>77.487372954150587</v>
      </c>
      <c r="Z9" s="64">
        <v>78.203420746818367</v>
      </c>
      <c r="AA9" s="64">
        <v>78.869567374953945</v>
      </c>
      <c r="AB9" s="64">
        <v>79.479376145033882</v>
      </c>
    </row>
    <row r="10" spans="2:28" s="59" customFormat="1" x14ac:dyDescent="0.2">
      <c r="B10" s="72" t="s">
        <v>185</v>
      </c>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2:28" s="59" customFormat="1" x14ac:dyDescent="0.2">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2:28" s="59" customFormat="1" x14ac:dyDescent="0.2">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2:28" s="59" customFormat="1" x14ac:dyDescent="0.2">
      <c r="B13" s="62" t="s">
        <v>432</v>
      </c>
      <c r="C13" s="62" t="s">
        <v>141</v>
      </c>
      <c r="D13" s="62"/>
      <c r="E13" s="63">
        <f>E$6</f>
        <v>2017</v>
      </c>
      <c r="F13" s="63">
        <f t="shared" ref="F13:AB13" si="0">F$6</f>
        <v>2018</v>
      </c>
      <c r="G13" s="63">
        <f t="shared" si="0"/>
        <v>2019</v>
      </c>
      <c r="H13" s="63">
        <f t="shared" si="0"/>
        <v>2020</v>
      </c>
      <c r="I13" s="63">
        <f t="shared" si="0"/>
        <v>2021</v>
      </c>
      <c r="J13" s="63">
        <f t="shared" si="0"/>
        <v>2022</v>
      </c>
      <c r="K13" s="63">
        <f t="shared" si="0"/>
        <v>2023</v>
      </c>
      <c r="L13" s="63">
        <f t="shared" si="0"/>
        <v>2024</v>
      </c>
      <c r="M13" s="63">
        <f t="shared" si="0"/>
        <v>2025</v>
      </c>
      <c r="N13" s="63">
        <f t="shared" si="0"/>
        <v>2026</v>
      </c>
      <c r="O13" s="63">
        <f t="shared" si="0"/>
        <v>2027</v>
      </c>
      <c r="P13" s="63">
        <f t="shared" si="0"/>
        <v>2028</v>
      </c>
      <c r="Q13" s="63">
        <f t="shared" si="0"/>
        <v>2029</v>
      </c>
      <c r="R13" s="63">
        <f t="shared" si="0"/>
        <v>2030</v>
      </c>
      <c r="S13" s="63">
        <f t="shared" si="0"/>
        <v>2031</v>
      </c>
      <c r="T13" s="63">
        <f t="shared" si="0"/>
        <v>2032</v>
      </c>
      <c r="U13" s="63">
        <f t="shared" si="0"/>
        <v>2033</v>
      </c>
      <c r="V13" s="63">
        <f t="shared" si="0"/>
        <v>2034</v>
      </c>
      <c r="W13" s="63">
        <f t="shared" si="0"/>
        <v>2035</v>
      </c>
      <c r="X13" s="63">
        <f t="shared" si="0"/>
        <v>2036</v>
      </c>
      <c r="Y13" s="63">
        <f t="shared" si="0"/>
        <v>2037</v>
      </c>
      <c r="Z13" s="63">
        <f t="shared" si="0"/>
        <v>2038</v>
      </c>
      <c r="AA13" s="63">
        <f t="shared" si="0"/>
        <v>2039</v>
      </c>
      <c r="AB13" s="63">
        <f t="shared" si="0"/>
        <v>2040</v>
      </c>
    </row>
    <row r="14" spans="2:28" s="59" customFormat="1" x14ac:dyDescent="0.2">
      <c r="B14" s="62" t="s">
        <v>188</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row>
    <row r="15" spans="2:28" s="59" customFormat="1" x14ac:dyDescent="0.2">
      <c r="B15" s="59" t="s">
        <v>164</v>
      </c>
      <c r="C15" s="59" t="s">
        <v>174</v>
      </c>
      <c r="D15" s="59" t="s">
        <v>164</v>
      </c>
      <c r="E15" s="64">
        <v>19.814647003458251</v>
      </c>
      <c r="F15" s="64">
        <v>17.837290765856313</v>
      </c>
      <c r="G15" s="64">
        <v>16.431601636439481</v>
      </c>
      <c r="H15" s="64">
        <v>15.777934517093199</v>
      </c>
      <c r="I15" s="64">
        <v>15.80246809670672</v>
      </c>
      <c r="J15" s="64">
        <v>15.964793822818319</v>
      </c>
      <c r="K15" s="64">
        <v>16.234629765279038</v>
      </c>
      <c r="L15" s="64">
        <v>16.767748324887172</v>
      </c>
      <c r="M15" s="64">
        <v>17.334620920060896</v>
      </c>
      <c r="N15" s="64">
        <v>17.963177076024863</v>
      </c>
      <c r="O15" s="64">
        <v>18.629153252598709</v>
      </c>
      <c r="P15" s="64">
        <v>19.330612240803706</v>
      </c>
      <c r="Q15" s="64">
        <v>20.068707293010856</v>
      </c>
      <c r="R15" s="64">
        <v>20.841949539493701</v>
      </c>
      <c r="S15" s="64">
        <v>20.981167503911685</v>
      </c>
      <c r="T15" s="64">
        <v>21.109194015382876</v>
      </c>
      <c r="U15" s="64">
        <v>21.225615590447457</v>
      </c>
      <c r="V15" s="64">
        <v>21.331479872767488</v>
      </c>
      <c r="W15" s="64">
        <v>21.425432005701641</v>
      </c>
      <c r="X15" s="64">
        <v>21.510892861235408</v>
      </c>
      <c r="Y15" s="64">
        <v>21.586462110787917</v>
      </c>
      <c r="Z15" s="64">
        <v>21.652027601825115</v>
      </c>
      <c r="AA15" s="64">
        <v>21.708970319143202</v>
      </c>
      <c r="AB15" s="64">
        <v>21.755429845595735</v>
      </c>
    </row>
    <row r="16" spans="2:28" s="59" customFormat="1" x14ac:dyDescent="0.2">
      <c r="B16" s="59" t="s">
        <v>165</v>
      </c>
      <c r="C16" s="59" t="s">
        <v>174</v>
      </c>
      <c r="D16" s="59" t="s">
        <v>165</v>
      </c>
      <c r="E16" s="64">
        <v>48.457309151631563</v>
      </c>
      <c r="F16" s="64">
        <v>46.279496009356066</v>
      </c>
      <c r="G16" s="64">
        <v>43.527224649408637</v>
      </c>
      <c r="H16" s="64">
        <v>44.856706879000015</v>
      </c>
      <c r="I16" s="64">
        <v>48.945138834129551</v>
      </c>
      <c r="J16" s="64">
        <v>54.078482095279782</v>
      </c>
      <c r="K16" s="64">
        <v>59.818750817643533</v>
      </c>
      <c r="L16" s="64">
        <v>66.082327269428163</v>
      </c>
      <c r="M16" s="64">
        <v>72.856875663778723</v>
      </c>
      <c r="N16" s="64">
        <v>80.283094915937326</v>
      </c>
      <c r="O16" s="64">
        <v>88.203774639581951</v>
      </c>
      <c r="P16" s="64">
        <v>96.590150760377583</v>
      </c>
      <c r="Q16" s="64">
        <v>105.43390198545835</v>
      </c>
      <c r="R16" s="64">
        <v>114.7125573864456</v>
      </c>
      <c r="S16" s="64">
        <v>116.71658563615323</v>
      </c>
      <c r="T16" s="64">
        <v>118.607184111601</v>
      </c>
      <c r="U16" s="64">
        <v>120.38322205003517</v>
      </c>
      <c r="V16" s="64">
        <v>122.0526933057432</v>
      </c>
      <c r="W16" s="64">
        <v>123.60817877293094</v>
      </c>
      <c r="X16" s="64">
        <v>125.07288829876875</v>
      </c>
      <c r="Y16" s="64">
        <v>126.43902828109417</v>
      </c>
      <c r="Z16" s="64">
        <v>127.70692548311605</v>
      </c>
      <c r="AA16" s="64">
        <v>128.88666552965879</v>
      </c>
      <c r="AB16" s="64">
        <v>129.96691445850479</v>
      </c>
    </row>
    <row r="17" spans="2:28" s="59" customFormat="1" x14ac:dyDescent="0.2">
      <c r="B17" s="59" t="s">
        <v>166</v>
      </c>
      <c r="C17" s="59" t="s">
        <v>174</v>
      </c>
      <c r="D17" s="59" t="s">
        <v>166</v>
      </c>
      <c r="E17" s="64">
        <v>87.348014108923692</v>
      </c>
      <c r="F17" s="64">
        <v>85.170200966648196</v>
      </c>
      <c r="G17" s="64">
        <v>82.417929606700767</v>
      </c>
      <c r="H17" s="64">
        <v>83.747411836292144</v>
      </c>
      <c r="I17" s="64">
        <v>87.835843791421681</v>
      </c>
      <c r="J17" s="64">
        <v>92.969187052571911</v>
      </c>
      <c r="K17" s="64">
        <v>98.709455774935662</v>
      </c>
      <c r="L17" s="64">
        <v>104.97303222672029</v>
      </c>
      <c r="M17" s="64">
        <v>111.74758062107085</v>
      </c>
      <c r="N17" s="64">
        <v>119.17379987322946</v>
      </c>
      <c r="O17" s="64">
        <v>127.09447959687408</v>
      </c>
      <c r="P17" s="64">
        <v>135.4808557176697</v>
      </c>
      <c r="Q17" s="64">
        <v>144.32460694275048</v>
      </c>
      <c r="R17" s="64">
        <v>153.60326234373773</v>
      </c>
      <c r="S17" s="64">
        <v>155.60729059344536</v>
      </c>
      <c r="T17" s="64">
        <v>157.49788906889313</v>
      </c>
      <c r="U17" s="64">
        <v>159.2739270073273</v>
      </c>
      <c r="V17" s="64">
        <v>160.94339826303533</v>
      </c>
      <c r="W17" s="64">
        <v>162.49888373022307</v>
      </c>
      <c r="X17" s="64">
        <v>163.96359325606088</v>
      </c>
      <c r="Y17" s="64">
        <v>165.3297332383863</v>
      </c>
      <c r="Z17" s="64">
        <v>166.59763044040818</v>
      </c>
      <c r="AA17" s="64">
        <v>167.7773704869509</v>
      </c>
      <c r="AB17" s="64">
        <v>168.8576194157969</v>
      </c>
    </row>
    <row r="18" spans="2:28" s="59" customFormat="1" x14ac:dyDescent="0.2">
      <c r="B18" s="59" t="s">
        <v>179</v>
      </c>
      <c r="C18" s="59" t="s">
        <v>174</v>
      </c>
      <c r="D18" s="59" t="s">
        <v>167</v>
      </c>
      <c r="E18" s="64">
        <v>28.536167654685983</v>
      </c>
      <c r="F18" s="64">
        <v>29.400973987469058</v>
      </c>
      <c r="G18" s="64">
        <v>29.267970845368435</v>
      </c>
      <c r="H18" s="64">
        <v>30.118122785325042</v>
      </c>
      <c r="I18" s="64">
        <v>31.877309302427733</v>
      </c>
      <c r="J18" s="64">
        <v>34.679578030223446</v>
      </c>
      <c r="K18" s="64">
        <v>37.906615843615313</v>
      </c>
      <c r="L18" s="64">
        <v>41.521858509570485</v>
      </c>
      <c r="M18" s="64">
        <v>45.454752071039948</v>
      </c>
      <c r="N18" s="64">
        <v>49.782260154245051</v>
      </c>
      <c r="O18" s="64">
        <v>54.414473600471396</v>
      </c>
      <c r="P18" s="64">
        <v>59.333531840117494</v>
      </c>
      <c r="Q18" s="64">
        <v>64.533302031588832</v>
      </c>
      <c r="R18" s="64">
        <v>69.999817415857208</v>
      </c>
      <c r="S18" s="64">
        <v>71.837992771141117</v>
      </c>
      <c r="T18" s="64">
        <v>73.611958733008336</v>
      </c>
      <c r="U18" s="64">
        <v>75.321066723594726</v>
      </c>
      <c r="V18" s="64">
        <v>76.969849115235789</v>
      </c>
      <c r="W18" s="64">
        <v>78.554088657015484</v>
      </c>
      <c r="X18" s="64">
        <v>79.381559757394157</v>
      </c>
      <c r="Y18" s="64">
        <v>80.153228747178431</v>
      </c>
      <c r="Z18" s="64">
        <v>80.869276539846211</v>
      </c>
      <c r="AA18" s="64">
        <v>81.53542316798179</v>
      </c>
      <c r="AB18" s="64">
        <v>82.145231938061727</v>
      </c>
    </row>
    <row r="19" spans="2:28" s="59" customFormat="1" x14ac:dyDescent="0.2">
      <c r="B19" s="59" t="s">
        <v>177</v>
      </c>
      <c r="C19" s="59" t="s">
        <v>174</v>
      </c>
      <c r="D19" s="59" t="s">
        <v>178</v>
      </c>
      <c r="E19" s="64">
        <v>27.143071686926497</v>
      </c>
      <c r="F19" s="64">
        <v>28.007878019709572</v>
      </c>
      <c r="G19" s="64">
        <v>27.874874877608949</v>
      </c>
      <c r="H19" s="64">
        <v>28.725026817565556</v>
      </c>
      <c r="I19" s="64">
        <v>30.484213334668247</v>
      </c>
      <c r="J19" s="64">
        <v>33.286482062463961</v>
      </c>
      <c r="K19" s="64">
        <v>36.513519875855827</v>
      </c>
      <c r="L19" s="64">
        <v>40.128762541811</v>
      </c>
      <c r="M19" s="64">
        <v>44.061656103280463</v>
      </c>
      <c r="N19" s="64">
        <v>48.389164186485566</v>
      </c>
      <c r="O19" s="64">
        <v>53.021377632711911</v>
      </c>
      <c r="P19" s="64">
        <v>57.940435872358009</v>
      </c>
      <c r="Q19" s="64">
        <v>63.140206063829346</v>
      </c>
      <c r="R19" s="64">
        <v>68.606721448097716</v>
      </c>
      <c r="S19" s="64">
        <v>70.444896803381624</v>
      </c>
      <c r="T19" s="64">
        <v>72.218862765248844</v>
      </c>
      <c r="U19" s="64">
        <v>73.927970755835247</v>
      </c>
      <c r="V19" s="64">
        <v>75.576753147476296</v>
      </c>
      <c r="W19" s="64">
        <v>77.160992689256005</v>
      </c>
      <c r="X19" s="64">
        <v>77.988463789634665</v>
      </c>
      <c r="Y19" s="64">
        <v>78.760132779418939</v>
      </c>
      <c r="Z19" s="64">
        <v>79.476180572086719</v>
      </c>
      <c r="AA19" s="64">
        <v>80.142327200222297</v>
      </c>
      <c r="AB19" s="64">
        <v>80.752135970302248</v>
      </c>
    </row>
    <row r="20" spans="2:28" s="59" customFormat="1" x14ac:dyDescent="0.2">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2:28" s="59" customFormat="1" x14ac:dyDescent="0.2">
      <c r="B21" s="62" t="s">
        <v>187</v>
      </c>
      <c r="C21" s="62"/>
      <c r="D21" s="62"/>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row>
    <row r="22" spans="2:28" s="59" customFormat="1" x14ac:dyDescent="0.2">
      <c r="B22" s="59" t="s">
        <v>166</v>
      </c>
      <c r="C22" s="59" t="s">
        <v>174</v>
      </c>
      <c r="E22" s="64">
        <v>100.0345416448861</v>
      </c>
      <c r="F22" s="64">
        <v>97.856728502610622</v>
      </c>
      <c r="G22" s="64">
        <v>95.104457142663193</v>
      </c>
      <c r="H22" s="64">
        <v>96.433939372254571</v>
      </c>
      <c r="I22" s="64">
        <v>100.52237132738409</v>
      </c>
      <c r="J22" s="64">
        <v>105.65571458853432</v>
      </c>
      <c r="K22" s="64">
        <v>111.39598331089809</v>
      </c>
      <c r="L22" s="64">
        <v>117.6595597626827</v>
      </c>
      <c r="M22" s="64">
        <v>124.43410815703328</v>
      </c>
      <c r="N22" s="64">
        <v>131.86032740919188</v>
      </c>
      <c r="O22" s="64">
        <v>139.78100713283649</v>
      </c>
      <c r="P22" s="64">
        <v>148.16738325363212</v>
      </c>
      <c r="Q22" s="64">
        <v>157.0111344787129</v>
      </c>
      <c r="R22" s="64">
        <v>166.28978987970015</v>
      </c>
      <c r="S22" s="64">
        <v>168.29381812940778</v>
      </c>
      <c r="T22" s="64">
        <v>170.18441660485556</v>
      </c>
      <c r="U22" s="64">
        <v>171.96045454328973</v>
      </c>
      <c r="V22" s="64">
        <v>173.62992579899776</v>
      </c>
      <c r="W22" s="64">
        <v>175.1854112661855</v>
      </c>
      <c r="X22" s="64">
        <v>176.6501207920233</v>
      </c>
      <c r="Y22" s="64">
        <v>178.01626077434872</v>
      </c>
      <c r="Z22" s="64">
        <v>179.28415797637061</v>
      </c>
      <c r="AA22" s="64">
        <v>180.46389802291333</v>
      </c>
      <c r="AB22" s="64">
        <v>181.54414695175933</v>
      </c>
    </row>
    <row r="23" spans="2:28" s="59" customFormat="1" x14ac:dyDescent="0.2">
      <c r="B23" s="59" t="s">
        <v>167</v>
      </c>
      <c r="C23" s="59" t="s">
        <v>174</v>
      </c>
      <c r="E23" s="64">
        <v>35.478008483266088</v>
      </c>
      <c r="F23" s="64">
        <v>36.342814816049163</v>
      </c>
      <c r="G23" s="64">
        <v>36.209811673948536</v>
      </c>
      <c r="H23" s="64">
        <v>37.059963613905147</v>
      </c>
      <c r="I23" s="64">
        <v>38.819150131007838</v>
      </c>
      <c r="J23" s="64">
        <v>41.621418858803551</v>
      </c>
      <c r="K23" s="64">
        <v>44.848456672195418</v>
      </c>
      <c r="L23" s="64">
        <v>48.46369933815059</v>
      </c>
      <c r="M23" s="64">
        <v>52.396592899620053</v>
      </c>
      <c r="N23" s="64">
        <v>56.724100982825156</v>
      </c>
      <c r="O23" s="64">
        <v>61.356314429051501</v>
      </c>
      <c r="P23" s="64">
        <v>66.275372668697599</v>
      </c>
      <c r="Q23" s="64">
        <v>71.47514286016893</v>
      </c>
      <c r="R23" s="64">
        <v>76.941658244437306</v>
      </c>
      <c r="S23" s="64">
        <v>78.779833599721215</v>
      </c>
      <c r="T23" s="64">
        <v>80.553799561588434</v>
      </c>
      <c r="U23" s="64">
        <v>82.262907552174823</v>
      </c>
      <c r="V23" s="64">
        <v>83.911689943815887</v>
      </c>
      <c r="W23" s="64">
        <v>85.495929485595582</v>
      </c>
      <c r="X23" s="64">
        <v>86.323400585974255</v>
      </c>
      <c r="Y23" s="64">
        <v>87.095069575758529</v>
      </c>
      <c r="Z23" s="64">
        <v>87.811117368426309</v>
      </c>
      <c r="AA23" s="64">
        <v>88.477263996561888</v>
      </c>
      <c r="AB23" s="64">
        <v>89.087072766641825</v>
      </c>
    </row>
    <row r="24" spans="2:28" s="59" customFormat="1" x14ac:dyDescent="0.2">
      <c r="B24" s="59" t="s">
        <v>178</v>
      </c>
      <c r="C24" s="59" t="s">
        <v>174</v>
      </c>
      <c r="E24" s="64">
        <v>28.606983041440699</v>
      </c>
      <c r="F24" s="64">
        <v>29.471789374223775</v>
      </c>
      <c r="G24" s="64">
        <v>29.338786232123155</v>
      </c>
      <c r="H24" s="64">
        <v>30.188938172079759</v>
      </c>
      <c r="I24" s="64">
        <v>31.94812468918245</v>
      </c>
      <c r="J24" s="64">
        <v>34.750393416978163</v>
      </c>
      <c r="K24" s="64">
        <v>37.97743123037003</v>
      </c>
      <c r="L24" s="64">
        <v>41.592673896325202</v>
      </c>
      <c r="M24" s="64">
        <v>45.525567457794665</v>
      </c>
      <c r="N24" s="64">
        <v>49.853075540999768</v>
      </c>
      <c r="O24" s="64">
        <v>54.485288987226113</v>
      </c>
      <c r="P24" s="64">
        <v>59.404347226872211</v>
      </c>
      <c r="Q24" s="64">
        <v>64.604117418343549</v>
      </c>
      <c r="R24" s="64">
        <v>70.070632802611925</v>
      </c>
      <c r="S24" s="64">
        <v>71.908808157895834</v>
      </c>
      <c r="T24" s="64">
        <v>73.682774119763053</v>
      </c>
      <c r="U24" s="64">
        <v>75.391882110349442</v>
      </c>
      <c r="V24" s="64">
        <v>77.040664501990506</v>
      </c>
      <c r="W24" s="64">
        <v>78.624904043770201</v>
      </c>
      <c r="X24" s="64">
        <v>79.452375144148874</v>
      </c>
      <c r="Y24" s="64">
        <v>80.224044133933148</v>
      </c>
      <c r="Z24" s="64">
        <v>80.940091926600928</v>
      </c>
      <c r="AA24" s="64">
        <v>81.606238554736507</v>
      </c>
      <c r="AB24" s="64">
        <v>82.216047324816444</v>
      </c>
    </row>
    <row r="25" spans="2:28" s="59" customFormat="1" x14ac:dyDescent="0.2">
      <c r="B25" s="72" t="s">
        <v>443</v>
      </c>
      <c r="E25" s="64"/>
      <c r="F25" s="64"/>
      <c r="G25" s="64"/>
      <c r="H25" s="64"/>
      <c r="I25" s="64"/>
      <c r="J25" s="64"/>
      <c r="K25" s="64"/>
      <c r="L25" s="64"/>
      <c r="M25" s="64"/>
      <c r="N25" s="64"/>
      <c r="O25" s="64"/>
      <c r="P25" s="64"/>
      <c r="Q25" s="64"/>
      <c r="R25" s="64"/>
      <c r="S25" s="64"/>
      <c r="T25" s="64"/>
      <c r="U25" s="64"/>
      <c r="V25" s="64"/>
      <c r="W25" s="64"/>
      <c r="X25" s="64"/>
      <c r="Y25" s="64"/>
      <c r="Z25" s="64"/>
      <c r="AA25" s="64"/>
      <c r="AB25" s="64"/>
    </row>
    <row r="27" spans="2:28" s="12" customFormat="1" x14ac:dyDescent="0.2">
      <c r="E27" s="60"/>
      <c r="F27" s="60"/>
      <c r="G27" s="60"/>
      <c r="H27" s="60"/>
      <c r="I27" s="60"/>
      <c r="J27" s="60"/>
      <c r="K27" s="60"/>
      <c r="L27" s="60"/>
      <c r="M27" s="60"/>
      <c r="N27" s="60"/>
      <c r="O27" s="60"/>
      <c r="P27" s="60"/>
      <c r="Q27" s="60"/>
      <c r="R27" s="60"/>
      <c r="S27" s="60"/>
      <c r="T27" s="60"/>
      <c r="U27" s="60"/>
      <c r="V27" s="60"/>
      <c r="W27" s="60"/>
      <c r="X27" s="60"/>
      <c r="Y27" s="60"/>
      <c r="Z27" s="60"/>
      <c r="AA27" s="60"/>
      <c r="AB27" s="60"/>
    </row>
    <row r="28" spans="2:28" s="70" customFormat="1" x14ac:dyDescent="0.2">
      <c r="B28" s="70" t="s">
        <v>433</v>
      </c>
      <c r="E28" s="71"/>
      <c r="F28" s="71"/>
      <c r="G28" s="71"/>
      <c r="H28" s="71"/>
      <c r="I28" s="71"/>
      <c r="J28" s="71"/>
      <c r="K28" s="71"/>
      <c r="L28" s="71"/>
      <c r="M28" s="71"/>
      <c r="N28" s="71"/>
      <c r="O28" s="71"/>
      <c r="P28" s="71"/>
      <c r="Q28" s="71"/>
      <c r="R28" s="71"/>
      <c r="S28" s="71"/>
      <c r="T28" s="71"/>
      <c r="U28" s="71"/>
      <c r="V28" s="71"/>
      <c r="W28" s="71"/>
      <c r="X28" s="71"/>
      <c r="Y28" s="71"/>
      <c r="Z28" s="71"/>
      <c r="AA28" s="71"/>
      <c r="AB28" s="71"/>
    </row>
    <row r="30" spans="2:28" s="59" customFormat="1" x14ac:dyDescent="0.2">
      <c r="B30" s="62" t="s">
        <v>183</v>
      </c>
      <c r="C30" s="62" t="s">
        <v>141</v>
      </c>
      <c r="D30" s="62"/>
      <c r="E30" s="63">
        <f>E$6</f>
        <v>2017</v>
      </c>
      <c r="F30" s="63">
        <f t="shared" ref="F30:AB30" si="1">F$6</f>
        <v>2018</v>
      </c>
      <c r="G30" s="63">
        <f t="shared" si="1"/>
        <v>2019</v>
      </c>
      <c r="H30" s="63">
        <f t="shared" si="1"/>
        <v>2020</v>
      </c>
      <c r="I30" s="63">
        <f t="shared" si="1"/>
        <v>2021</v>
      </c>
      <c r="J30" s="63">
        <f t="shared" si="1"/>
        <v>2022</v>
      </c>
      <c r="K30" s="63">
        <f t="shared" si="1"/>
        <v>2023</v>
      </c>
      <c r="L30" s="63">
        <f t="shared" si="1"/>
        <v>2024</v>
      </c>
      <c r="M30" s="63">
        <f t="shared" si="1"/>
        <v>2025</v>
      </c>
      <c r="N30" s="63">
        <f t="shared" si="1"/>
        <v>2026</v>
      </c>
      <c r="O30" s="63">
        <f t="shared" si="1"/>
        <v>2027</v>
      </c>
      <c r="P30" s="63">
        <f t="shared" si="1"/>
        <v>2028</v>
      </c>
      <c r="Q30" s="63">
        <f t="shared" si="1"/>
        <v>2029</v>
      </c>
      <c r="R30" s="63">
        <f t="shared" si="1"/>
        <v>2030</v>
      </c>
      <c r="S30" s="63">
        <f t="shared" si="1"/>
        <v>2031</v>
      </c>
      <c r="T30" s="63">
        <f t="shared" si="1"/>
        <v>2032</v>
      </c>
      <c r="U30" s="63">
        <f t="shared" si="1"/>
        <v>2033</v>
      </c>
      <c r="V30" s="63">
        <f t="shared" si="1"/>
        <v>2034</v>
      </c>
      <c r="W30" s="63">
        <f t="shared" si="1"/>
        <v>2035</v>
      </c>
      <c r="X30" s="63">
        <f t="shared" si="1"/>
        <v>2036</v>
      </c>
      <c r="Y30" s="63">
        <f t="shared" si="1"/>
        <v>2037</v>
      </c>
      <c r="Z30" s="63">
        <f t="shared" si="1"/>
        <v>2038</v>
      </c>
      <c r="AA30" s="63">
        <f t="shared" si="1"/>
        <v>2039</v>
      </c>
      <c r="AB30" s="63">
        <f t="shared" si="1"/>
        <v>2040</v>
      </c>
    </row>
    <row r="31" spans="2:28" s="59" customFormat="1" x14ac:dyDescent="0.2">
      <c r="B31" s="59" t="s">
        <v>169</v>
      </c>
      <c r="C31" s="59" t="s">
        <v>174</v>
      </c>
      <c r="E31" s="191">
        <v>46.843423642214269</v>
      </c>
      <c r="F31" s="191">
        <v>46.917859273490095</v>
      </c>
      <c r="G31" s="191">
        <v>46.974860254541319</v>
      </c>
      <c r="H31" s="191">
        <v>47.212914640557969</v>
      </c>
      <c r="I31" s="191">
        <v>47.661626646300142</v>
      </c>
      <c r="J31" s="191">
        <v>48.164691787279082</v>
      </c>
      <c r="K31" s="191">
        <v>48.700843790654737</v>
      </c>
      <c r="L31" s="191">
        <v>49.267012200822229</v>
      </c>
      <c r="M31" s="191">
        <v>49.867549903283177</v>
      </c>
      <c r="N31" s="191">
        <v>50.432722198752877</v>
      </c>
      <c r="O31" s="191">
        <v>51.023600037971207</v>
      </c>
      <c r="P31" s="191">
        <v>51.638141642165067</v>
      </c>
      <c r="Q31" s="191">
        <v>52.274554707489422</v>
      </c>
      <c r="R31" s="191">
        <v>52.931359991966794</v>
      </c>
      <c r="S31" s="191">
        <v>53.195900943421449</v>
      </c>
      <c r="T31" s="191">
        <v>53.454880840561529</v>
      </c>
      <c r="U31" s="191">
        <v>53.708413702197547</v>
      </c>
      <c r="V31" s="191">
        <v>53.956612439434892</v>
      </c>
      <c r="W31" s="191">
        <v>54.199588815502452</v>
      </c>
      <c r="X31" s="191">
        <v>54.439425852597957</v>
      </c>
      <c r="Y31" s="191">
        <v>54.674177064139265</v>
      </c>
      <c r="Z31" s="191">
        <v>54.903935810311964</v>
      </c>
      <c r="AA31" s="191">
        <v>55.12879511672849</v>
      </c>
      <c r="AB31" s="191">
        <v>55.348847605570249</v>
      </c>
    </row>
    <row r="32" spans="2:28" s="59" customFormat="1" x14ac:dyDescent="0.2">
      <c r="B32" s="59" t="s">
        <v>170</v>
      </c>
      <c r="C32" s="59" t="s">
        <v>174</v>
      </c>
      <c r="E32" s="191">
        <v>62.595787866710033</v>
      </c>
      <c r="F32" s="191">
        <v>62.54103493748196</v>
      </c>
      <c r="G32" s="191">
        <v>62.456808607119548</v>
      </c>
      <c r="H32" s="191">
        <v>62.646323715962332</v>
      </c>
      <c r="I32" s="191">
        <v>63.041511534643334</v>
      </c>
      <c r="J32" s="191">
        <v>63.514784009420019</v>
      </c>
      <c r="K32" s="191">
        <v>64.032398831471326</v>
      </c>
      <c r="L32" s="191">
        <v>64.588717240482552</v>
      </c>
      <c r="M32" s="191">
        <v>65.189154416145797</v>
      </c>
      <c r="N32" s="191">
        <v>65.815334856732136</v>
      </c>
      <c r="O32" s="191">
        <v>66.479047319376747</v>
      </c>
      <c r="P32" s="191">
        <v>67.177387607735085</v>
      </c>
      <c r="Q32" s="191">
        <v>67.907798050471342</v>
      </c>
      <c r="R32" s="191">
        <v>68.66816331719204</v>
      </c>
      <c r="S32" s="191">
        <v>68.877376435687125</v>
      </c>
      <c r="T32" s="191">
        <v>69.077814910081344</v>
      </c>
      <c r="U32" s="191">
        <v>69.269617791068526</v>
      </c>
      <c r="V32" s="191">
        <v>69.452924680353064</v>
      </c>
      <c r="W32" s="191">
        <v>69.627875562992983</v>
      </c>
      <c r="X32" s="191">
        <v>69.791223181746972</v>
      </c>
      <c r="Y32" s="191">
        <v>69.946614747879963</v>
      </c>
      <c r="Z32" s="191">
        <v>70.094200914293253</v>
      </c>
      <c r="AA32" s="191">
        <v>70.234131453798227</v>
      </c>
      <c r="AB32" s="191">
        <v>70.366555165063104</v>
      </c>
    </row>
    <row r="33" spans="2:28" s="59" customFormat="1" x14ac:dyDescent="0.2">
      <c r="B33" s="72" t="s">
        <v>186</v>
      </c>
      <c r="E33" s="66"/>
      <c r="F33" s="66"/>
      <c r="G33" s="66"/>
      <c r="H33" s="66"/>
      <c r="I33" s="66"/>
      <c r="J33" s="66"/>
      <c r="K33" s="66"/>
      <c r="L33" s="66"/>
      <c r="M33" s="66"/>
      <c r="N33" s="66"/>
      <c r="O33" s="66"/>
      <c r="P33" s="66"/>
      <c r="Q33" s="66"/>
      <c r="R33" s="66"/>
      <c r="S33" s="66"/>
      <c r="T33" s="66"/>
      <c r="U33" s="66"/>
      <c r="V33" s="66"/>
      <c r="W33" s="66"/>
      <c r="X33" s="66"/>
      <c r="Y33" s="66"/>
      <c r="Z33" s="66"/>
      <c r="AA33" s="66"/>
      <c r="AB33" s="66"/>
    </row>
    <row r="34" spans="2:28" s="59" customFormat="1" x14ac:dyDescent="0.2">
      <c r="E34" s="65"/>
      <c r="F34" s="65"/>
      <c r="G34" s="65"/>
      <c r="H34" s="65"/>
      <c r="I34" s="65"/>
      <c r="J34" s="65"/>
      <c r="K34" s="65"/>
      <c r="L34" s="65"/>
      <c r="M34" s="65"/>
      <c r="N34" s="65"/>
      <c r="O34" s="65"/>
      <c r="P34" s="65"/>
      <c r="Q34" s="65"/>
      <c r="R34" s="65"/>
      <c r="S34" s="65"/>
      <c r="T34" s="65"/>
      <c r="U34" s="65"/>
      <c r="V34" s="65"/>
      <c r="W34" s="65"/>
      <c r="X34" s="65"/>
      <c r="Y34" s="65"/>
      <c r="Z34" s="65"/>
      <c r="AA34" s="65"/>
      <c r="AB34" s="65"/>
    </row>
    <row r="35" spans="2:28" s="59" customFormat="1" x14ac:dyDescent="0.2">
      <c r="E35" s="65"/>
      <c r="F35" s="65"/>
      <c r="G35" s="65"/>
      <c r="H35" s="65"/>
      <c r="I35" s="65"/>
      <c r="J35" s="65"/>
      <c r="K35" s="65"/>
      <c r="L35" s="65"/>
      <c r="M35" s="65"/>
      <c r="N35" s="65"/>
      <c r="O35" s="65"/>
      <c r="P35" s="65"/>
      <c r="Q35" s="65"/>
      <c r="R35" s="65"/>
      <c r="S35" s="65"/>
      <c r="T35" s="65"/>
      <c r="U35" s="65"/>
      <c r="V35" s="65"/>
      <c r="W35" s="65"/>
      <c r="X35" s="65"/>
      <c r="Y35" s="65"/>
      <c r="Z35" s="65"/>
      <c r="AA35" s="65"/>
      <c r="AB35" s="65"/>
    </row>
    <row r="36" spans="2:28" s="59" customFormat="1" x14ac:dyDescent="0.2">
      <c r="B36" s="62" t="s">
        <v>432</v>
      </c>
      <c r="C36" s="62" t="s">
        <v>141</v>
      </c>
      <c r="D36" s="62"/>
      <c r="E36" s="63">
        <f>E$6</f>
        <v>2017</v>
      </c>
      <c r="F36" s="63">
        <f t="shared" ref="F36:AB36" si="2">F$6</f>
        <v>2018</v>
      </c>
      <c r="G36" s="63">
        <f t="shared" si="2"/>
        <v>2019</v>
      </c>
      <c r="H36" s="63">
        <f t="shared" si="2"/>
        <v>2020</v>
      </c>
      <c r="I36" s="63">
        <f t="shared" si="2"/>
        <v>2021</v>
      </c>
      <c r="J36" s="63">
        <f t="shared" si="2"/>
        <v>2022</v>
      </c>
      <c r="K36" s="63">
        <f t="shared" si="2"/>
        <v>2023</v>
      </c>
      <c r="L36" s="63">
        <f t="shared" si="2"/>
        <v>2024</v>
      </c>
      <c r="M36" s="63">
        <f t="shared" si="2"/>
        <v>2025</v>
      </c>
      <c r="N36" s="63">
        <f t="shared" si="2"/>
        <v>2026</v>
      </c>
      <c r="O36" s="63">
        <f t="shared" si="2"/>
        <v>2027</v>
      </c>
      <c r="P36" s="63">
        <f t="shared" si="2"/>
        <v>2028</v>
      </c>
      <c r="Q36" s="63">
        <f t="shared" si="2"/>
        <v>2029</v>
      </c>
      <c r="R36" s="63">
        <f t="shared" si="2"/>
        <v>2030</v>
      </c>
      <c r="S36" s="63">
        <f t="shared" si="2"/>
        <v>2031</v>
      </c>
      <c r="T36" s="63">
        <f t="shared" si="2"/>
        <v>2032</v>
      </c>
      <c r="U36" s="63">
        <f t="shared" si="2"/>
        <v>2033</v>
      </c>
      <c r="V36" s="63">
        <f t="shared" si="2"/>
        <v>2034</v>
      </c>
      <c r="W36" s="63">
        <f t="shared" si="2"/>
        <v>2035</v>
      </c>
      <c r="X36" s="63">
        <f t="shared" si="2"/>
        <v>2036</v>
      </c>
      <c r="Y36" s="63">
        <f t="shared" si="2"/>
        <v>2037</v>
      </c>
      <c r="Z36" s="63">
        <f t="shared" si="2"/>
        <v>2038</v>
      </c>
      <c r="AA36" s="63">
        <f t="shared" si="2"/>
        <v>2039</v>
      </c>
      <c r="AB36" s="63">
        <f t="shared" si="2"/>
        <v>2040</v>
      </c>
    </row>
    <row r="37" spans="2:28" s="59" customFormat="1" x14ac:dyDescent="0.2">
      <c r="B37" s="62" t="s">
        <v>188</v>
      </c>
      <c r="C37" s="62"/>
      <c r="D37" s="62"/>
      <c r="E37" s="63"/>
      <c r="F37" s="63"/>
      <c r="G37" s="63"/>
      <c r="H37" s="63"/>
      <c r="I37" s="63"/>
      <c r="J37" s="63"/>
      <c r="K37" s="63"/>
      <c r="L37" s="63"/>
      <c r="M37" s="63"/>
      <c r="N37" s="63"/>
      <c r="O37" s="63"/>
      <c r="P37" s="63"/>
      <c r="Q37" s="63"/>
      <c r="R37" s="63"/>
      <c r="S37" s="63"/>
      <c r="T37" s="63"/>
      <c r="U37" s="63"/>
      <c r="V37" s="63"/>
      <c r="W37" s="63"/>
      <c r="X37" s="63"/>
      <c r="Y37" s="63"/>
      <c r="Z37" s="63"/>
      <c r="AA37" s="63"/>
      <c r="AB37" s="63"/>
    </row>
    <row r="38" spans="2:28" s="59" customFormat="1" x14ac:dyDescent="0.2">
      <c r="B38" s="59" t="s">
        <v>168</v>
      </c>
      <c r="C38" s="59" t="s">
        <v>174</v>
      </c>
      <c r="E38" s="191">
        <v>42.225920862436929</v>
      </c>
      <c r="F38" s="191">
        <v>42.28620682644145</v>
      </c>
      <c r="G38" s="191">
        <v>42.331017210467529</v>
      </c>
      <c r="H38" s="191">
        <v>42.536489408860994</v>
      </c>
      <c r="I38" s="191">
        <v>42.92143844856961</v>
      </c>
      <c r="J38" s="191">
        <v>43.354439585434754</v>
      </c>
      <c r="K38" s="191">
        <v>43.816577616854588</v>
      </c>
      <c r="L38" s="191">
        <v>44.305093735019952</v>
      </c>
      <c r="M38" s="191">
        <v>44.823805933300697</v>
      </c>
      <c r="N38" s="191">
        <v>45.316211223359431</v>
      </c>
      <c r="O38" s="191">
        <v>45.831276173980534</v>
      </c>
      <c r="P38" s="191">
        <v>46.367186741581676</v>
      </c>
      <c r="Q38" s="191">
        <v>46.922350690998172</v>
      </c>
      <c r="R38" s="191">
        <v>47.495453627440988</v>
      </c>
      <c r="S38" s="191">
        <v>47.723037207437464</v>
      </c>
      <c r="T38" s="191">
        <v>47.945691476895838</v>
      </c>
      <c r="U38" s="191">
        <v>48.163519955418984</v>
      </c>
      <c r="V38" s="191">
        <v>48.376625042924886</v>
      </c>
      <c r="W38" s="191">
        <v>48.585107989794352</v>
      </c>
      <c r="X38" s="191">
        <v>48.790391822929678</v>
      </c>
      <c r="Y38" s="191">
        <v>48.991180231474509</v>
      </c>
      <c r="Z38" s="191">
        <v>49.187558337923058</v>
      </c>
      <c r="AA38" s="191">
        <v>49.379610823869598</v>
      </c>
      <c r="AB38" s="191">
        <v>49.567421875219949</v>
      </c>
    </row>
    <row r="39" spans="2:28" s="59" customFormat="1" x14ac:dyDescent="0.2">
      <c r="B39" s="59" t="s">
        <v>169</v>
      </c>
      <c r="C39" s="59" t="s">
        <v>174</v>
      </c>
      <c r="E39" s="191">
        <v>49.329346801912301</v>
      </c>
      <c r="F39" s="191">
        <v>49.399774329954965</v>
      </c>
      <c r="G39" s="191">
        <v>49.452122909424688</v>
      </c>
      <c r="H39" s="191">
        <v>49.692160524370323</v>
      </c>
      <c r="I39" s="191">
        <v>50.141867346459826</v>
      </c>
      <c r="J39" s="191">
        <v>50.647709796068639</v>
      </c>
      <c r="K39" s="191">
        <v>51.187590673895549</v>
      </c>
      <c r="L39" s="191">
        <v>51.758287073621439</v>
      </c>
      <c r="M39" s="191">
        <v>52.364259267874651</v>
      </c>
      <c r="N39" s="191">
        <v>52.939499092709617</v>
      </c>
      <c r="O39" s="191">
        <v>53.541210483622116</v>
      </c>
      <c r="P39" s="191">
        <v>54.167274230819714</v>
      </c>
      <c r="Q39" s="191">
        <v>54.815830246493192</v>
      </c>
      <c r="R39" s="191">
        <v>55.485343022711433</v>
      </c>
      <c r="S39" s="191">
        <v>55.751211690931619</v>
      </c>
      <c r="T39" s="191">
        <v>56.011321818803552</v>
      </c>
      <c r="U39" s="191">
        <v>56.265794340442739</v>
      </c>
      <c r="V39" s="191">
        <v>56.514748881921598</v>
      </c>
      <c r="W39" s="191">
        <v>56.758303726395269</v>
      </c>
      <c r="X39" s="191">
        <v>56.99812128846925</v>
      </c>
      <c r="Y39" s="191">
        <v>57.232687186301995</v>
      </c>
      <c r="Z39" s="191">
        <v>57.46210086205965</v>
      </c>
      <c r="AA39" s="191">
        <v>57.686461242838313</v>
      </c>
      <c r="AB39" s="191">
        <v>57.905866676658817</v>
      </c>
    </row>
    <row r="40" spans="2:28" s="59" customFormat="1" x14ac:dyDescent="0.2">
      <c r="B40" s="59" t="s">
        <v>170</v>
      </c>
      <c r="C40" s="59" t="s">
        <v>174</v>
      </c>
      <c r="E40" s="191">
        <v>64.781823263948894</v>
      </c>
      <c r="F40" s="191">
        <v>64.718997175531499</v>
      </c>
      <c r="G40" s="191">
        <v>64.626068183860795</v>
      </c>
      <c r="H40" s="191">
        <v>64.813574142205724</v>
      </c>
      <c r="I40" s="191">
        <v>65.211151197828997</v>
      </c>
      <c r="J40" s="191">
        <v>65.688618282530783</v>
      </c>
      <c r="K40" s="191">
        <v>66.211400370628169</v>
      </c>
      <c r="L40" s="191">
        <v>66.773707538198906</v>
      </c>
      <c r="M40" s="191">
        <v>67.381065629931086</v>
      </c>
      <c r="N40" s="191">
        <v>68.014120554661602</v>
      </c>
      <c r="O40" s="191">
        <v>68.685432460637841</v>
      </c>
      <c r="P40" s="191">
        <v>69.39201474223492</v>
      </c>
      <c r="Q40" s="191">
        <v>70.131237586125181</v>
      </c>
      <c r="R40" s="191">
        <v>70.900925563168968</v>
      </c>
      <c r="S40" s="191">
        <v>71.107436895008576</v>
      </c>
      <c r="T40" s="191">
        <v>71.304962772403215</v>
      </c>
      <c r="U40" s="191">
        <v>71.493650475673078</v>
      </c>
      <c r="V40" s="191">
        <v>71.67364757733003</v>
      </c>
      <c r="W40" s="191">
        <v>71.8451017817425</v>
      </c>
      <c r="X40" s="191">
        <v>72.005349837449714</v>
      </c>
      <c r="Y40" s="191">
        <v>72.157470983213926</v>
      </c>
      <c r="Z40" s="191">
        <v>72.301622721173175</v>
      </c>
      <c r="AA40" s="191">
        <v>72.437961456496822</v>
      </c>
      <c r="AB40" s="191">
        <v>72.566642409478035</v>
      </c>
    </row>
    <row r="41" spans="2:28" s="59" customFormat="1" x14ac:dyDescent="0.2">
      <c r="E41" s="89"/>
      <c r="F41" s="89"/>
      <c r="G41" s="89"/>
      <c r="H41" s="89"/>
      <c r="I41" s="89"/>
      <c r="J41" s="89"/>
      <c r="K41" s="89"/>
      <c r="L41" s="89"/>
      <c r="M41" s="89"/>
      <c r="N41" s="89"/>
      <c r="O41" s="89"/>
      <c r="P41" s="89"/>
      <c r="Q41" s="89"/>
      <c r="R41" s="89"/>
      <c r="S41" s="89"/>
      <c r="T41" s="89"/>
      <c r="U41" s="89"/>
      <c r="V41" s="89"/>
      <c r="W41" s="89"/>
      <c r="X41" s="89"/>
      <c r="Y41" s="89"/>
      <c r="Z41" s="89"/>
      <c r="AA41" s="89"/>
      <c r="AB41" s="89"/>
    </row>
    <row r="42" spans="2:28" s="59" customFormat="1" x14ac:dyDescent="0.2">
      <c r="B42" s="62" t="s">
        <v>187</v>
      </c>
      <c r="C42" s="62"/>
      <c r="D42" s="62"/>
      <c r="E42" s="90"/>
      <c r="F42" s="90"/>
      <c r="G42" s="90"/>
      <c r="H42" s="90"/>
      <c r="I42" s="90"/>
      <c r="J42" s="90"/>
      <c r="K42" s="90"/>
      <c r="L42" s="90"/>
      <c r="M42" s="90"/>
      <c r="N42" s="90"/>
      <c r="O42" s="90"/>
      <c r="P42" s="90"/>
      <c r="Q42" s="90"/>
      <c r="R42" s="90"/>
      <c r="S42" s="90"/>
      <c r="T42" s="90"/>
      <c r="U42" s="90"/>
      <c r="V42" s="90"/>
      <c r="W42" s="90"/>
      <c r="X42" s="90"/>
      <c r="Y42" s="90"/>
      <c r="Z42" s="90"/>
      <c r="AA42" s="90"/>
      <c r="AB42" s="90"/>
    </row>
    <row r="43" spans="2:28" s="59" customFormat="1" x14ac:dyDescent="0.2">
      <c r="B43" s="59" t="s">
        <v>168</v>
      </c>
      <c r="C43" s="59" t="s">
        <v>174</v>
      </c>
      <c r="E43" s="191">
        <v>40.53688402793945</v>
      </c>
      <c r="F43" s="191">
        <v>40.594758553383791</v>
      </c>
      <c r="G43" s="191">
        <v>40.637776522048824</v>
      </c>
      <c r="H43" s="191">
        <v>40.835029832506557</v>
      </c>
      <c r="I43" s="191">
        <v>41.204580910626824</v>
      </c>
      <c r="J43" s="191">
        <v>41.620262002017363</v>
      </c>
      <c r="K43" s="191">
        <v>42.063914512180403</v>
      </c>
      <c r="L43" s="191">
        <v>42.53288998561915</v>
      </c>
      <c r="M43" s="191">
        <v>43.030853695968666</v>
      </c>
      <c r="N43" s="191">
        <v>43.503562774425049</v>
      </c>
      <c r="O43" s="191">
        <v>43.998025127021307</v>
      </c>
      <c r="P43" s="191">
        <v>44.512499271918408</v>
      </c>
      <c r="Q43" s="191">
        <v>44.911996744328526</v>
      </c>
      <c r="R43" s="191">
        <v>45.258503547630681</v>
      </c>
      <c r="S43" s="191">
        <v>45.41291645324992</v>
      </c>
      <c r="T43" s="191">
        <v>45.565306402499779</v>
      </c>
      <c r="U43" s="191">
        <v>45.715738358262747</v>
      </c>
      <c r="V43" s="191">
        <v>45.864275564461643</v>
      </c>
      <c r="W43" s="191">
        <v>46.010979586149105</v>
      </c>
      <c r="X43" s="191">
        <v>46.150087168781575</v>
      </c>
      <c r="Y43" s="191">
        <v>46.287472593652801</v>
      </c>
      <c r="Z43" s="191">
        <v>46.423191368938703</v>
      </c>
      <c r="AA43" s="191">
        <v>46.557297556451353</v>
      </c>
      <c r="AB43" s="191">
        <v>46.689843804035313</v>
      </c>
    </row>
    <row r="44" spans="2:28" s="59" customFormat="1" x14ac:dyDescent="0.2">
      <c r="B44" s="59" t="s">
        <v>169</v>
      </c>
      <c r="C44" s="59" t="s">
        <v>174</v>
      </c>
      <c r="E44" s="191">
        <v>48.644415817336991</v>
      </c>
      <c r="F44" s="191">
        <v>48.794213213943621</v>
      </c>
      <c r="G44" s="191">
        <v>48.936557490464551</v>
      </c>
      <c r="H44" s="191">
        <v>49.156838077765478</v>
      </c>
      <c r="I44" s="191">
        <v>49.479288189733396</v>
      </c>
      <c r="J44" s="191">
        <v>49.823465244345137</v>
      </c>
      <c r="K44" s="191">
        <v>50.179812284129561</v>
      </c>
      <c r="L44" s="191">
        <v>50.54668889899331</v>
      </c>
      <c r="M44" s="191">
        <v>50.925547008361285</v>
      </c>
      <c r="N44" s="191">
        <v>51.297769346896793</v>
      </c>
      <c r="O44" s="191">
        <v>51.679393045830466</v>
      </c>
      <c r="P44" s="191">
        <v>52.069499978593313</v>
      </c>
      <c r="Q44" s="191">
        <v>52.467285916271642</v>
      </c>
      <c r="R44" s="191">
        <v>52.872083583680705</v>
      </c>
      <c r="S44" s="191">
        <v>53.05247249211439</v>
      </c>
      <c r="T44" s="191">
        <v>53.230498133761422</v>
      </c>
      <c r="U44" s="191">
        <v>53.406236399839663</v>
      </c>
      <c r="V44" s="191">
        <v>53.579761173436502</v>
      </c>
      <c r="W44" s="191">
        <v>53.75114437634241</v>
      </c>
      <c r="X44" s="191">
        <v>53.913653234557913</v>
      </c>
      <c r="Y44" s="191">
        <v>54.074150226229911</v>
      </c>
      <c r="Z44" s="191">
        <v>54.232700197358298</v>
      </c>
      <c r="AA44" s="191">
        <v>54.3893663042656</v>
      </c>
      <c r="AB44" s="191">
        <v>54.544210051443123</v>
      </c>
    </row>
    <row r="45" spans="2:28" s="59" customFormat="1" x14ac:dyDescent="0.2">
      <c r="B45" s="59" t="s">
        <v>170</v>
      </c>
      <c r="C45" s="59" t="s">
        <v>174</v>
      </c>
      <c r="E45" s="191">
        <v>69.240137863397123</v>
      </c>
      <c r="F45" s="191">
        <v>69.158155986136265</v>
      </c>
      <c r="G45" s="191">
        <v>69.042991932860161</v>
      </c>
      <c r="H45" s="191">
        <v>69.239976268477804</v>
      </c>
      <c r="I45" s="191">
        <v>69.666660395521902</v>
      </c>
      <c r="J45" s="191">
        <v>70.181990197202424</v>
      </c>
      <c r="K45" s="191">
        <v>70.747464708298224</v>
      </c>
      <c r="L45" s="191">
        <v>71.356602031297157</v>
      </c>
      <c r="M45" s="191">
        <v>72.015488795967926</v>
      </c>
      <c r="N45" s="191">
        <v>72.703793477706142</v>
      </c>
      <c r="O45" s="191">
        <v>73.434168026370841</v>
      </c>
      <c r="P45" s="191">
        <v>74.203258101668965</v>
      </c>
      <c r="Q45" s="191">
        <v>75.008111971314818</v>
      </c>
      <c r="R45" s="191">
        <v>75.846287405368955</v>
      </c>
      <c r="S45" s="191">
        <v>76.067535009649561</v>
      </c>
      <c r="T45" s="191">
        <v>76.278862012054162</v>
      </c>
      <c r="U45" s="191">
        <v>76.480446699733179</v>
      </c>
      <c r="V45" s="191">
        <v>76.672466795608486</v>
      </c>
      <c r="W45" s="191">
        <v>76.855099319702077</v>
      </c>
      <c r="X45" s="191">
        <v>77.02570952259417</v>
      </c>
      <c r="Y45" s="191">
        <v>77.187404352110804</v>
      </c>
      <c r="Z45" s="191">
        <v>77.340368246615697</v>
      </c>
      <c r="AA45" s="191">
        <v>77.484783794319824</v>
      </c>
      <c r="AB45" s="191">
        <v>77.620831664554572</v>
      </c>
    </row>
    <row r="46" spans="2:28" s="59" customFormat="1" x14ac:dyDescent="0.2">
      <c r="B46" s="72" t="s">
        <v>186</v>
      </c>
      <c r="E46" s="66"/>
      <c r="F46" s="66"/>
      <c r="G46" s="66"/>
      <c r="H46" s="66"/>
      <c r="I46" s="66"/>
      <c r="J46" s="66"/>
      <c r="K46" s="66"/>
      <c r="L46" s="66"/>
      <c r="M46" s="66"/>
      <c r="N46" s="66"/>
      <c r="O46" s="66"/>
      <c r="P46" s="66"/>
      <c r="Q46" s="66"/>
      <c r="R46" s="66"/>
      <c r="S46" s="66"/>
      <c r="T46" s="66"/>
      <c r="U46" s="66"/>
      <c r="V46" s="66"/>
      <c r="W46" s="66"/>
      <c r="X46" s="66"/>
      <c r="Y46" s="66"/>
      <c r="Z46" s="66"/>
      <c r="AA46" s="66"/>
      <c r="AB46" s="66"/>
    </row>
    <row r="48" spans="2:28" s="12" customFormat="1" x14ac:dyDescent="0.2">
      <c r="E48" s="60"/>
      <c r="F48" s="60"/>
      <c r="G48" s="60"/>
      <c r="H48" s="60"/>
      <c r="I48" s="60"/>
      <c r="J48" s="60"/>
      <c r="K48" s="60"/>
      <c r="L48" s="60"/>
      <c r="M48" s="60"/>
      <c r="N48" s="60"/>
      <c r="O48" s="60"/>
      <c r="P48" s="60"/>
      <c r="Q48" s="60"/>
      <c r="R48" s="60"/>
      <c r="S48" s="60"/>
      <c r="T48" s="60"/>
      <c r="U48" s="60"/>
      <c r="V48" s="60"/>
      <c r="W48" s="60"/>
      <c r="X48" s="60"/>
      <c r="Y48" s="60"/>
      <c r="Z48" s="60"/>
      <c r="AA48" s="60"/>
      <c r="AB48" s="60"/>
    </row>
    <row r="49" spans="2:28" s="70" customFormat="1" x14ac:dyDescent="0.2">
      <c r="B49" s="70" t="s">
        <v>444</v>
      </c>
      <c r="E49" s="71"/>
      <c r="F49" s="71"/>
      <c r="G49" s="71"/>
      <c r="H49" s="71"/>
      <c r="I49" s="71"/>
      <c r="J49" s="71"/>
      <c r="K49" s="71"/>
      <c r="L49" s="71"/>
      <c r="M49" s="71"/>
      <c r="N49" s="71"/>
      <c r="O49" s="71"/>
      <c r="P49" s="71"/>
      <c r="Q49" s="71"/>
      <c r="R49" s="71"/>
      <c r="S49" s="71"/>
      <c r="T49" s="71"/>
      <c r="U49" s="71"/>
      <c r="V49" s="71"/>
      <c r="W49" s="71"/>
      <c r="X49" s="71"/>
      <c r="Y49" s="71"/>
      <c r="Z49" s="71"/>
      <c r="AA49" s="71"/>
      <c r="AB49" s="71"/>
    </row>
    <row r="51" spans="2:28" s="59" customFormat="1" x14ac:dyDescent="0.2">
      <c r="B51" s="62" t="s">
        <v>445</v>
      </c>
      <c r="C51" s="62" t="s">
        <v>141</v>
      </c>
      <c r="D51" s="62"/>
      <c r="E51" s="63">
        <f>E$6</f>
        <v>2017</v>
      </c>
      <c r="F51" s="63">
        <f t="shared" ref="F51:AB51" si="3">F$6</f>
        <v>2018</v>
      </c>
      <c r="G51" s="63">
        <f t="shared" si="3"/>
        <v>2019</v>
      </c>
      <c r="H51" s="63">
        <f t="shared" si="3"/>
        <v>2020</v>
      </c>
      <c r="I51" s="63">
        <f t="shared" si="3"/>
        <v>2021</v>
      </c>
      <c r="J51" s="63">
        <f t="shared" si="3"/>
        <v>2022</v>
      </c>
      <c r="K51" s="63">
        <f t="shared" si="3"/>
        <v>2023</v>
      </c>
      <c r="L51" s="63">
        <f t="shared" si="3"/>
        <v>2024</v>
      </c>
      <c r="M51" s="63">
        <f t="shared" si="3"/>
        <v>2025</v>
      </c>
      <c r="N51" s="63">
        <f t="shared" si="3"/>
        <v>2026</v>
      </c>
      <c r="O51" s="63">
        <f t="shared" si="3"/>
        <v>2027</v>
      </c>
      <c r="P51" s="63">
        <f t="shared" si="3"/>
        <v>2028</v>
      </c>
      <c r="Q51" s="63">
        <f t="shared" si="3"/>
        <v>2029</v>
      </c>
      <c r="R51" s="63">
        <f t="shared" si="3"/>
        <v>2030</v>
      </c>
      <c r="S51" s="63">
        <f t="shared" si="3"/>
        <v>2031</v>
      </c>
      <c r="T51" s="63">
        <f t="shared" si="3"/>
        <v>2032</v>
      </c>
      <c r="U51" s="63">
        <f t="shared" si="3"/>
        <v>2033</v>
      </c>
      <c r="V51" s="63">
        <f t="shared" si="3"/>
        <v>2034</v>
      </c>
      <c r="W51" s="63">
        <f t="shared" si="3"/>
        <v>2035</v>
      </c>
      <c r="X51" s="63">
        <f t="shared" si="3"/>
        <v>2036</v>
      </c>
      <c r="Y51" s="63">
        <f t="shared" si="3"/>
        <v>2037</v>
      </c>
      <c r="Z51" s="63">
        <f t="shared" si="3"/>
        <v>2038</v>
      </c>
      <c r="AA51" s="63">
        <f t="shared" si="3"/>
        <v>2039</v>
      </c>
      <c r="AB51" s="63">
        <f t="shared" si="3"/>
        <v>2040</v>
      </c>
    </row>
    <row r="52" spans="2:28" s="59" customFormat="1" x14ac:dyDescent="0.2">
      <c r="B52" s="59" t="s">
        <v>446</v>
      </c>
      <c r="C52" s="59" t="s">
        <v>175</v>
      </c>
      <c r="E52" s="64">
        <v>35.484029999999997</v>
      </c>
      <c r="F52" s="64">
        <v>35.08204410552753</v>
      </c>
      <c r="G52" s="64">
        <v>34.782462170087172</v>
      </c>
      <c r="H52" s="64">
        <v>43.328910786835792</v>
      </c>
      <c r="I52" s="64">
        <v>54.571348163755943</v>
      </c>
      <c r="J52" s="64">
        <v>68.028312356984827</v>
      </c>
      <c r="K52" s="64">
        <v>83.733306596717284</v>
      </c>
      <c r="L52" s="64">
        <v>101.42554719682184</v>
      </c>
      <c r="M52" s="64">
        <v>120.82674439796298</v>
      </c>
      <c r="N52" s="64">
        <v>142.22922068136629</v>
      </c>
      <c r="O52" s="64">
        <v>165.22141641937418</v>
      </c>
      <c r="P52" s="64">
        <v>189.70731411284714</v>
      </c>
      <c r="Q52" s="64">
        <v>215.63382375151349</v>
      </c>
      <c r="R52" s="64">
        <v>242.92557302401593</v>
      </c>
      <c r="S52" s="64">
        <v>253.62834349439353</v>
      </c>
      <c r="T52" s="64">
        <v>263.84738909052868</v>
      </c>
      <c r="U52" s="64">
        <v>273.58901597023521</v>
      </c>
      <c r="V52" s="64">
        <v>282.87777007405708</v>
      </c>
      <c r="W52" s="64">
        <v>291.70497015971097</v>
      </c>
      <c r="X52" s="64">
        <v>300.12791200871538</v>
      </c>
      <c r="Y52" s="64">
        <v>308.13663145908907</v>
      </c>
      <c r="Z52" s="64">
        <v>315.73784413506974</v>
      </c>
      <c r="AA52" s="64">
        <v>322.96033686331117</v>
      </c>
      <c r="AB52" s="64">
        <v>329.78313079551356</v>
      </c>
    </row>
    <row r="53" spans="2:28" s="59" customFormat="1" x14ac:dyDescent="0.2">
      <c r="B53" s="72" t="s">
        <v>447</v>
      </c>
      <c r="E53" s="65"/>
      <c r="F53" s="65"/>
      <c r="G53" s="65"/>
      <c r="H53" s="65"/>
      <c r="I53" s="65"/>
      <c r="J53" s="65"/>
      <c r="K53" s="65"/>
      <c r="L53" s="65"/>
      <c r="M53" s="65"/>
      <c r="N53" s="65"/>
      <c r="O53" s="65"/>
      <c r="P53" s="65"/>
      <c r="Q53" s="65"/>
      <c r="R53" s="65"/>
      <c r="S53" s="65"/>
      <c r="T53" s="65"/>
      <c r="U53" s="65"/>
      <c r="V53" s="65"/>
      <c r="W53" s="65"/>
      <c r="X53" s="65"/>
      <c r="Y53" s="65"/>
      <c r="Z53" s="65"/>
      <c r="AA53" s="65"/>
      <c r="AB53" s="65"/>
    </row>
    <row r="54" spans="2:28" s="59" customFormat="1" x14ac:dyDescent="0.2">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2:28" s="12" customFormat="1" x14ac:dyDescent="0.2">
      <c r="E55" s="60"/>
      <c r="F55" s="60"/>
      <c r="G55" s="60"/>
      <c r="H55" s="60"/>
      <c r="I55" s="60"/>
      <c r="J55" s="60"/>
      <c r="K55" s="60"/>
      <c r="L55" s="60"/>
      <c r="M55" s="60"/>
      <c r="N55" s="60"/>
      <c r="O55" s="60"/>
      <c r="P55" s="60"/>
      <c r="Q55" s="60"/>
      <c r="R55" s="60"/>
      <c r="S55" s="60"/>
      <c r="T55" s="60"/>
      <c r="U55" s="60"/>
      <c r="V55" s="60"/>
      <c r="W55" s="60"/>
      <c r="X55" s="60"/>
      <c r="Y55" s="60"/>
      <c r="Z55" s="60"/>
      <c r="AA55" s="60"/>
      <c r="AB55" s="60"/>
    </row>
    <row r="56" spans="2:28" s="70" customFormat="1" x14ac:dyDescent="0.2">
      <c r="B56" s="70" t="s">
        <v>487</v>
      </c>
      <c r="E56" s="71"/>
      <c r="F56" s="71"/>
      <c r="G56" s="71"/>
      <c r="H56" s="71"/>
      <c r="I56" s="71"/>
      <c r="J56" s="71"/>
      <c r="K56" s="71"/>
      <c r="L56" s="71"/>
      <c r="M56" s="71"/>
      <c r="N56" s="71"/>
      <c r="O56" s="71"/>
      <c r="P56" s="71"/>
      <c r="Q56" s="71"/>
      <c r="R56" s="71"/>
      <c r="S56" s="71"/>
      <c r="T56" s="71"/>
      <c r="U56" s="71"/>
      <c r="V56" s="71"/>
      <c r="W56" s="71"/>
      <c r="X56" s="71"/>
      <c r="Y56" s="71"/>
      <c r="Z56" s="71"/>
      <c r="AA56" s="71"/>
      <c r="AB56" s="71"/>
    </row>
    <row r="58" spans="2:28" s="59" customFormat="1" x14ac:dyDescent="0.2">
      <c r="B58" s="62" t="s">
        <v>488</v>
      </c>
      <c r="C58" s="62" t="s">
        <v>141</v>
      </c>
      <c r="D58" s="62"/>
      <c r="E58" s="63">
        <f>E$6</f>
        <v>2017</v>
      </c>
      <c r="F58" s="63">
        <f t="shared" ref="F58:AB58" si="4">F$6</f>
        <v>2018</v>
      </c>
      <c r="G58" s="63">
        <f t="shared" si="4"/>
        <v>2019</v>
      </c>
      <c r="H58" s="63">
        <f t="shared" si="4"/>
        <v>2020</v>
      </c>
      <c r="I58" s="63">
        <f t="shared" si="4"/>
        <v>2021</v>
      </c>
      <c r="J58" s="63">
        <f t="shared" si="4"/>
        <v>2022</v>
      </c>
      <c r="K58" s="63">
        <f t="shared" si="4"/>
        <v>2023</v>
      </c>
      <c r="L58" s="63">
        <f t="shared" si="4"/>
        <v>2024</v>
      </c>
      <c r="M58" s="63">
        <f t="shared" si="4"/>
        <v>2025</v>
      </c>
      <c r="N58" s="63">
        <f t="shared" si="4"/>
        <v>2026</v>
      </c>
      <c r="O58" s="63">
        <f t="shared" si="4"/>
        <v>2027</v>
      </c>
      <c r="P58" s="63">
        <f t="shared" si="4"/>
        <v>2028</v>
      </c>
      <c r="Q58" s="63">
        <f t="shared" si="4"/>
        <v>2029</v>
      </c>
      <c r="R58" s="63">
        <f t="shared" si="4"/>
        <v>2030</v>
      </c>
      <c r="S58" s="63">
        <f t="shared" si="4"/>
        <v>2031</v>
      </c>
      <c r="T58" s="63">
        <f t="shared" si="4"/>
        <v>2032</v>
      </c>
      <c r="U58" s="63">
        <f t="shared" si="4"/>
        <v>2033</v>
      </c>
      <c r="V58" s="63">
        <f t="shared" si="4"/>
        <v>2034</v>
      </c>
      <c r="W58" s="63">
        <f t="shared" si="4"/>
        <v>2035</v>
      </c>
      <c r="X58" s="63">
        <f t="shared" si="4"/>
        <v>2036</v>
      </c>
      <c r="Y58" s="63">
        <f t="shared" si="4"/>
        <v>2037</v>
      </c>
      <c r="Z58" s="63">
        <f t="shared" si="4"/>
        <v>2038</v>
      </c>
      <c r="AA58" s="63">
        <f t="shared" si="4"/>
        <v>2039</v>
      </c>
      <c r="AB58" s="63">
        <f t="shared" si="4"/>
        <v>2040</v>
      </c>
    </row>
    <row r="59" spans="2:28" s="59" customFormat="1" x14ac:dyDescent="0.2">
      <c r="B59" s="59" t="s">
        <v>435</v>
      </c>
      <c r="C59" s="59" t="s">
        <v>176</v>
      </c>
      <c r="E59" s="64">
        <v>11.7</v>
      </c>
      <c r="F59" s="67">
        <f>E59</f>
        <v>11.7</v>
      </c>
      <c r="G59" s="67">
        <f t="shared" ref="G59:AB59" si="5">F59</f>
        <v>11.7</v>
      </c>
      <c r="H59" s="67">
        <f t="shared" si="5"/>
        <v>11.7</v>
      </c>
      <c r="I59" s="67">
        <f t="shared" si="5"/>
        <v>11.7</v>
      </c>
      <c r="J59" s="67">
        <f t="shared" si="5"/>
        <v>11.7</v>
      </c>
      <c r="K59" s="67">
        <f t="shared" si="5"/>
        <v>11.7</v>
      </c>
      <c r="L59" s="67">
        <f t="shared" si="5"/>
        <v>11.7</v>
      </c>
      <c r="M59" s="67">
        <f t="shared" si="5"/>
        <v>11.7</v>
      </c>
      <c r="N59" s="67">
        <f t="shared" si="5"/>
        <v>11.7</v>
      </c>
      <c r="O59" s="67">
        <f t="shared" si="5"/>
        <v>11.7</v>
      </c>
      <c r="P59" s="67">
        <f t="shared" si="5"/>
        <v>11.7</v>
      </c>
      <c r="Q59" s="67">
        <f t="shared" si="5"/>
        <v>11.7</v>
      </c>
      <c r="R59" s="67">
        <f t="shared" si="5"/>
        <v>11.7</v>
      </c>
      <c r="S59" s="67">
        <f t="shared" si="5"/>
        <v>11.7</v>
      </c>
      <c r="T59" s="67">
        <f t="shared" si="5"/>
        <v>11.7</v>
      </c>
      <c r="U59" s="67">
        <f t="shared" si="5"/>
        <v>11.7</v>
      </c>
      <c r="V59" s="67">
        <f t="shared" si="5"/>
        <v>11.7</v>
      </c>
      <c r="W59" s="67">
        <f t="shared" si="5"/>
        <v>11.7</v>
      </c>
      <c r="X59" s="67">
        <f t="shared" si="5"/>
        <v>11.7</v>
      </c>
      <c r="Y59" s="67">
        <f t="shared" si="5"/>
        <v>11.7</v>
      </c>
      <c r="Z59" s="67">
        <f t="shared" si="5"/>
        <v>11.7</v>
      </c>
      <c r="AA59" s="67">
        <f t="shared" si="5"/>
        <v>11.7</v>
      </c>
      <c r="AB59" s="67">
        <f t="shared" si="5"/>
        <v>11.7</v>
      </c>
    </row>
    <row r="60" spans="2:28" s="59" customFormat="1" x14ac:dyDescent="0.2">
      <c r="B60" s="59" t="s">
        <v>436</v>
      </c>
      <c r="C60" s="59" t="s">
        <v>176</v>
      </c>
      <c r="E60" s="64">
        <v>5.0999999999999996</v>
      </c>
      <c r="F60" s="67">
        <f>E60</f>
        <v>5.0999999999999996</v>
      </c>
      <c r="G60" s="67">
        <f t="shared" ref="G60:AB60" si="6">F60</f>
        <v>5.0999999999999996</v>
      </c>
      <c r="H60" s="67">
        <f t="shared" si="6"/>
        <v>5.0999999999999996</v>
      </c>
      <c r="I60" s="67">
        <f t="shared" si="6"/>
        <v>5.0999999999999996</v>
      </c>
      <c r="J60" s="67">
        <f t="shared" si="6"/>
        <v>5.0999999999999996</v>
      </c>
      <c r="K60" s="67">
        <f t="shared" si="6"/>
        <v>5.0999999999999996</v>
      </c>
      <c r="L60" s="67">
        <f t="shared" si="6"/>
        <v>5.0999999999999996</v>
      </c>
      <c r="M60" s="67">
        <f t="shared" si="6"/>
        <v>5.0999999999999996</v>
      </c>
      <c r="N60" s="67">
        <f t="shared" si="6"/>
        <v>5.0999999999999996</v>
      </c>
      <c r="O60" s="67">
        <f t="shared" si="6"/>
        <v>5.0999999999999996</v>
      </c>
      <c r="P60" s="67">
        <f t="shared" si="6"/>
        <v>5.0999999999999996</v>
      </c>
      <c r="Q60" s="67">
        <f t="shared" si="6"/>
        <v>5.0999999999999996</v>
      </c>
      <c r="R60" s="67">
        <f t="shared" si="6"/>
        <v>5.0999999999999996</v>
      </c>
      <c r="S60" s="67">
        <f t="shared" si="6"/>
        <v>5.0999999999999996</v>
      </c>
      <c r="T60" s="67">
        <f t="shared" si="6"/>
        <v>5.0999999999999996</v>
      </c>
      <c r="U60" s="67">
        <f t="shared" si="6"/>
        <v>5.0999999999999996</v>
      </c>
      <c r="V60" s="67">
        <f t="shared" si="6"/>
        <v>5.0999999999999996</v>
      </c>
      <c r="W60" s="67">
        <f t="shared" si="6"/>
        <v>5.0999999999999996</v>
      </c>
      <c r="X60" s="67">
        <f t="shared" si="6"/>
        <v>5.0999999999999996</v>
      </c>
      <c r="Y60" s="67">
        <f t="shared" si="6"/>
        <v>5.0999999999999996</v>
      </c>
      <c r="Z60" s="67">
        <f t="shared" si="6"/>
        <v>5.0999999999999996</v>
      </c>
      <c r="AA60" s="67">
        <f t="shared" si="6"/>
        <v>5.0999999999999996</v>
      </c>
      <c r="AB60" s="67">
        <f t="shared" si="6"/>
        <v>5.0999999999999996</v>
      </c>
    </row>
    <row r="61" spans="2:28" s="59" customFormat="1" x14ac:dyDescent="0.2">
      <c r="B61" s="72" t="s">
        <v>434</v>
      </c>
      <c r="E61" s="65"/>
      <c r="F61" s="65"/>
      <c r="G61" s="65"/>
      <c r="H61" s="65"/>
      <c r="I61" s="65"/>
      <c r="J61" s="65"/>
      <c r="K61" s="65"/>
      <c r="L61" s="65"/>
      <c r="M61" s="65"/>
      <c r="N61" s="65"/>
      <c r="O61" s="65"/>
      <c r="P61" s="65"/>
      <c r="Q61" s="65"/>
      <c r="R61" s="65"/>
      <c r="S61" s="65"/>
      <c r="T61" s="65"/>
      <c r="U61" s="65"/>
      <c r="V61" s="65"/>
      <c r="W61" s="65"/>
      <c r="X61" s="65"/>
      <c r="Y61" s="65"/>
      <c r="Z61" s="65"/>
      <c r="AA61" s="65"/>
      <c r="AB61" s="65"/>
    </row>
    <row r="64" spans="2:28" s="70" customFormat="1" x14ac:dyDescent="0.2">
      <c r="B64" s="70" t="s">
        <v>313</v>
      </c>
      <c r="E64" s="71"/>
      <c r="F64" s="71"/>
      <c r="G64" s="71"/>
      <c r="H64" s="71"/>
      <c r="I64" s="71"/>
      <c r="J64" s="71"/>
      <c r="K64" s="71"/>
      <c r="L64" s="71"/>
      <c r="M64" s="71"/>
      <c r="N64" s="71"/>
      <c r="O64" s="71"/>
      <c r="P64" s="71"/>
      <c r="Q64" s="71"/>
      <c r="R64" s="71"/>
      <c r="S64" s="71"/>
      <c r="T64" s="71"/>
      <c r="U64" s="71"/>
      <c r="V64" s="71"/>
      <c r="W64" s="71"/>
      <c r="X64" s="71"/>
      <c r="Y64" s="71"/>
      <c r="Z64" s="71"/>
      <c r="AA64" s="71"/>
      <c r="AB64" s="71"/>
    </row>
    <row r="65" spans="1:28" x14ac:dyDescent="0.2">
      <c r="A65"/>
      <c r="E65"/>
      <c r="F65"/>
      <c r="G65"/>
      <c r="H65"/>
      <c r="I65"/>
      <c r="J65"/>
      <c r="K65"/>
      <c r="L65"/>
      <c r="M65"/>
      <c r="N65"/>
      <c r="O65"/>
      <c r="P65"/>
      <c r="Q65"/>
      <c r="R65"/>
      <c r="S65"/>
      <c r="T65"/>
      <c r="U65"/>
      <c r="V65"/>
      <c r="W65"/>
      <c r="X65"/>
      <c r="Y65"/>
      <c r="Z65"/>
      <c r="AA65"/>
      <c r="AB65"/>
    </row>
    <row r="66" spans="1:28" outlineLevel="1" x14ac:dyDescent="0.2">
      <c r="A66"/>
      <c r="B66" s="1" t="s">
        <v>310</v>
      </c>
      <c r="E66"/>
      <c r="F66"/>
      <c r="G66"/>
      <c r="H66"/>
      <c r="I66"/>
      <c r="J66"/>
      <c r="K66"/>
      <c r="L66"/>
      <c r="M66"/>
      <c r="N66"/>
      <c r="O66"/>
      <c r="P66"/>
      <c r="Q66"/>
      <c r="R66"/>
      <c r="S66"/>
      <c r="T66"/>
      <c r="U66"/>
      <c r="V66"/>
      <c r="W66"/>
      <c r="X66"/>
      <c r="Y66"/>
      <c r="Z66"/>
      <c r="AA66"/>
      <c r="AB66"/>
    </row>
    <row r="67" spans="1:28" outlineLevel="1" x14ac:dyDescent="0.2">
      <c r="A67"/>
      <c r="E67"/>
      <c r="F67"/>
      <c r="G67"/>
      <c r="H67"/>
      <c r="I67"/>
      <c r="J67"/>
      <c r="K67"/>
      <c r="L67"/>
      <c r="M67"/>
      <c r="N67"/>
      <c r="O67"/>
      <c r="P67"/>
      <c r="Q67"/>
      <c r="R67"/>
      <c r="S67"/>
      <c r="T67"/>
      <c r="U67"/>
      <c r="V67"/>
      <c r="W67"/>
      <c r="X67"/>
      <c r="Y67"/>
      <c r="Z67"/>
      <c r="AA67"/>
      <c r="AB67"/>
    </row>
    <row r="68" spans="1:28" outlineLevel="1" x14ac:dyDescent="0.2">
      <c r="B68" s="183" t="s">
        <v>432</v>
      </c>
      <c r="C68" s="183" t="s">
        <v>141</v>
      </c>
      <c r="D68" s="183" t="s">
        <v>184</v>
      </c>
      <c r="E68" s="192">
        <f>E$6</f>
        <v>2017</v>
      </c>
      <c r="F68" s="192">
        <f t="shared" ref="F68:AB68" si="7">F$6</f>
        <v>2018</v>
      </c>
      <c r="G68" s="192">
        <f t="shared" si="7"/>
        <v>2019</v>
      </c>
      <c r="H68" s="192">
        <f t="shared" si="7"/>
        <v>2020</v>
      </c>
      <c r="I68" s="192">
        <f t="shared" si="7"/>
        <v>2021</v>
      </c>
      <c r="J68" s="192">
        <f t="shared" si="7"/>
        <v>2022</v>
      </c>
      <c r="K68" s="192">
        <f t="shared" si="7"/>
        <v>2023</v>
      </c>
      <c r="L68" s="192">
        <f t="shared" si="7"/>
        <v>2024</v>
      </c>
      <c r="M68" s="192">
        <f t="shared" si="7"/>
        <v>2025</v>
      </c>
      <c r="N68" s="192">
        <f t="shared" si="7"/>
        <v>2026</v>
      </c>
      <c r="O68" s="192">
        <f t="shared" si="7"/>
        <v>2027</v>
      </c>
      <c r="P68" s="192">
        <f t="shared" si="7"/>
        <v>2028</v>
      </c>
      <c r="Q68" s="192">
        <f t="shared" si="7"/>
        <v>2029</v>
      </c>
      <c r="R68" s="192">
        <f t="shared" si="7"/>
        <v>2030</v>
      </c>
      <c r="S68" s="192">
        <f t="shared" si="7"/>
        <v>2031</v>
      </c>
      <c r="T68" s="192">
        <f t="shared" si="7"/>
        <v>2032</v>
      </c>
      <c r="U68" s="192">
        <f t="shared" si="7"/>
        <v>2033</v>
      </c>
      <c r="V68" s="192">
        <f t="shared" si="7"/>
        <v>2034</v>
      </c>
      <c r="W68" s="192">
        <f t="shared" si="7"/>
        <v>2035</v>
      </c>
      <c r="X68" s="192">
        <f t="shared" si="7"/>
        <v>2036</v>
      </c>
      <c r="Y68" s="192">
        <f t="shared" si="7"/>
        <v>2037</v>
      </c>
      <c r="Z68" s="192">
        <f t="shared" si="7"/>
        <v>2038</v>
      </c>
      <c r="AA68" s="192">
        <f t="shared" si="7"/>
        <v>2039</v>
      </c>
      <c r="AB68" s="192">
        <f t="shared" si="7"/>
        <v>2040</v>
      </c>
    </row>
    <row r="69" spans="1:28" outlineLevel="1" x14ac:dyDescent="0.2">
      <c r="B69" s="193" t="s">
        <v>188</v>
      </c>
      <c r="C69" s="193"/>
      <c r="D69" s="193"/>
      <c r="E69" s="194"/>
      <c r="F69" s="194"/>
      <c r="G69" s="194"/>
      <c r="H69" s="194"/>
      <c r="I69" s="194"/>
      <c r="J69" s="194"/>
      <c r="K69" s="194"/>
      <c r="L69" s="194"/>
      <c r="M69" s="194"/>
      <c r="N69" s="194"/>
      <c r="O69" s="194"/>
      <c r="P69" s="194"/>
      <c r="Q69" s="194"/>
      <c r="R69" s="194"/>
      <c r="S69" s="194"/>
      <c r="T69" s="194"/>
      <c r="U69" s="194"/>
      <c r="V69" s="194"/>
      <c r="W69" s="194"/>
      <c r="X69" s="194"/>
      <c r="Y69" s="194"/>
      <c r="Z69" s="194"/>
      <c r="AA69" s="194"/>
      <c r="AB69" s="194"/>
    </row>
    <row r="70" spans="1:28" outlineLevel="1" x14ac:dyDescent="0.2">
      <c r="A70"/>
      <c r="B70" s="73" t="s">
        <v>164</v>
      </c>
      <c r="C70" s="73" t="s">
        <v>174</v>
      </c>
      <c r="D70" s="73" t="str">
        <f>B70&amp;" - AF2016"</f>
        <v>Coal - AF2016</v>
      </c>
      <c r="E70" s="195">
        <v>10.800352521437041</v>
      </c>
      <c r="F70" s="195">
        <v>10.228637722252813</v>
      </c>
      <c r="G70" s="195">
        <v>10.724135631801495</v>
      </c>
      <c r="H70" s="195">
        <v>11.670617020347711</v>
      </c>
      <c r="I70" s="195">
        <v>12.777984437609762</v>
      </c>
      <c r="J70" s="195">
        <v>13.921792386902064</v>
      </c>
      <c r="K70" s="195">
        <v>15.097130183027472</v>
      </c>
      <c r="L70" s="195">
        <v>16.302846967019693</v>
      </c>
      <c r="M70" s="195">
        <v>17.534246154150466</v>
      </c>
      <c r="N70" s="195">
        <v>18.787269474244987</v>
      </c>
      <c r="O70" s="195">
        <v>20.058820548749953</v>
      </c>
      <c r="P70" s="195">
        <v>21.342784641052379</v>
      </c>
      <c r="Q70" s="195">
        <v>22.639791760266512</v>
      </c>
      <c r="R70" s="195">
        <v>23.958350002771322</v>
      </c>
      <c r="S70" s="195">
        <v>24.165039813436028</v>
      </c>
      <c r="T70" s="195">
        <v>24.352242451443246</v>
      </c>
      <c r="U70" s="195">
        <v>24.522881404192987</v>
      </c>
      <c r="V70" s="195">
        <v>24.679511692369132</v>
      </c>
      <c r="W70" s="195">
        <v>24.823606847199787</v>
      </c>
      <c r="X70" s="195">
        <v>24.954087413126985</v>
      </c>
      <c r="Y70" s="195">
        <v>25.073047542502295</v>
      </c>
      <c r="Z70" s="195">
        <v>25.179401323076178</v>
      </c>
      <c r="AA70" s="195">
        <v>25.274614760679295</v>
      </c>
      <c r="AB70" s="195">
        <v>25.359424877407957</v>
      </c>
    </row>
    <row r="71" spans="1:28" outlineLevel="1" x14ac:dyDescent="0.2">
      <c r="A71"/>
      <c r="B71" s="73" t="s">
        <v>165</v>
      </c>
      <c r="C71" s="73" t="s">
        <v>174</v>
      </c>
      <c r="D71" s="73" t="str">
        <f t="shared" ref="D71:D77" si="8">B71&amp;" - AF2016"</f>
        <v>Fuel oil - AF2016</v>
      </c>
      <c r="E71" s="195">
        <v>38.476249718573079</v>
      </c>
      <c r="F71" s="195">
        <v>39.83062507687049</v>
      </c>
      <c r="G71" s="195">
        <v>42.709406644467336</v>
      </c>
      <c r="H71" s="195">
        <v>45.566300642765185</v>
      </c>
      <c r="I71" s="195">
        <v>49.284685558021756</v>
      </c>
      <c r="J71" s="195">
        <v>53.652517431189715</v>
      </c>
      <c r="K71" s="195">
        <v>58.620189283794119</v>
      </c>
      <c r="L71" s="195">
        <v>64.155431701032171</v>
      </c>
      <c r="M71" s="195">
        <v>70.212327788539213</v>
      </c>
      <c r="N71" s="195">
        <v>76.748438342863921</v>
      </c>
      <c r="O71" s="195">
        <v>83.72660919463685</v>
      </c>
      <c r="P71" s="195">
        <v>91.09606749147089</v>
      </c>
      <c r="Q71" s="195">
        <v>98.839120328603443</v>
      </c>
      <c r="R71" s="195">
        <v>106.97995856577876</v>
      </c>
      <c r="S71" s="195">
        <v>109.07609912298722</v>
      </c>
      <c r="T71" s="195">
        <v>111.03306662477148</v>
      </c>
      <c r="U71" s="195">
        <v>112.86675371913368</v>
      </c>
      <c r="V71" s="195">
        <v>114.59149202065794</v>
      </c>
      <c r="W71" s="195">
        <v>116.21621183466557</v>
      </c>
      <c r="X71" s="195">
        <v>117.73647943836669</v>
      </c>
      <c r="Y71" s="195">
        <v>119.16441722879581</v>
      </c>
      <c r="Z71" s="195">
        <v>120.49536302997903</v>
      </c>
      <c r="AA71" s="195">
        <v>121.73809851383655</v>
      </c>
      <c r="AB71" s="195">
        <v>122.89756062012205</v>
      </c>
    </row>
    <row r="72" spans="1:28" outlineLevel="1" x14ac:dyDescent="0.2">
      <c r="A72"/>
      <c r="B72" s="73" t="s">
        <v>166</v>
      </c>
      <c r="C72" s="73" t="s">
        <v>174</v>
      </c>
      <c r="D72" s="73" t="str">
        <f t="shared" si="8"/>
        <v>Gas oil - AF2016</v>
      </c>
      <c r="E72" s="195">
        <v>69.285380744403085</v>
      </c>
      <c r="F72" s="195">
        <v>70.639756102700488</v>
      </c>
      <c r="G72" s="195">
        <v>73.518537670297334</v>
      </c>
      <c r="H72" s="195">
        <v>76.375431668595198</v>
      </c>
      <c r="I72" s="195">
        <v>80.093816583851762</v>
      </c>
      <c r="J72" s="195">
        <v>84.46164845701972</v>
      </c>
      <c r="K72" s="195">
        <v>89.429320309624103</v>
      </c>
      <c r="L72" s="195">
        <v>94.964562726862184</v>
      </c>
      <c r="M72" s="195">
        <v>101.02145881436921</v>
      </c>
      <c r="N72" s="195">
        <v>107.5575693686939</v>
      </c>
      <c r="O72" s="195">
        <v>114.53574022046686</v>
      </c>
      <c r="P72" s="195">
        <v>121.90519851730089</v>
      </c>
      <c r="Q72" s="195">
        <v>129.64825135443346</v>
      </c>
      <c r="R72" s="195">
        <v>137.78908959160879</v>
      </c>
      <c r="S72" s="195">
        <v>139.88523014881721</v>
      </c>
      <c r="T72" s="195">
        <v>141.84219765060149</v>
      </c>
      <c r="U72" s="195">
        <v>143.67588474496367</v>
      </c>
      <c r="V72" s="195">
        <v>145.40062304648794</v>
      </c>
      <c r="W72" s="195">
        <v>147.02534286049558</v>
      </c>
      <c r="X72" s="195">
        <v>148.5456104641967</v>
      </c>
      <c r="Y72" s="195">
        <v>149.97354825462583</v>
      </c>
      <c r="Z72" s="195">
        <v>151.30449405580904</v>
      </c>
      <c r="AA72" s="195">
        <v>152.54722953966655</v>
      </c>
      <c r="AB72" s="195">
        <v>153.70669164595205</v>
      </c>
    </row>
    <row r="73" spans="1:28" outlineLevel="1" x14ac:dyDescent="0.2">
      <c r="A73"/>
      <c r="B73" s="73" t="s">
        <v>167</v>
      </c>
      <c r="C73" s="73" t="s">
        <v>174</v>
      </c>
      <c r="D73" s="73" t="str">
        <f t="shared" si="8"/>
        <v>Natural gas - AF2016</v>
      </c>
      <c r="E73" s="195">
        <v>27.119409752873164</v>
      </c>
      <c r="F73" s="195">
        <v>27.388169256618532</v>
      </c>
      <c r="G73" s="195">
        <v>28.477610789358366</v>
      </c>
      <c r="H73" s="195">
        <v>28.972296536366184</v>
      </c>
      <c r="I73" s="195">
        <v>30.707712098086301</v>
      </c>
      <c r="J73" s="195">
        <v>32.830292667251136</v>
      </c>
      <c r="K73" s="195">
        <v>35.310797195793732</v>
      </c>
      <c r="L73" s="195">
        <v>38.129885457204729</v>
      </c>
      <c r="M73" s="195">
        <v>41.260515131150591</v>
      </c>
      <c r="N73" s="195">
        <v>44.677647952730915</v>
      </c>
      <c r="O73" s="195">
        <v>48.359292484871624</v>
      </c>
      <c r="P73" s="195">
        <v>52.275690324010391</v>
      </c>
      <c r="Q73" s="195">
        <v>56.41604070181296</v>
      </c>
      <c r="R73" s="195">
        <v>60.793649075651693</v>
      </c>
      <c r="S73" s="195">
        <v>61.786833809080555</v>
      </c>
      <c r="T73" s="195">
        <v>62.708308352489084</v>
      </c>
      <c r="U73" s="195">
        <v>63.566960174084336</v>
      </c>
      <c r="V73" s="195">
        <v>64.370722418519904</v>
      </c>
      <c r="W73" s="195">
        <v>65.124419752393962</v>
      </c>
      <c r="X73" s="195">
        <v>65.825308719679668</v>
      </c>
      <c r="Y73" s="195">
        <v>66.480032515479962</v>
      </c>
      <c r="Z73" s="195">
        <v>67.085755519421753</v>
      </c>
      <c r="AA73" s="195">
        <v>67.647239108476228</v>
      </c>
      <c r="AB73" s="195">
        <v>68.167072861929725</v>
      </c>
    </row>
    <row r="74" spans="1:28" outlineLevel="1" x14ac:dyDescent="0.2">
      <c r="A74"/>
      <c r="B74" s="73" t="s">
        <v>178</v>
      </c>
      <c r="C74" s="73" t="s">
        <v>174</v>
      </c>
      <c r="D74" s="73" t="str">
        <f t="shared" si="8"/>
        <v>Natural gas (excl. sunk costs) - AF2016</v>
      </c>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row>
    <row r="75" spans="1:28" outlineLevel="1" x14ac:dyDescent="0.2">
      <c r="A75"/>
      <c r="B75" s="73" t="s">
        <v>168</v>
      </c>
      <c r="C75" s="73" t="s">
        <v>174</v>
      </c>
      <c r="D75" s="73" t="str">
        <f t="shared" si="8"/>
        <v>Straw - AF2016</v>
      </c>
      <c r="E75" s="195">
        <v>42.797696356916177</v>
      </c>
      <c r="F75" s="195">
        <v>43.105849125508556</v>
      </c>
      <c r="G75" s="195">
        <v>43.414001894100927</v>
      </c>
      <c r="H75" s="195">
        <v>43.722154662693299</v>
      </c>
      <c r="I75" s="195">
        <v>44.29252732157299</v>
      </c>
      <c r="J75" s="195">
        <v>44.862899980452681</v>
      </c>
      <c r="K75" s="195">
        <v>45.433272639332372</v>
      </c>
      <c r="L75" s="195">
        <v>46.003645298212057</v>
      </c>
      <c r="M75" s="195">
        <v>46.574017957091755</v>
      </c>
      <c r="N75" s="195">
        <v>47.277957655065386</v>
      </c>
      <c r="O75" s="195">
        <v>47.981897353039024</v>
      </c>
      <c r="P75" s="195">
        <v>48.685837051012662</v>
      </c>
      <c r="Q75" s="195">
        <v>49.389776748986293</v>
      </c>
      <c r="R75" s="195">
        <v>50.093716446959924</v>
      </c>
      <c r="S75" s="195">
        <v>50.513427626273966</v>
      </c>
      <c r="T75" s="195">
        <v>50.933138805588001</v>
      </c>
      <c r="U75" s="195">
        <v>51.352849984902051</v>
      </c>
      <c r="V75" s="195">
        <v>51.772561164216093</v>
      </c>
      <c r="W75" s="195">
        <v>52.192272343530135</v>
      </c>
      <c r="X75" s="195">
        <v>52.584886840339252</v>
      </c>
      <c r="Y75" s="195">
        <v>52.977501337148368</v>
      </c>
      <c r="Z75" s="195">
        <v>53.370115833957485</v>
      </c>
      <c r="AA75" s="195">
        <v>53.762730330766594</v>
      </c>
      <c r="AB75" s="195">
        <v>54.155344827575703</v>
      </c>
    </row>
    <row r="76" spans="1:28" outlineLevel="1" x14ac:dyDescent="0.2">
      <c r="A76"/>
      <c r="B76" s="73" t="s">
        <v>169</v>
      </c>
      <c r="C76" s="73" t="s">
        <v>174</v>
      </c>
      <c r="D76" s="73" t="str">
        <f t="shared" si="8"/>
        <v>Wood chips - AF2016</v>
      </c>
      <c r="E76" s="195">
        <v>49.997308828173104</v>
      </c>
      <c r="F76" s="195">
        <v>50.357300380266999</v>
      </c>
      <c r="G76" s="195">
        <v>50.717291932360901</v>
      </c>
      <c r="H76" s="195">
        <v>51.077283484454789</v>
      </c>
      <c r="I76" s="195">
        <v>51.743606684080596</v>
      </c>
      <c r="J76" s="195">
        <v>52.409929883706404</v>
      </c>
      <c r="K76" s="195">
        <v>53.076253083332212</v>
      </c>
      <c r="L76" s="195">
        <v>53.742576282958019</v>
      </c>
      <c r="M76" s="195">
        <v>54.408899482583827</v>
      </c>
      <c r="N76" s="195">
        <v>55.231258942833399</v>
      </c>
      <c r="O76" s="195">
        <v>56.053618403082972</v>
      </c>
      <c r="P76" s="195">
        <v>56.875977863332544</v>
      </c>
      <c r="Q76" s="195">
        <v>57.698337323582123</v>
      </c>
      <c r="R76" s="195">
        <v>58.520696783831688</v>
      </c>
      <c r="S76" s="195">
        <v>59.011013582095757</v>
      </c>
      <c r="T76" s="195">
        <v>59.501330380359825</v>
      </c>
      <c r="U76" s="195">
        <v>59.991647178623893</v>
      </c>
      <c r="V76" s="195">
        <v>60.481963976887961</v>
      </c>
      <c r="W76" s="195">
        <v>60.972280775152022</v>
      </c>
      <c r="X76" s="195">
        <v>61.430942570489783</v>
      </c>
      <c r="Y76" s="195">
        <v>61.88960436582753</v>
      </c>
      <c r="Z76" s="195">
        <v>62.348266161165284</v>
      </c>
      <c r="AA76" s="195">
        <v>62.806927956503039</v>
      </c>
      <c r="AB76" s="195">
        <v>63.265589751840778</v>
      </c>
    </row>
    <row r="77" spans="1:28" outlineLevel="1" x14ac:dyDescent="0.2">
      <c r="A77"/>
      <c r="B77" s="73" t="s">
        <v>170</v>
      </c>
      <c r="C77" s="73" t="s">
        <v>174</v>
      </c>
      <c r="D77" s="73" t="str">
        <f t="shared" si="8"/>
        <v>Wood pellets - AF2016</v>
      </c>
      <c r="E77" s="195">
        <v>66.614066914408795</v>
      </c>
      <c r="F77" s="195">
        <v>66.743993568689774</v>
      </c>
      <c r="G77" s="195">
        <v>66.873920222970753</v>
      </c>
      <c r="H77" s="195">
        <v>67.003846877251718</v>
      </c>
      <c r="I77" s="195">
        <v>67.529352670628128</v>
      </c>
      <c r="J77" s="195">
        <v>68.054858464004539</v>
      </c>
      <c r="K77" s="195">
        <v>68.580364257380921</v>
      </c>
      <c r="L77" s="195">
        <v>69.105870050757346</v>
      </c>
      <c r="M77" s="195">
        <v>69.631375844133743</v>
      </c>
      <c r="N77" s="195">
        <v>70.359842689309431</v>
      </c>
      <c r="O77" s="195">
        <v>71.088309534485091</v>
      </c>
      <c r="P77" s="195">
        <v>71.816776379660766</v>
      </c>
      <c r="Q77" s="195">
        <v>72.54524322483644</v>
      </c>
      <c r="R77" s="195">
        <v>73.2737100700121</v>
      </c>
      <c r="S77" s="195">
        <v>73.626939922274588</v>
      </c>
      <c r="T77" s="195">
        <v>73.980169774537089</v>
      </c>
      <c r="U77" s="195">
        <v>74.33339962679959</v>
      </c>
      <c r="V77" s="195">
        <v>74.686629479062077</v>
      </c>
      <c r="W77" s="195">
        <v>75.03985933132455</v>
      </c>
      <c r="X77" s="195">
        <v>75.353010178801711</v>
      </c>
      <c r="Y77" s="195">
        <v>75.666161026278871</v>
      </c>
      <c r="Z77" s="195">
        <v>75.979311873756004</v>
      </c>
      <c r="AA77" s="195">
        <v>76.292462721233164</v>
      </c>
      <c r="AB77" s="195">
        <v>76.605613568710339</v>
      </c>
    </row>
    <row r="78" spans="1:28" outlineLevel="1" x14ac:dyDescent="0.2">
      <c r="A78"/>
      <c r="B78" s="73"/>
      <c r="C78" s="73"/>
      <c r="D78" s="73"/>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row>
    <row r="79" spans="1:28" outlineLevel="1" x14ac:dyDescent="0.2">
      <c r="A79"/>
      <c r="B79" s="193" t="s">
        <v>187</v>
      </c>
      <c r="C79" s="193"/>
      <c r="D79" s="193"/>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row>
    <row r="80" spans="1:28" outlineLevel="1" x14ac:dyDescent="0.2">
      <c r="A80"/>
      <c r="B80" s="73" t="s">
        <v>166</v>
      </c>
      <c r="C80" s="73" t="s">
        <v>174</v>
      </c>
      <c r="D80" s="73" t="str">
        <f>B80&amp;" - AF2016"</f>
        <v>Gas oil - AF2016</v>
      </c>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row>
    <row r="81" spans="1:28" outlineLevel="1" x14ac:dyDescent="0.2">
      <c r="A81"/>
      <c r="B81" s="73" t="s">
        <v>167</v>
      </c>
      <c r="C81" s="73" t="s">
        <v>174</v>
      </c>
      <c r="D81" s="73" t="str">
        <f t="shared" ref="D81:D87" si="9">B81&amp;" - AF2016"</f>
        <v>Natural gas - AF2016</v>
      </c>
      <c r="E81" s="195">
        <v>32.744269860927652</v>
      </c>
      <c r="F81" s="195">
        <v>33.013029364673017</v>
      </c>
      <c r="G81" s="195">
        <v>34.102470897412843</v>
      </c>
      <c r="H81" s="195">
        <v>34.597156644420672</v>
      </c>
      <c r="I81" s="195">
        <v>36.332572206140789</v>
      </c>
      <c r="J81" s="195">
        <v>38.455152775305621</v>
      </c>
      <c r="K81" s="195">
        <v>40.935657303848217</v>
      </c>
      <c r="L81" s="195">
        <v>43.754745565259221</v>
      </c>
      <c r="M81" s="195">
        <v>46.885375239205068</v>
      </c>
      <c r="N81" s="195">
        <v>50.302508060785392</v>
      </c>
      <c r="O81" s="195">
        <v>53.984152592926108</v>
      </c>
      <c r="P81" s="195">
        <v>57.900550432064875</v>
      </c>
      <c r="Q81" s="195">
        <v>62.040900809867452</v>
      </c>
      <c r="R81" s="195">
        <v>66.418509183706178</v>
      </c>
      <c r="S81" s="195">
        <v>67.411693917135054</v>
      </c>
      <c r="T81" s="195">
        <v>68.333168460543561</v>
      </c>
      <c r="U81" s="195">
        <v>69.191820282138806</v>
      </c>
      <c r="V81" s="195">
        <v>69.995582526574395</v>
      </c>
      <c r="W81" s="195">
        <v>70.749279860448439</v>
      </c>
      <c r="X81" s="195">
        <v>71.45016882773416</v>
      </c>
      <c r="Y81" s="195">
        <v>72.10489262353444</v>
      </c>
      <c r="Z81" s="195">
        <v>72.71061562747623</v>
      </c>
      <c r="AA81" s="195">
        <v>73.272099216530705</v>
      </c>
      <c r="AB81" s="195">
        <v>73.791932969984217</v>
      </c>
    </row>
    <row r="82" spans="1:28" outlineLevel="1" x14ac:dyDescent="0.2">
      <c r="A82"/>
      <c r="B82" s="73" t="s">
        <v>178</v>
      </c>
      <c r="C82" s="73" t="s">
        <v>174</v>
      </c>
      <c r="D82" s="73" t="str">
        <f t="shared" si="9"/>
        <v>Natural gas (excl. sunk costs) - AF2016</v>
      </c>
      <c r="E82" s="195"/>
      <c r="F82" s="195"/>
      <c r="G82" s="195"/>
      <c r="H82" s="195"/>
      <c r="I82" s="195"/>
      <c r="J82" s="195"/>
      <c r="K82" s="195"/>
      <c r="L82" s="195"/>
      <c r="M82" s="195"/>
      <c r="N82" s="195"/>
      <c r="O82" s="195"/>
      <c r="P82" s="195"/>
      <c r="Q82" s="195"/>
      <c r="R82" s="195"/>
      <c r="S82" s="195"/>
      <c r="T82" s="195"/>
      <c r="U82" s="195"/>
      <c r="V82" s="195"/>
      <c r="W82" s="195"/>
      <c r="X82" s="195"/>
      <c r="Y82" s="195"/>
      <c r="Z82" s="195"/>
      <c r="AA82" s="195"/>
      <c r="AB82" s="195"/>
    </row>
    <row r="83" spans="1:28" outlineLevel="1" x14ac:dyDescent="0.2">
      <c r="A83"/>
      <c r="B83" s="73" t="s">
        <v>168</v>
      </c>
      <c r="C83" s="73" t="s">
        <v>174</v>
      </c>
      <c r="D83" s="73" t="str">
        <f t="shared" si="9"/>
        <v>Straw - AF2016</v>
      </c>
      <c r="E83" s="195">
        <v>41.085788502639531</v>
      </c>
      <c r="F83" s="195">
        <v>41.381615160488209</v>
      </c>
      <c r="G83" s="195">
        <v>41.677441818336888</v>
      </c>
      <c r="H83" s="195">
        <v>41.973268476185559</v>
      </c>
      <c r="I83" s="195">
        <v>42.520826228710071</v>
      </c>
      <c r="J83" s="195">
        <v>43.068383981234575</v>
      </c>
      <c r="K83" s="195">
        <v>43.615941733759072</v>
      </c>
      <c r="L83" s="195">
        <v>44.163499486283577</v>
      </c>
      <c r="M83" s="195">
        <v>44.679108317156796</v>
      </c>
      <c r="N83" s="195">
        <v>45.005075730463432</v>
      </c>
      <c r="O83" s="195">
        <v>45.331043143770081</v>
      </c>
      <c r="P83" s="195">
        <v>45.657010557076731</v>
      </c>
      <c r="Q83" s="195">
        <v>45.982977970383374</v>
      </c>
      <c r="R83" s="195">
        <v>46.598805997172029</v>
      </c>
      <c r="S83" s="195">
        <v>46.989235001185087</v>
      </c>
      <c r="T83" s="195">
        <v>47.379664005198151</v>
      </c>
      <c r="U83" s="195">
        <v>47.770093009211216</v>
      </c>
      <c r="V83" s="195">
        <v>48.160522013224274</v>
      </c>
      <c r="W83" s="195">
        <v>48.550951017237331</v>
      </c>
      <c r="X83" s="195">
        <v>48.916173804966746</v>
      </c>
      <c r="Y83" s="195">
        <v>49.281396592696161</v>
      </c>
      <c r="Z83" s="195">
        <v>49.64661938042557</v>
      </c>
      <c r="AA83" s="195">
        <v>50.011842168154971</v>
      </c>
      <c r="AB83" s="195">
        <v>50.377064955884379</v>
      </c>
    </row>
    <row r="84" spans="1:28" outlineLevel="1" x14ac:dyDescent="0.2">
      <c r="A84"/>
      <c r="B84" s="73" t="s">
        <v>169</v>
      </c>
      <c r="C84" s="73" t="s">
        <v>174</v>
      </c>
      <c r="D84" s="73" t="str">
        <f t="shared" si="9"/>
        <v>Wood chips - AF2016</v>
      </c>
      <c r="E84" s="195"/>
      <c r="F84" s="195"/>
      <c r="G84" s="195"/>
      <c r="H84" s="195"/>
      <c r="I84" s="195"/>
      <c r="J84" s="195"/>
      <c r="K84" s="195"/>
      <c r="L84" s="195"/>
      <c r="M84" s="195"/>
      <c r="N84" s="195"/>
      <c r="O84" s="195"/>
      <c r="P84" s="195"/>
      <c r="Q84" s="195"/>
      <c r="R84" s="195"/>
      <c r="S84" s="195"/>
      <c r="T84" s="195"/>
      <c r="U84" s="195"/>
      <c r="V84" s="195"/>
      <c r="W84" s="195"/>
      <c r="X84" s="195"/>
      <c r="Y84" s="195"/>
      <c r="Z84" s="195"/>
      <c r="AA84" s="195"/>
      <c r="AB84" s="195"/>
    </row>
    <row r="85" spans="1:28" outlineLevel="1" x14ac:dyDescent="0.2">
      <c r="A85"/>
      <c r="B85" s="73" t="s">
        <v>170</v>
      </c>
      <c r="C85" s="73" t="s">
        <v>174</v>
      </c>
      <c r="D85" s="73" t="str">
        <f t="shared" si="9"/>
        <v>Wood pellets - AF2016</v>
      </c>
      <c r="E85" s="195">
        <v>71.039259633773085</v>
      </c>
      <c r="F85" s="195">
        <v>71.163492013904701</v>
      </c>
      <c r="G85" s="195">
        <v>71.287724394036317</v>
      </c>
      <c r="H85" s="195">
        <v>71.411956774167933</v>
      </c>
      <c r="I85" s="195">
        <v>71.970460455668515</v>
      </c>
      <c r="J85" s="195">
        <v>72.528964137169083</v>
      </c>
      <c r="K85" s="195">
        <v>73.087467818669651</v>
      </c>
      <c r="L85" s="195">
        <v>73.645971500170219</v>
      </c>
      <c r="M85" s="195">
        <v>74.204475181670816</v>
      </c>
      <c r="N85" s="195">
        <v>74.982169196799774</v>
      </c>
      <c r="O85" s="195">
        <v>75.759863211928717</v>
      </c>
      <c r="P85" s="195">
        <v>76.537557227057661</v>
      </c>
      <c r="Q85" s="195">
        <v>77.315251242186619</v>
      </c>
      <c r="R85" s="195">
        <v>78.092945257315549</v>
      </c>
      <c r="S85" s="195">
        <v>78.458541275136909</v>
      </c>
      <c r="T85" s="195">
        <v>78.824137292958284</v>
      </c>
      <c r="U85" s="195">
        <v>79.189733310779658</v>
      </c>
      <c r="V85" s="195">
        <v>79.555329328601019</v>
      </c>
      <c r="W85" s="195">
        <v>79.920925346422408</v>
      </c>
      <c r="X85" s="195">
        <v>80.243021668090492</v>
      </c>
      <c r="Y85" s="195">
        <v>80.565117989758562</v>
      </c>
      <c r="Z85" s="195">
        <v>80.887214311426632</v>
      </c>
      <c r="AA85" s="195">
        <v>81.209310633094702</v>
      </c>
      <c r="AB85" s="195">
        <v>81.531406954762744</v>
      </c>
    </row>
    <row r="86" spans="1:28" outlineLevel="1" x14ac:dyDescent="0.2">
      <c r="A86"/>
      <c r="B86" s="3"/>
      <c r="C86" s="3"/>
      <c r="D86" s="3"/>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95"/>
    </row>
    <row r="87" spans="1:28" outlineLevel="1" x14ac:dyDescent="0.2">
      <c r="A87"/>
      <c r="B87" s="3" t="s">
        <v>446</v>
      </c>
      <c r="C87" s="3" t="s">
        <v>175</v>
      </c>
      <c r="D87" s="73" t="str">
        <f t="shared" si="9"/>
        <v>CO2 emission allowances - AF2016</v>
      </c>
      <c r="E87" s="195">
        <v>36.720777164126659</v>
      </c>
      <c r="F87" s="195">
        <v>36.401200011972705</v>
      </c>
      <c r="G87" s="195">
        <v>42.812309371555884</v>
      </c>
      <c r="H87" s="195">
        <v>51.761983289264492</v>
      </c>
      <c r="I87" s="195">
        <v>62.163460933844341</v>
      </c>
      <c r="J87" s="195">
        <v>74.18804634082781</v>
      </c>
      <c r="K87" s="195">
        <v>87.722048849228287</v>
      </c>
      <c r="L87" s="195">
        <v>102.6816293696499</v>
      </c>
      <c r="M87" s="195">
        <v>118.9622854625181</v>
      </c>
      <c r="N87" s="195">
        <v>136.46606284668266</v>
      </c>
      <c r="O87" s="195">
        <v>155.10499788164276</v>
      </c>
      <c r="P87" s="195">
        <v>174.76799287079265</v>
      </c>
      <c r="Q87" s="195">
        <v>195.40298134302651</v>
      </c>
      <c r="R87" s="195">
        <v>217.03583858037547</v>
      </c>
      <c r="S87" s="195">
        <v>226.47985529533059</v>
      </c>
      <c r="T87" s="195">
        <v>235.45216616654969</v>
      </c>
      <c r="U87" s="195">
        <v>243.9878223482965</v>
      </c>
      <c r="V87" s="195">
        <v>252.12062331628755</v>
      </c>
      <c r="W87" s="195">
        <v>259.87482489667377</v>
      </c>
      <c r="X87" s="195">
        <v>267.24775909924801</v>
      </c>
      <c r="Y87" s="195">
        <v>274.26982105180821</v>
      </c>
      <c r="Z87" s="195">
        <v>280.9368804321644</v>
      </c>
      <c r="AA87" s="195">
        <v>287.2723312539257</v>
      </c>
      <c r="AB87" s="195">
        <v>293.29167375726428</v>
      </c>
    </row>
    <row r="88" spans="1:28" outlineLevel="1" x14ac:dyDescent="0.2">
      <c r="A88"/>
      <c r="E88"/>
      <c r="F88"/>
      <c r="G88"/>
      <c r="H88"/>
      <c r="I88"/>
      <c r="J88"/>
      <c r="K88"/>
      <c r="L88"/>
      <c r="M88"/>
      <c r="N88"/>
      <c r="O88"/>
      <c r="P88"/>
      <c r="Q88"/>
      <c r="R88"/>
      <c r="S88"/>
      <c r="T88"/>
      <c r="U88"/>
      <c r="V88"/>
      <c r="W88"/>
      <c r="X88"/>
      <c r="Y88"/>
      <c r="Z88"/>
      <c r="AA88"/>
      <c r="AB88"/>
    </row>
    <row r="89" spans="1:28" outlineLevel="1" x14ac:dyDescent="0.2">
      <c r="A89"/>
      <c r="E89"/>
      <c r="F89"/>
      <c r="G89"/>
      <c r="H89"/>
      <c r="I89"/>
      <c r="J89"/>
      <c r="K89"/>
      <c r="L89"/>
      <c r="M89"/>
      <c r="N89"/>
      <c r="O89"/>
      <c r="P89"/>
      <c r="Q89"/>
      <c r="R89"/>
      <c r="S89"/>
      <c r="T89"/>
      <c r="U89"/>
      <c r="V89"/>
      <c r="W89"/>
      <c r="X89"/>
      <c r="Y89"/>
      <c r="Z89"/>
      <c r="AA89"/>
      <c r="AB89"/>
    </row>
    <row r="90" spans="1:28" x14ac:dyDescent="0.2">
      <c r="A90"/>
      <c r="B90" s="1" t="s">
        <v>310</v>
      </c>
      <c r="E90"/>
      <c r="F90"/>
      <c r="G90"/>
      <c r="H90"/>
      <c r="I90"/>
      <c r="J90"/>
      <c r="K90"/>
      <c r="L90"/>
      <c r="M90"/>
      <c r="N90"/>
      <c r="O90"/>
      <c r="P90"/>
      <c r="Q90"/>
      <c r="R90"/>
      <c r="S90"/>
      <c r="T90"/>
      <c r="U90"/>
      <c r="V90"/>
      <c r="W90"/>
      <c r="X90"/>
      <c r="Y90"/>
      <c r="Z90"/>
      <c r="AA90"/>
      <c r="AB90"/>
    </row>
    <row r="91" spans="1:28" s="12" customFormat="1" x14ac:dyDescent="0.2">
      <c r="B91" s="3"/>
      <c r="C91" s="3"/>
      <c r="D91" s="3"/>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row>
    <row r="92" spans="1:28" x14ac:dyDescent="0.2">
      <c r="E92" s="60" t="s">
        <v>181</v>
      </c>
    </row>
    <row r="137" spans="5:28" s="12" customFormat="1" x14ac:dyDescent="0.2">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row>
    <row r="138" spans="5:28" x14ac:dyDescent="0.2">
      <c r="E138" s="60" t="s">
        <v>180</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5">
    <tabColor theme="5"/>
  </sheetPr>
  <dimension ref="B1:AD24"/>
  <sheetViews>
    <sheetView showGridLines="0" zoomScale="110" zoomScaleNormal="110" workbookViewId="0"/>
  </sheetViews>
  <sheetFormatPr baseColWidth="10" defaultColWidth="8.83203125" defaultRowHeight="15" x14ac:dyDescent="0.2"/>
  <cols>
    <col min="1" max="1" width="5.6640625" customWidth="1"/>
    <col min="2" max="2" width="30.83203125" customWidth="1"/>
    <col min="3" max="3" width="10.83203125" style="12" customWidth="1"/>
    <col min="4" max="4" width="9.83203125" customWidth="1"/>
  </cols>
  <sheetData>
    <row r="1" spans="2:30" s="68" customFormat="1" ht="21" x14ac:dyDescent="0.25">
      <c r="B1" s="68" t="s">
        <v>297</v>
      </c>
    </row>
    <row r="4" spans="2:30" s="70" customFormat="1" x14ac:dyDescent="0.2">
      <c r="B4" s="70" t="s">
        <v>427</v>
      </c>
    </row>
    <row r="6" spans="2:30" x14ac:dyDescent="0.2">
      <c r="B6" s="1" t="s">
        <v>448</v>
      </c>
      <c r="C6" s="1" t="s">
        <v>451</v>
      </c>
      <c r="D6" s="1" t="s">
        <v>141</v>
      </c>
      <c r="E6" s="151">
        <v>2017</v>
      </c>
      <c r="F6" s="151">
        <v>2018</v>
      </c>
      <c r="G6" s="151">
        <v>2019</v>
      </c>
      <c r="H6" s="151">
        <v>2020</v>
      </c>
      <c r="I6" s="151">
        <v>2021</v>
      </c>
      <c r="J6" s="151">
        <v>2022</v>
      </c>
      <c r="K6" s="151">
        <v>2023</v>
      </c>
      <c r="L6" s="151">
        <v>2024</v>
      </c>
      <c r="M6" s="151">
        <v>2025</v>
      </c>
      <c r="N6" s="151">
        <v>2026</v>
      </c>
      <c r="O6" s="151">
        <v>2027</v>
      </c>
      <c r="P6" s="151">
        <v>2028</v>
      </c>
      <c r="Q6" s="151">
        <v>2029</v>
      </c>
      <c r="R6" s="151">
        <v>2030</v>
      </c>
      <c r="S6" s="151">
        <v>2031</v>
      </c>
      <c r="T6" s="151">
        <v>2032</v>
      </c>
      <c r="U6" s="151">
        <v>2033</v>
      </c>
      <c r="V6" s="151">
        <v>2034</v>
      </c>
      <c r="W6" s="151">
        <v>2035</v>
      </c>
      <c r="X6" s="151">
        <v>2036</v>
      </c>
      <c r="Y6" s="151">
        <v>2037</v>
      </c>
      <c r="Z6" s="151">
        <v>2038</v>
      </c>
      <c r="AA6" s="151">
        <v>2039</v>
      </c>
      <c r="AB6" s="151">
        <v>2040</v>
      </c>
    </row>
    <row r="7" spans="2:30" s="12" customFormat="1" x14ac:dyDescent="0.2">
      <c r="B7" s="150" t="s">
        <v>116</v>
      </c>
      <c r="C7" s="150" t="s">
        <v>65</v>
      </c>
      <c r="D7" s="150" t="s">
        <v>431</v>
      </c>
      <c r="E7" s="155">
        <v>188.99709999999999</v>
      </c>
      <c r="F7" s="155">
        <v>174.35910000000001</v>
      </c>
      <c r="G7" s="155">
        <v>160.476</v>
      </c>
      <c r="H7" s="84">
        <v>219.33940000000001</v>
      </c>
      <c r="I7" s="155">
        <v>241.43719999999999</v>
      </c>
      <c r="J7" s="155">
        <v>263.21080000000001</v>
      </c>
      <c r="K7" s="155">
        <v>287.69479999999999</v>
      </c>
      <c r="L7" s="155">
        <v>309.6764</v>
      </c>
      <c r="M7" s="155">
        <v>331.41609999999997</v>
      </c>
      <c r="N7" s="155">
        <v>351.39490000000001</v>
      </c>
      <c r="O7" s="155">
        <v>372.6576</v>
      </c>
      <c r="P7" s="155">
        <v>395.54270000000002</v>
      </c>
      <c r="Q7" s="155">
        <v>416.81020000000001</v>
      </c>
      <c r="R7" s="84">
        <v>438.48250000000002</v>
      </c>
      <c r="S7" s="155">
        <v>445.78519999999997</v>
      </c>
      <c r="T7" s="155">
        <v>452.76479999999998</v>
      </c>
      <c r="U7" s="155">
        <v>460.76749999999998</v>
      </c>
      <c r="V7" s="155">
        <v>468.14850000000001</v>
      </c>
      <c r="W7" s="155">
        <v>476.90660000000003</v>
      </c>
      <c r="X7" s="155">
        <v>484.62970000000001</v>
      </c>
      <c r="Y7" s="155">
        <v>492.1293</v>
      </c>
      <c r="Z7" s="155">
        <v>499.0992</v>
      </c>
      <c r="AA7" s="155">
        <v>507.51850000000002</v>
      </c>
      <c r="AB7" s="155">
        <v>514.54650000000004</v>
      </c>
      <c r="AC7"/>
      <c r="AD7"/>
    </row>
    <row r="8" spans="2:30" s="12" customFormat="1" x14ac:dyDescent="0.2">
      <c r="B8" s="150" t="s">
        <v>117</v>
      </c>
      <c r="C8" s="150" t="s">
        <v>66</v>
      </c>
      <c r="D8" s="150" t="s">
        <v>431</v>
      </c>
      <c r="E8" s="155">
        <v>203.53479999999999</v>
      </c>
      <c r="F8" s="155">
        <v>188.3768</v>
      </c>
      <c r="G8" s="155">
        <v>175.50040000000001</v>
      </c>
      <c r="H8" s="84">
        <v>223.36869999999999</v>
      </c>
      <c r="I8" s="155">
        <v>246.07589999999999</v>
      </c>
      <c r="J8" s="155">
        <v>266.94279999999998</v>
      </c>
      <c r="K8" s="155">
        <v>290.07510000000002</v>
      </c>
      <c r="L8" s="155">
        <v>312.34879999999998</v>
      </c>
      <c r="M8" s="155">
        <v>334.0924</v>
      </c>
      <c r="N8" s="155">
        <v>362.0292</v>
      </c>
      <c r="O8" s="155">
        <v>384.3954</v>
      </c>
      <c r="P8" s="155">
        <v>408.05130000000003</v>
      </c>
      <c r="Q8" s="155">
        <v>436.01760000000002</v>
      </c>
      <c r="R8" s="84">
        <v>460.84620000000001</v>
      </c>
      <c r="S8" s="155">
        <v>469.08679999999998</v>
      </c>
      <c r="T8" s="155">
        <v>477.21069999999997</v>
      </c>
      <c r="U8" s="155">
        <v>485.7097</v>
      </c>
      <c r="V8" s="155">
        <v>493.75470000000001</v>
      </c>
      <c r="W8" s="155">
        <v>493.25799999999998</v>
      </c>
      <c r="X8" s="155">
        <v>496.9742</v>
      </c>
      <c r="Y8" s="155">
        <v>506.61250000000001</v>
      </c>
      <c r="Z8" s="155">
        <v>515.18560000000002</v>
      </c>
      <c r="AA8" s="155">
        <v>522.37779999999998</v>
      </c>
      <c r="AB8" s="155">
        <v>529.16669999999999</v>
      </c>
      <c r="AC8"/>
      <c r="AD8"/>
    </row>
    <row r="9" spans="2:30" x14ac:dyDescent="0.2">
      <c r="B9" s="12" t="s">
        <v>428</v>
      </c>
      <c r="C9" s="150" t="s">
        <v>80</v>
      </c>
      <c r="D9" t="s">
        <v>431</v>
      </c>
      <c r="E9" s="155">
        <v>259.42503600000003</v>
      </c>
      <c r="F9" s="155">
        <v>235.65179644384341</v>
      </c>
      <c r="G9" s="155">
        <v>216.82955292026344</v>
      </c>
      <c r="H9" s="220">
        <v>232.18261715290646</v>
      </c>
      <c r="I9" s="155">
        <v>253.58310036467554</v>
      </c>
      <c r="J9" s="155">
        <v>274.98358357644463</v>
      </c>
      <c r="K9" s="155">
        <v>296.38406678821372</v>
      </c>
      <c r="L9" s="155">
        <v>317.7845499999828</v>
      </c>
      <c r="M9" s="155">
        <v>339.18503321175189</v>
      </c>
      <c r="N9" s="155">
        <v>360.58551642352097</v>
      </c>
      <c r="O9" s="155">
        <v>381.98599963529006</v>
      </c>
      <c r="P9" s="155">
        <v>403.38648284705914</v>
      </c>
      <c r="Q9" s="155">
        <v>424.78696605882823</v>
      </c>
      <c r="R9" s="220">
        <v>446.18744927059731</v>
      </c>
      <c r="S9" s="155">
        <v>454.34714509071199</v>
      </c>
      <c r="T9" s="155">
        <v>462.50684091082667</v>
      </c>
      <c r="U9" s="155">
        <v>470.66653673094135</v>
      </c>
      <c r="V9" s="155">
        <v>478.82623255105602</v>
      </c>
      <c r="W9" s="155">
        <v>486.9859283711707</v>
      </c>
      <c r="X9" s="155">
        <v>495.14562419128538</v>
      </c>
      <c r="Y9" s="155">
        <v>503.30532001140006</v>
      </c>
      <c r="Z9" s="155">
        <v>511.46501583151473</v>
      </c>
      <c r="AA9" s="155">
        <v>519.62471165162947</v>
      </c>
      <c r="AB9" s="220">
        <v>527.78440747174409</v>
      </c>
    </row>
    <row r="10" spans="2:30" x14ac:dyDescent="0.2">
      <c r="B10" s="12" t="s">
        <v>429</v>
      </c>
      <c r="C10" s="150" t="s">
        <v>94</v>
      </c>
      <c r="D10" t="s">
        <v>431</v>
      </c>
      <c r="E10" s="155">
        <v>181.09400400000001</v>
      </c>
      <c r="F10" s="155">
        <v>167.80158879902163</v>
      </c>
      <c r="G10" s="155">
        <v>151.816408552079</v>
      </c>
      <c r="H10" s="220">
        <v>224.15625999581326</v>
      </c>
      <c r="I10" s="155">
        <v>247.27330660561341</v>
      </c>
      <c r="J10" s="155">
        <v>270.39035321541354</v>
      </c>
      <c r="K10" s="155">
        <v>293.50739982521367</v>
      </c>
      <c r="L10" s="155">
        <v>316.62444643501379</v>
      </c>
      <c r="M10" s="155">
        <v>339.74149304481392</v>
      </c>
      <c r="N10" s="155">
        <v>362.85853965461405</v>
      </c>
      <c r="O10" s="155">
        <v>385.97558626441418</v>
      </c>
      <c r="P10" s="155">
        <v>409.0926328742143</v>
      </c>
      <c r="Q10" s="155">
        <v>432.20967948401443</v>
      </c>
      <c r="R10" s="220">
        <v>455.32672609381478</v>
      </c>
      <c r="S10" s="155">
        <v>462.81450157863145</v>
      </c>
      <c r="T10" s="155">
        <v>470.30227706344812</v>
      </c>
      <c r="U10" s="155">
        <v>477.79005254826478</v>
      </c>
      <c r="V10" s="155">
        <v>485.27782803308145</v>
      </c>
      <c r="W10" s="155">
        <v>492.76560351789811</v>
      </c>
      <c r="X10" s="155">
        <v>500.25337900271478</v>
      </c>
      <c r="Y10" s="155">
        <v>507.74115448753145</v>
      </c>
      <c r="Z10" s="155">
        <v>515.22892997234817</v>
      </c>
      <c r="AA10" s="155">
        <v>522.71670545716484</v>
      </c>
      <c r="AB10" s="220">
        <v>530.2044809419815</v>
      </c>
    </row>
    <row r="11" spans="2:30" x14ac:dyDescent="0.2">
      <c r="B11" s="12" t="s">
        <v>430</v>
      </c>
      <c r="C11" s="150" t="s">
        <v>82</v>
      </c>
      <c r="D11" t="s">
        <v>431</v>
      </c>
      <c r="E11" s="155">
        <v>371.04804999999999</v>
      </c>
      <c r="F11" s="155">
        <v>347.536131125373</v>
      </c>
      <c r="G11" s="155">
        <v>335.01046074828776</v>
      </c>
      <c r="H11" s="220">
        <v>322.48479037120245</v>
      </c>
      <c r="I11" s="155">
        <v>346.98341444568604</v>
      </c>
      <c r="J11" s="155">
        <v>371.48203852016962</v>
      </c>
      <c r="K11" s="155">
        <v>395.98066259465321</v>
      </c>
      <c r="L11" s="155">
        <v>420.4792866691368</v>
      </c>
      <c r="M11" s="155">
        <v>444.97791074362038</v>
      </c>
      <c r="N11" s="155">
        <v>469.47653481810397</v>
      </c>
      <c r="O11" s="155">
        <v>493.97515889258756</v>
      </c>
      <c r="P11" s="155">
        <v>518.47378296707109</v>
      </c>
      <c r="Q11" s="155">
        <v>542.97240704155467</v>
      </c>
      <c r="R11" s="220">
        <v>567.47103111603815</v>
      </c>
      <c r="S11" s="155">
        <v>577.32953050763831</v>
      </c>
      <c r="T11" s="155">
        <v>587.18802989923847</v>
      </c>
      <c r="U11" s="155">
        <v>597.04652929083863</v>
      </c>
      <c r="V11" s="155">
        <v>606.9050286824388</v>
      </c>
      <c r="W11" s="155">
        <v>616.76352807403896</v>
      </c>
      <c r="X11" s="155">
        <v>626.62202746563912</v>
      </c>
      <c r="Y11" s="155">
        <v>636.48052685723928</v>
      </c>
      <c r="Z11" s="155">
        <v>646.33902624883945</v>
      </c>
      <c r="AA11" s="155">
        <v>656.19752564043961</v>
      </c>
      <c r="AB11" s="220">
        <v>666.05602503204022</v>
      </c>
    </row>
    <row r="12" spans="2:30" x14ac:dyDescent="0.2">
      <c r="B12" s="12" t="s">
        <v>256</v>
      </c>
      <c r="C12" s="150" t="s">
        <v>95</v>
      </c>
      <c r="D12" t="s">
        <v>431</v>
      </c>
      <c r="E12" s="155">
        <v>196.89415199999999</v>
      </c>
      <c r="F12" s="155">
        <v>182.46598851580569</v>
      </c>
      <c r="G12" s="155">
        <v>168.24830218359813</v>
      </c>
      <c r="H12" s="220">
        <v>223.38575272264873</v>
      </c>
      <c r="I12" s="155">
        <v>245.78151691796813</v>
      </c>
      <c r="J12" s="155">
        <v>268.17728111328751</v>
      </c>
      <c r="K12" s="155">
        <v>290.57304530860688</v>
      </c>
      <c r="L12" s="155">
        <v>312.96880950392625</v>
      </c>
      <c r="M12" s="155">
        <v>335.36457369924562</v>
      </c>
      <c r="N12" s="155">
        <v>357.760337894565</v>
      </c>
      <c r="O12" s="155">
        <v>380.15610208988437</v>
      </c>
      <c r="P12" s="155">
        <v>402.55186628520374</v>
      </c>
      <c r="Q12" s="155">
        <v>424.94763048052312</v>
      </c>
      <c r="R12" s="220">
        <v>447.34339467584272</v>
      </c>
      <c r="S12" s="155">
        <v>454.85554898113617</v>
      </c>
      <c r="T12" s="155">
        <v>462.36770328642962</v>
      </c>
      <c r="U12" s="155">
        <v>469.87985759172307</v>
      </c>
      <c r="V12" s="155">
        <v>477.39201189701652</v>
      </c>
      <c r="W12" s="155">
        <v>484.90416620230997</v>
      </c>
      <c r="X12" s="155">
        <v>492.41632050760342</v>
      </c>
      <c r="Y12" s="155">
        <v>499.92847481289687</v>
      </c>
      <c r="Z12" s="155">
        <v>507.44062911819032</v>
      </c>
      <c r="AA12" s="155">
        <v>514.95278342348377</v>
      </c>
      <c r="AB12" s="220">
        <v>522.46493772877739</v>
      </c>
    </row>
    <row r="13" spans="2:30" x14ac:dyDescent="0.2">
      <c r="B13" s="12" t="s">
        <v>257</v>
      </c>
      <c r="C13" s="150" t="s">
        <v>96</v>
      </c>
      <c r="D13" t="s">
        <v>431</v>
      </c>
      <c r="E13" s="155">
        <v>199.54818</v>
      </c>
      <c r="F13" s="155">
        <v>183.85217555371065</v>
      </c>
      <c r="G13" s="155">
        <v>169.17706138885791</v>
      </c>
      <c r="H13" s="220">
        <v>223.43460298172417</v>
      </c>
      <c r="I13" s="155">
        <v>245.82876942850402</v>
      </c>
      <c r="J13" s="155">
        <v>268.22293587528389</v>
      </c>
      <c r="K13" s="155">
        <v>290.61710232206377</v>
      </c>
      <c r="L13" s="155">
        <v>313.01126876884365</v>
      </c>
      <c r="M13" s="155">
        <v>335.40543521562353</v>
      </c>
      <c r="N13" s="155">
        <v>357.7996016624034</v>
      </c>
      <c r="O13" s="155">
        <v>380.19376810918328</v>
      </c>
      <c r="P13" s="155">
        <v>402.58793455596316</v>
      </c>
      <c r="Q13" s="155">
        <v>424.98210100274304</v>
      </c>
      <c r="R13" s="220">
        <v>447.37626744952269</v>
      </c>
      <c r="S13" s="155">
        <v>454.88918863551521</v>
      </c>
      <c r="T13" s="155">
        <v>462.40210982150774</v>
      </c>
      <c r="U13" s="155">
        <v>469.91503100750026</v>
      </c>
      <c r="V13" s="155">
        <v>477.42795219349279</v>
      </c>
      <c r="W13" s="155">
        <v>484.94087337948531</v>
      </c>
      <c r="X13" s="155">
        <v>492.45379456547784</v>
      </c>
      <c r="Y13" s="155">
        <v>499.96671575147036</v>
      </c>
      <c r="Z13" s="155">
        <v>507.47963693746289</v>
      </c>
      <c r="AA13" s="155">
        <v>514.99255812345541</v>
      </c>
      <c r="AB13" s="220">
        <v>522.50547930944788</v>
      </c>
    </row>
    <row r="14" spans="2:30" x14ac:dyDescent="0.2">
      <c r="B14" s="12" t="s">
        <v>259</v>
      </c>
      <c r="C14" s="150" t="s">
        <v>78</v>
      </c>
      <c r="D14" t="s">
        <v>431</v>
      </c>
      <c r="E14" s="155">
        <v>230.57798400000001</v>
      </c>
      <c r="F14" s="155">
        <v>212.81618892467225</v>
      </c>
      <c r="G14" s="155">
        <v>195.82530627823459</v>
      </c>
      <c r="H14" s="220">
        <v>218.96414291928741</v>
      </c>
      <c r="I14" s="155">
        <v>240.36877167517065</v>
      </c>
      <c r="J14" s="155">
        <v>261.77340043105386</v>
      </c>
      <c r="K14" s="155">
        <v>283.17802918693707</v>
      </c>
      <c r="L14" s="155">
        <v>304.58265794282028</v>
      </c>
      <c r="M14" s="155">
        <v>325.98728669870349</v>
      </c>
      <c r="N14" s="155">
        <v>347.39191545458669</v>
      </c>
      <c r="O14" s="155">
        <v>368.7965442104699</v>
      </c>
      <c r="P14" s="155">
        <v>390.20117296635311</v>
      </c>
      <c r="Q14" s="155">
        <v>411.60580172223632</v>
      </c>
      <c r="R14" s="220">
        <v>433.01043047811976</v>
      </c>
      <c r="S14" s="155">
        <v>441.05407281992211</v>
      </c>
      <c r="T14" s="155">
        <v>449.09771516172441</v>
      </c>
      <c r="U14" s="155">
        <v>457.14135750352671</v>
      </c>
      <c r="V14" s="155">
        <v>465.184999845329</v>
      </c>
      <c r="W14" s="155">
        <v>473.2286421871313</v>
      </c>
      <c r="X14" s="155">
        <v>481.2722845289336</v>
      </c>
      <c r="Y14" s="155">
        <v>489.31592687073589</v>
      </c>
      <c r="Z14" s="155">
        <v>497.35956921253819</v>
      </c>
      <c r="AA14" s="155">
        <v>505.40321155434049</v>
      </c>
      <c r="AB14" s="220">
        <v>513.44685389614301</v>
      </c>
    </row>
    <row r="16" spans="2:30" x14ac:dyDescent="0.2">
      <c r="B16" s="150" t="s">
        <v>118</v>
      </c>
      <c r="C16" s="150" t="s">
        <v>97</v>
      </c>
      <c r="D16" s="150" t="s">
        <v>431</v>
      </c>
      <c r="E16" s="246">
        <f t="shared" ref="E16:AB16" si="0">E7*HLOOKUP(E$6,Elforbrug_Fordeling,2,FALSE)+E8*HLOOKUP(E$6,Elforbrug_Fordeling,3,FALSE)</f>
        <v>194.92115002054737</v>
      </c>
      <c r="F16" s="246">
        <f t="shared" si="0"/>
        <v>180.07261457068989</v>
      </c>
      <c r="G16" s="246">
        <f t="shared" si="0"/>
        <v>166.60196725196596</v>
      </c>
      <c r="H16" s="246">
        <f t="shared" si="0"/>
        <v>220.98220295676725</v>
      </c>
      <c r="I16" s="246">
        <f t="shared" si="0"/>
        <v>243.32814436604886</v>
      </c>
      <c r="J16" s="246">
        <f t="shared" si="0"/>
        <v>264.73191607119657</v>
      </c>
      <c r="K16" s="246">
        <f t="shared" si="0"/>
        <v>288.66441571958001</v>
      </c>
      <c r="L16" s="246">
        <f t="shared" si="0"/>
        <v>310.7650951894488</v>
      </c>
      <c r="M16" s="246">
        <f t="shared" si="0"/>
        <v>332.50655616922154</v>
      </c>
      <c r="N16" s="246">
        <f t="shared" si="0"/>
        <v>355.72783653191061</v>
      </c>
      <c r="O16" s="246">
        <f t="shared" si="0"/>
        <v>377.44015667267809</v>
      </c>
      <c r="P16" s="246">
        <f t="shared" si="0"/>
        <v>400.63931848011225</v>
      </c>
      <c r="Q16" s="246">
        <f t="shared" si="0"/>
        <v>424.6362388688508</v>
      </c>
      <c r="R16" s="246">
        <f t="shared" si="0"/>
        <v>447.59457063170026</v>
      </c>
      <c r="S16" s="246">
        <f t="shared" si="0"/>
        <v>455.27941719266607</v>
      </c>
      <c r="T16" s="246">
        <f t="shared" si="0"/>
        <v>462.72526125889186</v>
      </c>
      <c r="U16" s="246">
        <f t="shared" si="0"/>
        <v>470.93017827372</v>
      </c>
      <c r="V16" s="246">
        <f t="shared" si="0"/>
        <v>478.58172451157202</v>
      </c>
      <c r="W16" s="246">
        <f t="shared" si="0"/>
        <v>483.56896408676488</v>
      </c>
      <c r="X16" s="246">
        <f t="shared" si="0"/>
        <v>489.65945607404069</v>
      </c>
      <c r="Y16" s="246">
        <f t="shared" si="0"/>
        <v>498.03046757839894</v>
      </c>
      <c r="Z16" s="246">
        <f t="shared" si="0"/>
        <v>505.65359006111612</v>
      </c>
      <c r="AA16" s="246">
        <f t="shared" si="0"/>
        <v>513.5729092049894</v>
      </c>
      <c r="AB16" s="246">
        <f t="shared" si="0"/>
        <v>520.50348811241361</v>
      </c>
    </row>
    <row r="18" spans="2:4" x14ac:dyDescent="0.2">
      <c r="B18" s="2" t="s">
        <v>450</v>
      </c>
      <c r="C18" s="2"/>
    </row>
    <row r="19" spans="2:4" x14ac:dyDescent="0.2">
      <c r="B19" s="2" t="s">
        <v>449</v>
      </c>
      <c r="C19" s="2"/>
    </row>
    <row r="22" spans="2:4" s="70" customFormat="1" x14ac:dyDescent="0.2">
      <c r="B22" s="70" t="s">
        <v>312</v>
      </c>
    </row>
    <row r="24" spans="2:4" x14ac:dyDescent="0.2">
      <c r="D24" t="s">
        <v>189</v>
      </c>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6">
    <tabColor theme="8"/>
  </sheetPr>
  <dimension ref="A1:AC333"/>
  <sheetViews>
    <sheetView showGridLines="0" zoomScale="110" zoomScaleNormal="110" workbookViewId="0"/>
  </sheetViews>
  <sheetFormatPr baseColWidth="10" defaultColWidth="8.83203125" defaultRowHeight="15" outlineLevelRow="1" x14ac:dyDescent="0.2"/>
  <cols>
    <col min="1" max="1" width="5.6640625" style="12" customWidth="1"/>
    <col min="2" max="2" width="40.6640625" customWidth="1"/>
  </cols>
  <sheetData>
    <row r="1" spans="2:28" s="68" customFormat="1" ht="21" x14ac:dyDescent="0.25">
      <c r="B1" s="68" t="s">
        <v>298</v>
      </c>
    </row>
    <row r="4" spans="2:28" s="70" customFormat="1" x14ac:dyDescent="0.2">
      <c r="B4" s="70" t="s">
        <v>194</v>
      </c>
    </row>
    <row r="6" spans="2:28" x14ac:dyDescent="0.2">
      <c r="B6" s="62" t="s">
        <v>195</v>
      </c>
      <c r="C6" s="62" t="s">
        <v>141</v>
      </c>
      <c r="D6" s="63">
        <v>2017</v>
      </c>
      <c r="E6" s="63">
        <v>2018</v>
      </c>
      <c r="F6" s="63">
        <v>2019</v>
      </c>
      <c r="G6" s="63">
        <v>2020</v>
      </c>
      <c r="H6" s="63">
        <v>2021</v>
      </c>
      <c r="I6" s="63">
        <v>2022</v>
      </c>
      <c r="J6" s="63">
        <v>2023</v>
      </c>
      <c r="K6" s="63">
        <v>2024</v>
      </c>
      <c r="L6" s="63">
        <v>2025</v>
      </c>
      <c r="M6" s="63">
        <v>2026</v>
      </c>
      <c r="N6" s="63">
        <v>2027</v>
      </c>
      <c r="O6" s="63">
        <v>2028</v>
      </c>
      <c r="P6" s="63">
        <v>2029</v>
      </c>
      <c r="Q6" s="63">
        <v>2030</v>
      </c>
      <c r="R6" s="63">
        <v>2031</v>
      </c>
      <c r="S6" s="63">
        <v>2032</v>
      </c>
      <c r="T6" s="63">
        <v>2033</v>
      </c>
      <c r="U6" s="63">
        <v>2034</v>
      </c>
      <c r="V6" s="63">
        <v>2035</v>
      </c>
      <c r="W6" s="63">
        <v>2036</v>
      </c>
      <c r="X6" s="63">
        <v>2037</v>
      </c>
      <c r="Y6" s="63">
        <v>2038</v>
      </c>
      <c r="Z6" s="63">
        <v>2039</v>
      </c>
      <c r="AA6" s="63">
        <v>2040</v>
      </c>
    </row>
    <row r="7" spans="2:28" x14ac:dyDescent="0.2">
      <c r="B7" s="59" t="s">
        <v>190</v>
      </c>
      <c r="C7" s="59" t="s">
        <v>441</v>
      </c>
      <c r="D7" s="79">
        <v>0.59250431495027533</v>
      </c>
      <c r="E7" s="79">
        <v>0.59240713022179892</v>
      </c>
      <c r="F7" s="79">
        <v>0.59226543143380372</v>
      </c>
      <c r="G7" s="79">
        <v>0.5922857675608002</v>
      </c>
      <c r="H7" s="79">
        <v>0.59235467565290645</v>
      </c>
      <c r="I7" s="79">
        <v>0.59241262829673902</v>
      </c>
      <c r="J7" s="79">
        <v>0.59264978381717104</v>
      </c>
      <c r="K7" s="79">
        <v>0.59261518131686619</v>
      </c>
      <c r="L7" s="79">
        <v>0.59255084660855628</v>
      </c>
      <c r="M7" s="80">
        <f>L7</f>
        <v>0.59255084660855628</v>
      </c>
      <c r="N7" s="80">
        <f t="shared" ref="N7:AA7" si="0">M7</f>
        <v>0.59255084660855628</v>
      </c>
      <c r="O7" s="80">
        <f t="shared" si="0"/>
        <v>0.59255084660855628</v>
      </c>
      <c r="P7" s="80">
        <f t="shared" si="0"/>
        <v>0.59255084660855628</v>
      </c>
      <c r="Q7" s="80">
        <f t="shared" si="0"/>
        <v>0.59255084660855628</v>
      </c>
      <c r="R7" s="80">
        <f t="shared" si="0"/>
        <v>0.59255084660855628</v>
      </c>
      <c r="S7" s="80">
        <f t="shared" si="0"/>
        <v>0.59255084660855628</v>
      </c>
      <c r="T7" s="80">
        <f t="shared" si="0"/>
        <v>0.59255084660855628</v>
      </c>
      <c r="U7" s="80">
        <f t="shared" si="0"/>
        <v>0.59255084660855628</v>
      </c>
      <c r="V7" s="80">
        <f t="shared" si="0"/>
        <v>0.59255084660855628</v>
      </c>
      <c r="W7" s="80">
        <f t="shared" si="0"/>
        <v>0.59255084660855628</v>
      </c>
      <c r="X7" s="80">
        <f t="shared" si="0"/>
        <v>0.59255084660855628</v>
      </c>
      <c r="Y7" s="80">
        <f t="shared" si="0"/>
        <v>0.59255084660855628</v>
      </c>
      <c r="Z7" s="80">
        <f t="shared" si="0"/>
        <v>0.59255084660855628</v>
      </c>
      <c r="AA7" s="80">
        <f t="shared" si="0"/>
        <v>0.59255084660855628</v>
      </c>
    </row>
    <row r="8" spans="2:28" x14ac:dyDescent="0.2">
      <c r="B8" s="59" t="s">
        <v>192</v>
      </c>
      <c r="C8" s="59" t="s">
        <v>441</v>
      </c>
      <c r="D8" s="79">
        <v>0.40749568504972467</v>
      </c>
      <c r="E8" s="79">
        <v>0.40759286977820108</v>
      </c>
      <c r="F8" s="79">
        <v>0.40773456856619628</v>
      </c>
      <c r="G8" s="79">
        <v>0.4077142324391998</v>
      </c>
      <c r="H8" s="79">
        <v>0.40764532434709355</v>
      </c>
      <c r="I8" s="79">
        <v>0.40758737170326098</v>
      </c>
      <c r="J8" s="79">
        <v>0.40735021618282896</v>
      </c>
      <c r="K8" s="79">
        <v>0.40738481868313381</v>
      </c>
      <c r="L8" s="79">
        <v>0.40744915339144372</v>
      </c>
      <c r="M8" s="80">
        <f>L8</f>
        <v>0.40744915339144372</v>
      </c>
      <c r="N8" s="80">
        <f t="shared" ref="N8:AA8" si="1">M8</f>
        <v>0.40744915339144372</v>
      </c>
      <c r="O8" s="80">
        <f t="shared" si="1"/>
        <v>0.40744915339144372</v>
      </c>
      <c r="P8" s="80">
        <f t="shared" si="1"/>
        <v>0.40744915339144372</v>
      </c>
      <c r="Q8" s="80">
        <f t="shared" si="1"/>
        <v>0.40744915339144372</v>
      </c>
      <c r="R8" s="80">
        <f t="shared" si="1"/>
        <v>0.40744915339144372</v>
      </c>
      <c r="S8" s="80">
        <f t="shared" si="1"/>
        <v>0.40744915339144372</v>
      </c>
      <c r="T8" s="80">
        <f t="shared" si="1"/>
        <v>0.40744915339144372</v>
      </c>
      <c r="U8" s="80">
        <f t="shared" si="1"/>
        <v>0.40744915339144372</v>
      </c>
      <c r="V8" s="80">
        <f t="shared" si="1"/>
        <v>0.40744915339144372</v>
      </c>
      <c r="W8" s="80">
        <f t="shared" si="1"/>
        <v>0.40744915339144372</v>
      </c>
      <c r="X8" s="80">
        <f t="shared" si="1"/>
        <v>0.40744915339144372</v>
      </c>
      <c r="Y8" s="80">
        <f t="shared" si="1"/>
        <v>0.40744915339144372</v>
      </c>
      <c r="Z8" s="80">
        <f t="shared" si="1"/>
        <v>0.40744915339144372</v>
      </c>
      <c r="AA8" s="80">
        <f t="shared" si="1"/>
        <v>0.40744915339144372</v>
      </c>
    </row>
    <row r="9" spans="2:28" x14ac:dyDescent="0.2">
      <c r="B9" s="72" t="s">
        <v>196</v>
      </c>
      <c r="C9" s="59"/>
      <c r="D9" s="59"/>
      <c r="E9" s="59"/>
      <c r="F9" s="59"/>
      <c r="G9" s="59"/>
      <c r="H9" s="59"/>
      <c r="I9" s="59"/>
      <c r="J9" s="59"/>
      <c r="K9" s="59"/>
      <c r="L9" s="59"/>
      <c r="M9" s="59"/>
      <c r="N9" s="59"/>
      <c r="O9" s="59"/>
      <c r="P9" s="59"/>
      <c r="Q9" s="59"/>
      <c r="R9" s="59"/>
      <c r="S9" s="59"/>
      <c r="T9" s="59"/>
      <c r="U9" s="59"/>
      <c r="V9" s="59"/>
      <c r="W9" s="59"/>
      <c r="X9" s="59"/>
      <c r="Y9" s="59"/>
      <c r="Z9" s="59"/>
      <c r="AA9" s="59"/>
    </row>
    <row r="10" spans="2:28" x14ac:dyDescent="0.2">
      <c r="B10" s="59"/>
      <c r="C10" s="59"/>
      <c r="D10" s="65"/>
      <c r="E10" s="65"/>
      <c r="F10" s="65"/>
      <c r="G10" s="65"/>
      <c r="H10" s="65"/>
      <c r="I10" s="65"/>
      <c r="J10" s="65"/>
      <c r="K10" s="65"/>
      <c r="L10" s="65"/>
      <c r="M10" s="65"/>
      <c r="N10" s="65"/>
      <c r="O10" s="65"/>
      <c r="P10" s="65"/>
      <c r="Q10" s="65"/>
      <c r="R10" s="65"/>
      <c r="S10" s="65"/>
      <c r="T10" s="65"/>
      <c r="U10" s="65"/>
      <c r="V10" s="65"/>
      <c r="W10" s="65"/>
      <c r="X10" s="65"/>
      <c r="Y10" s="65"/>
      <c r="Z10" s="65"/>
      <c r="AA10" s="65"/>
    </row>
    <row r="11" spans="2:28" s="12" customFormat="1" x14ac:dyDescent="0.2">
      <c r="B11" s="59"/>
      <c r="C11" s="59"/>
      <c r="D11" s="65"/>
      <c r="E11" s="65"/>
      <c r="F11" s="65"/>
      <c r="G11" s="65"/>
      <c r="H11" s="65"/>
      <c r="I11" s="65"/>
      <c r="J11" s="65"/>
      <c r="K11" s="65"/>
      <c r="L11" s="65"/>
      <c r="M11" s="65"/>
      <c r="N11" s="65"/>
      <c r="O11" s="65"/>
      <c r="P11" s="65"/>
      <c r="Q11" s="65"/>
      <c r="R11" s="65"/>
      <c r="S11" s="65"/>
      <c r="T11" s="65"/>
      <c r="U11" s="65"/>
      <c r="V11" s="65"/>
      <c r="W11" s="65"/>
      <c r="X11" s="65"/>
      <c r="Y11" s="65"/>
      <c r="Z11" s="65"/>
      <c r="AA11" s="65"/>
    </row>
    <row r="12" spans="2:28" x14ac:dyDescent="0.2">
      <c r="B12" s="62" t="s">
        <v>197</v>
      </c>
      <c r="C12" s="62" t="s">
        <v>141</v>
      </c>
      <c r="D12" s="63">
        <f>D$6</f>
        <v>2017</v>
      </c>
      <c r="E12" s="63">
        <f t="shared" ref="E12:AA12" si="2">E$6</f>
        <v>2018</v>
      </c>
      <c r="F12" s="63">
        <f t="shared" si="2"/>
        <v>2019</v>
      </c>
      <c r="G12" s="63">
        <f t="shared" si="2"/>
        <v>2020</v>
      </c>
      <c r="H12" s="63">
        <f t="shared" si="2"/>
        <v>2021</v>
      </c>
      <c r="I12" s="63">
        <f t="shared" si="2"/>
        <v>2022</v>
      </c>
      <c r="J12" s="63">
        <f t="shared" si="2"/>
        <v>2023</v>
      </c>
      <c r="K12" s="63">
        <f t="shared" si="2"/>
        <v>2024</v>
      </c>
      <c r="L12" s="63">
        <f t="shared" si="2"/>
        <v>2025</v>
      </c>
      <c r="M12" s="63">
        <f t="shared" si="2"/>
        <v>2026</v>
      </c>
      <c r="N12" s="63">
        <f t="shared" si="2"/>
        <v>2027</v>
      </c>
      <c r="O12" s="63">
        <f t="shared" si="2"/>
        <v>2028</v>
      </c>
      <c r="P12" s="63">
        <f t="shared" si="2"/>
        <v>2029</v>
      </c>
      <c r="Q12" s="63">
        <f t="shared" si="2"/>
        <v>2030</v>
      </c>
      <c r="R12" s="63">
        <f t="shared" si="2"/>
        <v>2031</v>
      </c>
      <c r="S12" s="63">
        <f t="shared" si="2"/>
        <v>2032</v>
      </c>
      <c r="T12" s="63">
        <f t="shared" si="2"/>
        <v>2033</v>
      </c>
      <c r="U12" s="63">
        <f t="shared" si="2"/>
        <v>2034</v>
      </c>
      <c r="V12" s="63">
        <f t="shared" si="2"/>
        <v>2035</v>
      </c>
      <c r="W12" s="63">
        <f t="shared" si="2"/>
        <v>2036</v>
      </c>
      <c r="X12" s="63">
        <f t="shared" si="2"/>
        <v>2037</v>
      </c>
      <c r="Y12" s="63">
        <f t="shared" si="2"/>
        <v>2038</v>
      </c>
      <c r="Z12" s="63">
        <f t="shared" si="2"/>
        <v>2039</v>
      </c>
      <c r="AA12" s="63">
        <f t="shared" si="2"/>
        <v>2040</v>
      </c>
    </row>
    <row r="13" spans="2:28" s="12" customFormat="1" x14ac:dyDescent="0.2">
      <c r="B13" s="87" t="s">
        <v>190</v>
      </c>
      <c r="C13" s="87" t="s">
        <v>441</v>
      </c>
      <c r="D13" s="79">
        <v>7.0000000000000007E-2</v>
      </c>
      <c r="E13" s="219">
        <v>7.0000000000000007E-2</v>
      </c>
      <c r="F13" s="219">
        <v>7.0000000000000007E-2</v>
      </c>
      <c r="G13" s="219">
        <v>7.0000000000000007E-2</v>
      </c>
      <c r="H13" s="219">
        <v>7.0000000000000007E-2</v>
      </c>
      <c r="I13" s="219">
        <v>7.0000000000000007E-2</v>
      </c>
      <c r="J13" s="219">
        <v>7.0000000000000007E-2</v>
      </c>
      <c r="K13" s="219">
        <v>7.0000000000000007E-2</v>
      </c>
      <c r="L13" s="219">
        <v>7.0000000000000007E-2</v>
      </c>
      <c r="M13" s="219">
        <v>7.0000000000000007E-2</v>
      </c>
      <c r="N13" s="219">
        <v>7.0000000000000007E-2</v>
      </c>
      <c r="O13" s="219">
        <v>7.0000000000000007E-2</v>
      </c>
      <c r="P13" s="219">
        <v>7.0000000000000007E-2</v>
      </c>
      <c r="Q13" s="219">
        <v>7.0000000000000007E-2</v>
      </c>
      <c r="R13" s="219">
        <v>7.0000000000000007E-2</v>
      </c>
      <c r="S13" s="219">
        <v>7.0000000000000007E-2</v>
      </c>
      <c r="T13" s="219">
        <v>7.0000000000000007E-2</v>
      </c>
      <c r="U13" s="219">
        <v>7.0000000000000007E-2</v>
      </c>
      <c r="V13" s="219">
        <v>7.0000000000000007E-2</v>
      </c>
      <c r="W13" s="219">
        <v>7.0000000000000007E-2</v>
      </c>
      <c r="X13" s="219">
        <v>7.0000000000000007E-2</v>
      </c>
      <c r="Y13" s="219">
        <v>7.0000000000000007E-2</v>
      </c>
      <c r="Z13" s="219">
        <v>7.0000000000000007E-2</v>
      </c>
      <c r="AA13" s="219">
        <v>7.0000000000000007E-2</v>
      </c>
      <c r="AB13"/>
    </row>
    <row r="14" spans="2:28" s="12" customFormat="1" x14ac:dyDescent="0.2">
      <c r="B14" s="87" t="s">
        <v>192</v>
      </c>
      <c r="C14" s="87" t="s">
        <v>441</v>
      </c>
      <c r="D14" s="79">
        <v>0.06</v>
      </c>
      <c r="E14" s="219">
        <v>0.06</v>
      </c>
      <c r="F14" s="219">
        <v>0.06</v>
      </c>
      <c r="G14" s="219">
        <v>0.06</v>
      </c>
      <c r="H14" s="219">
        <v>0.06</v>
      </c>
      <c r="I14" s="219">
        <v>0.06</v>
      </c>
      <c r="J14" s="219">
        <v>0.06</v>
      </c>
      <c r="K14" s="219">
        <v>0.06</v>
      </c>
      <c r="L14" s="219">
        <v>0.06</v>
      </c>
      <c r="M14" s="219">
        <v>0.06</v>
      </c>
      <c r="N14" s="219">
        <v>0.06</v>
      </c>
      <c r="O14" s="219">
        <v>0.06</v>
      </c>
      <c r="P14" s="219">
        <v>0.06</v>
      </c>
      <c r="Q14" s="219">
        <v>0.06</v>
      </c>
      <c r="R14" s="219">
        <v>0.06</v>
      </c>
      <c r="S14" s="219">
        <v>0.06</v>
      </c>
      <c r="T14" s="219">
        <v>0.06</v>
      </c>
      <c r="U14" s="219">
        <v>0.06</v>
      </c>
      <c r="V14" s="219">
        <v>0.06</v>
      </c>
      <c r="W14" s="219">
        <v>0.06</v>
      </c>
      <c r="X14" s="219">
        <v>0.06</v>
      </c>
      <c r="Y14" s="219">
        <v>0.06</v>
      </c>
      <c r="Z14" s="219">
        <v>0.06</v>
      </c>
      <c r="AA14" s="219">
        <v>0.06</v>
      </c>
      <c r="AB14"/>
    </row>
    <row r="15" spans="2:28" x14ac:dyDescent="0.2">
      <c r="B15" s="72" t="s">
        <v>196</v>
      </c>
      <c r="D15" s="60"/>
      <c r="E15" s="60"/>
      <c r="F15" s="60"/>
      <c r="G15" s="60"/>
      <c r="H15" s="60"/>
      <c r="I15" s="60"/>
      <c r="J15" s="60"/>
      <c r="K15" s="60"/>
      <c r="L15" s="60"/>
      <c r="M15" s="60"/>
      <c r="N15" s="60"/>
      <c r="O15" s="60"/>
      <c r="P15" s="60"/>
      <c r="Q15" s="60"/>
      <c r="R15" s="60"/>
      <c r="S15" s="60"/>
      <c r="T15" s="60"/>
      <c r="U15" s="60"/>
      <c r="V15" s="60"/>
      <c r="W15" s="60"/>
      <c r="X15" s="60"/>
      <c r="Y15" s="60"/>
      <c r="Z15" s="60"/>
      <c r="AA15" s="60"/>
    </row>
    <row r="16" spans="2:28" s="12" customFormat="1" x14ac:dyDescent="0.2"/>
    <row r="18" spans="2:27" s="70" customFormat="1" x14ac:dyDescent="0.2">
      <c r="B18" s="70" t="s">
        <v>387</v>
      </c>
    </row>
    <row r="20" spans="2:27" x14ac:dyDescent="0.2">
      <c r="B20" s="62" t="s">
        <v>209</v>
      </c>
      <c r="C20" s="62" t="s">
        <v>141</v>
      </c>
      <c r="D20" s="74">
        <f>D$6</f>
        <v>2017</v>
      </c>
      <c r="E20" s="74">
        <f t="shared" ref="E20:AA20" si="3">E$6</f>
        <v>2018</v>
      </c>
      <c r="F20" s="74">
        <f t="shared" si="3"/>
        <v>2019</v>
      </c>
      <c r="G20" s="74">
        <f t="shared" si="3"/>
        <v>2020</v>
      </c>
      <c r="H20" s="74">
        <f t="shared" si="3"/>
        <v>2021</v>
      </c>
      <c r="I20" s="74">
        <f t="shared" si="3"/>
        <v>2022</v>
      </c>
      <c r="J20" s="74">
        <f t="shared" si="3"/>
        <v>2023</v>
      </c>
      <c r="K20" s="74">
        <f t="shared" si="3"/>
        <v>2024</v>
      </c>
      <c r="L20" s="74">
        <f t="shared" si="3"/>
        <v>2025</v>
      </c>
      <c r="M20" s="74">
        <f t="shared" si="3"/>
        <v>2026</v>
      </c>
      <c r="N20" s="74">
        <f t="shared" si="3"/>
        <v>2027</v>
      </c>
      <c r="O20" s="74">
        <f t="shared" si="3"/>
        <v>2028</v>
      </c>
      <c r="P20" s="74">
        <f t="shared" si="3"/>
        <v>2029</v>
      </c>
      <c r="Q20" s="74">
        <f t="shared" si="3"/>
        <v>2030</v>
      </c>
      <c r="R20" s="74">
        <f t="shared" si="3"/>
        <v>2031</v>
      </c>
      <c r="S20" s="74">
        <f t="shared" si="3"/>
        <v>2032</v>
      </c>
      <c r="T20" s="74">
        <f t="shared" si="3"/>
        <v>2033</v>
      </c>
      <c r="U20" s="74">
        <f t="shared" si="3"/>
        <v>2034</v>
      </c>
      <c r="V20" s="74">
        <f t="shared" si="3"/>
        <v>2035</v>
      </c>
      <c r="W20" s="74">
        <f t="shared" si="3"/>
        <v>2036</v>
      </c>
      <c r="X20" s="74">
        <f t="shared" si="3"/>
        <v>2037</v>
      </c>
      <c r="Y20" s="74">
        <f t="shared" si="3"/>
        <v>2038</v>
      </c>
      <c r="Z20" s="74">
        <f t="shared" si="3"/>
        <v>2039</v>
      </c>
      <c r="AA20" s="74">
        <f t="shared" si="3"/>
        <v>2040</v>
      </c>
    </row>
    <row r="21" spans="2:27" x14ac:dyDescent="0.2">
      <c r="B21" s="59" t="s">
        <v>190</v>
      </c>
      <c r="C21" s="59" t="s">
        <v>70</v>
      </c>
      <c r="D21" s="81">
        <f t="shared" ref="D21:AA21" si="4">D$23*HLOOKUP(D$20,Elforbrug_Fordeling,2,FALSE)</f>
        <v>18481.491966499179</v>
      </c>
      <c r="E21" s="81">
        <f t="shared" si="4"/>
        <v>18594.769883535675</v>
      </c>
      <c r="F21" s="81">
        <f t="shared" si="4"/>
        <v>18729.521891593467</v>
      </c>
      <c r="G21" s="81">
        <f t="shared" si="4"/>
        <v>18733.929169709496</v>
      </c>
      <c r="H21" s="81">
        <f t="shared" si="4"/>
        <v>18701.883064085283</v>
      </c>
      <c r="I21" s="81">
        <f t="shared" si="4"/>
        <v>18738.337545589857</v>
      </c>
      <c r="J21" s="81">
        <f t="shared" si="4"/>
        <v>18756.887702640681</v>
      </c>
      <c r="K21" s="81">
        <f t="shared" si="4"/>
        <v>18777.582471111742</v>
      </c>
      <c r="L21" s="81">
        <f t="shared" si="4"/>
        <v>18791.470781903499</v>
      </c>
      <c r="M21" s="81">
        <f t="shared" si="4"/>
        <v>18788.067523054873</v>
      </c>
      <c r="N21" s="81">
        <f t="shared" si="4"/>
        <v>18796.783837655741</v>
      </c>
      <c r="O21" s="81">
        <f t="shared" si="4"/>
        <v>18784.450383748237</v>
      </c>
      <c r="P21" s="81">
        <f t="shared" si="4"/>
        <v>18776.450550045283</v>
      </c>
      <c r="Q21" s="81">
        <f t="shared" si="4"/>
        <v>18808.091738729574</v>
      </c>
      <c r="R21" s="81">
        <f t="shared" si="4"/>
        <v>18795.937140148544</v>
      </c>
      <c r="S21" s="81">
        <f t="shared" si="4"/>
        <v>18789.745799691053</v>
      </c>
      <c r="T21" s="81">
        <f t="shared" si="4"/>
        <v>18757.852606771146</v>
      </c>
      <c r="U21" s="81">
        <f t="shared" si="4"/>
        <v>18720.738877153883</v>
      </c>
      <c r="V21" s="81">
        <f t="shared" si="4"/>
        <v>18738.622953419799</v>
      </c>
      <c r="W21" s="81">
        <f t="shared" si="4"/>
        <v>18714.73704364185</v>
      </c>
      <c r="X21" s="81">
        <f t="shared" si="4"/>
        <v>18709.063486991257</v>
      </c>
      <c r="Y21" s="81">
        <f t="shared" si="4"/>
        <v>18698.773718225868</v>
      </c>
      <c r="Z21" s="81">
        <f t="shared" si="4"/>
        <v>18690.329190808752</v>
      </c>
      <c r="AA21" s="81">
        <f t="shared" si="4"/>
        <v>18733.303049822098</v>
      </c>
    </row>
    <row r="22" spans="2:27" x14ac:dyDescent="0.2">
      <c r="B22" s="59" t="s">
        <v>192</v>
      </c>
      <c r="C22" s="59" t="s">
        <v>70</v>
      </c>
      <c r="D22" s="81">
        <f t="shared" ref="D22:AA22" si="5">D$23*HLOOKUP(D$20,Elforbrug_Fordeling,3,FALSE)</f>
        <v>12710.672377570112</v>
      </c>
      <c r="E22" s="81">
        <f t="shared" si="5"/>
        <v>12793.727882474906</v>
      </c>
      <c r="F22" s="81">
        <f t="shared" si="5"/>
        <v>12894.00515818139</v>
      </c>
      <c r="G22" s="81">
        <f t="shared" si="5"/>
        <v>12895.953221118667</v>
      </c>
      <c r="H22" s="81">
        <f t="shared" si="5"/>
        <v>12870.22032730207</v>
      </c>
      <c r="I22" s="81">
        <f t="shared" si="5"/>
        <v>12892.212936537675</v>
      </c>
      <c r="J22" s="81">
        <f t="shared" si="5"/>
        <v>12892.30582583797</v>
      </c>
      <c r="K22" s="81">
        <f t="shared" si="5"/>
        <v>12908.380128404471</v>
      </c>
      <c r="L22" s="81">
        <f t="shared" si="5"/>
        <v>12921.370216393632</v>
      </c>
      <c r="M22" s="81">
        <f t="shared" si="5"/>
        <v>12919.030071333373</v>
      </c>
      <c r="N22" s="81">
        <f t="shared" si="5"/>
        <v>12925.023573874367</v>
      </c>
      <c r="O22" s="81">
        <f t="shared" si="5"/>
        <v>12916.542858030713</v>
      </c>
      <c r="P22" s="81">
        <f t="shared" si="5"/>
        <v>12911.042021287001</v>
      </c>
      <c r="Q22" s="81">
        <f t="shared" si="5"/>
        <v>12932.799100220398</v>
      </c>
      <c r="R22" s="81">
        <f t="shared" si="5"/>
        <v>12924.441368677191</v>
      </c>
      <c r="S22" s="81">
        <f t="shared" si="5"/>
        <v>12920.184086045327</v>
      </c>
      <c r="T22" s="81">
        <f t="shared" si="5"/>
        <v>12898.253724240023</v>
      </c>
      <c r="U22" s="81">
        <f t="shared" si="5"/>
        <v>12872.733622803491</v>
      </c>
      <c r="V22" s="81">
        <f t="shared" si="5"/>
        <v>12885.031051413105</v>
      </c>
      <c r="W22" s="81">
        <f t="shared" si="5"/>
        <v>12868.606648726463</v>
      </c>
      <c r="X22" s="81">
        <f t="shared" si="5"/>
        <v>12864.705404019391</v>
      </c>
      <c r="Y22" s="81">
        <f t="shared" si="5"/>
        <v>12857.629964677692</v>
      </c>
      <c r="Z22" s="81">
        <f t="shared" si="5"/>
        <v>12851.823348137377</v>
      </c>
      <c r="AA22" s="81">
        <f t="shared" si="5"/>
        <v>12881.372985224501</v>
      </c>
    </row>
    <row r="23" spans="2:27" x14ac:dyDescent="0.2">
      <c r="B23" s="91" t="s">
        <v>198</v>
      </c>
      <c r="C23" s="91" t="s">
        <v>70</v>
      </c>
      <c r="D23" s="95">
        <v>31192.164344069293</v>
      </c>
      <c r="E23" s="95">
        <v>31388.49776601058</v>
      </c>
      <c r="F23" s="95">
        <v>31623.527049774857</v>
      </c>
      <c r="G23" s="95">
        <v>31629.882390828163</v>
      </c>
      <c r="H23" s="95">
        <v>31572.103391387351</v>
      </c>
      <c r="I23" s="95">
        <v>31630.550482127532</v>
      </c>
      <c r="J23" s="95">
        <v>31649.193528478652</v>
      </c>
      <c r="K23" s="95">
        <v>31685.962599516213</v>
      </c>
      <c r="L23" s="95">
        <v>31712.840998297132</v>
      </c>
      <c r="M23" s="95">
        <v>31707.097594388244</v>
      </c>
      <c r="N23" s="95">
        <v>31721.807411530106</v>
      </c>
      <c r="O23" s="95">
        <v>31700.99324177895</v>
      </c>
      <c r="P23" s="95">
        <v>31687.492571332285</v>
      </c>
      <c r="Q23" s="95">
        <v>31740.89083894997</v>
      </c>
      <c r="R23" s="95">
        <v>31720.378508825735</v>
      </c>
      <c r="S23" s="95">
        <v>31709.929885736379</v>
      </c>
      <c r="T23" s="95">
        <v>31656.106331011171</v>
      </c>
      <c r="U23" s="95">
        <v>31593.472499957374</v>
      </c>
      <c r="V23" s="95">
        <v>31623.654004832904</v>
      </c>
      <c r="W23" s="95">
        <v>31583.343692368315</v>
      </c>
      <c r="X23" s="95">
        <v>31573.768891010648</v>
      </c>
      <c r="Y23" s="95">
        <v>31556.403682903558</v>
      </c>
      <c r="Z23" s="95">
        <v>31542.152538946128</v>
      </c>
      <c r="AA23" s="95">
        <v>31614.676035046599</v>
      </c>
    </row>
    <row r="24" spans="2:27" x14ac:dyDescent="0.2">
      <c r="B24" s="72" t="s">
        <v>415</v>
      </c>
      <c r="C24" s="59"/>
      <c r="D24" s="59"/>
      <c r="E24" s="59"/>
      <c r="F24" s="59"/>
      <c r="G24" s="59"/>
      <c r="H24" s="59"/>
      <c r="I24" s="59"/>
      <c r="J24" s="59"/>
      <c r="K24" s="59"/>
      <c r="L24" s="59"/>
      <c r="M24" s="59"/>
      <c r="N24" s="59"/>
      <c r="O24" s="59"/>
      <c r="P24" s="59"/>
      <c r="Q24" s="59"/>
      <c r="R24" s="59"/>
      <c r="S24" s="59"/>
      <c r="T24" s="59"/>
      <c r="U24" s="59"/>
      <c r="V24" s="59"/>
      <c r="W24" s="59"/>
      <c r="X24" s="59"/>
      <c r="Y24" s="59"/>
      <c r="Z24" s="59"/>
      <c r="AA24" s="59"/>
    </row>
    <row r="25" spans="2:27" x14ac:dyDescent="0.2">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row>
    <row r="26" spans="2:27" s="12" customFormat="1" x14ac:dyDescent="0.2">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row>
    <row r="27" spans="2:27" x14ac:dyDescent="0.2">
      <c r="B27" s="62" t="s">
        <v>210</v>
      </c>
      <c r="C27" s="62" t="s">
        <v>141</v>
      </c>
      <c r="D27" s="74">
        <f>D$6</f>
        <v>2017</v>
      </c>
      <c r="E27" s="74">
        <f t="shared" ref="E27:AA27" si="6">E$6</f>
        <v>2018</v>
      </c>
      <c r="F27" s="74">
        <f t="shared" si="6"/>
        <v>2019</v>
      </c>
      <c r="G27" s="74">
        <f t="shared" si="6"/>
        <v>2020</v>
      </c>
      <c r="H27" s="74">
        <f t="shared" si="6"/>
        <v>2021</v>
      </c>
      <c r="I27" s="74">
        <f t="shared" si="6"/>
        <v>2022</v>
      </c>
      <c r="J27" s="74">
        <f t="shared" si="6"/>
        <v>2023</v>
      </c>
      <c r="K27" s="74">
        <f t="shared" si="6"/>
        <v>2024</v>
      </c>
      <c r="L27" s="74">
        <f t="shared" si="6"/>
        <v>2025</v>
      </c>
      <c r="M27" s="74">
        <f t="shared" si="6"/>
        <v>2026</v>
      </c>
      <c r="N27" s="74">
        <f t="shared" si="6"/>
        <v>2027</v>
      </c>
      <c r="O27" s="74">
        <f t="shared" si="6"/>
        <v>2028</v>
      </c>
      <c r="P27" s="74">
        <f t="shared" si="6"/>
        <v>2029</v>
      </c>
      <c r="Q27" s="74">
        <f t="shared" si="6"/>
        <v>2030</v>
      </c>
      <c r="R27" s="74">
        <f t="shared" si="6"/>
        <v>2031</v>
      </c>
      <c r="S27" s="74">
        <f t="shared" si="6"/>
        <v>2032</v>
      </c>
      <c r="T27" s="74">
        <f t="shared" si="6"/>
        <v>2033</v>
      </c>
      <c r="U27" s="74">
        <f t="shared" si="6"/>
        <v>2034</v>
      </c>
      <c r="V27" s="74">
        <f t="shared" si="6"/>
        <v>2035</v>
      </c>
      <c r="W27" s="74">
        <f t="shared" si="6"/>
        <v>2036</v>
      </c>
      <c r="X27" s="74">
        <f t="shared" si="6"/>
        <v>2037</v>
      </c>
      <c r="Y27" s="74">
        <f t="shared" si="6"/>
        <v>2038</v>
      </c>
      <c r="Z27" s="74">
        <f t="shared" si="6"/>
        <v>2039</v>
      </c>
      <c r="AA27" s="74">
        <f t="shared" si="6"/>
        <v>2040</v>
      </c>
    </row>
    <row r="28" spans="2:27" x14ac:dyDescent="0.2">
      <c r="B28" s="59" t="s">
        <v>190</v>
      </c>
      <c r="C28" s="59" t="s">
        <v>70</v>
      </c>
      <c r="D28" s="82">
        <f t="shared" ref="D28:AA28" si="7">D21*(1+HLOOKUP(D$27,Elforbrug_Nettab,2,FALSE))</f>
        <v>19775.196404154121</v>
      </c>
      <c r="E28" s="82">
        <f t="shared" si="7"/>
        <v>19896.403775383173</v>
      </c>
      <c r="F28" s="82">
        <f t="shared" si="7"/>
        <v>20040.588424005011</v>
      </c>
      <c r="G28" s="82">
        <f t="shared" si="7"/>
        <v>20045.304211589162</v>
      </c>
      <c r="H28" s="82">
        <f t="shared" si="7"/>
        <v>20011.014878571255</v>
      </c>
      <c r="I28" s="82">
        <f t="shared" si="7"/>
        <v>20050.021173781148</v>
      </c>
      <c r="J28" s="82">
        <f t="shared" si="7"/>
        <v>20069.86984182553</v>
      </c>
      <c r="K28" s="82">
        <f t="shared" si="7"/>
        <v>20092.013244089565</v>
      </c>
      <c r="L28" s="82">
        <f t="shared" si="7"/>
        <v>20106.873736636746</v>
      </c>
      <c r="M28" s="82">
        <f t="shared" si="7"/>
        <v>20103.232249668716</v>
      </c>
      <c r="N28" s="82">
        <f t="shared" si="7"/>
        <v>20112.558706291646</v>
      </c>
      <c r="O28" s="82">
        <f t="shared" si="7"/>
        <v>20099.361910610616</v>
      </c>
      <c r="P28" s="82">
        <f t="shared" si="7"/>
        <v>20090.802088548455</v>
      </c>
      <c r="Q28" s="82">
        <f t="shared" si="7"/>
        <v>20124.658160440646</v>
      </c>
      <c r="R28" s="82">
        <f t="shared" si="7"/>
        <v>20111.652739958943</v>
      </c>
      <c r="S28" s="82">
        <f t="shared" si="7"/>
        <v>20105.028005669428</v>
      </c>
      <c r="T28" s="82">
        <f t="shared" si="7"/>
        <v>20070.902289245128</v>
      </c>
      <c r="U28" s="82">
        <f t="shared" si="7"/>
        <v>20031.190598554655</v>
      </c>
      <c r="V28" s="82">
        <f t="shared" si="7"/>
        <v>20050.326560159185</v>
      </c>
      <c r="W28" s="82">
        <f t="shared" si="7"/>
        <v>20024.768636696779</v>
      </c>
      <c r="X28" s="82">
        <f t="shared" si="7"/>
        <v>20018.697931080646</v>
      </c>
      <c r="Y28" s="82">
        <f t="shared" si="7"/>
        <v>20007.687878501682</v>
      </c>
      <c r="Z28" s="82">
        <f t="shared" si="7"/>
        <v>19998.652234165365</v>
      </c>
      <c r="AA28" s="82">
        <f t="shared" si="7"/>
        <v>20044.634263309646</v>
      </c>
    </row>
    <row r="29" spans="2:27" x14ac:dyDescent="0.2">
      <c r="B29" s="59" t="s">
        <v>192</v>
      </c>
      <c r="C29" s="59" t="s">
        <v>70</v>
      </c>
      <c r="D29" s="82">
        <f t="shared" ref="D29:AA29" si="8">D22*(1+HLOOKUP(D$27,Elforbrug_Nettab,3,FALSE))</f>
        <v>13473.312720224319</v>
      </c>
      <c r="E29" s="82">
        <f t="shared" si="8"/>
        <v>13561.351555423402</v>
      </c>
      <c r="F29" s="82">
        <f t="shared" si="8"/>
        <v>13667.645467672273</v>
      </c>
      <c r="G29" s="82">
        <f t="shared" si="8"/>
        <v>13669.710414385787</v>
      </c>
      <c r="H29" s="82">
        <f t="shared" si="8"/>
        <v>13642.433546940194</v>
      </c>
      <c r="I29" s="82">
        <f t="shared" si="8"/>
        <v>13665.745712729937</v>
      </c>
      <c r="J29" s="82">
        <f t="shared" si="8"/>
        <v>13665.844175388249</v>
      </c>
      <c r="K29" s="82">
        <f t="shared" si="8"/>
        <v>13682.882936108741</v>
      </c>
      <c r="L29" s="82">
        <f t="shared" si="8"/>
        <v>13696.652429377251</v>
      </c>
      <c r="M29" s="82">
        <f t="shared" si="8"/>
        <v>13694.171875613376</v>
      </c>
      <c r="N29" s="82">
        <f t="shared" si="8"/>
        <v>13700.52498830683</v>
      </c>
      <c r="O29" s="82">
        <f t="shared" si="8"/>
        <v>13691.535429512556</v>
      </c>
      <c r="P29" s="82">
        <f t="shared" si="8"/>
        <v>13685.704542564223</v>
      </c>
      <c r="Q29" s="82">
        <f t="shared" si="8"/>
        <v>13708.767046233623</v>
      </c>
      <c r="R29" s="82">
        <f t="shared" si="8"/>
        <v>13699.907850797823</v>
      </c>
      <c r="S29" s="82">
        <f t="shared" si="8"/>
        <v>13695.395131208046</v>
      </c>
      <c r="T29" s="82">
        <f t="shared" si="8"/>
        <v>13672.148947694424</v>
      </c>
      <c r="U29" s="82">
        <f t="shared" si="8"/>
        <v>13645.097640171702</v>
      </c>
      <c r="V29" s="82">
        <f t="shared" si="8"/>
        <v>13658.132914497892</v>
      </c>
      <c r="W29" s="82">
        <f t="shared" si="8"/>
        <v>13640.723047650052</v>
      </c>
      <c r="X29" s="82">
        <f t="shared" si="8"/>
        <v>13636.587728260554</v>
      </c>
      <c r="Y29" s="82">
        <f t="shared" si="8"/>
        <v>13629.087762558354</v>
      </c>
      <c r="Z29" s="82">
        <f t="shared" si="8"/>
        <v>13622.93274902562</v>
      </c>
      <c r="AA29" s="82">
        <f t="shared" si="8"/>
        <v>13654.255364337972</v>
      </c>
    </row>
    <row r="30" spans="2:27" x14ac:dyDescent="0.2">
      <c r="B30" s="91" t="s">
        <v>198</v>
      </c>
      <c r="C30" s="91" t="s">
        <v>70</v>
      </c>
      <c r="D30" s="94">
        <f>D28+D29</f>
        <v>33248.509124378441</v>
      </c>
      <c r="E30" s="94">
        <f t="shared" ref="E30:AA30" si="9">E28+E29</f>
        <v>33457.755330806576</v>
      </c>
      <c r="F30" s="94">
        <f t="shared" si="9"/>
        <v>33708.233891677286</v>
      </c>
      <c r="G30" s="94">
        <f t="shared" si="9"/>
        <v>33715.014625974945</v>
      </c>
      <c r="H30" s="94">
        <f t="shared" si="9"/>
        <v>33653.448425511451</v>
      </c>
      <c r="I30" s="94">
        <f t="shared" si="9"/>
        <v>33715.766886511083</v>
      </c>
      <c r="J30" s="94">
        <f t="shared" si="9"/>
        <v>33735.714017213781</v>
      </c>
      <c r="K30" s="94">
        <f t="shared" si="9"/>
        <v>33774.89618019831</v>
      </c>
      <c r="L30" s="94">
        <f t="shared" si="9"/>
        <v>33803.526166013995</v>
      </c>
      <c r="M30" s="94">
        <f t="shared" si="9"/>
        <v>33797.40412528209</v>
      </c>
      <c r="N30" s="94">
        <f t="shared" si="9"/>
        <v>33813.083694598477</v>
      </c>
      <c r="O30" s="94">
        <f t="shared" si="9"/>
        <v>33790.897340123171</v>
      </c>
      <c r="P30" s="94">
        <f t="shared" si="9"/>
        <v>33776.506631112679</v>
      </c>
      <c r="Q30" s="94">
        <f t="shared" si="9"/>
        <v>33833.42520667427</v>
      </c>
      <c r="R30" s="94">
        <f t="shared" si="9"/>
        <v>33811.560590756766</v>
      </c>
      <c r="S30" s="94">
        <f t="shared" si="9"/>
        <v>33800.423136877478</v>
      </c>
      <c r="T30" s="94">
        <f t="shared" si="9"/>
        <v>33743.051236939551</v>
      </c>
      <c r="U30" s="94">
        <f t="shared" si="9"/>
        <v>33676.288238726353</v>
      </c>
      <c r="V30" s="94">
        <f t="shared" si="9"/>
        <v>33708.45947465708</v>
      </c>
      <c r="W30" s="94">
        <f t="shared" si="9"/>
        <v>33665.491684346831</v>
      </c>
      <c r="X30" s="94">
        <f t="shared" si="9"/>
        <v>33655.2856593412</v>
      </c>
      <c r="Y30" s="94">
        <f t="shared" si="9"/>
        <v>33636.775641060034</v>
      </c>
      <c r="Z30" s="94">
        <f t="shared" si="9"/>
        <v>33621.584983190987</v>
      </c>
      <c r="AA30" s="94">
        <f t="shared" si="9"/>
        <v>33698.889627647615</v>
      </c>
    </row>
    <row r="33" spans="2:27" s="70" customFormat="1" x14ac:dyDescent="0.2">
      <c r="B33" s="70" t="s">
        <v>208</v>
      </c>
    </row>
    <row r="35" spans="2:27" x14ac:dyDescent="0.2">
      <c r="B35" s="62" t="s">
        <v>209</v>
      </c>
      <c r="C35" s="62" t="s">
        <v>141</v>
      </c>
      <c r="D35" s="74">
        <f>D$6</f>
        <v>2017</v>
      </c>
      <c r="E35" s="74">
        <f t="shared" ref="E35:AA35" si="10">E$6</f>
        <v>2018</v>
      </c>
      <c r="F35" s="74">
        <f t="shared" si="10"/>
        <v>2019</v>
      </c>
      <c r="G35" s="74">
        <f t="shared" si="10"/>
        <v>2020</v>
      </c>
      <c r="H35" s="74">
        <f t="shared" si="10"/>
        <v>2021</v>
      </c>
      <c r="I35" s="74">
        <f t="shared" si="10"/>
        <v>2022</v>
      </c>
      <c r="J35" s="74">
        <f t="shared" si="10"/>
        <v>2023</v>
      </c>
      <c r="K35" s="74">
        <f t="shared" si="10"/>
        <v>2024</v>
      </c>
      <c r="L35" s="74">
        <f t="shared" si="10"/>
        <v>2025</v>
      </c>
      <c r="M35" s="74">
        <f t="shared" si="10"/>
        <v>2026</v>
      </c>
      <c r="N35" s="74">
        <f t="shared" si="10"/>
        <v>2027</v>
      </c>
      <c r="O35" s="74">
        <f t="shared" si="10"/>
        <v>2028</v>
      </c>
      <c r="P35" s="74">
        <f t="shared" si="10"/>
        <v>2029</v>
      </c>
      <c r="Q35" s="74">
        <f t="shared" si="10"/>
        <v>2030</v>
      </c>
      <c r="R35" s="74">
        <f t="shared" si="10"/>
        <v>2031</v>
      </c>
      <c r="S35" s="74">
        <f t="shared" si="10"/>
        <v>2032</v>
      </c>
      <c r="T35" s="74">
        <f t="shared" si="10"/>
        <v>2033</v>
      </c>
      <c r="U35" s="74">
        <f t="shared" si="10"/>
        <v>2034</v>
      </c>
      <c r="V35" s="74">
        <f t="shared" si="10"/>
        <v>2035</v>
      </c>
      <c r="W35" s="74">
        <f t="shared" si="10"/>
        <v>2036</v>
      </c>
      <c r="X35" s="74">
        <f t="shared" si="10"/>
        <v>2037</v>
      </c>
      <c r="Y35" s="74">
        <f t="shared" si="10"/>
        <v>2038</v>
      </c>
      <c r="Z35" s="74">
        <f t="shared" si="10"/>
        <v>2039</v>
      </c>
      <c r="AA35" s="74">
        <f t="shared" si="10"/>
        <v>2040</v>
      </c>
    </row>
    <row r="36" spans="2:27" x14ac:dyDescent="0.2">
      <c r="B36" s="59" t="s">
        <v>190</v>
      </c>
      <c r="C36" s="59" t="s">
        <v>70</v>
      </c>
      <c r="D36" s="81">
        <f t="shared" ref="D36:AA36" si="11">D$38*HLOOKUP(D$35,Elforbrug_Fordeling,2,FALSE)</f>
        <v>309.03115141855011</v>
      </c>
      <c r="E36" s="81">
        <f t="shared" si="11"/>
        <v>328.31095731140283</v>
      </c>
      <c r="F36" s="81">
        <f t="shared" si="11"/>
        <v>348.74407330873612</v>
      </c>
      <c r="G36" s="81">
        <f t="shared" si="11"/>
        <v>370.77725133997029</v>
      </c>
      <c r="H36" s="81">
        <f t="shared" si="11"/>
        <v>405.59525438962123</v>
      </c>
      <c r="I36" s="81">
        <f t="shared" si="11"/>
        <v>443.39530797665367</v>
      </c>
      <c r="J36" s="81">
        <f t="shared" si="11"/>
        <v>485.05533454246233</v>
      </c>
      <c r="K36" s="81">
        <f t="shared" si="11"/>
        <v>528.45775279942563</v>
      </c>
      <c r="L36" s="81">
        <f t="shared" si="11"/>
        <v>573.66293136530101</v>
      </c>
      <c r="M36" s="81">
        <f t="shared" si="11"/>
        <v>620.66055371475534</v>
      </c>
      <c r="N36" s="81">
        <f t="shared" si="11"/>
        <v>669.01617603299997</v>
      </c>
      <c r="O36" s="81">
        <f t="shared" si="11"/>
        <v>718.95430372473106</v>
      </c>
      <c r="P36" s="81">
        <f t="shared" si="11"/>
        <v>770.07947473166053</v>
      </c>
      <c r="Q36" s="81">
        <f t="shared" si="11"/>
        <v>820.75200817102575</v>
      </c>
      <c r="R36" s="81">
        <f t="shared" si="11"/>
        <v>873.42372683017686</v>
      </c>
      <c r="S36" s="81">
        <f t="shared" si="11"/>
        <v>930.39927180755296</v>
      </c>
      <c r="T36" s="81">
        <f t="shared" si="11"/>
        <v>988.11282643716356</v>
      </c>
      <c r="U36" s="81">
        <f t="shared" si="11"/>
        <v>1025.2796429404257</v>
      </c>
      <c r="V36" s="81">
        <f t="shared" si="11"/>
        <v>1060.8803603839331</v>
      </c>
      <c r="W36" s="81">
        <f t="shared" si="11"/>
        <v>1096.5382989338757</v>
      </c>
      <c r="X36" s="81">
        <f t="shared" si="11"/>
        <v>1131.6495279053022</v>
      </c>
      <c r="Y36" s="81">
        <f t="shared" si="11"/>
        <v>1166.1646323342479</v>
      </c>
      <c r="Z36" s="81">
        <f t="shared" si="11"/>
        <v>1200.0322098209413</v>
      </c>
      <c r="AA36" s="81">
        <f t="shared" si="11"/>
        <v>1233.1988046291717</v>
      </c>
    </row>
    <row r="37" spans="2:27" x14ac:dyDescent="0.2">
      <c r="B37" s="59" t="s">
        <v>192</v>
      </c>
      <c r="C37" s="59" t="s">
        <v>70</v>
      </c>
      <c r="D37" s="81">
        <f t="shared" ref="D37:AA37" si="12">D$38*HLOOKUP(D$35,Elforbrug_Fordeling,3,FALSE)</f>
        <v>212.53661377905001</v>
      </c>
      <c r="E37" s="81">
        <f t="shared" si="12"/>
        <v>225.88722931150676</v>
      </c>
      <c r="F37" s="81">
        <f t="shared" si="12"/>
        <v>240.08663468053226</v>
      </c>
      <c r="G37" s="81">
        <f t="shared" si="12"/>
        <v>255.23348814974523</v>
      </c>
      <c r="H37" s="81">
        <f t="shared" si="12"/>
        <v>279.1216408430621</v>
      </c>
      <c r="I37" s="81">
        <f t="shared" si="12"/>
        <v>305.06157291643439</v>
      </c>
      <c r="J37" s="81">
        <f t="shared" si="12"/>
        <v>333.39655354950912</v>
      </c>
      <c r="K37" s="81">
        <f t="shared" si="12"/>
        <v>363.28071334166339</v>
      </c>
      <c r="L37" s="81">
        <f t="shared" si="12"/>
        <v>394.46146614191787</v>
      </c>
      <c r="M37" s="81">
        <f t="shared" si="12"/>
        <v>426.77791889410844</v>
      </c>
      <c r="N37" s="81">
        <f t="shared" si="12"/>
        <v>460.02815807282451</v>
      </c>
      <c r="O37" s="81">
        <f t="shared" si="12"/>
        <v>494.366557834476</v>
      </c>
      <c r="P37" s="81">
        <f t="shared" si="12"/>
        <v>529.52119099885533</v>
      </c>
      <c r="Q37" s="81">
        <f t="shared" si="12"/>
        <v>564.36458202299843</v>
      </c>
      <c r="R37" s="81">
        <f t="shared" si="12"/>
        <v>600.58265056205289</v>
      </c>
      <c r="S37" s="81">
        <f t="shared" si="12"/>
        <v>639.76011136211116</v>
      </c>
      <c r="T37" s="81">
        <f t="shared" si="12"/>
        <v>679.44504153752962</v>
      </c>
      <c r="U37" s="81">
        <f t="shared" si="12"/>
        <v>705.00164651950388</v>
      </c>
      <c r="V37" s="81">
        <f t="shared" si="12"/>
        <v>729.48137220972387</v>
      </c>
      <c r="W37" s="81">
        <f t="shared" si="12"/>
        <v>754.00044421344012</v>
      </c>
      <c r="X37" s="81">
        <f t="shared" si="12"/>
        <v>778.14358838549049</v>
      </c>
      <c r="Y37" s="81">
        <f t="shared" si="12"/>
        <v>801.87682606337273</v>
      </c>
      <c r="Z37" s="81">
        <f t="shared" si="12"/>
        <v>825.16481198618794</v>
      </c>
      <c r="AA37" s="81">
        <f t="shared" si="12"/>
        <v>847.97078898012148</v>
      </c>
    </row>
    <row r="38" spans="2:27" x14ac:dyDescent="0.2">
      <c r="B38" s="91" t="s">
        <v>198</v>
      </c>
      <c r="C38" s="91" t="s">
        <v>70</v>
      </c>
      <c r="D38" s="95">
        <v>521.56776519760012</v>
      </c>
      <c r="E38" s="95">
        <v>554.19818662290959</v>
      </c>
      <c r="F38" s="95">
        <v>588.83070798926838</v>
      </c>
      <c r="G38" s="95">
        <v>626.01073948971555</v>
      </c>
      <c r="H38" s="95">
        <v>684.71689523268333</v>
      </c>
      <c r="I38" s="95">
        <v>748.45688089308806</v>
      </c>
      <c r="J38" s="95">
        <v>818.45188809197145</v>
      </c>
      <c r="K38" s="95">
        <v>891.73846614108902</v>
      </c>
      <c r="L38" s="95">
        <v>968.12439750721887</v>
      </c>
      <c r="M38" s="95">
        <v>1047.4384726088638</v>
      </c>
      <c r="N38" s="95">
        <v>1129.0443341058244</v>
      </c>
      <c r="O38" s="95">
        <v>1213.3208615592071</v>
      </c>
      <c r="P38" s="95">
        <v>1299.6006657305159</v>
      </c>
      <c r="Q38" s="95">
        <v>1385.1165901940242</v>
      </c>
      <c r="R38" s="95">
        <v>1474.0063773922298</v>
      </c>
      <c r="S38" s="95">
        <v>1570.1593831696641</v>
      </c>
      <c r="T38" s="95">
        <v>1667.5578679746932</v>
      </c>
      <c r="U38" s="95">
        <v>1730.2812894599297</v>
      </c>
      <c r="V38" s="95">
        <v>1790.3617325936568</v>
      </c>
      <c r="W38" s="95">
        <v>1850.5387431473157</v>
      </c>
      <c r="X38" s="95">
        <v>1909.7931162907926</v>
      </c>
      <c r="Y38" s="95">
        <v>1968.0414583976205</v>
      </c>
      <c r="Z38" s="95">
        <v>2025.1970218071292</v>
      </c>
      <c r="AA38" s="95">
        <v>2081.1695936092933</v>
      </c>
    </row>
    <row r="39" spans="2:27" x14ac:dyDescent="0.2">
      <c r="B39" s="72" t="s">
        <v>453</v>
      </c>
      <c r="C39" s="59"/>
      <c r="D39" s="59"/>
      <c r="E39" s="59"/>
      <c r="F39" s="59"/>
      <c r="G39" s="59"/>
      <c r="H39" s="59"/>
      <c r="I39" s="59"/>
      <c r="J39" s="59"/>
      <c r="K39" s="59"/>
      <c r="L39" s="59"/>
      <c r="M39" s="59"/>
      <c r="N39" s="59"/>
      <c r="O39" s="59"/>
      <c r="P39" s="59"/>
      <c r="Q39" s="59"/>
      <c r="R39" s="59"/>
      <c r="S39" s="59"/>
      <c r="T39" s="59"/>
      <c r="U39" s="59"/>
      <c r="V39" s="59"/>
      <c r="W39" s="59"/>
      <c r="X39" s="59"/>
      <c r="Y39" s="59"/>
      <c r="Z39" s="59"/>
      <c r="AA39" s="59"/>
    </row>
    <row r="40" spans="2:27" x14ac:dyDescent="0.2">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row>
    <row r="41" spans="2:27" s="12" customFormat="1" x14ac:dyDescent="0.2">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row>
    <row r="42" spans="2:27" x14ac:dyDescent="0.2">
      <c r="B42" s="62" t="s">
        <v>210</v>
      </c>
      <c r="C42" s="62" t="s">
        <v>141</v>
      </c>
      <c r="D42" s="74">
        <f>D$6</f>
        <v>2017</v>
      </c>
      <c r="E42" s="74">
        <f t="shared" ref="E42:AA42" si="13">E$6</f>
        <v>2018</v>
      </c>
      <c r="F42" s="74">
        <f t="shared" si="13"/>
        <v>2019</v>
      </c>
      <c r="G42" s="74">
        <f t="shared" si="13"/>
        <v>2020</v>
      </c>
      <c r="H42" s="74">
        <f t="shared" si="13"/>
        <v>2021</v>
      </c>
      <c r="I42" s="74">
        <f t="shared" si="13"/>
        <v>2022</v>
      </c>
      <c r="J42" s="74">
        <f t="shared" si="13"/>
        <v>2023</v>
      </c>
      <c r="K42" s="74">
        <f t="shared" si="13"/>
        <v>2024</v>
      </c>
      <c r="L42" s="74">
        <f t="shared" si="13"/>
        <v>2025</v>
      </c>
      <c r="M42" s="74">
        <f t="shared" si="13"/>
        <v>2026</v>
      </c>
      <c r="N42" s="74">
        <f t="shared" si="13"/>
        <v>2027</v>
      </c>
      <c r="O42" s="74">
        <f t="shared" si="13"/>
        <v>2028</v>
      </c>
      <c r="P42" s="74">
        <f t="shared" si="13"/>
        <v>2029</v>
      </c>
      <c r="Q42" s="74">
        <f t="shared" si="13"/>
        <v>2030</v>
      </c>
      <c r="R42" s="74">
        <f t="shared" si="13"/>
        <v>2031</v>
      </c>
      <c r="S42" s="74">
        <f t="shared" si="13"/>
        <v>2032</v>
      </c>
      <c r="T42" s="74">
        <f t="shared" si="13"/>
        <v>2033</v>
      </c>
      <c r="U42" s="74">
        <f t="shared" si="13"/>
        <v>2034</v>
      </c>
      <c r="V42" s="74">
        <f t="shared" si="13"/>
        <v>2035</v>
      </c>
      <c r="W42" s="74">
        <f t="shared" si="13"/>
        <v>2036</v>
      </c>
      <c r="X42" s="74">
        <f t="shared" si="13"/>
        <v>2037</v>
      </c>
      <c r="Y42" s="74">
        <f t="shared" si="13"/>
        <v>2038</v>
      </c>
      <c r="Z42" s="74">
        <f t="shared" si="13"/>
        <v>2039</v>
      </c>
      <c r="AA42" s="74">
        <f t="shared" si="13"/>
        <v>2040</v>
      </c>
    </row>
    <row r="43" spans="2:27" x14ac:dyDescent="0.2">
      <c r="B43" s="59" t="s">
        <v>190</v>
      </c>
      <c r="C43" s="59" t="s">
        <v>70</v>
      </c>
      <c r="D43" s="82">
        <f t="shared" ref="D43:AA43" si="14">D36*(1+HLOOKUP(D$42,Elforbrug_Nettab,2,FALSE))</f>
        <v>330.66333201784863</v>
      </c>
      <c r="E43" s="82">
        <f t="shared" si="14"/>
        <v>351.29272432320107</v>
      </c>
      <c r="F43" s="82">
        <f t="shared" si="14"/>
        <v>373.15615844034767</v>
      </c>
      <c r="G43" s="82">
        <f t="shared" si="14"/>
        <v>396.73165893376824</v>
      </c>
      <c r="H43" s="82">
        <f t="shared" si="14"/>
        <v>433.98692219689474</v>
      </c>
      <c r="I43" s="82">
        <f t="shared" si="14"/>
        <v>474.43297953501946</v>
      </c>
      <c r="J43" s="82">
        <f t="shared" si="14"/>
        <v>519.00920796043476</v>
      </c>
      <c r="K43" s="82">
        <f t="shared" si="14"/>
        <v>565.4497954953855</v>
      </c>
      <c r="L43" s="82">
        <f t="shared" si="14"/>
        <v>613.8193365608721</v>
      </c>
      <c r="M43" s="82">
        <f t="shared" si="14"/>
        <v>664.10679247478822</v>
      </c>
      <c r="N43" s="82">
        <f t="shared" si="14"/>
        <v>715.84730835531002</v>
      </c>
      <c r="O43" s="82">
        <f t="shared" si="14"/>
        <v>769.28110498546232</v>
      </c>
      <c r="P43" s="82">
        <f t="shared" si="14"/>
        <v>823.98503796287685</v>
      </c>
      <c r="Q43" s="82">
        <f t="shared" si="14"/>
        <v>878.20464874299762</v>
      </c>
      <c r="R43" s="82">
        <f t="shared" si="14"/>
        <v>934.56338770828927</v>
      </c>
      <c r="S43" s="82">
        <f t="shared" si="14"/>
        <v>995.52722083408173</v>
      </c>
      <c r="T43" s="82">
        <f t="shared" si="14"/>
        <v>1057.280724287765</v>
      </c>
      <c r="U43" s="82">
        <f t="shared" si="14"/>
        <v>1097.0492179462556</v>
      </c>
      <c r="V43" s="82">
        <f t="shared" si="14"/>
        <v>1135.1419856108084</v>
      </c>
      <c r="W43" s="82">
        <f t="shared" si="14"/>
        <v>1173.2959798592472</v>
      </c>
      <c r="X43" s="82">
        <f t="shared" si="14"/>
        <v>1210.8649948586735</v>
      </c>
      <c r="Y43" s="82">
        <f t="shared" si="14"/>
        <v>1247.7961565976454</v>
      </c>
      <c r="Z43" s="82">
        <f t="shared" si="14"/>
        <v>1284.0344645084072</v>
      </c>
      <c r="AA43" s="82">
        <f t="shared" si="14"/>
        <v>1319.5227209532138</v>
      </c>
    </row>
    <row r="44" spans="2:27" x14ac:dyDescent="0.2">
      <c r="B44" s="59" t="s">
        <v>192</v>
      </c>
      <c r="C44" s="59" t="s">
        <v>70</v>
      </c>
      <c r="D44" s="82">
        <f t="shared" ref="D44:AA44" si="15">D37*(1+HLOOKUP(D$42,Elforbrug_Nettab,3,FALSE))</f>
        <v>225.28881060579303</v>
      </c>
      <c r="E44" s="82">
        <f t="shared" si="15"/>
        <v>239.44046307019718</v>
      </c>
      <c r="F44" s="82">
        <f t="shared" si="15"/>
        <v>254.49183276136421</v>
      </c>
      <c r="G44" s="82">
        <f t="shared" si="15"/>
        <v>270.54749743872998</v>
      </c>
      <c r="H44" s="82">
        <f t="shared" si="15"/>
        <v>295.86893929364584</v>
      </c>
      <c r="I44" s="82">
        <f t="shared" si="15"/>
        <v>323.36526729142048</v>
      </c>
      <c r="J44" s="82">
        <f t="shared" si="15"/>
        <v>353.40034676247967</v>
      </c>
      <c r="K44" s="82">
        <f t="shared" si="15"/>
        <v>385.07755614216319</v>
      </c>
      <c r="L44" s="82">
        <f t="shared" si="15"/>
        <v>418.12915411043298</v>
      </c>
      <c r="M44" s="82">
        <f t="shared" si="15"/>
        <v>452.38459402775499</v>
      </c>
      <c r="N44" s="82">
        <f t="shared" si="15"/>
        <v>487.62984755719401</v>
      </c>
      <c r="O44" s="82">
        <f t="shared" si="15"/>
        <v>524.02855130454464</v>
      </c>
      <c r="P44" s="82">
        <f t="shared" si="15"/>
        <v>561.29246245878664</v>
      </c>
      <c r="Q44" s="82">
        <f t="shared" si="15"/>
        <v>598.22645694437836</v>
      </c>
      <c r="R44" s="82">
        <f t="shared" si="15"/>
        <v>636.61760959577612</v>
      </c>
      <c r="S44" s="82">
        <f t="shared" si="15"/>
        <v>678.14571804383786</v>
      </c>
      <c r="T44" s="82">
        <f t="shared" si="15"/>
        <v>720.21174402978147</v>
      </c>
      <c r="U44" s="82">
        <f t="shared" si="15"/>
        <v>747.30174531067416</v>
      </c>
      <c r="V44" s="82">
        <f t="shared" si="15"/>
        <v>773.25025454230729</v>
      </c>
      <c r="W44" s="82">
        <f t="shared" si="15"/>
        <v>799.2404708662466</v>
      </c>
      <c r="X44" s="82">
        <f t="shared" si="15"/>
        <v>824.83220368861998</v>
      </c>
      <c r="Y44" s="82">
        <f t="shared" si="15"/>
        <v>849.98943562717511</v>
      </c>
      <c r="Z44" s="82">
        <f t="shared" si="15"/>
        <v>874.67470070535921</v>
      </c>
      <c r="AA44" s="82">
        <f t="shared" si="15"/>
        <v>898.84903631892882</v>
      </c>
    </row>
    <row r="45" spans="2:27" x14ac:dyDescent="0.2">
      <c r="B45" s="91" t="s">
        <v>198</v>
      </c>
      <c r="C45" s="91" t="s">
        <v>70</v>
      </c>
      <c r="D45" s="94">
        <f>D43+D44</f>
        <v>555.95214262364163</v>
      </c>
      <c r="E45" s="94">
        <f t="shared" ref="E45:AA45" si="16">E43+E44</f>
        <v>590.73318739339823</v>
      </c>
      <c r="F45" s="94">
        <f t="shared" si="16"/>
        <v>627.64799120171187</v>
      </c>
      <c r="G45" s="94">
        <f t="shared" si="16"/>
        <v>667.27915637249816</v>
      </c>
      <c r="H45" s="94">
        <f t="shared" si="16"/>
        <v>729.85586149054052</v>
      </c>
      <c r="I45" s="94">
        <f t="shared" si="16"/>
        <v>797.79824682643994</v>
      </c>
      <c r="J45" s="94">
        <f t="shared" si="16"/>
        <v>872.40955472291444</v>
      </c>
      <c r="K45" s="94">
        <f t="shared" si="16"/>
        <v>950.52735163754869</v>
      </c>
      <c r="L45" s="94">
        <f t="shared" si="16"/>
        <v>1031.9484906713051</v>
      </c>
      <c r="M45" s="94">
        <f t="shared" si="16"/>
        <v>1116.4913865025433</v>
      </c>
      <c r="N45" s="94">
        <f t="shared" si="16"/>
        <v>1203.477155912504</v>
      </c>
      <c r="O45" s="94">
        <f t="shared" si="16"/>
        <v>1293.3096562900068</v>
      </c>
      <c r="P45" s="94">
        <f t="shared" si="16"/>
        <v>1385.2775004216635</v>
      </c>
      <c r="Q45" s="94">
        <f t="shared" si="16"/>
        <v>1476.431105687376</v>
      </c>
      <c r="R45" s="94">
        <f t="shared" si="16"/>
        <v>1571.1809973040654</v>
      </c>
      <c r="S45" s="94">
        <f t="shared" si="16"/>
        <v>1673.6729388779195</v>
      </c>
      <c r="T45" s="94">
        <f t="shared" si="16"/>
        <v>1777.4924683175464</v>
      </c>
      <c r="U45" s="94">
        <f t="shared" si="16"/>
        <v>1844.3509632569298</v>
      </c>
      <c r="V45" s="94">
        <f t="shared" si="16"/>
        <v>1908.3922401531158</v>
      </c>
      <c r="W45" s="94">
        <f t="shared" si="16"/>
        <v>1972.5364507254938</v>
      </c>
      <c r="X45" s="94">
        <f t="shared" si="16"/>
        <v>2035.6971985472935</v>
      </c>
      <c r="Y45" s="94">
        <f t="shared" si="16"/>
        <v>2097.7855922248204</v>
      </c>
      <c r="Z45" s="94">
        <f t="shared" si="16"/>
        <v>2158.7091652137665</v>
      </c>
      <c r="AA45" s="94">
        <f t="shared" si="16"/>
        <v>2218.3717572721425</v>
      </c>
    </row>
    <row r="46" spans="2:27" s="12" customFormat="1" x14ac:dyDescent="0.2"/>
    <row r="48" spans="2:27" s="70" customFormat="1" x14ac:dyDescent="0.2">
      <c r="B48" s="70" t="s">
        <v>203</v>
      </c>
    </row>
    <row r="50" spans="2:27" x14ac:dyDescent="0.2">
      <c r="B50" s="62" t="s">
        <v>266</v>
      </c>
      <c r="C50" s="62" t="s">
        <v>141</v>
      </c>
      <c r="D50" s="74">
        <f>D$6</f>
        <v>2017</v>
      </c>
      <c r="E50" s="74">
        <f t="shared" ref="E50:AA50" si="17">E$6</f>
        <v>2018</v>
      </c>
      <c r="F50" s="74">
        <f t="shared" si="17"/>
        <v>2019</v>
      </c>
      <c r="G50" s="74">
        <f t="shared" si="17"/>
        <v>2020</v>
      </c>
      <c r="H50" s="74">
        <f t="shared" si="17"/>
        <v>2021</v>
      </c>
      <c r="I50" s="74">
        <f t="shared" si="17"/>
        <v>2022</v>
      </c>
      <c r="J50" s="74">
        <f t="shared" si="17"/>
        <v>2023</v>
      </c>
      <c r="K50" s="74">
        <f t="shared" si="17"/>
        <v>2024</v>
      </c>
      <c r="L50" s="74">
        <f t="shared" si="17"/>
        <v>2025</v>
      </c>
      <c r="M50" s="74">
        <f t="shared" si="17"/>
        <v>2026</v>
      </c>
      <c r="N50" s="74">
        <f t="shared" si="17"/>
        <v>2027</v>
      </c>
      <c r="O50" s="74">
        <f t="shared" si="17"/>
        <v>2028</v>
      </c>
      <c r="P50" s="74">
        <f t="shared" si="17"/>
        <v>2029</v>
      </c>
      <c r="Q50" s="74">
        <f t="shared" si="17"/>
        <v>2030</v>
      </c>
      <c r="R50" s="74">
        <f t="shared" si="17"/>
        <v>2031</v>
      </c>
      <c r="S50" s="74">
        <f t="shared" si="17"/>
        <v>2032</v>
      </c>
      <c r="T50" s="74">
        <f t="shared" si="17"/>
        <v>2033</v>
      </c>
      <c r="U50" s="74">
        <f t="shared" si="17"/>
        <v>2034</v>
      </c>
      <c r="V50" s="74">
        <f t="shared" si="17"/>
        <v>2035</v>
      </c>
      <c r="W50" s="74">
        <f t="shared" si="17"/>
        <v>2036</v>
      </c>
      <c r="X50" s="74">
        <f t="shared" si="17"/>
        <v>2037</v>
      </c>
      <c r="Y50" s="74">
        <f t="shared" si="17"/>
        <v>2038</v>
      </c>
      <c r="Z50" s="74">
        <f t="shared" si="17"/>
        <v>2039</v>
      </c>
      <c r="AA50" s="74">
        <f t="shared" si="17"/>
        <v>2040</v>
      </c>
    </row>
    <row r="51" spans="2:27" x14ac:dyDescent="0.2">
      <c r="B51" s="62" t="s">
        <v>190</v>
      </c>
      <c r="C51" s="59"/>
      <c r="D51" s="81"/>
      <c r="E51" s="81"/>
      <c r="F51" s="81"/>
      <c r="G51" s="81"/>
      <c r="H51" s="81"/>
      <c r="I51" s="81"/>
      <c r="J51" s="81"/>
      <c r="K51" s="81"/>
      <c r="L51" s="81"/>
      <c r="M51" s="81"/>
      <c r="N51" s="81"/>
      <c r="O51" s="81"/>
      <c r="P51" s="81"/>
      <c r="Q51" s="81"/>
      <c r="R51" s="81"/>
      <c r="S51" s="81"/>
      <c r="T51" s="81"/>
      <c r="U51" s="81"/>
      <c r="V51" s="81"/>
      <c r="W51" s="81"/>
      <c r="X51" s="81"/>
      <c r="Y51" s="81"/>
      <c r="Z51" s="81"/>
      <c r="AA51" s="81"/>
    </row>
    <row r="52" spans="2:27" s="12" customFormat="1" x14ac:dyDescent="0.2">
      <c r="B52" s="87" t="s">
        <v>204</v>
      </c>
      <c r="C52" s="87" t="s">
        <v>68</v>
      </c>
      <c r="D52" s="84">
        <v>0</v>
      </c>
      <c r="E52" s="84">
        <v>0</v>
      </c>
      <c r="F52" s="84">
        <v>0</v>
      </c>
      <c r="G52" s="84">
        <v>0</v>
      </c>
      <c r="H52" s="84">
        <v>0</v>
      </c>
      <c r="I52" s="84">
        <v>0</v>
      </c>
      <c r="J52" s="84">
        <v>15</v>
      </c>
      <c r="K52" s="84">
        <v>15</v>
      </c>
      <c r="L52" s="84">
        <v>15</v>
      </c>
      <c r="M52" s="84">
        <v>15</v>
      </c>
      <c r="N52" s="84">
        <v>35</v>
      </c>
      <c r="O52" s="84">
        <v>75</v>
      </c>
      <c r="P52" s="84">
        <v>75</v>
      </c>
      <c r="Q52" s="84">
        <v>135</v>
      </c>
      <c r="R52" s="84">
        <v>135</v>
      </c>
      <c r="S52" s="84">
        <v>135</v>
      </c>
      <c r="T52" s="84">
        <v>135</v>
      </c>
      <c r="U52" s="84">
        <v>135</v>
      </c>
      <c r="V52" s="84">
        <v>135</v>
      </c>
      <c r="W52" s="84">
        <v>135</v>
      </c>
      <c r="X52" s="84">
        <v>135</v>
      </c>
      <c r="Y52" s="84">
        <v>135</v>
      </c>
      <c r="Z52" s="84">
        <v>135</v>
      </c>
      <c r="AA52" s="84">
        <v>135</v>
      </c>
    </row>
    <row r="53" spans="2:27" s="12" customFormat="1" x14ac:dyDescent="0.2">
      <c r="B53" s="59" t="s">
        <v>206</v>
      </c>
      <c r="C53" s="59" t="s">
        <v>68</v>
      </c>
      <c r="D53" s="84">
        <v>11.116668853163132</v>
      </c>
      <c r="E53" s="84">
        <v>13.116668853163132</v>
      </c>
      <c r="F53" s="84">
        <v>30.558334426581567</v>
      </c>
      <c r="G53" s="84">
        <v>48</v>
      </c>
      <c r="H53" s="84">
        <v>58.066666666666677</v>
      </c>
      <c r="I53" s="84">
        <v>62.805555555555557</v>
      </c>
      <c r="J53" s="84">
        <v>67.466666666666669</v>
      </c>
      <c r="K53" s="84">
        <v>72.777777777777771</v>
      </c>
      <c r="L53" s="84">
        <v>75.833333333333343</v>
      </c>
      <c r="M53" s="84">
        <v>78.833333333333343</v>
      </c>
      <c r="N53" s="84">
        <v>80.355555555555569</v>
      </c>
      <c r="O53" s="84">
        <v>81.844444444444449</v>
      </c>
      <c r="P53" s="84">
        <v>82.600000000000023</v>
      </c>
      <c r="Q53" s="84">
        <v>84.722222222222243</v>
      </c>
      <c r="R53" s="84">
        <v>86.111111111111143</v>
      </c>
      <c r="S53" s="84">
        <v>87.466666666666697</v>
      </c>
      <c r="T53" s="84">
        <v>89.466666666666697</v>
      </c>
      <c r="U53" s="84">
        <v>90.077777777777811</v>
      </c>
      <c r="V53" s="84">
        <v>91.333333333333329</v>
      </c>
      <c r="W53" s="84">
        <v>94</v>
      </c>
      <c r="X53" s="84">
        <v>96</v>
      </c>
      <c r="Y53" s="84">
        <v>98</v>
      </c>
      <c r="Z53" s="84">
        <v>99.333333333333329</v>
      </c>
      <c r="AA53" s="84">
        <v>102</v>
      </c>
    </row>
    <row r="54" spans="2:27" x14ac:dyDescent="0.2">
      <c r="B54" s="62" t="str">
        <f>"Total, "&amp;B51</f>
        <v>Total, Western Denmark (DK1)</v>
      </c>
      <c r="C54" s="62" t="s">
        <v>68</v>
      </c>
      <c r="D54" s="85">
        <f t="shared" ref="D54:AA54" si="18">D52+D53</f>
        <v>11.116668853163132</v>
      </c>
      <c r="E54" s="85">
        <f t="shared" si="18"/>
        <v>13.116668853163132</v>
      </c>
      <c r="F54" s="85">
        <f t="shared" si="18"/>
        <v>30.558334426581567</v>
      </c>
      <c r="G54" s="85">
        <f t="shared" si="18"/>
        <v>48</v>
      </c>
      <c r="H54" s="85">
        <f t="shared" si="18"/>
        <v>58.066666666666677</v>
      </c>
      <c r="I54" s="85">
        <f t="shared" si="18"/>
        <v>62.805555555555557</v>
      </c>
      <c r="J54" s="85">
        <f t="shared" si="18"/>
        <v>82.466666666666669</v>
      </c>
      <c r="K54" s="85">
        <f t="shared" si="18"/>
        <v>87.777777777777771</v>
      </c>
      <c r="L54" s="85">
        <f t="shared" si="18"/>
        <v>90.833333333333343</v>
      </c>
      <c r="M54" s="85">
        <f t="shared" si="18"/>
        <v>93.833333333333343</v>
      </c>
      <c r="N54" s="85">
        <f t="shared" si="18"/>
        <v>115.35555555555557</v>
      </c>
      <c r="O54" s="85">
        <f t="shared" si="18"/>
        <v>156.84444444444443</v>
      </c>
      <c r="P54" s="85">
        <f t="shared" si="18"/>
        <v>157.60000000000002</v>
      </c>
      <c r="Q54" s="85">
        <f t="shared" si="18"/>
        <v>219.72222222222223</v>
      </c>
      <c r="R54" s="85">
        <f t="shared" si="18"/>
        <v>221.11111111111114</v>
      </c>
      <c r="S54" s="85">
        <f t="shared" si="18"/>
        <v>222.4666666666667</v>
      </c>
      <c r="T54" s="85">
        <f t="shared" si="18"/>
        <v>224.4666666666667</v>
      </c>
      <c r="U54" s="85">
        <f t="shared" si="18"/>
        <v>225.07777777777781</v>
      </c>
      <c r="V54" s="85">
        <f t="shared" si="18"/>
        <v>226.33333333333331</v>
      </c>
      <c r="W54" s="85">
        <f t="shared" si="18"/>
        <v>229</v>
      </c>
      <c r="X54" s="85">
        <f t="shared" si="18"/>
        <v>231</v>
      </c>
      <c r="Y54" s="85">
        <f t="shared" si="18"/>
        <v>233</v>
      </c>
      <c r="Z54" s="85">
        <f t="shared" si="18"/>
        <v>234.33333333333331</v>
      </c>
      <c r="AA54" s="85">
        <f t="shared" si="18"/>
        <v>237</v>
      </c>
    </row>
    <row r="55" spans="2:27" x14ac:dyDescent="0.2">
      <c r="B55" s="59"/>
      <c r="C55" s="59"/>
      <c r="D55" s="81"/>
      <c r="E55" s="81"/>
      <c r="F55" s="81"/>
      <c r="G55" s="81"/>
      <c r="H55" s="81"/>
      <c r="I55" s="81"/>
      <c r="J55" s="81"/>
      <c r="K55" s="81"/>
      <c r="L55" s="81"/>
      <c r="M55" s="81"/>
      <c r="N55" s="81"/>
      <c r="O55" s="81"/>
      <c r="P55" s="81"/>
      <c r="Q55" s="81"/>
      <c r="R55" s="81"/>
      <c r="S55" s="81"/>
      <c r="T55" s="81"/>
      <c r="U55" s="81"/>
      <c r="V55" s="81"/>
      <c r="W55" s="81"/>
      <c r="X55" s="81"/>
      <c r="Y55" s="81"/>
      <c r="Z55" s="81"/>
      <c r="AA55" s="81"/>
    </row>
    <row r="56" spans="2:27" x14ac:dyDescent="0.2">
      <c r="B56" s="62" t="s">
        <v>192</v>
      </c>
      <c r="C56" s="59"/>
      <c r="D56" s="81"/>
      <c r="E56" s="81"/>
      <c r="F56" s="81"/>
      <c r="G56" s="81"/>
      <c r="H56" s="81"/>
      <c r="I56" s="81"/>
      <c r="J56" s="81"/>
      <c r="K56" s="81"/>
      <c r="L56" s="81"/>
      <c r="M56" s="81"/>
      <c r="N56" s="81"/>
      <c r="O56" s="81"/>
      <c r="P56" s="81"/>
      <c r="Q56" s="81"/>
      <c r="R56" s="81"/>
      <c r="S56" s="81"/>
      <c r="T56" s="81"/>
      <c r="U56" s="81"/>
      <c r="V56" s="81"/>
      <c r="W56" s="81"/>
      <c r="X56" s="81"/>
      <c r="Y56" s="81"/>
      <c r="Z56" s="81"/>
      <c r="AA56" s="81"/>
    </row>
    <row r="57" spans="2:27" s="12" customFormat="1" x14ac:dyDescent="0.2">
      <c r="B57" s="87" t="s">
        <v>204</v>
      </c>
      <c r="C57" s="87" t="s">
        <v>68</v>
      </c>
      <c r="D57" s="84">
        <v>0</v>
      </c>
      <c r="E57" s="84">
        <v>0.7</v>
      </c>
      <c r="F57" s="84">
        <v>0.7</v>
      </c>
      <c r="G57" s="84">
        <v>0.7</v>
      </c>
      <c r="H57" s="84">
        <v>0.7</v>
      </c>
      <c r="I57" s="84">
        <v>0.7</v>
      </c>
      <c r="J57" s="84">
        <v>0.7</v>
      </c>
      <c r="K57" s="84">
        <v>0.7</v>
      </c>
      <c r="L57" s="84">
        <v>0.7</v>
      </c>
      <c r="M57" s="84">
        <v>0.7</v>
      </c>
      <c r="N57" s="84">
        <v>0.7</v>
      </c>
      <c r="O57" s="84">
        <v>0.7</v>
      </c>
      <c r="P57" s="84">
        <v>0.7</v>
      </c>
      <c r="Q57" s="84">
        <v>45.7</v>
      </c>
      <c r="R57" s="84">
        <v>45.7</v>
      </c>
      <c r="S57" s="84">
        <v>45.7</v>
      </c>
      <c r="T57" s="84">
        <v>45.7</v>
      </c>
      <c r="U57" s="84">
        <v>45.7</v>
      </c>
      <c r="V57" s="84">
        <v>45.7</v>
      </c>
      <c r="W57" s="84">
        <v>45.7</v>
      </c>
      <c r="X57" s="84">
        <v>45.7</v>
      </c>
      <c r="Y57" s="84">
        <v>45.7</v>
      </c>
      <c r="Z57" s="84">
        <v>45.7</v>
      </c>
      <c r="AA57" s="84">
        <v>45.7</v>
      </c>
    </row>
    <row r="58" spans="2:27" s="12" customFormat="1" x14ac:dyDescent="0.2">
      <c r="B58" s="59" t="s">
        <v>206</v>
      </c>
      <c r="C58" s="59" t="s">
        <v>68</v>
      </c>
      <c r="D58" s="84">
        <v>3.3238095238095235</v>
      </c>
      <c r="E58" s="84">
        <v>7.238095238095239</v>
      </c>
      <c r="F58" s="84">
        <v>11.61904761904762</v>
      </c>
      <c r="G58" s="84">
        <v>16</v>
      </c>
      <c r="H58" s="84">
        <v>19.93333333333333</v>
      </c>
      <c r="I58" s="84">
        <v>22.194444444444443</v>
      </c>
      <c r="J58" s="84">
        <v>24.533333333333328</v>
      </c>
      <c r="K58" s="84">
        <v>27.222222222222214</v>
      </c>
      <c r="L58" s="84">
        <v>29.166666666666657</v>
      </c>
      <c r="M58" s="84">
        <v>31.166666666666654</v>
      </c>
      <c r="N58" s="84">
        <v>32.644444444444431</v>
      </c>
      <c r="O58" s="84">
        <v>34.155555555555537</v>
      </c>
      <c r="P58" s="84">
        <v>35.399999999999977</v>
      </c>
      <c r="Q58" s="84">
        <v>37.277777777777757</v>
      </c>
      <c r="R58" s="84">
        <v>38.888888888888864</v>
      </c>
      <c r="S58" s="84">
        <v>40.533333333333303</v>
      </c>
      <c r="T58" s="84">
        <v>42.533333333333303</v>
      </c>
      <c r="U58" s="84">
        <v>43.922222222222189</v>
      </c>
      <c r="V58" s="84">
        <v>45.666666666666664</v>
      </c>
      <c r="W58" s="84">
        <v>47</v>
      </c>
      <c r="X58" s="84">
        <v>48</v>
      </c>
      <c r="Y58" s="84">
        <v>49</v>
      </c>
      <c r="Z58" s="84">
        <v>49.666666666666664</v>
      </c>
      <c r="AA58" s="84">
        <v>51</v>
      </c>
    </row>
    <row r="59" spans="2:27" s="12" customFormat="1" x14ac:dyDescent="0.2">
      <c r="B59" s="62" t="str">
        <f>"Total, "&amp;B56</f>
        <v>Total, Eastern Denmark (DK2)</v>
      </c>
      <c r="C59" s="62" t="s">
        <v>68</v>
      </c>
      <c r="D59" s="85">
        <f t="shared" ref="D59:AA59" si="19">D57+D58</f>
        <v>3.3238095238095235</v>
      </c>
      <c r="E59" s="85">
        <f t="shared" si="19"/>
        <v>7.9380952380952392</v>
      </c>
      <c r="F59" s="85">
        <f t="shared" si="19"/>
        <v>12.31904761904762</v>
      </c>
      <c r="G59" s="85">
        <f t="shared" si="19"/>
        <v>16.7</v>
      </c>
      <c r="H59" s="85">
        <f t="shared" si="19"/>
        <v>20.633333333333329</v>
      </c>
      <c r="I59" s="85">
        <f t="shared" si="19"/>
        <v>22.894444444444442</v>
      </c>
      <c r="J59" s="85">
        <f t="shared" si="19"/>
        <v>25.233333333333327</v>
      </c>
      <c r="K59" s="85">
        <f t="shared" si="19"/>
        <v>27.922222222222214</v>
      </c>
      <c r="L59" s="85">
        <f t="shared" si="19"/>
        <v>29.866666666666656</v>
      </c>
      <c r="M59" s="85">
        <f t="shared" si="19"/>
        <v>31.866666666666653</v>
      </c>
      <c r="N59" s="85">
        <f t="shared" si="19"/>
        <v>33.344444444444434</v>
      </c>
      <c r="O59" s="85">
        <f t="shared" si="19"/>
        <v>34.85555555555554</v>
      </c>
      <c r="P59" s="85">
        <f t="shared" si="19"/>
        <v>36.09999999999998</v>
      </c>
      <c r="Q59" s="85">
        <f t="shared" si="19"/>
        <v>82.97777777777776</v>
      </c>
      <c r="R59" s="85">
        <f t="shared" si="19"/>
        <v>84.588888888888874</v>
      </c>
      <c r="S59" s="85">
        <f t="shared" si="19"/>
        <v>86.233333333333306</v>
      </c>
      <c r="T59" s="85">
        <f t="shared" si="19"/>
        <v>88.233333333333306</v>
      </c>
      <c r="U59" s="85">
        <f t="shared" si="19"/>
        <v>89.622222222222192</v>
      </c>
      <c r="V59" s="85">
        <f t="shared" si="19"/>
        <v>91.366666666666674</v>
      </c>
      <c r="W59" s="85">
        <f t="shared" si="19"/>
        <v>92.7</v>
      </c>
      <c r="X59" s="85">
        <f t="shared" si="19"/>
        <v>93.7</v>
      </c>
      <c r="Y59" s="85">
        <f t="shared" si="19"/>
        <v>94.7</v>
      </c>
      <c r="Z59" s="85">
        <f t="shared" si="19"/>
        <v>95.366666666666674</v>
      </c>
      <c r="AA59" s="85">
        <f t="shared" si="19"/>
        <v>96.7</v>
      </c>
    </row>
    <row r="60" spans="2:27" x14ac:dyDescent="0.2">
      <c r="B60" s="59"/>
      <c r="C60" s="59"/>
      <c r="D60" s="81"/>
      <c r="E60" s="81"/>
      <c r="F60" s="81"/>
      <c r="G60" s="81"/>
      <c r="H60" s="81"/>
      <c r="I60" s="81"/>
      <c r="J60" s="81"/>
      <c r="K60" s="81"/>
      <c r="L60" s="81"/>
      <c r="M60" s="81"/>
      <c r="N60" s="81"/>
      <c r="O60" s="81"/>
      <c r="P60" s="81"/>
      <c r="Q60" s="81"/>
      <c r="R60" s="81"/>
      <c r="S60" s="81"/>
      <c r="T60" s="81"/>
      <c r="U60" s="81"/>
      <c r="V60" s="81"/>
      <c r="W60" s="81"/>
      <c r="X60" s="81"/>
      <c r="Y60" s="81"/>
      <c r="Z60" s="81"/>
      <c r="AA60" s="81"/>
    </row>
    <row r="61" spans="2:27" s="12" customFormat="1" x14ac:dyDescent="0.2">
      <c r="B61" s="62" t="s">
        <v>119</v>
      </c>
      <c r="C61" s="62"/>
      <c r="D61" s="85"/>
      <c r="E61" s="85"/>
      <c r="F61" s="85"/>
      <c r="G61" s="85"/>
      <c r="H61" s="85"/>
      <c r="I61" s="85"/>
      <c r="J61" s="85"/>
      <c r="K61" s="85"/>
      <c r="L61" s="85"/>
      <c r="M61" s="85"/>
      <c r="N61" s="85"/>
      <c r="O61" s="85"/>
      <c r="P61" s="85"/>
      <c r="Q61" s="85"/>
      <c r="R61" s="85"/>
      <c r="S61" s="85"/>
      <c r="T61" s="85"/>
      <c r="U61" s="85"/>
      <c r="V61" s="85"/>
      <c r="W61" s="85"/>
      <c r="X61" s="85"/>
      <c r="Y61" s="85"/>
      <c r="Z61" s="85"/>
      <c r="AA61" s="85"/>
    </row>
    <row r="62" spans="2:27" s="12" customFormat="1" x14ac:dyDescent="0.2">
      <c r="B62" s="59" t="s">
        <v>204</v>
      </c>
      <c r="C62" s="59"/>
      <c r="D62" s="81">
        <f t="shared" ref="D62:AA62" si="20">D52+D57</f>
        <v>0</v>
      </c>
      <c r="E62" s="81">
        <f t="shared" si="20"/>
        <v>0.7</v>
      </c>
      <c r="F62" s="81">
        <f t="shared" si="20"/>
        <v>0.7</v>
      </c>
      <c r="G62" s="81">
        <f t="shared" si="20"/>
        <v>0.7</v>
      </c>
      <c r="H62" s="81">
        <f t="shared" si="20"/>
        <v>0.7</v>
      </c>
      <c r="I62" s="81">
        <f t="shared" si="20"/>
        <v>0.7</v>
      </c>
      <c r="J62" s="81">
        <f t="shared" si="20"/>
        <v>15.7</v>
      </c>
      <c r="K62" s="81">
        <f t="shared" si="20"/>
        <v>15.7</v>
      </c>
      <c r="L62" s="81">
        <f t="shared" si="20"/>
        <v>15.7</v>
      </c>
      <c r="M62" s="81">
        <f t="shared" si="20"/>
        <v>15.7</v>
      </c>
      <c r="N62" s="81">
        <f t="shared" si="20"/>
        <v>35.700000000000003</v>
      </c>
      <c r="O62" s="81">
        <f t="shared" si="20"/>
        <v>75.7</v>
      </c>
      <c r="P62" s="81">
        <f t="shared" si="20"/>
        <v>75.7</v>
      </c>
      <c r="Q62" s="81">
        <f t="shared" si="20"/>
        <v>180.7</v>
      </c>
      <c r="R62" s="81">
        <f t="shared" si="20"/>
        <v>180.7</v>
      </c>
      <c r="S62" s="81">
        <f t="shared" si="20"/>
        <v>180.7</v>
      </c>
      <c r="T62" s="81">
        <f t="shared" si="20"/>
        <v>180.7</v>
      </c>
      <c r="U62" s="81">
        <f t="shared" si="20"/>
        <v>180.7</v>
      </c>
      <c r="V62" s="81">
        <f t="shared" si="20"/>
        <v>180.7</v>
      </c>
      <c r="W62" s="81">
        <f t="shared" si="20"/>
        <v>180.7</v>
      </c>
      <c r="X62" s="81">
        <f t="shared" si="20"/>
        <v>180.7</v>
      </c>
      <c r="Y62" s="81">
        <f t="shared" si="20"/>
        <v>180.7</v>
      </c>
      <c r="Z62" s="81">
        <f t="shared" si="20"/>
        <v>180.7</v>
      </c>
      <c r="AA62" s="81">
        <f t="shared" si="20"/>
        <v>180.7</v>
      </c>
    </row>
    <row r="63" spans="2:27" s="12" customFormat="1" x14ac:dyDescent="0.2">
      <c r="B63" s="59" t="s">
        <v>206</v>
      </c>
      <c r="C63" s="59"/>
      <c r="D63" s="81">
        <f t="shared" ref="D63:AA63" si="21">D53+D58</f>
        <v>14.440478376972656</v>
      </c>
      <c r="E63" s="81">
        <f t="shared" si="21"/>
        <v>20.354764091258371</v>
      </c>
      <c r="F63" s="81">
        <f t="shared" si="21"/>
        <v>42.177382045629187</v>
      </c>
      <c r="G63" s="81">
        <f t="shared" si="21"/>
        <v>64</v>
      </c>
      <c r="H63" s="81">
        <f t="shared" si="21"/>
        <v>78</v>
      </c>
      <c r="I63" s="81">
        <f t="shared" si="21"/>
        <v>85</v>
      </c>
      <c r="J63" s="81">
        <f t="shared" si="21"/>
        <v>92</v>
      </c>
      <c r="K63" s="81">
        <f t="shared" si="21"/>
        <v>99.999999999999986</v>
      </c>
      <c r="L63" s="81">
        <f t="shared" si="21"/>
        <v>105</v>
      </c>
      <c r="M63" s="81">
        <f t="shared" si="21"/>
        <v>110</v>
      </c>
      <c r="N63" s="81">
        <f t="shared" si="21"/>
        <v>113</v>
      </c>
      <c r="O63" s="81">
        <f t="shared" si="21"/>
        <v>115.99999999999999</v>
      </c>
      <c r="P63" s="81">
        <f t="shared" si="21"/>
        <v>118</v>
      </c>
      <c r="Q63" s="81">
        <f t="shared" si="21"/>
        <v>122</v>
      </c>
      <c r="R63" s="81">
        <f t="shared" si="21"/>
        <v>125</v>
      </c>
      <c r="S63" s="81">
        <f t="shared" si="21"/>
        <v>128</v>
      </c>
      <c r="T63" s="81">
        <f t="shared" si="21"/>
        <v>132</v>
      </c>
      <c r="U63" s="81">
        <f t="shared" si="21"/>
        <v>134</v>
      </c>
      <c r="V63" s="81">
        <f t="shared" si="21"/>
        <v>137</v>
      </c>
      <c r="W63" s="81">
        <f t="shared" si="21"/>
        <v>141</v>
      </c>
      <c r="X63" s="81">
        <f t="shared" si="21"/>
        <v>144</v>
      </c>
      <c r="Y63" s="81">
        <f t="shared" si="21"/>
        <v>147</v>
      </c>
      <c r="Z63" s="81">
        <f t="shared" si="21"/>
        <v>149</v>
      </c>
      <c r="AA63" s="81">
        <f t="shared" si="21"/>
        <v>153</v>
      </c>
    </row>
    <row r="64" spans="2:27" x14ac:dyDescent="0.2">
      <c r="B64" s="91" t="s">
        <v>198</v>
      </c>
      <c r="C64" s="91" t="s">
        <v>68</v>
      </c>
      <c r="D64" s="92">
        <f t="shared" ref="D64:AA64" si="22">D62+D63</f>
        <v>14.440478376972656</v>
      </c>
      <c r="E64" s="92">
        <f t="shared" si="22"/>
        <v>21.05476409125837</v>
      </c>
      <c r="F64" s="92">
        <f t="shared" si="22"/>
        <v>42.87738204562919</v>
      </c>
      <c r="G64" s="92">
        <f t="shared" si="22"/>
        <v>64.7</v>
      </c>
      <c r="H64" s="92">
        <f t="shared" si="22"/>
        <v>78.7</v>
      </c>
      <c r="I64" s="92">
        <f t="shared" si="22"/>
        <v>85.7</v>
      </c>
      <c r="J64" s="92">
        <f t="shared" si="22"/>
        <v>107.7</v>
      </c>
      <c r="K64" s="92">
        <f t="shared" si="22"/>
        <v>115.69999999999999</v>
      </c>
      <c r="L64" s="92">
        <f t="shared" si="22"/>
        <v>120.7</v>
      </c>
      <c r="M64" s="92">
        <f t="shared" si="22"/>
        <v>125.7</v>
      </c>
      <c r="N64" s="92">
        <f t="shared" si="22"/>
        <v>148.69999999999999</v>
      </c>
      <c r="O64" s="92">
        <f t="shared" si="22"/>
        <v>191.7</v>
      </c>
      <c r="P64" s="92">
        <f t="shared" si="22"/>
        <v>193.7</v>
      </c>
      <c r="Q64" s="92">
        <f t="shared" si="22"/>
        <v>302.7</v>
      </c>
      <c r="R64" s="92">
        <f t="shared" si="22"/>
        <v>305.7</v>
      </c>
      <c r="S64" s="92">
        <f t="shared" si="22"/>
        <v>308.7</v>
      </c>
      <c r="T64" s="92">
        <f t="shared" si="22"/>
        <v>312.7</v>
      </c>
      <c r="U64" s="92">
        <f t="shared" si="22"/>
        <v>314.7</v>
      </c>
      <c r="V64" s="92">
        <f t="shared" si="22"/>
        <v>317.7</v>
      </c>
      <c r="W64" s="92">
        <f t="shared" si="22"/>
        <v>321.7</v>
      </c>
      <c r="X64" s="92">
        <f t="shared" si="22"/>
        <v>324.7</v>
      </c>
      <c r="Y64" s="92">
        <f t="shared" si="22"/>
        <v>327.7</v>
      </c>
      <c r="Z64" s="92">
        <f t="shared" si="22"/>
        <v>329.7</v>
      </c>
      <c r="AA64" s="92">
        <f t="shared" si="22"/>
        <v>333.7</v>
      </c>
    </row>
    <row r="65" spans="2:27" x14ac:dyDescent="0.2">
      <c r="B65" s="72" t="s">
        <v>454</v>
      </c>
      <c r="C65" s="59"/>
      <c r="D65" s="59"/>
      <c r="E65" s="59"/>
      <c r="F65" s="59"/>
      <c r="G65" s="59"/>
      <c r="H65" s="59"/>
      <c r="I65" s="59"/>
      <c r="J65" s="59"/>
      <c r="K65" s="59"/>
      <c r="L65" s="59"/>
      <c r="M65" s="59"/>
      <c r="N65" s="59"/>
      <c r="O65" s="59"/>
      <c r="P65" s="59"/>
      <c r="Q65" s="59"/>
      <c r="R65" s="59"/>
      <c r="S65" s="59"/>
      <c r="T65" s="59"/>
      <c r="U65" s="59"/>
      <c r="V65" s="59"/>
      <c r="W65" s="59"/>
      <c r="X65" s="59"/>
      <c r="Y65" s="59"/>
      <c r="Z65" s="59"/>
      <c r="AA65" s="59"/>
    </row>
    <row r="66" spans="2:27" s="12" customFormat="1" x14ac:dyDescent="0.2">
      <c r="B66" s="72"/>
      <c r="C66" s="59"/>
      <c r="D66" s="59"/>
      <c r="E66" s="59"/>
      <c r="F66" s="59"/>
      <c r="G66" s="59"/>
      <c r="H66" s="59"/>
      <c r="I66" s="59"/>
      <c r="J66" s="59"/>
      <c r="K66" s="59"/>
      <c r="L66" s="59"/>
      <c r="M66" s="59"/>
      <c r="N66" s="59"/>
      <c r="O66" s="59"/>
      <c r="P66" s="59"/>
      <c r="Q66" s="59"/>
      <c r="R66" s="59"/>
      <c r="S66" s="59"/>
      <c r="T66" s="59"/>
      <c r="U66" s="59"/>
      <c r="V66" s="59"/>
      <c r="W66" s="59"/>
      <c r="X66" s="59"/>
      <c r="Y66" s="59"/>
      <c r="Z66" s="59"/>
      <c r="AA66" s="59"/>
    </row>
    <row r="67" spans="2:27" s="12" customFormat="1" x14ac:dyDescent="0.2">
      <c r="B67" s="72"/>
      <c r="C67" s="59"/>
      <c r="D67" s="59"/>
      <c r="E67" s="59"/>
      <c r="F67" s="59"/>
      <c r="G67" s="59"/>
      <c r="H67" s="59"/>
      <c r="I67" s="59"/>
      <c r="J67" s="59"/>
      <c r="K67" s="59"/>
      <c r="L67" s="59"/>
      <c r="M67" s="59"/>
      <c r="N67" s="59"/>
      <c r="O67" s="59"/>
      <c r="P67" s="59"/>
      <c r="Q67" s="59"/>
      <c r="R67" s="59"/>
      <c r="S67" s="59"/>
      <c r="T67" s="59"/>
      <c r="U67" s="59"/>
      <c r="V67" s="59"/>
      <c r="W67" s="59"/>
      <c r="X67" s="59"/>
      <c r="Y67" s="59"/>
      <c r="Z67" s="59"/>
      <c r="AA67" s="59"/>
    </row>
    <row r="68" spans="2:27" s="12" customFormat="1" x14ac:dyDescent="0.2">
      <c r="B68" s="62" t="s">
        <v>212</v>
      </c>
      <c r="C68" s="62" t="s">
        <v>141</v>
      </c>
      <c r="D68" s="74">
        <f t="shared" ref="D68:AA68" si="23">D$6</f>
        <v>2017</v>
      </c>
      <c r="E68" s="74">
        <f t="shared" si="23"/>
        <v>2018</v>
      </c>
      <c r="F68" s="74">
        <f t="shared" si="23"/>
        <v>2019</v>
      </c>
      <c r="G68" s="74">
        <f t="shared" si="23"/>
        <v>2020</v>
      </c>
      <c r="H68" s="74">
        <f t="shared" si="23"/>
        <v>2021</v>
      </c>
      <c r="I68" s="74">
        <f t="shared" si="23"/>
        <v>2022</v>
      </c>
      <c r="J68" s="74">
        <f t="shared" si="23"/>
        <v>2023</v>
      </c>
      <c r="K68" s="74">
        <f t="shared" si="23"/>
        <v>2024</v>
      </c>
      <c r="L68" s="74">
        <f t="shared" si="23"/>
        <v>2025</v>
      </c>
      <c r="M68" s="74">
        <f t="shared" si="23"/>
        <v>2026</v>
      </c>
      <c r="N68" s="74">
        <f t="shared" si="23"/>
        <v>2027</v>
      </c>
      <c r="O68" s="74">
        <f t="shared" si="23"/>
        <v>2028</v>
      </c>
      <c r="P68" s="74">
        <f t="shared" si="23"/>
        <v>2029</v>
      </c>
      <c r="Q68" s="74">
        <f t="shared" si="23"/>
        <v>2030</v>
      </c>
      <c r="R68" s="74">
        <f t="shared" si="23"/>
        <v>2031</v>
      </c>
      <c r="S68" s="74">
        <f t="shared" si="23"/>
        <v>2032</v>
      </c>
      <c r="T68" s="74">
        <f t="shared" si="23"/>
        <v>2033</v>
      </c>
      <c r="U68" s="74">
        <f t="shared" si="23"/>
        <v>2034</v>
      </c>
      <c r="V68" s="74">
        <f t="shared" si="23"/>
        <v>2035</v>
      </c>
      <c r="W68" s="74">
        <f t="shared" si="23"/>
        <v>2036</v>
      </c>
      <c r="X68" s="74">
        <f t="shared" si="23"/>
        <v>2037</v>
      </c>
      <c r="Y68" s="74">
        <f t="shared" si="23"/>
        <v>2038</v>
      </c>
      <c r="Z68" s="74">
        <f t="shared" si="23"/>
        <v>2039</v>
      </c>
      <c r="AA68" s="74">
        <f t="shared" si="23"/>
        <v>2040</v>
      </c>
    </row>
    <row r="69" spans="2:27" s="12" customFormat="1" x14ac:dyDescent="0.2">
      <c r="B69" s="87" t="s">
        <v>190</v>
      </c>
      <c r="C69" s="59" t="s">
        <v>69</v>
      </c>
      <c r="D69" s="81">
        <f t="shared" ref="D69:AA69" si="24">D75/D54*1000</f>
        <v>8098.0785601421148</v>
      </c>
      <c r="E69" s="81">
        <f t="shared" si="24"/>
        <v>8307.1832734210784</v>
      </c>
      <c r="F69" s="81">
        <f t="shared" si="24"/>
        <v>6848.9611632086808</v>
      </c>
      <c r="G69" s="81">
        <f t="shared" si="24"/>
        <v>5923.7577166666679</v>
      </c>
      <c r="H69" s="81">
        <f t="shared" si="24"/>
        <v>5381.9317870264058</v>
      </c>
      <c r="I69" s="81">
        <f t="shared" si="24"/>
        <v>5188.6494390092885</v>
      </c>
      <c r="J69" s="81">
        <f t="shared" si="24"/>
        <v>4386.6862142279706</v>
      </c>
      <c r="K69" s="81">
        <f t="shared" si="24"/>
        <v>3756.3653278481015</v>
      </c>
      <c r="L69" s="81">
        <f t="shared" si="24"/>
        <v>3610.2061574311924</v>
      </c>
      <c r="M69" s="81">
        <f t="shared" si="24"/>
        <v>3765.3523364120774</v>
      </c>
      <c r="N69" s="81">
        <f t="shared" si="24"/>
        <v>3734.759409073396</v>
      </c>
      <c r="O69" s="81">
        <f t="shared" si="24"/>
        <v>3858.6147009776141</v>
      </c>
      <c r="P69" s="81">
        <f t="shared" si="24"/>
        <v>3806.92110786802</v>
      </c>
      <c r="Q69" s="81">
        <f t="shared" si="24"/>
        <v>3516.1495395701641</v>
      </c>
      <c r="R69" s="81">
        <f t="shared" si="24"/>
        <v>3558.7698847236179</v>
      </c>
      <c r="S69" s="81">
        <f t="shared" si="24"/>
        <v>3586.9835515433024</v>
      </c>
      <c r="T69" s="81">
        <f t="shared" si="24"/>
        <v>3479.7278090288082</v>
      </c>
      <c r="U69" s="81">
        <f t="shared" si="24"/>
        <v>3500.0092944661096</v>
      </c>
      <c r="V69" s="81">
        <f t="shared" si="24"/>
        <v>3541.6565381443306</v>
      </c>
      <c r="W69" s="81">
        <f t="shared" si="24"/>
        <v>3502.2062672489083</v>
      </c>
      <c r="X69" s="81">
        <f t="shared" si="24"/>
        <v>3481.821262770562</v>
      </c>
      <c r="Y69" s="81">
        <f t="shared" si="24"/>
        <v>3467.9137781115874</v>
      </c>
      <c r="Z69" s="81">
        <f t="shared" si="24"/>
        <v>3476.8407571834996</v>
      </c>
      <c r="AA69" s="81">
        <f t="shared" si="24"/>
        <v>3489.8954957805904</v>
      </c>
    </row>
    <row r="70" spans="2:27" s="12" customFormat="1" x14ac:dyDescent="0.2">
      <c r="B70" s="87" t="s">
        <v>192</v>
      </c>
      <c r="C70" s="59" t="s">
        <v>69</v>
      </c>
      <c r="D70" s="81">
        <f t="shared" ref="D70:AA70" si="25">D76/D59*1000</f>
        <v>5564.8535415472797</v>
      </c>
      <c r="E70" s="81">
        <f t="shared" si="25"/>
        <v>5481.561268146369</v>
      </c>
      <c r="F70" s="81">
        <f t="shared" si="25"/>
        <v>5161.8673022806333</v>
      </c>
      <c r="G70" s="81">
        <f t="shared" si="25"/>
        <v>4072.8659281437131</v>
      </c>
      <c r="H70" s="81">
        <f t="shared" si="25"/>
        <v>3593.6793392568666</v>
      </c>
      <c r="I70" s="81">
        <f t="shared" si="25"/>
        <v>3513.3708133948071</v>
      </c>
      <c r="J70" s="81">
        <f t="shared" si="25"/>
        <v>3239.4185508586534</v>
      </c>
      <c r="K70" s="81">
        <f t="shared" si="25"/>
        <v>2782.4498559490667</v>
      </c>
      <c r="L70" s="81">
        <f t="shared" si="25"/>
        <v>2521.5783046875013</v>
      </c>
      <c r="M70" s="81">
        <f t="shared" si="25"/>
        <v>2609.8382918410052</v>
      </c>
      <c r="N70" s="81">
        <f t="shared" si="25"/>
        <v>2615.3066711096308</v>
      </c>
      <c r="O70" s="81">
        <f t="shared" si="25"/>
        <v>2646.8167908830105</v>
      </c>
      <c r="P70" s="81">
        <f t="shared" si="25"/>
        <v>2550.0515318559574</v>
      </c>
      <c r="Q70" s="81">
        <f t="shared" si="25"/>
        <v>2658.0728419925017</v>
      </c>
      <c r="R70" s="81">
        <f t="shared" si="25"/>
        <v>2674.6412912123997</v>
      </c>
      <c r="S70" s="81">
        <f t="shared" si="25"/>
        <v>2694.7028198685739</v>
      </c>
      <c r="T70" s="81">
        <f t="shared" si="25"/>
        <v>2669.8999357763514</v>
      </c>
      <c r="U70" s="81">
        <f t="shared" si="25"/>
        <v>2605.638961071164</v>
      </c>
      <c r="V70" s="81">
        <f t="shared" si="25"/>
        <v>2700.3604739146294</v>
      </c>
      <c r="W70" s="81">
        <f t="shared" si="25"/>
        <v>2723.6463894282629</v>
      </c>
      <c r="X70" s="81">
        <f t="shared" si="25"/>
        <v>2774.2365346851657</v>
      </c>
      <c r="Y70" s="81">
        <f t="shared" si="25"/>
        <v>2767.1683843716996</v>
      </c>
      <c r="Z70" s="81">
        <f t="shared" si="25"/>
        <v>2762.9383956658498</v>
      </c>
      <c r="AA70" s="81">
        <f t="shared" si="25"/>
        <v>2709.9899803516028</v>
      </c>
    </row>
    <row r="71" spans="2:27" s="12" customFormat="1" x14ac:dyDescent="0.2">
      <c r="B71" s="91" t="s">
        <v>211</v>
      </c>
      <c r="C71" s="91" t="s">
        <v>69</v>
      </c>
      <c r="D71" s="228">
        <f t="shared" ref="D71:AA71" si="26">D77/D64*1000</f>
        <v>7514.9983308759674</v>
      </c>
      <c r="E71" s="228">
        <f t="shared" si="26"/>
        <v>7241.8634965046076</v>
      </c>
      <c r="F71" s="228">
        <f t="shared" si="26"/>
        <v>6364.2443120618846</v>
      </c>
      <c r="G71" s="228">
        <f t="shared" si="26"/>
        <v>5446.0159412673884</v>
      </c>
      <c r="H71" s="228">
        <f t="shared" si="26"/>
        <v>4913.0930470139765</v>
      </c>
      <c r="I71" s="228">
        <f t="shared" si="26"/>
        <v>4741.1048249708283</v>
      </c>
      <c r="J71" s="228">
        <f t="shared" si="26"/>
        <v>4117.8896740947075</v>
      </c>
      <c r="K71" s="228">
        <f t="shared" si="26"/>
        <v>3521.3274347450315</v>
      </c>
      <c r="L71" s="228">
        <f t="shared" si="26"/>
        <v>3340.8301408450702</v>
      </c>
      <c r="M71" s="228">
        <f t="shared" si="26"/>
        <v>3472.4137454256165</v>
      </c>
      <c r="N71" s="228">
        <f t="shared" si="26"/>
        <v>3483.7336550100877</v>
      </c>
      <c r="O71" s="228">
        <f t="shared" si="26"/>
        <v>3638.2814230568592</v>
      </c>
      <c r="P71" s="228">
        <f t="shared" si="26"/>
        <v>3572.677474961281</v>
      </c>
      <c r="Q71" s="228">
        <f t="shared" si="26"/>
        <v>3280.9288671952427</v>
      </c>
      <c r="R71" s="228">
        <f t="shared" si="26"/>
        <v>3314.1265894667977</v>
      </c>
      <c r="S71" s="228">
        <f t="shared" si="26"/>
        <v>3337.730743764173</v>
      </c>
      <c r="T71" s="228">
        <f t="shared" si="26"/>
        <v>3251.2218522545568</v>
      </c>
      <c r="U71" s="228">
        <f t="shared" si="26"/>
        <v>3245.3049513822684</v>
      </c>
      <c r="V71" s="228">
        <f t="shared" si="26"/>
        <v>3299.7099940195158</v>
      </c>
      <c r="W71" s="228">
        <f t="shared" si="26"/>
        <v>3277.85904724899</v>
      </c>
      <c r="X71" s="228">
        <f t="shared" si="26"/>
        <v>3277.6306590699105</v>
      </c>
      <c r="Y71" s="228">
        <f t="shared" si="26"/>
        <v>3265.409692706744</v>
      </c>
      <c r="Z71" s="228">
        <f t="shared" si="26"/>
        <v>3270.3424601152565</v>
      </c>
      <c r="AA71" s="228">
        <f t="shared" si="26"/>
        <v>3263.8935079412645</v>
      </c>
    </row>
    <row r="72" spans="2:27" s="225" customFormat="1" x14ac:dyDescent="0.2">
      <c r="B72" s="226"/>
      <c r="C72" s="226"/>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A72" s="227"/>
    </row>
    <row r="73" spans="2:27" s="225" customFormat="1" x14ac:dyDescent="0.2">
      <c r="B73" s="226"/>
      <c r="C73" s="226"/>
      <c r="D73" s="227"/>
      <c r="E73" s="227"/>
      <c r="F73" s="227"/>
      <c r="G73" s="227"/>
      <c r="H73" s="227"/>
      <c r="I73" s="227"/>
      <c r="J73" s="227"/>
      <c r="K73" s="227"/>
      <c r="L73" s="227"/>
      <c r="M73" s="227"/>
      <c r="N73" s="227"/>
      <c r="O73" s="227"/>
      <c r="P73" s="227"/>
      <c r="Q73" s="227"/>
      <c r="R73" s="227"/>
      <c r="S73" s="227"/>
      <c r="T73" s="227"/>
      <c r="U73" s="227"/>
      <c r="V73" s="227"/>
      <c r="W73" s="227"/>
      <c r="X73" s="227"/>
      <c r="Y73" s="227"/>
      <c r="Z73" s="227"/>
      <c r="AA73" s="227"/>
    </row>
    <row r="74" spans="2:27" x14ac:dyDescent="0.2">
      <c r="B74" s="62" t="s">
        <v>209</v>
      </c>
      <c r="C74" s="62" t="s">
        <v>141</v>
      </c>
      <c r="D74" s="74">
        <f>D$6</f>
        <v>2017</v>
      </c>
      <c r="E74" s="74">
        <f t="shared" ref="E74:AA74" si="27">E$6</f>
        <v>2018</v>
      </c>
      <c r="F74" s="74">
        <f t="shared" si="27"/>
        <v>2019</v>
      </c>
      <c r="G74" s="74">
        <f t="shared" si="27"/>
        <v>2020</v>
      </c>
      <c r="H74" s="74">
        <f t="shared" si="27"/>
        <v>2021</v>
      </c>
      <c r="I74" s="74">
        <f t="shared" si="27"/>
        <v>2022</v>
      </c>
      <c r="J74" s="74">
        <f t="shared" si="27"/>
        <v>2023</v>
      </c>
      <c r="K74" s="74">
        <f t="shared" si="27"/>
        <v>2024</v>
      </c>
      <c r="L74" s="74">
        <f t="shared" si="27"/>
        <v>2025</v>
      </c>
      <c r="M74" s="74">
        <f t="shared" si="27"/>
        <v>2026</v>
      </c>
      <c r="N74" s="74">
        <f t="shared" si="27"/>
        <v>2027</v>
      </c>
      <c r="O74" s="74">
        <f t="shared" si="27"/>
        <v>2028</v>
      </c>
      <c r="P74" s="74">
        <f t="shared" si="27"/>
        <v>2029</v>
      </c>
      <c r="Q74" s="74">
        <f t="shared" si="27"/>
        <v>2030</v>
      </c>
      <c r="R74" s="74">
        <f t="shared" si="27"/>
        <v>2031</v>
      </c>
      <c r="S74" s="74">
        <f t="shared" si="27"/>
        <v>2032</v>
      </c>
      <c r="T74" s="74">
        <f t="shared" si="27"/>
        <v>2033</v>
      </c>
      <c r="U74" s="74">
        <f t="shared" si="27"/>
        <v>2034</v>
      </c>
      <c r="V74" s="74">
        <f t="shared" si="27"/>
        <v>2035</v>
      </c>
      <c r="W74" s="74">
        <f t="shared" si="27"/>
        <v>2036</v>
      </c>
      <c r="X74" s="74">
        <f t="shared" si="27"/>
        <v>2037</v>
      </c>
      <c r="Y74" s="74">
        <f t="shared" si="27"/>
        <v>2038</v>
      </c>
      <c r="Z74" s="74">
        <f t="shared" si="27"/>
        <v>2039</v>
      </c>
      <c r="AA74" s="74">
        <f t="shared" si="27"/>
        <v>2040</v>
      </c>
    </row>
    <row r="75" spans="2:27" x14ac:dyDescent="0.2">
      <c r="B75" s="86" t="s">
        <v>190</v>
      </c>
      <c r="C75" s="86" t="s">
        <v>70</v>
      </c>
      <c r="D75" s="84">
        <v>90.023657700000001</v>
      </c>
      <c r="E75" s="84">
        <v>108.9625721</v>
      </c>
      <c r="F75" s="84">
        <v>209.29284569999996</v>
      </c>
      <c r="G75" s="84">
        <v>284.34037040000004</v>
      </c>
      <c r="H75" s="84">
        <v>312.5108391</v>
      </c>
      <c r="I75" s="84">
        <v>325.87601060000003</v>
      </c>
      <c r="J75" s="84">
        <v>361.75538979999999</v>
      </c>
      <c r="K75" s="84">
        <v>329.72540100000003</v>
      </c>
      <c r="L75" s="84">
        <v>327.9270593</v>
      </c>
      <c r="M75" s="84">
        <v>353.31556089999998</v>
      </c>
      <c r="N75" s="84">
        <v>430.82524649999999</v>
      </c>
      <c r="O75" s="84">
        <v>605.20227909999994</v>
      </c>
      <c r="P75" s="84">
        <v>599.97076660000005</v>
      </c>
      <c r="Q75" s="84">
        <v>772.57619049999994</v>
      </c>
      <c r="R75" s="84">
        <v>786.88356340000007</v>
      </c>
      <c r="S75" s="84">
        <v>797.98427410000011</v>
      </c>
      <c r="T75" s="84">
        <v>781.08290219999992</v>
      </c>
      <c r="U75" s="84">
        <v>787.77431419999994</v>
      </c>
      <c r="V75" s="84">
        <v>801.59492980000005</v>
      </c>
      <c r="W75" s="84">
        <v>802.00523520000002</v>
      </c>
      <c r="X75" s="84">
        <v>804.30071169999985</v>
      </c>
      <c r="Y75" s="84">
        <v>808.0239102999999</v>
      </c>
      <c r="Z75" s="84">
        <v>814.73968409999998</v>
      </c>
      <c r="AA75" s="84">
        <v>827.10523249999994</v>
      </c>
    </row>
    <row r="76" spans="2:27" x14ac:dyDescent="0.2">
      <c r="B76" s="86" t="s">
        <v>192</v>
      </c>
      <c r="C76" s="86" t="s">
        <v>70</v>
      </c>
      <c r="D76" s="84">
        <v>18.496513200000003</v>
      </c>
      <c r="E76" s="84">
        <v>43.513155399999995</v>
      </c>
      <c r="F76" s="84">
        <v>63.589289100000002</v>
      </c>
      <c r="G76" s="84">
        <v>68.016861000000006</v>
      </c>
      <c r="H76" s="84">
        <v>74.149583699999994</v>
      </c>
      <c r="I76" s="84">
        <v>80.436672899999991</v>
      </c>
      <c r="J76" s="84">
        <v>81.741328100000004</v>
      </c>
      <c r="K76" s="84">
        <v>77.692183200000017</v>
      </c>
      <c r="L76" s="84">
        <v>75.311138700000015</v>
      </c>
      <c r="M76" s="84">
        <v>83.166846899999996</v>
      </c>
      <c r="N76" s="84">
        <v>87.205947999999992</v>
      </c>
      <c r="O76" s="84">
        <v>92.256269700000004</v>
      </c>
      <c r="P76" s="84">
        <v>92.056860300000011</v>
      </c>
      <c r="Q76" s="84">
        <v>220.56097759999997</v>
      </c>
      <c r="R76" s="84">
        <v>226.24493499999997</v>
      </c>
      <c r="S76" s="84">
        <v>232.37320649999995</v>
      </c>
      <c r="T76" s="84">
        <v>235.57417100000001</v>
      </c>
      <c r="U76" s="84">
        <v>233.52315400000001</v>
      </c>
      <c r="V76" s="84">
        <v>246.72293530000002</v>
      </c>
      <c r="W76" s="84">
        <v>252.48202029999999</v>
      </c>
      <c r="X76" s="84">
        <v>259.94596330000002</v>
      </c>
      <c r="Y76" s="84">
        <v>262.05084599999998</v>
      </c>
      <c r="Z76" s="84">
        <v>263.49222499999991</v>
      </c>
      <c r="AA76" s="84">
        <v>262.05603109999998</v>
      </c>
    </row>
    <row r="77" spans="2:27" x14ac:dyDescent="0.2">
      <c r="B77" s="93" t="s">
        <v>198</v>
      </c>
      <c r="C77" s="93" t="s">
        <v>70</v>
      </c>
      <c r="D77" s="94">
        <f t="shared" ref="D77:AA77" si="28">D75+D76</f>
        <v>108.52017090000001</v>
      </c>
      <c r="E77" s="94">
        <f t="shared" si="28"/>
        <v>152.4757275</v>
      </c>
      <c r="F77" s="94">
        <f t="shared" si="28"/>
        <v>272.88213479999996</v>
      </c>
      <c r="G77" s="94">
        <f t="shared" si="28"/>
        <v>352.35723140000005</v>
      </c>
      <c r="H77" s="94">
        <f t="shared" si="28"/>
        <v>386.66042279999999</v>
      </c>
      <c r="I77" s="94">
        <f t="shared" si="28"/>
        <v>406.31268350000005</v>
      </c>
      <c r="J77" s="94">
        <f t="shared" si="28"/>
        <v>443.49671790000002</v>
      </c>
      <c r="K77" s="94">
        <f t="shared" si="28"/>
        <v>407.41758420000008</v>
      </c>
      <c r="L77" s="94">
        <f t="shared" si="28"/>
        <v>403.23819800000001</v>
      </c>
      <c r="M77" s="94">
        <f t="shared" si="28"/>
        <v>436.48240779999998</v>
      </c>
      <c r="N77" s="94">
        <f t="shared" si="28"/>
        <v>518.03119449999997</v>
      </c>
      <c r="O77" s="94">
        <f t="shared" si="28"/>
        <v>697.4585487999999</v>
      </c>
      <c r="P77" s="94">
        <f t="shared" si="28"/>
        <v>692.02762690000009</v>
      </c>
      <c r="Q77" s="94">
        <f t="shared" si="28"/>
        <v>993.13716809999994</v>
      </c>
      <c r="R77" s="94">
        <f t="shared" si="28"/>
        <v>1013.1284984</v>
      </c>
      <c r="S77" s="94">
        <f t="shared" si="28"/>
        <v>1030.3574806000001</v>
      </c>
      <c r="T77" s="94">
        <f t="shared" si="28"/>
        <v>1016.6570731999999</v>
      </c>
      <c r="U77" s="94">
        <f t="shared" si="28"/>
        <v>1021.2974681999999</v>
      </c>
      <c r="V77" s="94">
        <f t="shared" si="28"/>
        <v>1048.3178651000001</v>
      </c>
      <c r="W77" s="94">
        <f t="shared" si="28"/>
        <v>1054.4872554999999</v>
      </c>
      <c r="X77" s="94">
        <f t="shared" si="28"/>
        <v>1064.2466749999999</v>
      </c>
      <c r="Y77" s="94">
        <f t="shared" si="28"/>
        <v>1070.0747563</v>
      </c>
      <c r="Z77" s="94">
        <f t="shared" si="28"/>
        <v>1078.2319090999999</v>
      </c>
      <c r="AA77" s="94">
        <f t="shared" si="28"/>
        <v>1089.1612636</v>
      </c>
    </row>
    <row r="78" spans="2:27" x14ac:dyDescent="0.2">
      <c r="B78" s="72" t="s">
        <v>416</v>
      </c>
      <c r="C78" s="59"/>
      <c r="D78" s="86"/>
      <c r="E78" s="86"/>
      <c r="F78" s="86"/>
      <c r="G78" s="86"/>
      <c r="H78" s="86"/>
      <c r="I78" s="86"/>
      <c r="J78" s="86"/>
      <c r="K78" s="86"/>
      <c r="L78" s="86"/>
      <c r="M78" s="86"/>
      <c r="N78" s="86"/>
      <c r="O78" s="86"/>
      <c r="P78" s="86"/>
      <c r="Q78" s="86"/>
      <c r="R78" s="86"/>
      <c r="S78" s="86"/>
      <c r="T78" s="86"/>
      <c r="U78" s="86"/>
      <c r="V78" s="86"/>
      <c r="W78" s="86"/>
      <c r="X78" s="86"/>
      <c r="Y78" s="86"/>
      <c r="Z78" s="86"/>
      <c r="AA78" s="86"/>
    </row>
    <row r="79" spans="2:27" x14ac:dyDescent="0.2">
      <c r="B79" s="59"/>
      <c r="C79" s="59"/>
      <c r="D79" s="86"/>
      <c r="E79" s="86"/>
      <c r="F79" s="86"/>
      <c r="G79" s="86"/>
      <c r="H79" s="86"/>
      <c r="I79" s="86"/>
      <c r="J79" s="86"/>
      <c r="K79" s="86"/>
      <c r="L79" s="86"/>
      <c r="M79" s="86"/>
      <c r="N79" s="86"/>
      <c r="O79" s="86"/>
      <c r="P79" s="86"/>
      <c r="Q79" s="86"/>
      <c r="R79" s="86"/>
      <c r="S79" s="86"/>
      <c r="T79" s="86"/>
      <c r="U79" s="86"/>
      <c r="V79" s="86"/>
      <c r="W79" s="86"/>
      <c r="X79" s="86"/>
      <c r="Y79" s="86"/>
      <c r="Z79" s="86"/>
      <c r="AA79" s="86"/>
    </row>
    <row r="80" spans="2:27" s="12" customFormat="1" x14ac:dyDescent="0.2">
      <c r="B80" s="59"/>
      <c r="C80" s="59"/>
      <c r="D80" s="86"/>
      <c r="E80" s="86"/>
      <c r="F80" s="86"/>
      <c r="G80" s="86"/>
      <c r="H80" s="86"/>
      <c r="I80" s="86"/>
      <c r="J80" s="86"/>
      <c r="K80" s="86"/>
      <c r="L80" s="86"/>
      <c r="M80" s="86"/>
      <c r="N80" s="86"/>
      <c r="O80" s="86"/>
      <c r="P80" s="86"/>
      <c r="Q80" s="86"/>
      <c r="R80" s="86"/>
      <c r="S80" s="86"/>
      <c r="T80" s="86"/>
      <c r="U80" s="86"/>
      <c r="V80" s="86"/>
      <c r="W80" s="86"/>
      <c r="X80" s="86"/>
      <c r="Y80" s="86"/>
      <c r="Z80" s="86"/>
      <c r="AA80" s="86"/>
    </row>
    <row r="81" spans="2:27" x14ac:dyDescent="0.2">
      <c r="B81" s="62" t="s">
        <v>210</v>
      </c>
      <c r="C81" s="62" t="s">
        <v>141</v>
      </c>
      <c r="D81" s="145">
        <f>D$6</f>
        <v>2017</v>
      </c>
      <c r="E81" s="145">
        <f t="shared" ref="E81:AA81" si="29">E$6</f>
        <v>2018</v>
      </c>
      <c r="F81" s="145">
        <f t="shared" si="29"/>
        <v>2019</v>
      </c>
      <c r="G81" s="145">
        <f t="shared" si="29"/>
        <v>2020</v>
      </c>
      <c r="H81" s="145">
        <f t="shared" si="29"/>
        <v>2021</v>
      </c>
      <c r="I81" s="145">
        <f t="shared" si="29"/>
        <v>2022</v>
      </c>
      <c r="J81" s="145">
        <f t="shared" si="29"/>
        <v>2023</v>
      </c>
      <c r="K81" s="145">
        <f t="shared" si="29"/>
        <v>2024</v>
      </c>
      <c r="L81" s="145">
        <f t="shared" si="29"/>
        <v>2025</v>
      </c>
      <c r="M81" s="145">
        <f t="shared" si="29"/>
        <v>2026</v>
      </c>
      <c r="N81" s="145">
        <f t="shared" si="29"/>
        <v>2027</v>
      </c>
      <c r="O81" s="145">
        <f t="shared" si="29"/>
        <v>2028</v>
      </c>
      <c r="P81" s="145">
        <f t="shared" si="29"/>
        <v>2029</v>
      </c>
      <c r="Q81" s="145">
        <f t="shared" si="29"/>
        <v>2030</v>
      </c>
      <c r="R81" s="145">
        <f t="shared" si="29"/>
        <v>2031</v>
      </c>
      <c r="S81" s="145">
        <f t="shared" si="29"/>
        <v>2032</v>
      </c>
      <c r="T81" s="145">
        <f t="shared" si="29"/>
        <v>2033</v>
      </c>
      <c r="U81" s="145">
        <f t="shared" si="29"/>
        <v>2034</v>
      </c>
      <c r="V81" s="145">
        <f t="shared" si="29"/>
        <v>2035</v>
      </c>
      <c r="W81" s="145">
        <f t="shared" si="29"/>
        <v>2036</v>
      </c>
      <c r="X81" s="145">
        <f t="shared" si="29"/>
        <v>2037</v>
      </c>
      <c r="Y81" s="145">
        <f t="shared" si="29"/>
        <v>2038</v>
      </c>
      <c r="Z81" s="145">
        <f t="shared" si="29"/>
        <v>2039</v>
      </c>
      <c r="AA81" s="145">
        <f t="shared" si="29"/>
        <v>2040</v>
      </c>
    </row>
    <row r="82" spans="2:27" x14ac:dyDescent="0.2">
      <c r="B82" s="86" t="s">
        <v>190</v>
      </c>
      <c r="C82" s="86" t="s">
        <v>70</v>
      </c>
      <c r="D82" s="82">
        <f t="shared" ref="D82:AA82" si="30">D75*(1+HLOOKUP(D$138,Elforbrug_Nettab,2,FALSE))</f>
        <v>96.325313739000009</v>
      </c>
      <c r="E82" s="82">
        <f t="shared" si="30"/>
        <v>116.58995214700001</v>
      </c>
      <c r="F82" s="82">
        <f t="shared" si="30"/>
        <v>223.94334489899998</v>
      </c>
      <c r="G82" s="82">
        <f t="shared" si="30"/>
        <v>304.24419632800004</v>
      </c>
      <c r="H82" s="82">
        <f t="shared" si="30"/>
        <v>334.38659783700001</v>
      </c>
      <c r="I82" s="82">
        <f t="shared" si="30"/>
        <v>348.68733134200005</v>
      </c>
      <c r="J82" s="82">
        <f t="shared" si="30"/>
        <v>387.07826708599998</v>
      </c>
      <c r="K82" s="82">
        <f t="shared" si="30"/>
        <v>352.80617907000004</v>
      </c>
      <c r="L82" s="82">
        <f t="shared" si="30"/>
        <v>350.88195345100002</v>
      </c>
      <c r="M82" s="82">
        <f t="shared" si="30"/>
        <v>378.04765016300001</v>
      </c>
      <c r="N82" s="82">
        <f t="shared" si="30"/>
        <v>460.983013755</v>
      </c>
      <c r="O82" s="82">
        <f t="shared" si="30"/>
        <v>647.56643863699992</v>
      </c>
      <c r="P82" s="82">
        <f t="shared" si="30"/>
        <v>641.96872026200003</v>
      </c>
      <c r="Q82" s="82">
        <f t="shared" si="30"/>
        <v>826.65652383500003</v>
      </c>
      <c r="R82" s="82">
        <f t="shared" si="30"/>
        <v>841.96541283800013</v>
      </c>
      <c r="S82" s="82">
        <f t="shared" si="30"/>
        <v>853.84317328700013</v>
      </c>
      <c r="T82" s="82">
        <f t="shared" si="30"/>
        <v>835.75870535399997</v>
      </c>
      <c r="U82" s="82">
        <f t="shared" si="30"/>
        <v>842.91851619399995</v>
      </c>
      <c r="V82" s="82">
        <f t="shared" si="30"/>
        <v>857.70657488600011</v>
      </c>
      <c r="W82" s="82">
        <f t="shared" si="30"/>
        <v>858.14560166400008</v>
      </c>
      <c r="X82" s="82">
        <f t="shared" si="30"/>
        <v>860.60176151899987</v>
      </c>
      <c r="Y82" s="82">
        <f t="shared" si="30"/>
        <v>864.58558402099993</v>
      </c>
      <c r="Z82" s="82">
        <f t="shared" si="30"/>
        <v>871.77146198700007</v>
      </c>
      <c r="AA82" s="82">
        <f t="shared" si="30"/>
        <v>885.00259877500002</v>
      </c>
    </row>
    <row r="83" spans="2:27" x14ac:dyDescent="0.2">
      <c r="B83" s="86" t="s">
        <v>192</v>
      </c>
      <c r="C83" s="86" t="s">
        <v>70</v>
      </c>
      <c r="D83" s="82">
        <f t="shared" ref="D83:AA83" si="31">D76*(1+HLOOKUP(D$138,Elforbrug_Nettab,3,FALSE))</f>
        <v>19.606303992000004</v>
      </c>
      <c r="E83" s="82">
        <f t="shared" si="31"/>
        <v>46.123944723999998</v>
      </c>
      <c r="F83" s="82">
        <f t="shared" si="31"/>
        <v>67.404646446000001</v>
      </c>
      <c r="G83" s="82">
        <f t="shared" si="31"/>
        <v>72.097872660000007</v>
      </c>
      <c r="H83" s="82">
        <f t="shared" si="31"/>
        <v>78.598558721999993</v>
      </c>
      <c r="I83" s="82">
        <f t="shared" si="31"/>
        <v>85.262873274</v>
      </c>
      <c r="J83" s="82">
        <f t="shared" si="31"/>
        <v>86.645807786000006</v>
      </c>
      <c r="K83" s="82">
        <f t="shared" si="31"/>
        <v>82.353714192000027</v>
      </c>
      <c r="L83" s="82">
        <f t="shared" si="31"/>
        <v>79.829807022000026</v>
      </c>
      <c r="M83" s="82">
        <f t="shared" si="31"/>
        <v>88.156857713999997</v>
      </c>
      <c r="N83" s="82">
        <f t="shared" si="31"/>
        <v>92.43830487999999</v>
      </c>
      <c r="O83" s="82">
        <f t="shared" si="31"/>
        <v>97.791645882000012</v>
      </c>
      <c r="P83" s="82">
        <f t="shared" si="31"/>
        <v>97.580271918000022</v>
      </c>
      <c r="Q83" s="82">
        <f t="shared" si="31"/>
        <v>233.79463625599999</v>
      </c>
      <c r="R83" s="82">
        <f t="shared" si="31"/>
        <v>239.81963109999998</v>
      </c>
      <c r="S83" s="82">
        <f t="shared" si="31"/>
        <v>246.31559888999996</v>
      </c>
      <c r="T83" s="82">
        <f t="shared" si="31"/>
        <v>249.70862126000003</v>
      </c>
      <c r="U83" s="82">
        <f t="shared" si="31"/>
        <v>247.53454324</v>
      </c>
      <c r="V83" s="82">
        <f t="shared" si="31"/>
        <v>261.52631141800003</v>
      </c>
      <c r="W83" s="82">
        <f t="shared" si="31"/>
        <v>267.63094151799999</v>
      </c>
      <c r="X83" s="82">
        <f t="shared" si="31"/>
        <v>275.54272109800002</v>
      </c>
      <c r="Y83" s="82">
        <f t="shared" si="31"/>
        <v>277.77389676000001</v>
      </c>
      <c r="Z83" s="82">
        <f t="shared" si="31"/>
        <v>279.30175849999989</v>
      </c>
      <c r="AA83" s="82">
        <f t="shared" si="31"/>
        <v>277.77939296599999</v>
      </c>
    </row>
    <row r="84" spans="2:27" s="12" customFormat="1" x14ac:dyDescent="0.2">
      <c r="B84" s="93" t="s">
        <v>198</v>
      </c>
      <c r="C84" s="93" t="s">
        <v>70</v>
      </c>
      <c r="D84" s="94">
        <f t="shared" ref="D84:AA84" si="32">D82+D83</f>
        <v>115.93161773100002</v>
      </c>
      <c r="E84" s="94">
        <f t="shared" si="32"/>
        <v>162.713896871</v>
      </c>
      <c r="F84" s="94">
        <f t="shared" si="32"/>
        <v>291.34799134499997</v>
      </c>
      <c r="G84" s="94">
        <f t="shared" si="32"/>
        <v>376.34206898800005</v>
      </c>
      <c r="H84" s="94">
        <f t="shared" si="32"/>
        <v>412.98515655900002</v>
      </c>
      <c r="I84" s="94">
        <f t="shared" si="32"/>
        <v>433.95020461600006</v>
      </c>
      <c r="J84" s="94">
        <f t="shared" si="32"/>
        <v>473.72407487199996</v>
      </c>
      <c r="K84" s="94">
        <f t="shared" si="32"/>
        <v>435.15989326200008</v>
      </c>
      <c r="L84" s="94">
        <f t="shared" si="32"/>
        <v>430.71176047300003</v>
      </c>
      <c r="M84" s="94">
        <f t="shared" si="32"/>
        <v>466.20450787700003</v>
      </c>
      <c r="N84" s="94">
        <f t="shared" si="32"/>
        <v>553.42131863500003</v>
      </c>
      <c r="O84" s="94">
        <f t="shared" si="32"/>
        <v>745.35808451899993</v>
      </c>
      <c r="P84" s="94">
        <f t="shared" si="32"/>
        <v>739.54899218000003</v>
      </c>
      <c r="Q84" s="94">
        <f t="shared" si="32"/>
        <v>1060.451160091</v>
      </c>
      <c r="R84" s="94">
        <f t="shared" si="32"/>
        <v>1081.7850439380002</v>
      </c>
      <c r="S84" s="94">
        <f t="shared" si="32"/>
        <v>1100.1587721770002</v>
      </c>
      <c r="T84" s="94">
        <f t="shared" si="32"/>
        <v>1085.4673266140001</v>
      </c>
      <c r="U84" s="94">
        <f t="shared" si="32"/>
        <v>1090.4530594339999</v>
      </c>
      <c r="V84" s="94">
        <f t="shared" si="32"/>
        <v>1119.2328863040002</v>
      </c>
      <c r="W84" s="94">
        <f t="shared" si="32"/>
        <v>1125.7765431820001</v>
      </c>
      <c r="X84" s="94">
        <f t="shared" si="32"/>
        <v>1136.144482617</v>
      </c>
      <c r="Y84" s="94">
        <f t="shared" si="32"/>
        <v>1142.359480781</v>
      </c>
      <c r="Z84" s="94">
        <f t="shared" si="32"/>
        <v>1151.0732204870001</v>
      </c>
      <c r="AA84" s="94">
        <f t="shared" si="32"/>
        <v>1162.781991741</v>
      </c>
    </row>
    <row r="85" spans="2:27" x14ac:dyDescent="0.2">
      <c r="D85" s="221"/>
      <c r="E85" s="221"/>
      <c r="F85" s="221"/>
      <c r="G85" s="221"/>
      <c r="H85" s="221"/>
      <c r="I85" s="221"/>
      <c r="J85" s="221"/>
      <c r="K85" s="221"/>
      <c r="L85" s="221"/>
      <c r="M85" s="221"/>
      <c r="N85" s="221"/>
      <c r="O85" s="221"/>
      <c r="P85" s="221"/>
      <c r="Q85" s="221"/>
      <c r="R85" s="221"/>
      <c r="S85" s="221"/>
      <c r="T85" s="221"/>
      <c r="U85" s="221"/>
      <c r="V85" s="221"/>
      <c r="W85" s="221"/>
      <c r="X85" s="221"/>
      <c r="Y85" s="221"/>
      <c r="Z85" s="221"/>
      <c r="AA85" s="221"/>
    </row>
    <row r="86" spans="2:27" s="12" customFormat="1" x14ac:dyDescent="0.2"/>
    <row r="87" spans="2:27" s="70" customFormat="1" x14ac:dyDescent="0.2">
      <c r="B87" s="70" t="s">
        <v>265</v>
      </c>
    </row>
    <row r="89" spans="2:27" x14ac:dyDescent="0.2">
      <c r="B89" s="62" t="s">
        <v>266</v>
      </c>
      <c r="C89" s="62" t="s">
        <v>141</v>
      </c>
      <c r="D89" s="74">
        <f t="shared" ref="D89:AA89" si="33">D$6</f>
        <v>2017</v>
      </c>
      <c r="E89" s="74">
        <f t="shared" si="33"/>
        <v>2018</v>
      </c>
      <c r="F89" s="74">
        <f t="shared" si="33"/>
        <v>2019</v>
      </c>
      <c r="G89" s="74">
        <f t="shared" si="33"/>
        <v>2020</v>
      </c>
      <c r="H89" s="74">
        <f t="shared" si="33"/>
        <v>2021</v>
      </c>
      <c r="I89" s="74">
        <f t="shared" si="33"/>
        <v>2022</v>
      </c>
      <c r="J89" s="74">
        <f t="shared" si="33"/>
        <v>2023</v>
      </c>
      <c r="K89" s="74">
        <f t="shared" si="33"/>
        <v>2024</v>
      </c>
      <c r="L89" s="74">
        <f t="shared" si="33"/>
        <v>2025</v>
      </c>
      <c r="M89" s="74">
        <f t="shared" si="33"/>
        <v>2026</v>
      </c>
      <c r="N89" s="74">
        <f t="shared" si="33"/>
        <v>2027</v>
      </c>
      <c r="O89" s="74">
        <f t="shared" si="33"/>
        <v>2028</v>
      </c>
      <c r="P89" s="74">
        <f t="shared" si="33"/>
        <v>2029</v>
      </c>
      <c r="Q89" s="74">
        <f t="shared" si="33"/>
        <v>2030</v>
      </c>
      <c r="R89" s="74">
        <f t="shared" si="33"/>
        <v>2031</v>
      </c>
      <c r="S89" s="74">
        <f t="shared" si="33"/>
        <v>2032</v>
      </c>
      <c r="T89" s="74">
        <f t="shared" si="33"/>
        <v>2033</v>
      </c>
      <c r="U89" s="74">
        <f t="shared" si="33"/>
        <v>2034</v>
      </c>
      <c r="V89" s="74">
        <f t="shared" si="33"/>
        <v>2035</v>
      </c>
      <c r="W89" s="74">
        <f t="shared" si="33"/>
        <v>2036</v>
      </c>
      <c r="X89" s="74">
        <f t="shared" si="33"/>
        <v>2037</v>
      </c>
      <c r="Y89" s="74">
        <f t="shared" si="33"/>
        <v>2038</v>
      </c>
      <c r="Z89" s="74">
        <f t="shared" si="33"/>
        <v>2039</v>
      </c>
      <c r="AA89" s="74">
        <f t="shared" si="33"/>
        <v>2040</v>
      </c>
    </row>
    <row r="90" spans="2:27" x14ac:dyDescent="0.2">
      <c r="B90" s="87" t="s">
        <v>190</v>
      </c>
      <c r="C90" s="87" t="s">
        <v>68</v>
      </c>
      <c r="D90" s="84">
        <v>455.4</v>
      </c>
      <c r="E90" s="84">
        <v>505.4</v>
      </c>
      <c r="F90" s="84">
        <v>505.4</v>
      </c>
      <c r="G90" s="84">
        <v>505.4</v>
      </c>
      <c r="H90" s="84">
        <v>505.4</v>
      </c>
      <c r="I90" s="84">
        <v>505.4</v>
      </c>
      <c r="J90" s="84">
        <v>505.4</v>
      </c>
      <c r="K90" s="84">
        <v>505.4</v>
      </c>
      <c r="L90" s="84">
        <v>505.4</v>
      </c>
      <c r="M90" s="84">
        <v>505.4</v>
      </c>
      <c r="N90" s="84">
        <v>505.4</v>
      </c>
      <c r="O90" s="84">
        <v>505.4</v>
      </c>
      <c r="P90" s="84">
        <v>505.4</v>
      </c>
      <c r="Q90" s="84">
        <v>505.4</v>
      </c>
      <c r="R90" s="84">
        <v>505.4</v>
      </c>
      <c r="S90" s="84">
        <v>505.4</v>
      </c>
      <c r="T90" s="84">
        <v>505.4</v>
      </c>
      <c r="U90" s="84">
        <v>505.4</v>
      </c>
      <c r="V90" s="84">
        <v>505.4</v>
      </c>
      <c r="W90" s="84">
        <v>505.4</v>
      </c>
      <c r="X90" s="84">
        <v>505.4</v>
      </c>
      <c r="Y90" s="84">
        <v>505.4</v>
      </c>
      <c r="Z90" s="84">
        <v>505.4</v>
      </c>
      <c r="AA90" s="84">
        <v>505.4</v>
      </c>
    </row>
    <row r="91" spans="2:27" x14ac:dyDescent="0.2">
      <c r="B91" s="87" t="s">
        <v>192</v>
      </c>
      <c r="C91" s="87" t="s">
        <v>68</v>
      </c>
      <c r="D91" s="84">
        <v>134.5</v>
      </c>
      <c r="E91" s="84">
        <v>134.5</v>
      </c>
      <c r="F91" s="84">
        <v>254.5</v>
      </c>
      <c r="G91" s="84">
        <v>254.5</v>
      </c>
      <c r="H91" s="84">
        <v>254.5</v>
      </c>
      <c r="I91" s="84">
        <v>254.5</v>
      </c>
      <c r="J91" s="84">
        <v>254.5</v>
      </c>
      <c r="K91" s="84">
        <v>254.5</v>
      </c>
      <c r="L91" s="84">
        <v>254.5</v>
      </c>
      <c r="M91" s="84">
        <v>254.5</v>
      </c>
      <c r="N91" s="84">
        <v>254.5</v>
      </c>
      <c r="O91" s="84">
        <v>254.5</v>
      </c>
      <c r="P91" s="84">
        <v>254.5</v>
      </c>
      <c r="Q91" s="84">
        <v>254.5</v>
      </c>
      <c r="R91" s="84">
        <v>254.5</v>
      </c>
      <c r="S91" s="84">
        <v>254.5</v>
      </c>
      <c r="T91" s="84">
        <v>254.5</v>
      </c>
      <c r="U91" s="84">
        <v>254.5</v>
      </c>
      <c r="V91" s="84">
        <v>254.5</v>
      </c>
      <c r="W91" s="84">
        <v>254.5</v>
      </c>
      <c r="X91" s="84">
        <v>254.5</v>
      </c>
      <c r="Y91" s="84">
        <v>254.5</v>
      </c>
      <c r="Z91" s="84">
        <v>254.5</v>
      </c>
      <c r="AA91" s="84">
        <v>254.5</v>
      </c>
    </row>
    <row r="92" spans="2:27" x14ac:dyDescent="0.2">
      <c r="B92" s="91" t="s">
        <v>198</v>
      </c>
      <c r="C92" s="91" t="s">
        <v>68</v>
      </c>
      <c r="D92" s="92">
        <f t="shared" ref="D92:AA92" si="34">D90+D91</f>
        <v>589.9</v>
      </c>
      <c r="E92" s="92">
        <f t="shared" si="34"/>
        <v>639.9</v>
      </c>
      <c r="F92" s="92">
        <f t="shared" si="34"/>
        <v>759.9</v>
      </c>
      <c r="G92" s="92">
        <f t="shared" si="34"/>
        <v>759.9</v>
      </c>
      <c r="H92" s="92">
        <f t="shared" si="34"/>
        <v>759.9</v>
      </c>
      <c r="I92" s="92">
        <f t="shared" si="34"/>
        <v>759.9</v>
      </c>
      <c r="J92" s="92">
        <f t="shared" si="34"/>
        <v>759.9</v>
      </c>
      <c r="K92" s="92">
        <f t="shared" si="34"/>
        <v>759.9</v>
      </c>
      <c r="L92" s="92">
        <f t="shared" si="34"/>
        <v>759.9</v>
      </c>
      <c r="M92" s="92">
        <f t="shared" si="34"/>
        <v>759.9</v>
      </c>
      <c r="N92" s="92">
        <f t="shared" si="34"/>
        <v>759.9</v>
      </c>
      <c r="O92" s="92">
        <f t="shared" si="34"/>
        <v>759.9</v>
      </c>
      <c r="P92" s="92">
        <f t="shared" si="34"/>
        <v>759.9</v>
      </c>
      <c r="Q92" s="92">
        <f t="shared" si="34"/>
        <v>759.9</v>
      </c>
      <c r="R92" s="92">
        <f t="shared" si="34"/>
        <v>759.9</v>
      </c>
      <c r="S92" s="92">
        <f t="shared" si="34"/>
        <v>759.9</v>
      </c>
      <c r="T92" s="92">
        <f t="shared" si="34"/>
        <v>759.9</v>
      </c>
      <c r="U92" s="92">
        <f t="shared" si="34"/>
        <v>759.9</v>
      </c>
      <c r="V92" s="92">
        <f t="shared" si="34"/>
        <v>759.9</v>
      </c>
      <c r="W92" s="92">
        <f t="shared" si="34"/>
        <v>759.9</v>
      </c>
      <c r="X92" s="92">
        <f t="shared" si="34"/>
        <v>759.9</v>
      </c>
      <c r="Y92" s="92">
        <f t="shared" si="34"/>
        <v>759.9</v>
      </c>
      <c r="Z92" s="92">
        <f t="shared" si="34"/>
        <v>759.9</v>
      </c>
      <c r="AA92" s="92">
        <f t="shared" si="34"/>
        <v>759.9</v>
      </c>
    </row>
    <row r="93" spans="2:27" x14ac:dyDescent="0.2">
      <c r="B93" s="72" t="s">
        <v>417</v>
      </c>
      <c r="C93" s="59"/>
      <c r="D93" s="59"/>
      <c r="E93" s="59"/>
      <c r="F93" s="59"/>
      <c r="G93" s="59"/>
      <c r="H93" s="59"/>
      <c r="I93" s="59"/>
      <c r="J93" s="59"/>
      <c r="K93" s="59"/>
      <c r="L93" s="59"/>
      <c r="M93" s="59"/>
      <c r="N93" s="59"/>
      <c r="O93" s="59"/>
      <c r="P93" s="59"/>
      <c r="Q93" s="59"/>
      <c r="R93" s="59"/>
      <c r="S93" s="59"/>
      <c r="T93" s="59"/>
      <c r="U93" s="59"/>
      <c r="V93" s="59"/>
      <c r="W93" s="59"/>
      <c r="X93" s="59"/>
      <c r="Y93" s="59"/>
      <c r="Z93" s="59"/>
      <c r="AA93" s="59"/>
    </row>
    <row r="94" spans="2:27" s="12" customFormat="1" x14ac:dyDescent="0.2">
      <c r="B94" s="72"/>
      <c r="C94" s="59"/>
      <c r="D94" s="59"/>
      <c r="E94" s="59"/>
      <c r="F94" s="59"/>
      <c r="G94" s="59"/>
      <c r="H94" s="59"/>
      <c r="I94" s="59"/>
      <c r="J94" s="59"/>
      <c r="K94" s="59"/>
      <c r="L94" s="59"/>
      <c r="M94" s="59"/>
      <c r="N94" s="59"/>
      <c r="O94" s="59"/>
      <c r="P94" s="59"/>
      <c r="Q94" s="59"/>
      <c r="R94" s="59"/>
      <c r="S94" s="59"/>
      <c r="T94" s="59"/>
      <c r="U94" s="59"/>
      <c r="V94" s="59"/>
      <c r="W94" s="59"/>
      <c r="X94" s="59"/>
      <c r="Y94" s="59"/>
      <c r="Z94" s="59"/>
      <c r="AA94" s="59"/>
    </row>
    <row r="95" spans="2:27" s="12" customFormat="1" x14ac:dyDescent="0.2">
      <c r="B95" s="72"/>
      <c r="C95" s="59"/>
      <c r="D95" s="59"/>
      <c r="E95" s="59"/>
      <c r="F95" s="59"/>
      <c r="G95" s="59"/>
      <c r="H95" s="59"/>
      <c r="I95" s="59"/>
      <c r="J95" s="59"/>
      <c r="K95" s="59"/>
      <c r="L95" s="59"/>
      <c r="M95" s="59"/>
      <c r="N95" s="59"/>
      <c r="O95" s="59"/>
      <c r="P95" s="59"/>
      <c r="Q95" s="59"/>
      <c r="R95" s="59"/>
      <c r="S95" s="59"/>
      <c r="T95" s="59"/>
      <c r="U95" s="59"/>
      <c r="V95" s="59"/>
      <c r="W95" s="59"/>
      <c r="X95" s="59"/>
      <c r="Y95" s="59"/>
      <c r="Z95" s="59"/>
      <c r="AA95" s="59"/>
    </row>
    <row r="96" spans="2:27" s="12" customFormat="1" x14ac:dyDescent="0.2">
      <c r="B96" s="62" t="s">
        <v>212</v>
      </c>
      <c r="C96" s="62" t="s">
        <v>141</v>
      </c>
      <c r="D96" s="74">
        <f t="shared" ref="D96:AA96" si="35">D$6</f>
        <v>2017</v>
      </c>
      <c r="E96" s="74">
        <f t="shared" si="35"/>
        <v>2018</v>
      </c>
      <c r="F96" s="74">
        <f t="shared" si="35"/>
        <v>2019</v>
      </c>
      <c r="G96" s="74">
        <f t="shared" si="35"/>
        <v>2020</v>
      </c>
      <c r="H96" s="74">
        <f t="shared" si="35"/>
        <v>2021</v>
      </c>
      <c r="I96" s="74">
        <f t="shared" si="35"/>
        <v>2022</v>
      </c>
      <c r="J96" s="74">
        <f t="shared" si="35"/>
        <v>2023</v>
      </c>
      <c r="K96" s="74">
        <f t="shared" si="35"/>
        <v>2024</v>
      </c>
      <c r="L96" s="74">
        <f t="shared" si="35"/>
        <v>2025</v>
      </c>
      <c r="M96" s="74">
        <f t="shared" si="35"/>
        <v>2026</v>
      </c>
      <c r="N96" s="74">
        <f t="shared" si="35"/>
        <v>2027</v>
      </c>
      <c r="O96" s="74">
        <f t="shared" si="35"/>
        <v>2028</v>
      </c>
      <c r="P96" s="74">
        <f t="shared" si="35"/>
        <v>2029</v>
      </c>
      <c r="Q96" s="74">
        <f t="shared" si="35"/>
        <v>2030</v>
      </c>
      <c r="R96" s="74">
        <f t="shared" si="35"/>
        <v>2031</v>
      </c>
      <c r="S96" s="74">
        <f t="shared" si="35"/>
        <v>2032</v>
      </c>
      <c r="T96" s="74">
        <f t="shared" si="35"/>
        <v>2033</v>
      </c>
      <c r="U96" s="74">
        <f t="shared" si="35"/>
        <v>2034</v>
      </c>
      <c r="V96" s="74">
        <f t="shared" si="35"/>
        <v>2035</v>
      </c>
      <c r="W96" s="74">
        <f t="shared" si="35"/>
        <v>2036</v>
      </c>
      <c r="X96" s="74">
        <f t="shared" si="35"/>
        <v>2037</v>
      </c>
      <c r="Y96" s="74">
        <f t="shared" si="35"/>
        <v>2038</v>
      </c>
      <c r="Z96" s="74">
        <f t="shared" si="35"/>
        <v>2039</v>
      </c>
      <c r="AA96" s="74">
        <f t="shared" si="35"/>
        <v>2040</v>
      </c>
    </row>
    <row r="97" spans="2:29" x14ac:dyDescent="0.2">
      <c r="B97" s="87" t="s">
        <v>190</v>
      </c>
      <c r="C97" s="59" t="s">
        <v>69</v>
      </c>
      <c r="D97" s="81">
        <f t="shared" ref="D97:AA97" si="36">D103/D90*1000</f>
        <v>194.02780830039529</v>
      </c>
      <c r="E97" s="81">
        <f t="shared" si="36"/>
        <v>194.40343510091017</v>
      </c>
      <c r="F97" s="81">
        <f t="shared" si="36"/>
        <v>231.44855955678673</v>
      </c>
      <c r="G97" s="81">
        <f t="shared" si="36"/>
        <v>146.03991155520379</v>
      </c>
      <c r="H97" s="81">
        <f t="shared" si="36"/>
        <v>163.17100375939853</v>
      </c>
      <c r="I97" s="81">
        <f t="shared" si="36"/>
        <v>138.65306964780368</v>
      </c>
      <c r="J97" s="81">
        <f t="shared" si="36"/>
        <v>178.49319687376337</v>
      </c>
      <c r="K97" s="81">
        <f t="shared" si="36"/>
        <v>163.60744420261182</v>
      </c>
      <c r="L97" s="81">
        <f t="shared" si="36"/>
        <v>106.1204841709537</v>
      </c>
      <c r="M97" s="81">
        <f t="shared" si="36"/>
        <v>147.60781974673526</v>
      </c>
      <c r="N97" s="81">
        <f t="shared" si="36"/>
        <v>288.36097091412745</v>
      </c>
      <c r="O97" s="81">
        <f t="shared" si="36"/>
        <v>291.58666600712314</v>
      </c>
      <c r="P97" s="81">
        <f t="shared" si="36"/>
        <v>176.43998436881677</v>
      </c>
      <c r="Q97" s="81">
        <f t="shared" si="36"/>
        <v>219.38310189948555</v>
      </c>
      <c r="R97" s="81">
        <f t="shared" si="36"/>
        <v>218.21466996438465</v>
      </c>
      <c r="S97" s="81">
        <f t="shared" si="36"/>
        <v>235.19684408389392</v>
      </c>
      <c r="T97" s="81">
        <f t="shared" si="36"/>
        <v>203.77708349821921</v>
      </c>
      <c r="U97" s="81">
        <f t="shared" si="36"/>
        <v>210.0858791056589</v>
      </c>
      <c r="V97" s="81">
        <f t="shared" si="36"/>
        <v>216.93677186387023</v>
      </c>
      <c r="W97" s="81">
        <f t="shared" si="36"/>
        <v>201.03277997625642</v>
      </c>
      <c r="X97" s="81">
        <f t="shared" si="36"/>
        <v>209.23183696082316</v>
      </c>
      <c r="Y97" s="81">
        <f t="shared" si="36"/>
        <v>205.0658605065295</v>
      </c>
      <c r="Z97" s="81">
        <f t="shared" si="36"/>
        <v>200.94567293233084</v>
      </c>
      <c r="AA97" s="81">
        <f t="shared" si="36"/>
        <v>179.21836802532647</v>
      </c>
    </row>
    <row r="98" spans="2:29" s="12" customFormat="1" x14ac:dyDescent="0.2">
      <c r="B98" s="87" t="s">
        <v>192</v>
      </c>
      <c r="C98" s="59" t="s">
        <v>69</v>
      </c>
      <c r="D98" s="81">
        <f t="shared" ref="D98:AA98" si="37">D104/D91*1000</f>
        <v>854.27288921933086</v>
      </c>
      <c r="E98" s="81">
        <f t="shared" si="37"/>
        <v>599.69707063197029</v>
      </c>
      <c r="F98" s="81">
        <f t="shared" si="37"/>
        <v>374.33890884086446</v>
      </c>
      <c r="G98" s="81">
        <f t="shared" si="37"/>
        <v>1224.4278950884086</v>
      </c>
      <c r="H98" s="81">
        <f t="shared" si="37"/>
        <v>1233.9705324165029</v>
      </c>
      <c r="I98" s="81">
        <f t="shared" si="37"/>
        <v>1274.2176766208254</v>
      </c>
      <c r="J98" s="81">
        <f t="shared" si="37"/>
        <v>1235.2399229862476</v>
      </c>
      <c r="K98" s="81">
        <f t="shared" si="37"/>
        <v>1254.1852003929273</v>
      </c>
      <c r="L98" s="81">
        <f t="shared" si="37"/>
        <v>1248.9477218074655</v>
      </c>
      <c r="M98" s="81">
        <f t="shared" si="37"/>
        <v>1227.732550098232</v>
      </c>
      <c r="N98" s="81">
        <f t="shared" si="37"/>
        <v>1221.4352133595287</v>
      </c>
      <c r="O98" s="81">
        <f t="shared" si="37"/>
        <v>1176.2647457760311</v>
      </c>
      <c r="P98" s="81">
        <f t="shared" si="37"/>
        <v>1170.7981736738702</v>
      </c>
      <c r="Q98" s="81">
        <f t="shared" si="37"/>
        <v>1167.2726255402749</v>
      </c>
      <c r="R98" s="81">
        <f t="shared" si="37"/>
        <v>1205.4364809430256</v>
      </c>
      <c r="S98" s="81">
        <f t="shared" si="37"/>
        <v>1171.4603041257365</v>
      </c>
      <c r="T98" s="81">
        <f t="shared" si="37"/>
        <v>1139.4845740667977</v>
      </c>
      <c r="U98" s="81">
        <f t="shared" si="37"/>
        <v>1272.4655638506874</v>
      </c>
      <c r="V98" s="81">
        <f t="shared" si="37"/>
        <v>1255.6751324165029</v>
      </c>
      <c r="W98" s="81">
        <f t="shared" si="37"/>
        <v>1278.5051654223967</v>
      </c>
      <c r="X98" s="81">
        <f t="shared" si="37"/>
        <v>1215.4477532416506</v>
      </c>
      <c r="Y98" s="81">
        <f t="shared" si="37"/>
        <v>1218.0342385068764</v>
      </c>
      <c r="Z98" s="81">
        <f t="shared" si="37"/>
        <v>1214.4286962671906</v>
      </c>
      <c r="AA98" s="81">
        <f t="shared" si="37"/>
        <v>1295.9129567779964</v>
      </c>
    </row>
    <row r="99" spans="2:29" s="12" customFormat="1" x14ac:dyDescent="0.2">
      <c r="B99" s="91" t="s">
        <v>211</v>
      </c>
      <c r="C99" s="91" t="s">
        <v>69</v>
      </c>
      <c r="D99" s="224">
        <f>D105/D92*1000</f>
        <v>344.56682064756745</v>
      </c>
      <c r="E99" s="224">
        <f t="shared" ref="E99:AA99" si="38">E105/E92*1000</f>
        <v>279.59173636505705</v>
      </c>
      <c r="F99" s="224">
        <f t="shared" si="38"/>
        <v>279.30432201605475</v>
      </c>
      <c r="G99" s="224">
        <f t="shared" si="38"/>
        <v>507.20551467298327</v>
      </c>
      <c r="H99" s="224">
        <f t="shared" si="38"/>
        <v>521.79513857086465</v>
      </c>
      <c r="I99" s="224">
        <f t="shared" si="38"/>
        <v>518.96783800500066</v>
      </c>
      <c r="J99" s="224">
        <f t="shared" si="38"/>
        <v>532.41087261481778</v>
      </c>
      <c r="K99" s="224">
        <f t="shared" si="38"/>
        <v>528.8555544150546</v>
      </c>
      <c r="L99" s="224">
        <f t="shared" si="38"/>
        <v>488.86759823661004</v>
      </c>
      <c r="M99" s="224">
        <f t="shared" si="38"/>
        <v>509.35508106329786</v>
      </c>
      <c r="N99" s="224">
        <f t="shared" si="38"/>
        <v>600.85918739307806</v>
      </c>
      <c r="O99" s="224">
        <f t="shared" si="38"/>
        <v>587.87640321094875</v>
      </c>
      <c r="P99" s="224">
        <f t="shared" si="38"/>
        <v>509.46295999473614</v>
      </c>
      <c r="Q99" s="224">
        <f t="shared" si="38"/>
        <v>536.8431410711936</v>
      </c>
      <c r="R99" s="224">
        <f t="shared" si="38"/>
        <v>548.84758336623236</v>
      </c>
      <c r="S99" s="224">
        <f t="shared" si="38"/>
        <v>548.76316936439002</v>
      </c>
      <c r="T99" s="224">
        <f t="shared" si="38"/>
        <v>517.15720765890239</v>
      </c>
      <c r="U99" s="224">
        <f t="shared" si="38"/>
        <v>565.89010303987368</v>
      </c>
      <c r="V99" s="224">
        <f t="shared" si="38"/>
        <v>564.82322108172127</v>
      </c>
      <c r="W99" s="224">
        <f t="shared" si="38"/>
        <v>561.89173786024469</v>
      </c>
      <c r="X99" s="224">
        <f t="shared" si="38"/>
        <v>546.2261134359785</v>
      </c>
      <c r="Y99" s="224">
        <f t="shared" si="38"/>
        <v>544.32162073957102</v>
      </c>
      <c r="Z99" s="224">
        <f t="shared" si="38"/>
        <v>540.37379431504155</v>
      </c>
      <c r="AA99" s="224">
        <f t="shared" si="38"/>
        <v>553.21333162258202</v>
      </c>
      <c r="AB99" s="223"/>
      <c r="AC99" s="223"/>
    </row>
    <row r="100" spans="2:29" s="12" customFormat="1" x14ac:dyDescent="0.2">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spans="2:29" s="12" customFormat="1" x14ac:dyDescent="0.2">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spans="2:29" x14ac:dyDescent="0.2">
      <c r="B102" s="62" t="s">
        <v>209</v>
      </c>
      <c r="C102" s="62" t="s">
        <v>141</v>
      </c>
      <c r="D102" s="74">
        <f t="shared" ref="D102:AA102" si="39">D$6</f>
        <v>2017</v>
      </c>
      <c r="E102" s="74">
        <f t="shared" si="39"/>
        <v>2018</v>
      </c>
      <c r="F102" s="74">
        <f t="shared" si="39"/>
        <v>2019</v>
      </c>
      <c r="G102" s="74">
        <f t="shared" si="39"/>
        <v>2020</v>
      </c>
      <c r="H102" s="74">
        <f t="shared" si="39"/>
        <v>2021</v>
      </c>
      <c r="I102" s="74">
        <f t="shared" si="39"/>
        <v>2022</v>
      </c>
      <c r="J102" s="74">
        <f t="shared" si="39"/>
        <v>2023</v>
      </c>
      <c r="K102" s="74">
        <f t="shared" si="39"/>
        <v>2024</v>
      </c>
      <c r="L102" s="74">
        <f t="shared" si="39"/>
        <v>2025</v>
      </c>
      <c r="M102" s="74">
        <f t="shared" si="39"/>
        <v>2026</v>
      </c>
      <c r="N102" s="74">
        <f t="shared" si="39"/>
        <v>2027</v>
      </c>
      <c r="O102" s="74">
        <f t="shared" si="39"/>
        <v>2028</v>
      </c>
      <c r="P102" s="74">
        <f t="shared" si="39"/>
        <v>2029</v>
      </c>
      <c r="Q102" s="74">
        <f t="shared" si="39"/>
        <v>2030</v>
      </c>
      <c r="R102" s="74">
        <f t="shared" si="39"/>
        <v>2031</v>
      </c>
      <c r="S102" s="74">
        <f t="shared" si="39"/>
        <v>2032</v>
      </c>
      <c r="T102" s="74">
        <f t="shared" si="39"/>
        <v>2033</v>
      </c>
      <c r="U102" s="74">
        <f t="shared" si="39"/>
        <v>2034</v>
      </c>
      <c r="V102" s="74">
        <f t="shared" si="39"/>
        <v>2035</v>
      </c>
      <c r="W102" s="74">
        <f t="shared" si="39"/>
        <v>2036</v>
      </c>
      <c r="X102" s="74">
        <f t="shared" si="39"/>
        <v>2037</v>
      </c>
      <c r="Y102" s="74">
        <f t="shared" si="39"/>
        <v>2038</v>
      </c>
      <c r="Z102" s="74">
        <f t="shared" si="39"/>
        <v>2039</v>
      </c>
      <c r="AA102" s="74">
        <f t="shared" si="39"/>
        <v>2040</v>
      </c>
    </row>
    <row r="103" spans="2:29" x14ac:dyDescent="0.2">
      <c r="B103" s="87" t="s">
        <v>190</v>
      </c>
      <c r="C103" s="59" t="s">
        <v>70</v>
      </c>
      <c r="D103" s="84">
        <v>88.360263900000007</v>
      </c>
      <c r="E103" s="84">
        <v>98.251496099999997</v>
      </c>
      <c r="F103" s="84">
        <v>116.974102</v>
      </c>
      <c r="G103" s="84">
        <v>73.808571299999997</v>
      </c>
      <c r="H103" s="84">
        <v>82.466625300000004</v>
      </c>
      <c r="I103" s="84">
        <v>70.075261399999988</v>
      </c>
      <c r="J103" s="84">
        <v>90.210461699999996</v>
      </c>
      <c r="K103" s="84">
        <v>82.68720230000001</v>
      </c>
      <c r="L103" s="84">
        <v>53.633292699999998</v>
      </c>
      <c r="M103" s="84">
        <v>74.600992099999999</v>
      </c>
      <c r="N103" s="84">
        <v>145.7376347</v>
      </c>
      <c r="O103" s="84">
        <v>147.36790100000002</v>
      </c>
      <c r="P103" s="84">
        <v>89.172768099999999</v>
      </c>
      <c r="Q103" s="84">
        <v>110.87621969999999</v>
      </c>
      <c r="R103" s="84">
        <v>110.28569419999999</v>
      </c>
      <c r="S103" s="84">
        <v>118.86848499999999</v>
      </c>
      <c r="T103" s="84">
        <v>102.98893799999999</v>
      </c>
      <c r="U103" s="84">
        <v>106.17740330000001</v>
      </c>
      <c r="V103" s="84">
        <v>109.63984450000001</v>
      </c>
      <c r="W103" s="84">
        <v>101.601967</v>
      </c>
      <c r="X103" s="84">
        <v>105.74577040000001</v>
      </c>
      <c r="Y103" s="84">
        <v>103.64028590000001</v>
      </c>
      <c r="Z103" s="84">
        <v>101.5579431</v>
      </c>
      <c r="AA103" s="84">
        <v>90.576963199999994</v>
      </c>
    </row>
    <row r="104" spans="2:29" x14ac:dyDescent="0.2">
      <c r="B104" s="87" t="s">
        <v>192</v>
      </c>
      <c r="C104" s="59" t="s">
        <v>70</v>
      </c>
      <c r="D104" s="84">
        <v>114.8997036</v>
      </c>
      <c r="E104" s="84">
        <v>80.659255999999999</v>
      </c>
      <c r="F104" s="84">
        <v>95.269252300000005</v>
      </c>
      <c r="G104" s="84">
        <v>311.6168993</v>
      </c>
      <c r="H104" s="84">
        <v>314.0455005</v>
      </c>
      <c r="I104" s="84">
        <v>324.28839870000002</v>
      </c>
      <c r="J104" s="84">
        <v>314.36856040000004</v>
      </c>
      <c r="K104" s="84">
        <v>319.1901335</v>
      </c>
      <c r="L104" s="84">
        <v>317.85719519999998</v>
      </c>
      <c r="M104" s="84">
        <v>312.45793400000002</v>
      </c>
      <c r="N104" s="84">
        <v>310.85526180000005</v>
      </c>
      <c r="O104" s="84">
        <v>299.35937779999995</v>
      </c>
      <c r="P104" s="84">
        <v>297.96813519999995</v>
      </c>
      <c r="Q104" s="84">
        <v>297.07088319999997</v>
      </c>
      <c r="R104" s="84">
        <v>306.7835844</v>
      </c>
      <c r="S104" s="84">
        <v>298.13664739999996</v>
      </c>
      <c r="T104" s="84">
        <v>289.99882409999998</v>
      </c>
      <c r="U104" s="84">
        <v>323.84248599999995</v>
      </c>
      <c r="V104" s="84">
        <v>319.56932119999999</v>
      </c>
      <c r="W104" s="84">
        <v>325.37956459999998</v>
      </c>
      <c r="X104" s="84">
        <v>309.33145320000006</v>
      </c>
      <c r="Y104" s="84">
        <v>309.98971370000004</v>
      </c>
      <c r="Z104" s="84">
        <v>309.07210320000002</v>
      </c>
      <c r="AA104" s="84">
        <v>329.80984750000005</v>
      </c>
    </row>
    <row r="105" spans="2:29" x14ac:dyDescent="0.2">
      <c r="B105" s="91" t="s">
        <v>198</v>
      </c>
      <c r="C105" s="91" t="s">
        <v>70</v>
      </c>
      <c r="D105" s="92">
        <f t="shared" ref="D105:AA105" si="40">D103+D104</f>
        <v>203.25996750000002</v>
      </c>
      <c r="E105" s="92">
        <f t="shared" si="40"/>
        <v>178.9107521</v>
      </c>
      <c r="F105" s="92">
        <f t="shared" si="40"/>
        <v>212.24335430000002</v>
      </c>
      <c r="G105" s="92">
        <f t="shared" si="40"/>
        <v>385.42547059999998</v>
      </c>
      <c r="H105" s="92">
        <f t="shared" si="40"/>
        <v>396.51212580000004</v>
      </c>
      <c r="I105" s="92">
        <f t="shared" si="40"/>
        <v>394.3636601</v>
      </c>
      <c r="J105" s="92">
        <f t="shared" si="40"/>
        <v>404.57902210000003</v>
      </c>
      <c r="K105" s="92">
        <f t="shared" si="40"/>
        <v>401.87733580000003</v>
      </c>
      <c r="L105" s="92">
        <f t="shared" si="40"/>
        <v>371.49048789999995</v>
      </c>
      <c r="M105" s="92">
        <f t="shared" si="40"/>
        <v>387.05892610000001</v>
      </c>
      <c r="N105" s="92">
        <f t="shared" si="40"/>
        <v>456.59289650000005</v>
      </c>
      <c r="O105" s="92">
        <f t="shared" si="40"/>
        <v>446.72727879999997</v>
      </c>
      <c r="P105" s="92">
        <f t="shared" si="40"/>
        <v>387.14090329999993</v>
      </c>
      <c r="Q105" s="92">
        <f t="shared" si="40"/>
        <v>407.94710289999995</v>
      </c>
      <c r="R105" s="92">
        <f t="shared" si="40"/>
        <v>417.06927859999996</v>
      </c>
      <c r="S105" s="92">
        <f t="shared" si="40"/>
        <v>417.00513239999998</v>
      </c>
      <c r="T105" s="92">
        <f t="shared" si="40"/>
        <v>392.98776209999994</v>
      </c>
      <c r="U105" s="92">
        <f t="shared" si="40"/>
        <v>430.01988929999993</v>
      </c>
      <c r="V105" s="92">
        <f t="shared" si="40"/>
        <v>429.20916569999997</v>
      </c>
      <c r="W105" s="92">
        <f t="shared" si="40"/>
        <v>426.98153159999998</v>
      </c>
      <c r="X105" s="92">
        <f t="shared" si="40"/>
        <v>415.07722360000008</v>
      </c>
      <c r="Y105" s="92">
        <f t="shared" si="40"/>
        <v>413.62999960000002</v>
      </c>
      <c r="Z105" s="92">
        <f t="shared" si="40"/>
        <v>410.6300463</v>
      </c>
      <c r="AA105" s="92">
        <f t="shared" si="40"/>
        <v>420.38681070000007</v>
      </c>
    </row>
    <row r="106" spans="2:29" x14ac:dyDescent="0.2">
      <c r="B106" s="72" t="s">
        <v>416</v>
      </c>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spans="2:29" x14ac:dyDescent="0.2">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spans="2:29" s="12" customFormat="1" x14ac:dyDescent="0.2">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row>
    <row r="109" spans="2:29" x14ac:dyDescent="0.2">
      <c r="B109" s="62" t="s">
        <v>210</v>
      </c>
      <c r="C109" s="62" t="s">
        <v>141</v>
      </c>
      <c r="D109" s="74">
        <f t="shared" ref="D109:AA109" si="41">D$6</f>
        <v>2017</v>
      </c>
      <c r="E109" s="74">
        <f t="shared" si="41"/>
        <v>2018</v>
      </c>
      <c r="F109" s="74">
        <f t="shared" si="41"/>
        <v>2019</v>
      </c>
      <c r="G109" s="74">
        <f t="shared" si="41"/>
        <v>2020</v>
      </c>
      <c r="H109" s="74">
        <f t="shared" si="41"/>
        <v>2021</v>
      </c>
      <c r="I109" s="74">
        <f t="shared" si="41"/>
        <v>2022</v>
      </c>
      <c r="J109" s="74">
        <f t="shared" si="41"/>
        <v>2023</v>
      </c>
      <c r="K109" s="74">
        <f t="shared" si="41"/>
        <v>2024</v>
      </c>
      <c r="L109" s="74">
        <f t="shared" si="41"/>
        <v>2025</v>
      </c>
      <c r="M109" s="74">
        <f t="shared" si="41"/>
        <v>2026</v>
      </c>
      <c r="N109" s="74">
        <f t="shared" si="41"/>
        <v>2027</v>
      </c>
      <c r="O109" s="74">
        <f t="shared" si="41"/>
        <v>2028</v>
      </c>
      <c r="P109" s="74">
        <f t="shared" si="41"/>
        <v>2029</v>
      </c>
      <c r="Q109" s="74">
        <f t="shared" si="41"/>
        <v>2030</v>
      </c>
      <c r="R109" s="74">
        <f t="shared" si="41"/>
        <v>2031</v>
      </c>
      <c r="S109" s="74">
        <f t="shared" si="41"/>
        <v>2032</v>
      </c>
      <c r="T109" s="74">
        <f t="shared" si="41"/>
        <v>2033</v>
      </c>
      <c r="U109" s="74">
        <f t="shared" si="41"/>
        <v>2034</v>
      </c>
      <c r="V109" s="74">
        <f t="shared" si="41"/>
        <v>2035</v>
      </c>
      <c r="W109" s="74">
        <f t="shared" si="41"/>
        <v>2036</v>
      </c>
      <c r="X109" s="74">
        <f t="shared" si="41"/>
        <v>2037</v>
      </c>
      <c r="Y109" s="74">
        <f t="shared" si="41"/>
        <v>2038</v>
      </c>
      <c r="Z109" s="74">
        <f t="shared" si="41"/>
        <v>2039</v>
      </c>
      <c r="AA109" s="74">
        <f t="shared" si="41"/>
        <v>2040</v>
      </c>
    </row>
    <row r="110" spans="2:29" x14ac:dyDescent="0.2">
      <c r="B110" s="87" t="s">
        <v>190</v>
      </c>
      <c r="C110" s="59" t="s">
        <v>70</v>
      </c>
      <c r="D110" s="82">
        <f t="shared" ref="D110:AA110" si="42">D103*(1+HLOOKUP(D$138,Elforbrug_Nettab,2,FALSE))</f>
        <v>94.545482373000013</v>
      </c>
      <c r="E110" s="82">
        <f t="shared" si="42"/>
        <v>105.129100827</v>
      </c>
      <c r="F110" s="82">
        <f t="shared" si="42"/>
        <v>125.16228914000001</v>
      </c>
      <c r="G110" s="82">
        <f t="shared" si="42"/>
        <v>78.975171290999995</v>
      </c>
      <c r="H110" s="82">
        <f t="shared" si="42"/>
        <v>88.239289071000016</v>
      </c>
      <c r="I110" s="82">
        <f t="shared" si="42"/>
        <v>74.980529697999998</v>
      </c>
      <c r="J110" s="82">
        <f t="shared" si="42"/>
        <v>96.525194018999997</v>
      </c>
      <c r="K110" s="82">
        <f t="shared" si="42"/>
        <v>88.475306461000017</v>
      </c>
      <c r="L110" s="82">
        <f t="shared" si="42"/>
        <v>57.387623189000003</v>
      </c>
      <c r="M110" s="82">
        <f t="shared" si="42"/>
        <v>79.823061547000009</v>
      </c>
      <c r="N110" s="82">
        <f t="shared" si="42"/>
        <v>155.939269129</v>
      </c>
      <c r="O110" s="82">
        <f t="shared" si="42"/>
        <v>157.68365407000002</v>
      </c>
      <c r="P110" s="82">
        <f t="shared" si="42"/>
        <v>95.414861866999999</v>
      </c>
      <c r="Q110" s="82">
        <f t="shared" si="42"/>
        <v>118.63755507899999</v>
      </c>
      <c r="R110" s="82">
        <f t="shared" si="42"/>
        <v>118.005692794</v>
      </c>
      <c r="S110" s="82">
        <f t="shared" si="42"/>
        <v>127.18927895</v>
      </c>
      <c r="T110" s="82">
        <f t="shared" si="42"/>
        <v>110.19816365999999</v>
      </c>
      <c r="U110" s="82">
        <f t="shared" si="42"/>
        <v>113.60982153100002</v>
      </c>
      <c r="V110" s="82">
        <f t="shared" si="42"/>
        <v>117.31463361500002</v>
      </c>
      <c r="W110" s="82">
        <f t="shared" si="42"/>
        <v>108.71410469000001</v>
      </c>
      <c r="X110" s="82">
        <f t="shared" si="42"/>
        <v>113.14797432800002</v>
      </c>
      <c r="Y110" s="82">
        <f t="shared" si="42"/>
        <v>110.89510591300002</v>
      </c>
      <c r="Z110" s="82">
        <f t="shared" si="42"/>
        <v>108.666999117</v>
      </c>
      <c r="AA110" s="82">
        <f t="shared" si="42"/>
        <v>96.917350623999994</v>
      </c>
    </row>
    <row r="111" spans="2:29" x14ac:dyDescent="0.2">
      <c r="B111" s="87" t="s">
        <v>192</v>
      </c>
      <c r="C111" s="59" t="s">
        <v>70</v>
      </c>
      <c r="D111" s="82">
        <f t="shared" ref="D111:AA111" si="43">D104*(1+HLOOKUP(D$138,Elforbrug_Nettab,3,FALSE))</f>
        <v>121.79368581600001</v>
      </c>
      <c r="E111" s="82">
        <f t="shared" si="43"/>
        <v>85.498811360000005</v>
      </c>
      <c r="F111" s="82">
        <f t="shared" si="43"/>
        <v>100.98540743800001</v>
      </c>
      <c r="G111" s="82">
        <f t="shared" si="43"/>
        <v>330.31391325800001</v>
      </c>
      <c r="H111" s="82">
        <f t="shared" si="43"/>
        <v>332.88823053000004</v>
      </c>
      <c r="I111" s="82">
        <f t="shared" si="43"/>
        <v>343.74570262200001</v>
      </c>
      <c r="J111" s="82">
        <f t="shared" si="43"/>
        <v>333.23067402400005</v>
      </c>
      <c r="K111" s="82">
        <f t="shared" si="43"/>
        <v>338.34154151000001</v>
      </c>
      <c r="L111" s="82">
        <f t="shared" si="43"/>
        <v>336.92862691199997</v>
      </c>
      <c r="M111" s="82">
        <f t="shared" si="43"/>
        <v>331.20541004000006</v>
      </c>
      <c r="N111" s="82">
        <f t="shared" si="43"/>
        <v>329.50657750800008</v>
      </c>
      <c r="O111" s="82">
        <f t="shared" si="43"/>
        <v>317.32094046799995</v>
      </c>
      <c r="P111" s="82">
        <f t="shared" si="43"/>
        <v>315.84622331199995</v>
      </c>
      <c r="Q111" s="82">
        <f t="shared" si="43"/>
        <v>314.895136192</v>
      </c>
      <c r="R111" s="82">
        <f t="shared" si="43"/>
        <v>325.190599464</v>
      </c>
      <c r="S111" s="82">
        <f t="shared" si="43"/>
        <v>316.02484624399995</v>
      </c>
      <c r="T111" s="82">
        <f t="shared" si="43"/>
        <v>307.39875354599997</v>
      </c>
      <c r="U111" s="82">
        <f t="shared" si="43"/>
        <v>343.27303515999995</v>
      </c>
      <c r="V111" s="82">
        <f t="shared" si="43"/>
        <v>338.74348047199999</v>
      </c>
      <c r="W111" s="82">
        <f t="shared" si="43"/>
        <v>344.90233847600001</v>
      </c>
      <c r="X111" s="82">
        <f t="shared" si="43"/>
        <v>327.89134039200007</v>
      </c>
      <c r="Y111" s="82">
        <f t="shared" si="43"/>
        <v>328.58909652200003</v>
      </c>
      <c r="Z111" s="82">
        <f t="shared" si="43"/>
        <v>327.61642939200004</v>
      </c>
      <c r="AA111" s="82">
        <f t="shared" si="43"/>
        <v>349.59843835000009</v>
      </c>
    </row>
    <row r="112" spans="2:29" x14ac:dyDescent="0.2">
      <c r="B112" s="91" t="s">
        <v>198</v>
      </c>
      <c r="C112" s="91" t="s">
        <v>70</v>
      </c>
      <c r="D112" s="94">
        <f t="shared" ref="D112:AA112" si="44">D110+D111</f>
        <v>216.33916818900002</v>
      </c>
      <c r="E112" s="94">
        <f t="shared" si="44"/>
        <v>190.62791218699999</v>
      </c>
      <c r="F112" s="94">
        <f t="shared" si="44"/>
        <v>226.14769657800002</v>
      </c>
      <c r="G112" s="94">
        <f t="shared" si="44"/>
        <v>409.28908454899999</v>
      </c>
      <c r="H112" s="94">
        <f t="shared" si="44"/>
        <v>421.12751960100007</v>
      </c>
      <c r="I112" s="94">
        <f t="shared" si="44"/>
        <v>418.72623232000001</v>
      </c>
      <c r="J112" s="94">
        <f t="shared" si="44"/>
        <v>429.75586804300008</v>
      </c>
      <c r="K112" s="94">
        <f t="shared" si="44"/>
        <v>426.81684797100002</v>
      </c>
      <c r="L112" s="94">
        <f t="shared" si="44"/>
        <v>394.31625010099998</v>
      </c>
      <c r="M112" s="94">
        <f t="shared" si="44"/>
        <v>411.02847158700007</v>
      </c>
      <c r="N112" s="94">
        <f t="shared" si="44"/>
        <v>485.44584663700005</v>
      </c>
      <c r="O112" s="94">
        <f t="shared" si="44"/>
        <v>475.00459453799999</v>
      </c>
      <c r="P112" s="94">
        <f t="shared" si="44"/>
        <v>411.26108517899996</v>
      </c>
      <c r="Q112" s="94">
        <f t="shared" si="44"/>
        <v>433.53269127099998</v>
      </c>
      <c r="R112" s="94">
        <f t="shared" si="44"/>
        <v>443.19629225799997</v>
      </c>
      <c r="S112" s="94">
        <f t="shared" si="44"/>
        <v>443.21412519399996</v>
      </c>
      <c r="T112" s="94">
        <f t="shared" si="44"/>
        <v>417.59691720599994</v>
      </c>
      <c r="U112" s="94">
        <f t="shared" si="44"/>
        <v>456.88285669099997</v>
      </c>
      <c r="V112" s="94">
        <f t="shared" si="44"/>
        <v>456.05811408700004</v>
      </c>
      <c r="W112" s="94">
        <f t="shared" si="44"/>
        <v>453.61644316600001</v>
      </c>
      <c r="X112" s="94">
        <f t="shared" si="44"/>
        <v>441.03931472000011</v>
      </c>
      <c r="Y112" s="94">
        <f t="shared" si="44"/>
        <v>439.48420243500004</v>
      </c>
      <c r="Z112" s="94">
        <f t="shared" si="44"/>
        <v>436.28342850900003</v>
      </c>
      <c r="AA112" s="94">
        <f t="shared" si="44"/>
        <v>446.51578897400009</v>
      </c>
    </row>
    <row r="114" spans="2:27" s="12" customFormat="1" x14ac:dyDescent="0.2"/>
    <row r="115" spans="2:27" s="70" customFormat="1" x14ac:dyDescent="0.2">
      <c r="B115" s="70" t="s">
        <v>217</v>
      </c>
    </row>
    <row r="117" spans="2:27" s="12" customFormat="1" x14ac:dyDescent="0.2">
      <c r="B117" s="62" t="s">
        <v>209</v>
      </c>
      <c r="C117" s="62" t="s">
        <v>141</v>
      </c>
      <c r="D117" s="74">
        <f>D$6</f>
        <v>2017</v>
      </c>
      <c r="E117" s="74">
        <f t="shared" ref="E117:AA117" si="45">E$6</f>
        <v>2018</v>
      </c>
      <c r="F117" s="74">
        <f t="shared" si="45"/>
        <v>2019</v>
      </c>
      <c r="G117" s="74">
        <f t="shared" si="45"/>
        <v>2020</v>
      </c>
      <c r="H117" s="74">
        <f t="shared" si="45"/>
        <v>2021</v>
      </c>
      <c r="I117" s="74">
        <f t="shared" si="45"/>
        <v>2022</v>
      </c>
      <c r="J117" s="74">
        <f t="shared" si="45"/>
        <v>2023</v>
      </c>
      <c r="K117" s="74">
        <f t="shared" si="45"/>
        <v>2024</v>
      </c>
      <c r="L117" s="74">
        <f t="shared" si="45"/>
        <v>2025</v>
      </c>
      <c r="M117" s="74">
        <f t="shared" si="45"/>
        <v>2026</v>
      </c>
      <c r="N117" s="74">
        <f t="shared" si="45"/>
        <v>2027</v>
      </c>
      <c r="O117" s="74">
        <f t="shared" si="45"/>
        <v>2028</v>
      </c>
      <c r="P117" s="74">
        <f t="shared" si="45"/>
        <v>2029</v>
      </c>
      <c r="Q117" s="74">
        <f t="shared" si="45"/>
        <v>2030</v>
      </c>
      <c r="R117" s="74">
        <f t="shared" si="45"/>
        <v>2031</v>
      </c>
      <c r="S117" s="74">
        <f t="shared" si="45"/>
        <v>2032</v>
      </c>
      <c r="T117" s="74">
        <f t="shared" si="45"/>
        <v>2033</v>
      </c>
      <c r="U117" s="74">
        <f t="shared" si="45"/>
        <v>2034</v>
      </c>
      <c r="V117" s="74">
        <f t="shared" si="45"/>
        <v>2035</v>
      </c>
      <c r="W117" s="74">
        <f t="shared" si="45"/>
        <v>2036</v>
      </c>
      <c r="X117" s="74">
        <f t="shared" si="45"/>
        <v>2037</v>
      </c>
      <c r="Y117" s="74">
        <f t="shared" si="45"/>
        <v>2038</v>
      </c>
      <c r="Z117" s="74">
        <f t="shared" si="45"/>
        <v>2039</v>
      </c>
      <c r="AA117" s="74">
        <f t="shared" si="45"/>
        <v>2040</v>
      </c>
    </row>
    <row r="118" spans="2:27" s="12" customFormat="1" x14ac:dyDescent="0.2">
      <c r="B118" s="62" t="s">
        <v>190</v>
      </c>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spans="2:27" s="12" customFormat="1" x14ac:dyDescent="0.2">
      <c r="B119" s="59" t="s">
        <v>418</v>
      </c>
      <c r="C119" s="59" t="s">
        <v>70</v>
      </c>
      <c r="D119" s="84">
        <v>10.853775319658316</v>
      </c>
      <c r="E119" s="84">
        <v>11.209030253425439</v>
      </c>
      <c r="F119" s="84">
        <v>15.856945913745092</v>
      </c>
      <c r="G119" s="84">
        <v>37.941309012106124</v>
      </c>
      <c r="H119" s="84">
        <v>88.794067558796613</v>
      </c>
      <c r="I119" s="84">
        <v>173.57813426196503</v>
      </c>
      <c r="J119" s="84">
        <v>284.73587517185143</v>
      </c>
      <c r="K119" s="84">
        <v>411.65475600005436</v>
      </c>
      <c r="L119" s="84">
        <v>550.28789218536429</v>
      </c>
      <c r="M119" s="84">
        <v>719.97709598529241</v>
      </c>
      <c r="N119" s="84">
        <v>914.9403657279222</v>
      </c>
      <c r="O119" s="84">
        <v>1134.8074289250983</v>
      </c>
      <c r="P119" s="84">
        <v>1381.2240552657952</v>
      </c>
      <c r="Q119" s="84">
        <v>1647.8535839353285</v>
      </c>
      <c r="R119" s="84">
        <v>1935.0515860321582</v>
      </c>
      <c r="S119" s="84">
        <v>2237.9228437251691</v>
      </c>
      <c r="T119" s="84">
        <v>2584.1528096579141</v>
      </c>
      <c r="U119" s="84">
        <v>2942.6599585436534</v>
      </c>
      <c r="V119" s="84">
        <v>3298.9261852403351</v>
      </c>
      <c r="W119" s="84">
        <v>3645.3723715531078</v>
      </c>
      <c r="X119" s="84">
        <v>3965.5554247156092</v>
      </c>
      <c r="Y119" s="84">
        <v>4254.147739140355</v>
      </c>
      <c r="Z119" s="84">
        <v>4518.5524101459187</v>
      </c>
      <c r="AA119" s="84">
        <v>4761.090300250662</v>
      </c>
    </row>
    <row r="120" spans="2:27" s="12" customFormat="1" x14ac:dyDescent="0.2">
      <c r="B120" s="59" t="s">
        <v>419</v>
      </c>
      <c r="C120" s="59" t="s">
        <v>70</v>
      </c>
      <c r="D120" s="84">
        <v>8.7855890346055385E-2</v>
      </c>
      <c r="E120" s="84">
        <v>1.1026763955867644</v>
      </c>
      <c r="F120" s="84">
        <v>2.589097005510494</v>
      </c>
      <c r="G120" s="84">
        <v>3.57499391367026</v>
      </c>
      <c r="H120" s="84">
        <v>4.2404962476518939</v>
      </c>
      <c r="I120" s="84">
        <v>4.7017943112857417</v>
      </c>
      <c r="J120" s="84">
        <v>5.0192703462333839</v>
      </c>
      <c r="K120" s="84">
        <v>5.1813967218250392</v>
      </c>
      <c r="L120" s="84">
        <v>4.3987875232561677</v>
      </c>
      <c r="M120" s="84">
        <v>3.4274189599205527</v>
      </c>
      <c r="N120" s="84">
        <v>3.4607704084329631</v>
      </c>
      <c r="O120" s="84">
        <v>5.288789715501375</v>
      </c>
      <c r="P120" s="84">
        <v>10.281544463534207</v>
      </c>
      <c r="Q120" s="84">
        <v>20.512270705546118</v>
      </c>
      <c r="R120" s="84">
        <v>37.996447066083896</v>
      </c>
      <c r="S120" s="84">
        <v>62.546746217683946</v>
      </c>
      <c r="T120" s="84">
        <v>96.094364836420112</v>
      </c>
      <c r="U120" s="84">
        <v>136.55967892288211</v>
      </c>
      <c r="V120" s="84">
        <v>182.77919862535057</v>
      </c>
      <c r="W120" s="84">
        <v>234.17629211838394</v>
      </c>
      <c r="X120" s="84">
        <v>284.78208715333352</v>
      </c>
      <c r="Y120" s="84">
        <v>331.91288450550121</v>
      </c>
      <c r="Z120" s="84">
        <v>376.11525356523555</v>
      </c>
      <c r="AA120" s="84">
        <v>417.44442263161181</v>
      </c>
    </row>
    <row r="121" spans="2:27" s="12" customFormat="1" x14ac:dyDescent="0.2">
      <c r="B121" s="59" t="s">
        <v>420</v>
      </c>
      <c r="C121" s="59" t="s">
        <v>70</v>
      </c>
      <c r="D121" s="84">
        <v>0.81680863096876422</v>
      </c>
      <c r="E121" s="84">
        <v>1.0142256856167768</v>
      </c>
      <c r="F121" s="84">
        <v>1.2116427402647894</v>
      </c>
      <c r="G121" s="84">
        <v>1.4020055948696672</v>
      </c>
      <c r="H121" s="84">
        <v>1.6260310351441514</v>
      </c>
      <c r="I121" s="84">
        <v>1.850056475418635</v>
      </c>
      <c r="J121" s="84">
        <v>2.0740819156931192</v>
      </c>
      <c r="K121" s="84">
        <v>2.2981073559676028</v>
      </c>
      <c r="L121" s="84">
        <v>2.5192094950474093</v>
      </c>
      <c r="M121" s="84">
        <v>2.7460550372131083</v>
      </c>
      <c r="N121" s="84">
        <v>2.9729005793788073</v>
      </c>
      <c r="O121" s="84">
        <v>3.1997461215445062</v>
      </c>
      <c r="P121" s="84">
        <v>3.4265916637102052</v>
      </c>
      <c r="Q121" s="84">
        <v>3.7258650658479975</v>
      </c>
      <c r="R121" s="84">
        <v>4.0233069315979648</v>
      </c>
      <c r="S121" s="84">
        <v>4.3207487973479317</v>
      </c>
      <c r="T121" s="84">
        <v>4.6181906630978995</v>
      </c>
      <c r="U121" s="84">
        <v>4.9156325288478673</v>
      </c>
      <c r="V121" s="84">
        <v>5.2099240111613812</v>
      </c>
      <c r="W121" s="84">
        <v>5.5133427815315486</v>
      </c>
      <c r="X121" s="84">
        <v>5.62196327758579</v>
      </c>
      <c r="Y121" s="84">
        <v>5.7305837736400314</v>
      </c>
      <c r="Z121" s="84">
        <v>5.8392042696942728</v>
      </c>
      <c r="AA121" s="84">
        <v>5.9942901329124672</v>
      </c>
    </row>
    <row r="122" spans="2:27" s="12" customFormat="1" x14ac:dyDescent="0.2">
      <c r="B122" s="62" t="str">
        <f>"Total, "&amp;B118</f>
        <v>Total, Western Denmark (DK1)</v>
      </c>
      <c r="C122" s="62" t="s">
        <v>70</v>
      </c>
      <c r="D122" s="83">
        <f>SUM(D119:D121)</f>
        <v>11.758439840973136</v>
      </c>
      <c r="E122" s="83">
        <f t="shared" ref="E122:AA122" si="46">SUM(E119:E121)</f>
        <v>13.32593233462898</v>
      </c>
      <c r="F122" s="83">
        <f t="shared" si="46"/>
        <v>19.657685659520375</v>
      </c>
      <c r="G122" s="83">
        <f t="shared" si="46"/>
        <v>42.91830852064605</v>
      </c>
      <c r="H122" s="83">
        <f t="shared" si="46"/>
        <v>94.660594841592655</v>
      </c>
      <c r="I122" s="83">
        <f t="shared" si="46"/>
        <v>180.1299850486694</v>
      </c>
      <c r="J122" s="83">
        <f t="shared" si="46"/>
        <v>291.82922743377793</v>
      </c>
      <c r="K122" s="83">
        <f t="shared" si="46"/>
        <v>419.13426007784699</v>
      </c>
      <c r="L122" s="83">
        <f t="shared" si="46"/>
        <v>557.20588920366788</v>
      </c>
      <c r="M122" s="83">
        <f t="shared" si="46"/>
        <v>726.15056998242608</v>
      </c>
      <c r="N122" s="83">
        <f t="shared" si="46"/>
        <v>921.37403671573395</v>
      </c>
      <c r="O122" s="83">
        <f t="shared" si="46"/>
        <v>1143.2959647621442</v>
      </c>
      <c r="P122" s="83">
        <f t="shared" si="46"/>
        <v>1394.9321913930396</v>
      </c>
      <c r="Q122" s="83">
        <f t="shared" si="46"/>
        <v>1672.0917197067226</v>
      </c>
      <c r="R122" s="83">
        <f t="shared" si="46"/>
        <v>1977.07134002984</v>
      </c>
      <c r="S122" s="83">
        <f t="shared" si="46"/>
        <v>2304.7903387402007</v>
      </c>
      <c r="T122" s="83">
        <f t="shared" si="46"/>
        <v>2684.8653651574318</v>
      </c>
      <c r="U122" s="83">
        <f t="shared" si="46"/>
        <v>3084.1352699953832</v>
      </c>
      <c r="V122" s="83">
        <f t="shared" si="46"/>
        <v>3486.9153078768472</v>
      </c>
      <c r="W122" s="83">
        <f t="shared" si="46"/>
        <v>3885.0620064530235</v>
      </c>
      <c r="X122" s="83">
        <f t="shared" si="46"/>
        <v>4255.9594751465283</v>
      </c>
      <c r="Y122" s="83">
        <f t="shared" si="46"/>
        <v>4591.7912074194965</v>
      </c>
      <c r="Z122" s="83">
        <f t="shared" si="46"/>
        <v>4900.5068679808483</v>
      </c>
      <c r="AA122" s="83">
        <f t="shared" si="46"/>
        <v>5184.5290130151861</v>
      </c>
    </row>
    <row r="123" spans="2:27" s="12" customFormat="1" x14ac:dyDescent="0.2">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spans="2:27" s="12" customFormat="1" x14ac:dyDescent="0.2">
      <c r="B124" s="62" t="s">
        <v>192</v>
      </c>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spans="2:27" s="12" customFormat="1" x14ac:dyDescent="0.2">
      <c r="B125" s="59" t="s">
        <v>418</v>
      </c>
      <c r="C125" s="59" t="s">
        <v>70</v>
      </c>
      <c r="D125" s="84">
        <v>16.506453266580404</v>
      </c>
      <c r="E125" s="84">
        <v>18.719686554113871</v>
      </c>
      <c r="F125" s="84">
        <v>26.621156372576788</v>
      </c>
      <c r="G125" s="84">
        <v>49.524083877421035</v>
      </c>
      <c r="H125" s="84">
        <v>96.053247173443054</v>
      </c>
      <c r="I125" s="84">
        <v>167.9294797852009</v>
      </c>
      <c r="J125" s="84">
        <v>255.90655112266884</v>
      </c>
      <c r="K125" s="84">
        <v>353.50129515741315</v>
      </c>
      <c r="L125" s="84">
        <v>461.32403707016994</v>
      </c>
      <c r="M125" s="84">
        <v>590.69391725711705</v>
      </c>
      <c r="N125" s="84">
        <v>734.68354953530275</v>
      </c>
      <c r="O125" s="84">
        <v>895.34850333030226</v>
      </c>
      <c r="P125" s="84">
        <v>1075.0475369188919</v>
      </c>
      <c r="Q125" s="84">
        <v>1269.3043769354242</v>
      </c>
      <c r="R125" s="84">
        <v>1477.6376640879273</v>
      </c>
      <c r="S125" s="84">
        <v>1697.3448713676135</v>
      </c>
      <c r="T125" s="84">
        <v>1948.5333716877915</v>
      </c>
      <c r="U125" s="84">
        <v>2207.0905944605038</v>
      </c>
      <c r="V125" s="84">
        <v>2461.4798200994633</v>
      </c>
      <c r="W125" s="84">
        <v>2708.5251811949556</v>
      </c>
      <c r="X125" s="84">
        <v>2933.7469432881471</v>
      </c>
      <c r="Y125" s="84">
        <v>3135.3054436499783</v>
      </c>
      <c r="Z125" s="84">
        <v>3322.3353259985588</v>
      </c>
      <c r="AA125" s="84">
        <v>3495.1085030142494</v>
      </c>
    </row>
    <row r="126" spans="2:27" s="12" customFormat="1" x14ac:dyDescent="0.2">
      <c r="B126" s="59" t="s">
        <v>419</v>
      </c>
      <c r="C126" s="59" t="s">
        <v>70</v>
      </c>
      <c r="D126" s="84">
        <v>0.12322017247926703</v>
      </c>
      <c r="E126" s="84">
        <v>1.4547156668375987</v>
      </c>
      <c r="F126" s="84">
        <v>3.1302177223038719</v>
      </c>
      <c r="G126" s="84">
        <v>3.972106351080761</v>
      </c>
      <c r="H126" s="84">
        <v>4.5159435869915079</v>
      </c>
      <c r="I126" s="84">
        <v>4.9056571827725319</v>
      </c>
      <c r="J126" s="84">
        <v>5.1887465639314643</v>
      </c>
      <c r="K126" s="84">
        <v>5.302745077194178</v>
      </c>
      <c r="L126" s="84">
        <v>4.2029048456632223</v>
      </c>
      <c r="M126" s="84">
        <v>3.0640093866414846</v>
      </c>
      <c r="N126" s="84">
        <v>3.3154554646897845</v>
      </c>
      <c r="O126" s="84">
        <v>5.4931346537315395</v>
      </c>
      <c r="P126" s="84">
        <v>11.085914679968054</v>
      </c>
      <c r="Q126" s="84">
        <v>22.378251005546467</v>
      </c>
      <c r="R126" s="84">
        <v>41.529882582731624</v>
      </c>
      <c r="S126" s="84">
        <v>68.286692007504314</v>
      </c>
      <c r="T126" s="84">
        <v>104.63480220135511</v>
      </c>
      <c r="U126" s="84">
        <v>148.38620232479349</v>
      </c>
      <c r="V126" s="84">
        <v>198.26665981574507</v>
      </c>
      <c r="W126" s="84">
        <v>253.43948687890591</v>
      </c>
      <c r="X126" s="84">
        <v>307.75492701997928</v>
      </c>
      <c r="Y126" s="84">
        <v>358.46839211122222</v>
      </c>
      <c r="Z126" s="84">
        <v>406.13822426644299</v>
      </c>
      <c r="AA126" s="84">
        <v>450.71903654239344</v>
      </c>
    </row>
    <row r="127" spans="2:27" s="12" customFormat="1" x14ac:dyDescent="0.2">
      <c r="B127" s="59" t="s">
        <v>420</v>
      </c>
      <c r="C127" s="59" t="s">
        <v>70</v>
      </c>
      <c r="D127" s="84">
        <v>119.34163400249574</v>
      </c>
      <c r="E127" s="84">
        <v>119.38465725089839</v>
      </c>
      <c r="F127" s="84">
        <v>119.42768049930102</v>
      </c>
      <c r="G127" s="84">
        <v>112.99288238367895</v>
      </c>
      <c r="H127" s="84">
        <v>113.04170441773586</v>
      </c>
      <c r="I127" s="84">
        <v>113.09052645179277</v>
      </c>
      <c r="J127" s="84">
        <v>113.13934848584967</v>
      </c>
      <c r="K127" s="84">
        <v>113.18817051990658</v>
      </c>
      <c r="L127" s="84">
        <v>112.829541966821</v>
      </c>
      <c r="M127" s="84">
        <v>112.87897858782128</v>
      </c>
      <c r="N127" s="84">
        <v>112.92841520882156</v>
      </c>
      <c r="O127" s="84">
        <v>112.97785182982184</v>
      </c>
      <c r="P127" s="84">
        <v>113.02728845082213</v>
      </c>
      <c r="Q127" s="84">
        <v>112.68862253626338</v>
      </c>
      <c r="R127" s="84">
        <v>112.75344426758909</v>
      </c>
      <c r="S127" s="84">
        <v>112.81826599891478</v>
      </c>
      <c r="T127" s="84">
        <v>112.88308773024049</v>
      </c>
      <c r="U127" s="84">
        <v>112.9479094615662</v>
      </c>
      <c r="V127" s="84">
        <v>112.61105307927792</v>
      </c>
      <c r="W127" s="84">
        <v>112.67717736195924</v>
      </c>
      <c r="X127" s="84">
        <v>112.70084910902128</v>
      </c>
      <c r="Y127" s="84">
        <v>112.72452085608332</v>
      </c>
      <c r="Z127" s="84">
        <v>112.74819260314534</v>
      </c>
      <c r="AA127" s="84">
        <v>112.38386326008487</v>
      </c>
    </row>
    <row r="128" spans="2:27" s="12" customFormat="1" x14ac:dyDescent="0.2">
      <c r="B128" s="62" t="str">
        <f>"Total, "&amp;B124</f>
        <v>Total, Eastern Denmark (DK2)</v>
      </c>
      <c r="C128" s="62" t="s">
        <v>70</v>
      </c>
      <c r="D128" s="83">
        <f>SUM(D125:D127)</f>
        <v>135.97130744155541</v>
      </c>
      <c r="E128" s="83">
        <f t="shared" ref="E128:AA128" si="47">SUM(E125:E127)</f>
        <v>139.55905947184985</v>
      </c>
      <c r="F128" s="83">
        <f t="shared" si="47"/>
        <v>149.17905459418168</v>
      </c>
      <c r="G128" s="83">
        <f t="shared" si="47"/>
        <v>166.48907261218073</v>
      </c>
      <c r="H128" s="83">
        <f t="shared" si="47"/>
        <v>213.61089517817044</v>
      </c>
      <c r="I128" s="83">
        <f t="shared" si="47"/>
        <v>285.92566341976618</v>
      </c>
      <c r="J128" s="83">
        <f t="shared" si="47"/>
        <v>374.23464617244997</v>
      </c>
      <c r="K128" s="83">
        <f t="shared" si="47"/>
        <v>471.99221075451391</v>
      </c>
      <c r="L128" s="83">
        <f t="shared" si="47"/>
        <v>578.35648388265417</v>
      </c>
      <c r="M128" s="83">
        <f t="shared" si="47"/>
        <v>706.63690523157982</v>
      </c>
      <c r="N128" s="83">
        <f t="shared" si="47"/>
        <v>850.92742020881406</v>
      </c>
      <c r="O128" s="83">
        <f t="shared" si="47"/>
        <v>1013.8194898138556</v>
      </c>
      <c r="P128" s="83">
        <f t="shared" si="47"/>
        <v>1199.1607400496821</v>
      </c>
      <c r="Q128" s="83">
        <f t="shared" si="47"/>
        <v>1404.3712504772341</v>
      </c>
      <c r="R128" s="83">
        <f t="shared" si="47"/>
        <v>1631.920990938248</v>
      </c>
      <c r="S128" s="83">
        <f t="shared" si="47"/>
        <v>1878.4498293740326</v>
      </c>
      <c r="T128" s="83">
        <f t="shared" si="47"/>
        <v>2166.0512616193869</v>
      </c>
      <c r="U128" s="83">
        <f t="shared" si="47"/>
        <v>2468.4247062468635</v>
      </c>
      <c r="V128" s="83">
        <f t="shared" si="47"/>
        <v>2772.3575329944865</v>
      </c>
      <c r="W128" s="83">
        <f t="shared" si="47"/>
        <v>3074.6418454358209</v>
      </c>
      <c r="X128" s="83">
        <f t="shared" si="47"/>
        <v>3354.2027194171478</v>
      </c>
      <c r="Y128" s="83">
        <f t="shared" si="47"/>
        <v>3606.4983566172841</v>
      </c>
      <c r="Z128" s="83">
        <f t="shared" si="47"/>
        <v>3841.2217428681474</v>
      </c>
      <c r="AA128" s="83">
        <f t="shared" si="47"/>
        <v>4058.211402816728</v>
      </c>
    </row>
    <row r="129" spans="2:27" s="12" customFormat="1" x14ac:dyDescent="0.2">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spans="2:27" s="12" customFormat="1" x14ac:dyDescent="0.2">
      <c r="B130" s="62" t="s">
        <v>119</v>
      </c>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spans="2:27" s="12" customFormat="1" x14ac:dyDescent="0.2">
      <c r="B131" s="59" t="s">
        <v>418</v>
      </c>
      <c r="C131" s="59" t="s">
        <v>70</v>
      </c>
      <c r="D131" s="82">
        <f>D119+D125</f>
        <v>27.360228586238719</v>
      </c>
      <c r="E131" s="82">
        <f t="shared" ref="E131:AA133" si="48">E119+E125</f>
        <v>29.92871680753931</v>
      </c>
      <c r="F131" s="82">
        <f t="shared" si="48"/>
        <v>42.478102286321878</v>
      </c>
      <c r="G131" s="82">
        <f t="shared" si="48"/>
        <v>87.465392889527152</v>
      </c>
      <c r="H131" s="82">
        <f t="shared" si="48"/>
        <v>184.84731473223968</v>
      </c>
      <c r="I131" s="82">
        <f t="shared" si="48"/>
        <v>341.50761404716593</v>
      </c>
      <c r="J131" s="82">
        <f t="shared" si="48"/>
        <v>540.64242629452031</v>
      </c>
      <c r="K131" s="82">
        <f t="shared" si="48"/>
        <v>765.15605115746757</v>
      </c>
      <c r="L131" s="82">
        <f t="shared" si="48"/>
        <v>1011.6119292555343</v>
      </c>
      <c r="M131" s="82">
        <f t="shared" si="48"/>
        <v>1310.6710132424096</v>
      </c>
      <c r="N131" s="82">
        <f t="shared" si="48"/>
        <v>1649.6239152632249</v>
      </c>
      <c r="O131" s="82">
        <f t="shared" si="48"/>
        <v>2030.1559322554006</v>
      </c>
      <c r="P131" s="82">
        <f t="shared" si="48"/>
        <v>2456.2715921846871</v>
      </c>
      <c r="Q131" s="82">
        <f t="shared" si="48"/>
        <v>2917.1579608707525</v>
      </c>
      <c r="R131" s="82">
        <f t="shared" si="48"/>
        <v>3412.6892501200855</v>
      </c>
      <c r="S131" s="82">
        <f t="shared" si="48"/>
        <v>3935.2677150927825</v>
      </c>
      <c r="T131" s="82">
        <f t="shared" si="48"/>
        <v>4532.6861813457053</v>
      </c>
      <c r="U131" s="82">
        <f t="shared" si="48"/>
        <v>5149.7505530041572</v>
      </c>
      <c r="V131" s="82">
        <f t="shared" si="48"/>
        <v>5760.4060053397989</v>
      </c>
      <c r="W131" s="82">
        <f t="shared" si="48"/>
        <v>6353.8975527480634</v>
      </c>
      <c r="X131" s="82">
        <f t="shared" si="48"/>
        <v>6899.3023680037568</v>
      </c>
      <c r="Y131" s="82">
        <f t="shared" si="48"/>
        <v>7389.4531827903338</v>
      </c>
      <c r="Z131" s="82">
        <f t="shared" si="48"/>
        <v>7840.8877361444775</v>
      </c>
      <c r="AA131" s="82">
        <f t="shared" si="48"/>
        <v>8256.1988032649115</v>
      </c>
    </row>
    <row r="132" spans="2:27" s="12" customFormat="1" x14ac:dyDescent="0.2">
      <c r="B132" s="59" t="s">
        <v>419</v>
      </c>
      <c r="C132" s="59" t="s">
        <v>70</v>
      </c>
      <c r="D132" s="82">
        <f t="shared" ref="D132:S133" si="49">D120+D126</f>
        <v>0.21107606282532243</v>
      </c>
      <c r="E132" s="82">
        <f t="shared" si="49"/>
        <v>2.5573920624243631</v>
      </c>
      <c r="F132" s="82">
        <f t="shared" si="49"/>
        <v>5.7193147278143659</v>
      </c>
      <c r="G132" s="82">
        <f t="shared" si="49"/>
        <v>7.5471002647510215</v>
      </c>
      <c r="H132" s="82">
        <f t="shared" si="49"/>
        <v>8.7564398346434018</v>
      </c>
      <c r="I132" s="82">
        <f t="shared" si="49"/>
        <v>9.6074514940582745</v>
      </c>
      <c r="J132" s="82">
        <f t="shared" si="49"/>
        <v>10.208016910164847</v>
      </c>
      <c r="K132" s="82">
        <f t="shared" si="49"/>
        <v>10.484141799019216</v>
      </c>
      <c r="L132" s="82">
        <f t="shared" si="49"/>
        <v>8.6016923689193909</v>
      </c>
      <c r="M132" s="82">
        <f t="shared" si="49"/>
        <v>6.4914283465620368</v>
      </c>
      <c r="N132" s="82">
        <f t="shared" si="49"/>
        <v>6.7762258731227476</v>
      </c>
      <c r="O132" s="82">
        <f t="shared" si="49"/>
        <v>10.781924369232915</v>
      </c>
      <c r="P132" s="82">
        <f t="shared" si="49"/>
        <v>21.367459143502259</v>
      </c>
      <c r="Q132" s="82">
        <f t="shared" si="49"/>
        <v>42.890521711092589</v>
      </c>
      <c r="R132" s="82">
        <f t="shared" si="49"/>
        <v>79.526329648815519</v>
      </c>
      <c r="S132" s="82">
        <f t="shared" si="49"/>
        <v>130.83343822518827</v>
      </c>
      <c r="T132" s="82">
        <f t="shared" si="48"/>
        <v>200.72916703777523</v>
      </c>
      <c r="U132" s="82">
        <f t="shared" si="48"/>
        <v>284.94588124767563</v>
      </c>
      <c r="V132" s="82">
        <f t="shared" si="48"/>
        <v>381.04585844109567</v>
      </c>
      <c r="W132" s="82">
        <f t="shared" si="48"/>
        <v>487.61577899728985</v>
      </c>
      <c r="X132" s="82">
        <f t="shared" si="48"/>
        <v>592.53701417331285</v>
      </c>
      <c r="Y132" s="82">
        <f t="shared" si="48"/>
        <v>690.38127661672343</v>
      </c>
      <c r="Z132" s="82">
        <f t="shared" si="48"/>
        <v>782.25347783167854</v>
      </c>
      <c r="AA132" s="82">
        <f t="shared" si="48"/>
        <v>868.16345917400531</v>
      </c>
    </row>
    <row r="133" spans="2:27" s="12" customFormat="1" x14ac:dyDescent="0.2">
      <c r="B133" s="59" t="s">
        <v>420</v>
      </c>
      <c r="C133" s="59" t="s">
        <v>70</v>
      </c>
      <c r="D133" s="82">
        <f t="shared" si="49"/>
        <v>120.1584426334645</v>
      </c>
      <c r="E133" s="82">
        <f t="shared" si="48"/>
        <v>120.39888293651516</v>
      </c>
      <c r="F133" s="82">
        <f t="shared" si="48"/>
        <v>120.63932323956581</v>
      </c>
      <c r="G133" s="82">
        <f t="shared" si="48"/>
        <v>114.39488797854861</v>
      </c>
      <c r="H133" s="82">
        <f t="shared" si="48"/>
        <v>114.66773545288001</v>
      </c>
      <c r="I133" s="82">
        <f t="shared" si="48"/>
        <v>114.94058292721141</v>
      </c>
      <c r="J133" s="82">
        <f t="shared" si="48"/>
        <v>115.21343040154278</v>
      </c>
      <c r="K133" s="82">
        <f t="shared" si="48"/>
        <v>115.48627787587418</v>
      </c>
      <c r="L133" s="82">
        <f t="shared" si="48"/>
        <v>115.3487514618684</v>
      </c>
      <c r="M133" s="82">
        <f t="shared" si="48"/>
        <v>115.62503362503439</v>
      </c>
      <c r="N133" s="82">
        <f t="shared" si="48"/>
        <v>115.90131578820036</v>
      </c>
      <c r="O133" s="82">
        <f t="shared" si="48"/>
        <v>116.17759795136635</v>
      </c>
      <c r="P133" s="82">
        <f t="shared" si="48"/>
        <v>116.45388011453232</v>
      </c>
      <c r="Q133" s="82">
        <f t="shared" si="48"/>
        <v>116.41448760211138</v>
      </c>
      <c r="R133" s="82">
        <f t="shared" si="48"/>
        <v>116.77675119918706</v>
      </c>
      <c r="S133" s="82">
        <f t="shared" si="48"/>
        <v>117.13901479626271</v>
      </c>
      <c r="T133" s="82">
        <f t="shared" si="48"/>
        <v>117.5012783933384</v>
      </c>
      <c r="U133" s="82">
        <f t="shared" si="48"/>
        <v>117.86354199041406</v>
      </c>
      <c r="V133" s="82">
        <f t="shared" si="48"/>
        <v>117.8209770904393</v>
      </c>
      <c r="W133" s="82">
        <f t="shared" si="48"/>
        <v>118.19052014349079</v>
      </c>
      <c r="X133" s="82">
        <f t="shared" si="48"/>
        <v>118.32281238660707</v>
      </c>
      <c r="Y133" s="82">
        <f t="shared" si="48"/>
        <v>118.45510462972335</v>
      </c>
      <c r="Z133" s="82">
        <f t="shared" si="48"/>
        <v>118.58739687283962</v>
      </c>
      <c r="AA133" s="82">
        <f t="shared" si="48"/>
        <v>118.37815339299733</v>
      </c>
    </row>
    <row r="134" spans="2:27" s="12" customFormat="1" x14ac:dyDescent="0.2">
      <c r="B134" s="91" t="s">
        <v>198</v>
      </c>
      <c r="C134" s="91" t="s">
        <v>70</v>
      </c>
      <c r="D134" s="94">
        <f>SUM(D131:D133)</f>
        <v>147.72974728252854</v>
      </c>
      <c r="E134" s="94">
        <f t="shared" ref="E134:AA134" si="50">SUM(E131:E133)</f>
        <v>152.88499180647884</v>
      </c>
      <c r="F134" s="94">
        <f t="shared" si="50"/>
        <v>168.83674025370206</v>
      </c>
      <c r="G134" s="94">
        <f t="shared" si="50"/>
        <v>209.4073811328268</v>
      </c>
      <c r="H134" s="94">
        <f t="shared" si="50"/>
        <v>308.27149001976306</v>
      </c>
      <c r="I134" s="94">
        <f t="shared" si="50"/>
        <v>466.05564846843561</v>
      </c>
      <c r="J134" s="94">
        <f t="shared" si="50"/>
        <v>666.06387360622784</v>
      </c>
      <c r="K134" s="94">
        <f t="shared" si="50"/>
        <v>891.12647083236095</v>
      </c>
      <c r="L134" s="94">
        <f t="shared" si="50"/>
        <v>1135.5623730863222</v>
      </c>
      <c r="M134" s="94">
        <f t="shared" si="50"/>
        <v>1432.787475214006</v>
      </c>
      <c r="N134" s="94">
        <f t="shared" si="50"/>
        <v>1772.3014569245481</v>
      </c>
      <c r="O134" s="94">
        <f t="shared" si="50"/>
        <v>2157.115454576</v>
      </c>
      <c r="P134" s="94">
        <f t="shared" si="50"/>
        <v>2594.0929314427217</v>
      </c>
      <c r="Q134" s="94">
        <f t="shared" si="50"/>
        <v>3076.4629701839567</v>
      </c>
      <c r="R134" s="94">
        <f t="shared" si="50"/>
        <v>3608.992330968088</v>
      </c>
      <c r="S134" s="94">
        <f t="shared" si="50"/>
        <v>4183.2401681142337</v>
      </c>
      <c r="T134" s="94">
        <f t="shared" si="50"/>
        <v>4850.9166267768187</v>
      </c>
      <c r="U134" s="94">
        <f t="shared" si="50"/>
        <v>5552.5599762422471</v>
      </c>
      <c r="V134" s="94">
        <f t="shared" si="50"/>
        <v>6259.2728408713338</v>
      </c>
      <c r="W134" s="94">
        <f t="shared" si="50"/>
        <v>6959.7038518888439</v>
      </c>
      <c r="X134" s="94">
        <f t="shared" si="50"/>
        <v>7610.1621945636771</v>
      </c>
      <c r="Y134" s="94">
        <f t="shared" si="50"/>
        <v>8198.2895640367806</v>
      </c>
      <c r="Z134" s="94">
        <f t="shared" si="50"/>
        <v>8741.7286108489952</v>
      </c>
      <c r="AA134" s="94">
        <f t="shared" si="50"/>
        <v>9242.740415831915</v>
      </c>
    </row>
    <row r="135" spans="2:27" s="12" customFormat="1" x14ac:dyDescent="0.2">
      <c r="B135" s="72" t="s">
        <v>421</v>
      </c>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row>
    <row r="136" spans="2:27" s="12" customFormat="1" x14ac:dyDescent="0.2">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row>
    <row r="137" spans="2:27" s="12" customFormat="1" x14ac:dyDescent="0.2">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row>
    <row r="138" spans="2:27" s="12" customFormat="1" x14ac:dyDescent="0.2">
      <c r="B138" s="62" t="s">
        <v>210</v>
      </c>
      <c r="C138" s="62" t="s">
        <v>141</v>
      </c>
      <c r="D138" s="74">
        <f>D$6</f>
        <v>2017</v>
      </c>
      <c r="E138" s="74">
        <f t="shared" ref="E138:AA138" si="51">E$6</f>
        <v>2018</v>
      </c>
      <c r="F138" s="74">
        <f t="shared" si="51"/>
        <v>2019</v>
      </c>
      <c r="G138" s="74">
        <f t="shared" si="51"/>
        <v>2020</v>
      </c>
      <c r="H138" s="74">
        <f t="shared" si="51"/>
        <v>2021</v>
      </c>
      <c r="I138" s="74">
        <f t="shared" si="51"/>
        <v>2022</v>
      </c>
      <c r="J138" s="74">
        <f t="shared" si="51"/>
        <v>2023</v>
      </c>
      <c r="K138" s="74">
        <f t="shared" si="51"/>
        <v>2024</v>
      </c>
      <c r="L138" s="74">
        <f t="shared" si="51"/>
        <v>2025</v>
      </c>
      <c r="M138" s="74">
        <f t="shared" si="51"/>
        <v>2026</v>
      </c>
      <c r="N138" s="74">
        <f t="shared" si="51"/>
        <v>2027</v>
      </c>
      <c r="O138" s="74">
        <f t="shared" si="51"/>
        <v>2028</v>
      </c>
      <c r="P138" s="74">
        <f t="shared" si="51"/>
        <v>2029</v>
      </c>
      <c r="Q138" s="74">
        <f t="shared" si="51"/>
        <v>2030</v>
      </c>
      <c r="R138" s="74">
        <f t="shared" si="51"/>
        <v>2031</v>
      </c>
      <c r="S138" s="74">
        <f t="shared" si="51"/>
        <v>2032</v>
      </c>
      <c r="T138" s="74">
        <f t="shared" si="51"/>
        <v>2033</v>
      </c>
      <c r="U138" s="74">
        <f t="shared" si="51"/>
        <v>2034</v>
      </c>
      <c r="V138" s="74">
        <f t="shared" si="51"/>
        <v>2035</v>
      </c>
      <c r="W138" s="74">
        <f t="shared" si="51"/>
        <v>2036</v>
      </c>
      <c r="X138" s="74">
        <f t="shared" si="51"/>
        <v>2037</v>
      </c>
      <c r="Y138" s="74">
        <f t="shared" si="51"/>
        <v>2038</v>
      </c>
      <c r="Z138" s="74">
        <f t="shared" si="51"/>
        <v>2039</v>
      </c>
      <c r="AA138" s="74">
        <f t="shared" si="51"/>
        <v>2040</v>
      </c>
    </row>
    <row r="139" spans="2:27" s="12" customFormat="1" x14ac:dyDescent="0.2">
      <c r="B139" s="62" t="s">
        <v>190</v>
      </c>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2:27" s="12" customFormat="1" x14ac:dyDescent="0.2">
      <c r="B140" s="59" t="s">
        <v>418</v>
      </c>
      <c r="C140" s="59" t="s">
        <v>70</v>
      </c>
      <c r="D140" s="82">
        <f t="shared" ref="D140:AA140" si="52">D119*(1+HLOOKUP(D$138,Elforbrug_Nettab,2,FALSE))</f>
        <v>11.6135395920344</v>
      </c>
      <c r="E140" s="82">
        <f t="shared" si="52"/>
        <v>11.99366237116522</v>
      </c>
      <c r="F140" s="82">
        <f t="shared" si="52"/>
        <v>16.966932127707249</v>
      </c>
      <c r="G140" s="82">
        <f t="shared" si="52"/>
        <v>40.597200642953553</v>
      </c>
      <c r="H140" s="82">
        <f t="shared" si="52"/>
        <v>95.009652287912374</v>
      </c>
      <c r="I140" s="82">
        <f t="shared" si="52"/>
        <v>185.72860366030258</v>
      </c>
      <c r="J140" s="82">
        <f t="shared" si="52"/>
        <v>304.66738643388106</v>
      </c>
      <c r="K140" s="82">
        <f t="shared" si="52"/>
        <v>440.47058892005822</v>
      </c>
      <c r="L140" s="82">
        <f t="shared" si="52"/>
        <v>588.80804463833977</v>
      </c>
      <c r="M140" s="82">
        <f t="shared" si="52"/>
        <v>770.37549270426291</v>
      </c>
      <c r="N140" s="82">
        <f t="shared" si="52"/>
        <v>978.98619132887677</v>
      </c>
      <c r="O140" s="82">
        <f t="shared" si="52"/>
        <v>1214.2439489498552</v>
      </c>
      <c r="P140" s="82">
        <f t="shared" si="52"/>
        <v>1477.909739134401</v>
      </c>
      <c r="Q140" s="82">
        <f t="shared" si="52"/>
        <v>1763.2033348108016</v>
      </c>
      <c r="R140" s="82">
        <f t="shared" si="52"/>
        <v>2070.5051970544096</v>
      </c>
      <c r="S140" s="82">
        <f t="shared" si="52"/>
        <v>2394.577442785931</v>
      </c>
      <c r="T140" s="82">
        <f t="shared" si="52"/>
        <v>2765.0435063339683</v>
      </c>
      <c r="U140" s="82">
        <f t="shared" si="52"/>
        <v>3148.6461556417094</v>
      </c>
      <c r="V140" s="82">
        <f t="shared" si="52"/>
        <v>3529.8510182071586</v>
      </c>
      <c r="W140" s="82">
        <f t="shared" si="52"/>
        <v>3900.5484375618257</v>
      </c>
      <c r="X140" s="82">
        <f t="shared" si="52"/>
        <v>4243.1443044457019</v>
      </c>
      <c r="Y140" s="82">
        <f t="shared" si="52"/>
        <v>4551.9380808801798</v>
      </c>
      <c r="Z140" s="82">
        <f t="shared" si="52"/>
        <v>4834.8510788561334</v>
      </c>
      <c r="AA140" s="82">
        <f t="shared" si="52"/>
        <v>5094.3666212682083</v>
      </c>
    </row>
    <row r="141" spans="2:27" s="12" customFormat="1" x14ac:dyDescent="0.2">
      <c r="B141" s="59" t="s">
        <v>419</v>
      </c>
      <c r="C141" s="59" t="s">
        <v>70</v>
      </c>
      <c r="D141" s="82">
        <f t="shared" ref="D141:AA141" si="53">D120*(1+HLOOKUP(D$138,Elforbrug_Nettab,2,FALSE))</f>
        <v>9.4005802670279262E-2</v>
      </c>
      <c r="E141" s="82">
        <f t="shared" si="53"/>
        <v>1.1798637432778381</v>
      </c>
      <c r="F141" s="82">
        <f t="shared" si="53"/>
        <v>2.7703337958962289</v>
      </c>
      <c r="G141" s="82">
        <f t="shared" si="53"/>
        <v>3.8252434876271786</v>
      </c>
      <c r="H141" s="82">
        <f t="shared" si="53"/>
        <v>4.537330984987527</v>
      </c>
      <c r="I141" s="82">
        <f t="shared" si="53"/>
        <v>5.0309199130757438</v>
      </c>
      <c r="J141" s="82">
        <f t="shared" si="53"/>
        <v>5.3706192704697209</v>
      </c>
      <c r="K141" s="82">
        <f t="shared" si="53"/>
        <v>5.5440944923527926</v>
      </c>
      <c r="L141" s="82">
        <f t="shared" si="53"/>
        <v>4.7067026498840994</v>
      </c>
      <c r="M141" s="82">
        <f t="shared" si="53"/>
        <v>3.6673382871149918</v>
      </c>
      <c r="N141" s="82">
        <f t="shared" si="53"/>
        <v>3.7030243370232707</v>
      </c>
      <c r="O141" s="82">
        <f t="shared" si="53"/>
        <v>5.6590049955864714</v>
      </c>
      <c r="P141" s="82">
        <f t="shared" si="53"/>
        <v>11.001252575981601</v>
      </c>
      <c r="Q141" s="82">
        <f t="shared" si="53"/>
        <v>21.948129654934348</v>
      </c>
      <c r="R141" s="82">
        <f t="shared" si="53"/>
        <v>40.656198360709773</v>
      </c>
      <c r="S141" s="82">
        <f t="shared" si="53"/>
        <v>66.925018452921833</v>
      </c>
      <c r="T141" s="82">
        <f t="shared" si="53"/>
        <v>102.82097037496952</v>
      </c>
      <c r="U141" s="82">
        <f t="shared" si="53"/>
        <v>146.11885644748386</v>
      </c>
      <c r="V141" s="82">
        <f t="shared" si="53"/>
        <v>195.57374252912513</v>
      </c>
      <c r="W141" s="82">
        <f t="shared" si="53"/>
        <v>250.56863256667083</v>
      </c>
      <c r="X141" s="82">
        <f t="shared" si="53"/>
        <v>304.7168332540669</v>
      </c>
      <c r="Y141" s="82">
        <f t="shared" si="53"/>
        <v>355.14678642088631</v>
      </c>
      <c r="Z141" s="82">
        <f t="shared" si="53"/>
        <v>402.44332131480206</v>
      </c>
      <c r="AA141" s="82">
        <f t="shared" si="53"/>
        <v>446.66553221582467</v>
      </c>
    </row>
    <row r="142" spans="2:27" s="12" customFormat="1" x14ac:dyDescent="0.2">
      <c r="B142" s="59" t="s">
        <v>420</v>
      </c>
      <c r="C142" s="59" t="s">
        <v>70</v>
      </c>
      <c r="D142" s="82">
        <f t="shared" ref="D142:AA142" si="54">D121*(1+HLOOKUP(D$138,Elforbrug_Nettab,2,FALSE))</f>
        <v>0.87398523513657778</v>
      </c>
      <c r="E142" s="82">
        <f t="shared" si="54"/>
        <v>1.0852214836099512</v>
      </c>
      <c r="F142" s="82">
        <f t="shared" si="54"/>
        <v>1.2964577320833246</v>
      </c>
      <c r="G142" s="82">
        <f t="shared" si="54"/>
        <v>1.500145986510544</v>
      </c>
      <c r="H142" s="82">
        <f t="shared" si="54"/>
        <v>1.7398532076042421</v>
      </c>
      <c r="I142" s="82">
        <f t="shared" si="54"/>
        <v>1.9795604286979396</v>
      </c>
      <c r="J142" s="82">
        <f t="shared" si="54"/>
        <v>2.2192676497916377</v>
      </c>
      <c r="K142" s="82">
        <f t="shared" si="54"/>
        <v>2.4589748708853354</v>
      </c>
      <c r="L142" s="82">
        <f t="shared" si="54"/>
        <v>2.6955541597007282</v>
      </c>
      <c r="M142" s="82">
        <f t="shared" si="54"/>
        <v>2.9382788898180259</v>
      </c>
      <c r="N142" s="82">
        <f t="shared" si="54"/>
        <v>3.181003619935324</v>
      </c>
      <c r="O142" s="82">
        <f t="shared" si="54"/>
        <v>3.4237283500526217</v>
      </c>
      <c r="P142" s="82">
        <f t="shared" si="54"/>
        <v>3.6664530801699198</v>
      </c>
      <c r="Q142" s="82">
        <f t="shared" si="54"/>
        <v>3.9866756204573575</v>
      </c>
      <c r="R142" s="82">
        <f t="shared" si="54"/>
        <v>4.304938416809823</v>
      </c>
      <c r="S142" s="82">
        <f t="shared" si="54"/>
        <v>4.6232012131622868</v>
      </c>
      <c r="T142" s="82">
        <f t="shared" si="54"/>
        <v>4.9414640095147524</v>
      </c>
      <c r="U142" s="82">
        <f t="shared" si="54"/>
        <v>5.259726805867218</v>
      </c>
      <c r="V142" s="82">
        <f t="shared" si="54"/>
        <v>5.5746186919426783</v>
      </c>
      <c r="W142" s="82">
        <f t="shared" si="54"/>
        <v>5.8992767762387572</v>
      </c>
      <c r="X142" s="82">
        <f t="shared" si="54"/>
        <v>6.0155007070167956</v>
      </c>
      <c r="Y142" s="82">
        <f t="shared" si="54"/>
        <v>6.131724637794834</v>
      </c>
      <c r="Z142" s="82">
        <f t="shared" si="54"/>
        <v>6.2479485685728724</v>
      </c>
      <c r="AA142" s="82">
        <f t="shared" si="54"/>
        <v>6.4138904422163403</v>
      </c>
    </row>
    <row r="143" spans="2:27" s="12" customFormat="1" x14ac:dyDescent="0.2">
      <c r="B143" s="62" t="str">
        <f>"Total, "&amp;B139</f>
        <v>Total, Western Denmark (DK1)</v>
      </c>
      <c r="C143" s="62" t="s">
        <v>70</v>
      </c>
      <c r="D143" s="83">
        <f t="shared" ref="D143:AA143" si="55">SUM(D140:D142)</f>
        <v>12.581530629841257</v>
      </c>
      <c r="E143" s="83">
        <f t="shared" si="55"/>
        <v>14.258747598053009</v>
      </c>
      <c r="F143" s="83">
        <f t="shared" si="55"/>
        <v>21.033723655686803</v>
      </c>
      <c r="G143" s="83">
        <f t="shared" si="55"/>
        <v>45.922590117091275</v>
      </c>
      <c r="H143" s="83">
        <f t="shared" si="55"/>
        <v>101.28683648050414</v>
      </c>
      <c r="I143" s="83">
        <f t="shared" si="55"/>
        <v>192.73908400207625</v>
      </c>
      <c r="J143" s="83">
        <f t="shared" si="55"/>
        <v>312.2572733541424</v>
      </c>
      <c r="K143" s="83">
        <f t="shared" si="55"/>
        <v>448.47365828329634</v>
      </c>
      <c r="L143" s="83">
        <f t="shared" si="55"/>
        <v>596.21030144792451</v>
      </c>
      <c r="M143" s="83">
        <f t="shared" si="55"/>
        <v>776.98110988119583</v>
      </c>
      <c r="N143" s="83">
        <f t="shared" si="55"/>
        <v>985.87021928583533</v>
      </c>
      <c r="O143" s="83">
        <f t="shared" si="55"/>
        <v>1223.3266822954943</v>
      </c>
      <c r="P143" s="83">
        <f t="shared" si="55"/>
        <v>1492.5774447905526</v>
      </c>
      <c r="Q143" s="83">
        <f t="shared" si="55"/>
        <v>1789.1381400861933</v>
      </c>
      <c r="R143" s="83">
        <f t="shared" si="55"/>
        <v>2115.4663338319292</v>
      </c>
      <c r="S143" s="83">
        <f t="shared" si="55"/>
        <v>2466.1256624520151</v>
      </c>
      <c r="T143" s="83">
        <f t="shared" si="55"/>
        <v>2872.8059407184523</v>
      </c>
      <c r="U143" s="83">
        <f t="shared" si="55"/>
        <v>3300.0247388950602</v>
      </c>
      <c r="V143" s="83">
        <f t="shared" si="55"/>
        <v>3730.9993794282263</v>
      </c>
      <c r="W143" s="83">
        <f t="shared" si="55"/>
        <v>4157.0163469047347</v>
      </c>
      <c r="X143" s="83">
        <f t="shared" si="55"/>
        <v>4553.8766384067858</v>
      </c>
      <c r="Y143" s="83">
        <f t="shared" si="55"/>
        <v>4913.2165919388608</v>
      </c>
      <c r="Z143" s="83">
        <f t="shared" si="55"/>
        <v>5243.5423487395083</v>
      </c>
      <c r="AA143" s="83">
        <f t="shared" si="55"/>
        <v>5547.4460439262493</v>
      </c>
    </row>
    <row r="144" spans="2:27" s="12" customFormat="1" x14ac:dyDescent="0.2">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row>
    <row r="145" spans="2:27" s="12" customFormat="1" x14ac:dyDescent="0.2">
      <c r="B145" s="62" t="s">
        <v>192</v>
      </c>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2:27" s="12" customFormat="1" x14ac:dyDescent="0.2">
      <c r="B146" s="59" t="s">
        <v>418</v>
      </c>
      <c r="C146" s="59" t="s">
        <v>70</v>
      </c>
      <c r="D146" s="82">
        <f t="shared" ref="D146:AA146" si="56">D125*(1+HLOOKUP(D$138,Elforbrug_Nettab,3,FALSE))</f>
        <v>17.496840462575229</v>
      </c>
      <c r="E146" s="82">
        <f t="shared" si="56"/>
        <v>19.842867747360703</v>
      </c>
      <c r="F146" s="82">
        <f t="shared" si="56"/>
        <v>28.218425754931395</v>
      </c>
      <c r="G146" s="82">
        <f t="shared" si="56"/>
        <v>52.495528910066298</v>
      </c>
      <c r="H146" s="82">
        <f t="shared" si="56"/>
        <v>101.81644200384964</v>
      </c>
      <c r="I146" s="82">
        <f t="shared" si="56"/>
        <v>178.00524857231295</v>
      </c>
      <c r="J146" s="82">
        <f t="shared" si="56"/>
        <v>271.26094419002897</v>
      </c>
      <c r="K146" s="82">
        <f t="shared" si="56"/>
        <v>374.71137286685797</v>
      </c>
      <c r="L146" s="82">
        <f t="shared" si="56"/>
        <v>489.00347929438016</v>
      </c>
      <c r="M146" s="82">
        <f t="shared" si="56"/>
        <v>626.13555229254405</v>
      </c>
      <c r="N146" s="82">
        <f t="shared" si="56"/>
        <v>778.76456250742092</v>
      </c>
      <c r="O146" s="82">
        <f t="shared" si="56"/>
        <v>949.06941353012041</v>
      </c>
      <c r="P146" s="82">
        <f t="shared" si="56"/>
        <v>1139.5503891340254</v>
      </c>
      <c r="Q146" s="82">
        <f t="shared" si="56"/>
        <v>1345.4626395515497</v>
      </c>
      <c r="R146" s="82">
        <f t="shared" si="56"/>
        <v>1566.2959239332031</v>
      </c>
      <c r="S146" s="82">
        <f t="shared" si="56"/>
        <v>1799.1855636496703</v>
      </c>
      <c r="T146" s="82">
        <f t="shared" si="56"/>
        <v>2065.4453739890591</v>
      </c>
      <c r="U146" s="82">
        <f t="shared" si="56"/>
        <v>2339.5160301281339</v>
      </c>
      <c r="V146" s="82">
        <f t="shared" si="56"/>
        <v>2609.1686093054313</v>
      </c>
      <c r="W146" s="82">
        <f t="shared" si="56"/>
        <v>2871.0366920666529</v>
      </c>
      <c r="X146" s="82">
        <f t="shared" si="56"/>
        <v>3109.771759885436</v>
      </c>
      <c r="Y146" s="82">
        <f t="shared" si="56"/>
        <v>3323.423770268977</v>
      </c>
      <c r="Z146" s="82">
        <f t="shared" si="56"/>
        <v>3521.6754455584723</v>
      </c>
      <c r="AA146" s="82">
        <f t="shared" si="56"/>
        <v>3704.8150131951047</v>
      </c>
    </row>
    <row r="147" spans="2:27" s="12" customFormat="1" x14ac:dyDescent="0.2">
      <c r="B147" s="59" t="s">
        <v>419</v>
      </c>
      <c r="C147" s="59" t="s">
        <v>70</v>
      </c>
      <c r="D147" s="82">
        <f t="shared" ref="D147:AA147" si="57">D126*(1+HLOOKUP(D$138,Elforbrug_Nettab,3,FALSE))</f>
        <v>0.13061338282802307</v>
      </c>
      <c r="E147" s="82">
        <f t="shared" si="57"/>
        <v>1.5419986068478546</v>
      </c>
      <c r="F147" s="82">
        <f t="shared" si="57"/>
        <v>3.3180307856421045</v>
      </c>
      <c r="G147" s="82">
        <f t="shared" si="57"/>
        <v>4.2104327321456072</v>
      </c>
      <c r="H147" s="82">
        <f t="shared" si="57"/>
        <v>4.7869002022109983</v>
      </c>
      <c r="I147" s="82">
        <f t="shared" si="57"/>
        <v>5.1999966137388842</v>
      </c>
      <c r="J147" s="82">
        <f t="shared" si="57"/>
        <v>5.5000713577673528</v>
      </c>
      <c r="K147" s="82">
        <f t="shared" si="57"/>
        <v>5.6209097818258291</v>
      </c>
      <c r="L147" s="82">
        <f t="shared" si="57"/>
        <v>4.4550791364030156</v>
      </c>
      <c r="M147" s="82">
        <f t="shared" si="57"/>
        <v>3.2478499498399738</v>
      </c>
      <c r="N147" s="82">
        <f t="shared" si="57"/>
        <v>3.5143827925711717</v>
      </c>
      <c r="O147" s="82">
        <f t="shared" si="57"/>
        <v>5.8227227329554321</v>
      </c>
      <c r="P147" s="82">
        <f t="shared" si="57"/>
        <v>11.751069560766139</v>
      </c>
      <c r="Q147" s="82">
        <f t="shared" si="57"/>
        <v>23.720946065879257</v>
      </c>
      <c r="R147" s="82">
        <f t="shared" si="57"/>
        <v>44.021675537695522</v>
      </c>
      <c r="S147" s="82">
        <f t="shared" si="57"/>
        <v>72.383893527954569</v>
      </c>
      <c r="T147" s="82">
        <f t="shared" si="57"/>
        <v>110.91289033343642</v>
      </c>
      <c r="U147" s="82">
        <f t="shared" si="57"/>
        <v>157.28937446428111</v>
      </c>
      <c r="V147" s="82">
        <f t="shared" si="57"/>
        <v>210.16265940468978</v>
      </c>
      <c r="W147" s="82">
        <f t="shared" si="57"/>
        <v>268.64585609164027</v>
      </c>
      <c r="X147" s="82">
        <f t="shared" si="57"/>
        <v>326.22022264117805</v>
      </c>
      <c r="Y147" s="82">
        <f t="shared" si="57"/>
        <v>379.97649563789554</v>
      </c>
      <c r="Z147" s="82">
        <f t="shared" si="57"/>
        <v>430.50651772242958</v>
      </c>
      <c r="AA147" s="82">
        <f t="shared" si="57"/>
        <v>477.76217873493709</v>
      </c>
    </row>
    <row r="148" spans="2:27" s="12" customFormat="1" x14ac:dyDescent="0.2">
      <c r="B148" s="59" t="s">
        <v>420</v>
      </c>
      <c r="C148" s="59" t="s">
        <v>70</v>
      </c>
      <c r="D148" s="82">
        <f t="shared" ref="D148:AA148" si="58">D127*(1+HLOOKUP(D$138,Elforbrug_Nettab,3,FALSE))</f>
        <v>126.50213204264548</v>
      </c>
      <c r="E148" s="82">
        <f t="shared" si="58"/>
        <v>126.5477366859523</v>
      </c>
      <c r="F148" s="82">
        <f t="shared" si="58"/>
        <v>126.59334132925909</v>
      </c>
      <c r="G148" s="82">
        <f t="shared" si="58"/>
        <v>119.77245532669968</v>
      </c>
      <c r="H148" s="82">
        <f t="shared" si="58"/>
        <v>119.82420668280001</v>
      </c>
      <c r="I148" s="82">
        <f t="shared" si="58"/>
        <v>119.87595803890034</v>
      </c>
      <c r="J148" s="82">
        <f t="shared" si="58"/>
        <v>119.92770939500065</v>
      </c>
      <c r="K148" s="82">
        <f t="shared" si="58"/>
        <v>119.97946075110097</v>
      </c>
      <c r="L148" s="82">
        <f t="shared" si="58"/>
        <v>119.59931448483026</v>
      </c>
      <c r="M148" s="82">
        <f t="shared" si="58"/>
        <v>119.65171730309056</v>
      </c>
      <c r="N148" s="82">
        <f t="shared" si="58"/>
        <v>119.70412012135087</v>
      </c>
      <c r="O148" s="82">
        <f t="shared" si="58"/>
        <v>119.75652293961116</v>
      </c>
      <c r="P148" s="82">
        <f t="shared" si="58"/>
        <v>119.80892575787146</v>
      </c>
      <c r="Q148" s="82">
        <f t="shared" si="58"/>
        <v>119.44993988843919</v>
      </c>
      <c r="R148" s="82">
        <f t="shared" si="58"/>
        <v>119.51865092364444</v>
      </c>
      <c r="S148" s="82">
        <f t="shared" si="58"/>
        <v>119.58736195884967</v>
      </c>
      <c r="T148" s="82">
        <f t="shared" si="58"/>
        <v>119.65607299405492</v>
      </c>
      <c r="U148" s="82">
        <f t="shared" si="58"/>
        <v>119.72478402926018</v>
      </c>
      <c r="V148" s="82">
        <f t="shared" si="58"/>
        <v>119.3677162640346</v>
      </c>
      <c r="W148" s="82">
        <f t="shared" si="58"/>
        <v>119.43780800367679</v>
      </c>
      <c r="X148" s="82">
        <f t="shared" si="58"/>
        <v>119.46290005556256</v>
      </c>
      <c r="Y148" s="82">
        <f t="shared" si="58"/>
        <v>119.48799210744832</v>
      </c>
      <c r="Z148" s="82">
        <f t="shared" si="58"/>
        <v>119.51308415933407</v>
      </c>
      <c r="AA148" s="82">
        <f t="shared" si="58"/>
        <v>119.12689505568996</v>
      </c>
    </row>
    <row r="149" spans="2:27" s="12" customFormat="1" x14ac:dyDescent="0.2">
      <c r="B149" s="62" t="str">
        <f>"Total, "&amp;B145</f>
        <v>Total, Eastern Denmark (DK2)</v>
      </c>
      <c r="C149" s="62" t="s">
        <v>70</v>
      </c>
      <c r="D149" s="83">
        <f>SUM(D146:D148)</f>
        <v>144.12958588804872</v>
      </c>
      <c r="E149" s="83">
        <f t="shared" ref="E149:AA149" si="59">SUM(E146:E148)</f>
        <v>147.93260304016087</v>
      </c>
      <c r="F149" s="83">
        <f t="shared" si="59"/>
        <v>158.1297978698326</v>
      </c>
      <c r="G149" s="83">
        <f t="shared" si="59"/>
        <v>176.47841696891157</v>
      </c>
      <c r="H149" s="83">
        <f t="shared" si="59"/>
        <v>226.42754888886066</v>
      </c>
      <c r="I149" s="83">
        <f t="shared" si="59"/>
        <v>303.08120322495216</v>
      </c>
      <c r="J149" s="83">
        <f t="shared" si="59"/>
        <v>396.68872494279697</v>
      </c>
      <c r="K149" s="83">
        <f t="shared" si="59"/>
        <v>500.3117433997848</v>
      </c>
      <c r="L149" s="83">
        <f t="shared" si="59"/>
        <v>613.05787291561342</v>
      </c>
      <c r="M149" s="83">
        <f t="shared" si="59"/>
        <v>749.03511954547457</v>
      </c>
      <c r="N149" s="83">
        <f t="shared" si="59"/>
        <v>901.98306542134299</v>
      </c>
      <c r="O149" s="83">
        <f t="shared" si="59"/>
        <v>1074.648659202687</v>
      </c>
      <c r="P149" s="83">
        <f t="shared" si="59"/>
        <v>1271.1103844526631</v>
      </c>
      <c r="Q149" s="83">
        <f t="shared" si="59"/>
        <v>1488.633525505868</v>
      </c>
      <c r="R149" s="83">
        <f t="shared" si="59"/>
        <v>1729.836250394543</v>
      </c>
      <c r="S149" s="83">
        <f t="shared" si="59"/>
        <v>1991.1568191364745</v>
      </c>
      <c r="T149" s="83">
        <f t="shared" si="59"/>
        <v>2296.0143373165502</v>
      </c>
      <c r="U149" s="83">
        <f t="shared" si="59"/>
        <v>2616.5301886216753</v>
      </c>
      <c r="V149" s="83">
        <f t="shared" si="59"/>
        <v>2938.6989849741558</v>
      </c>
      <c r="W149" s="83">
        <f t="shared" si="59"/>
        <v>3259.12035616197</v>
      </c>
      <c r="X149" s="83">
        <f t="shared" si="59"/>
        <v>3555.4548825821767</v>
      </c>
      <c r="Y149" s="83">
        <f t="shared" si="59"/>
        <v>3822.8882580143209</v>
      </c>
      <c r="Z149" s="83">
        <f t="shared" si="59"/>
        <v>4071.6950474402361</v>
      </c>
      <c r="AA149" s="83">
        <f t="shared" si="59"/>
        <v>4301.704086985731</v>
      </c>
    </row>
    <row r="150" spans="2:27" s="12" customFormat="1" x14ac:dyDescent="0.2">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row>
    <row r="151" spans="2:27" s="12" customFormat="1" x14ac:dyDescent="0.2">
      <c r="B151" s="91" t="s">
        <v>198</v>
      </c>
      <c r="C151" s="91" t="s">
        <v>70</v>
      </c>
      <c r="D151" s="94">
        <f>D143+D149</f>
        <v>156.71111651788999</v>
      </c>
      <c r="E151" s="94">
        <f t="shared" ref="E151:AA151" si="60">E143+E149</f>
        <v>162.19135063821389</v>
      </c>
      <c r="F151" s="94">
        <f t="shared" si="60"/>
        <v>179.1635215255194</v>
      </c>
      <c r="G151" s="94">
        <f t="shared" si="60"/>
        <v>222.40100708600283</v>
      </c>
      <c r="H151" s="94">
        <f t="shared" si="60"/>
        <v>327.71438536936478</v>
      </c>
      <c r="I151" s="94">
        <f t="shared" si="60"/>
        <v>495.82028722702842</v>
      </c>
      <c r="J151" s="94">
        <f t="shared" si="60"/>
        <v>708.94599829693936</v>
      </c>
      <c r="K151" s="94">
        <f t="shared" si="60"/>
        <v>948.78540168308109</v>
      </c>
      <c r="L151" s="94">
        <f t="shared" si="60"/>
        <v>1209.268174363538</v>
      </c>
      <c r="M151" s="94">
        <f t="shared" si="60"/>
        <v>1526.0162294266704</v>
      </c>
      <c r="N151" s="94">
        <f t="shared" si="60"/>
        <v>1887.8532847071783</v>
      </c>
      <c r="O151" s="94">
        <f t="shared" si="60"/>
        <v>2297.9753414981815</v>
      </c>
      <c r="P151" s="94">
        <f t="shared" si="60"/>
        <v>2763.6878292432157</v>
      </c>
      <c r="Q151" s="94">
        <f t="shared" si="60"/>
        <v>3277.7716655920613</v>
      </c>
      <c r="R151" s="94">
        <f t="shared" si="60"/>
        <v>3845.3025842264724</v>
      </c>
      <c r="S151" s="94">
        <f t="shared" si="60"/>
        <v>4457.2824815884896</v>
      </c>
      <c r="T151" s="94">
        <f t="shared" si="60"/>
        <v>5168.820278035002</v>
      </c>
      <c r="U151" s="94">
        <f t="shared" si="60"/>
        <v>5916.5549275167359</v>
      </c>
      <c r="V151" s="94">
        <f t="shared" si="60"/>
        <v>6669.6983644023821</v>
      </c>
      <c r="W151" s="94">
        <f t="shared" si="60"/>
        <v>7416.1367030667043</v>
      </c>
      <c r="X151" s="94">
        <f t="shared" si="60"/>
        <v>8109.3315209889624</v>
      </c>
      <c r="Y151" s="94">
        <f t="shared" si="60"/>
        <v>8736.1048499531826</v>
      </c>
      <c r="Z151" s="94">
        <f t="shared" si="60"/>
        <v>9315.2373961797439</v>
      </c>
      <c r="AA151" s="94">
        <f t="shared" si="60"/>
        <v>9849.1501309119813</v>
      </c>
    </row>
    <row r="152" spans="2:27" s="12" customFormat="1" x14ac:dyDescent="0.2">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row>
    <row r="153" spans="2:27" s="12" customFormat="1" x14ac:dyDescent="0.2"/>
    <row r="154" spans="2:27" s="70" customFormat="1" x14ac:dyDescent="0.2">
      <c r="B154" s="70" t="s">
        <v>422</v>
      </c>
    </row>
    <row r="156" spans="2:27" x14ac:dyDescent="0.2">
      <c r="B156" s="62" t="s">
        <v>201</v>
      </c>
      <c r="C156" s="62" t="s">
        <v>141</v>
      </c>
      <c r="D156" s="74">
        <f>D$6</f>
        <v>2017</v>
      </c>
      <c r="E156" s="74">
        <f t="shared" ref="E156:AA156" si="61">E$6</f>
        <v>2018</v>
      </c>
      <c r="F156" s="74">
        <f t="shared" si="61"/>
        <v>2019</v>
      </c>
      <c r="G156" s="74">
        <f t="shared" si="61"/>
        <v>2020</v>
      </c>
      <c r="H156" s="74">
        <f t="shared" si="61"/>
        <v>2021</v>
      </c>
      <c r="I156" s="74">
        <f t="shared" si="61"/>
        <v>2022</v>
      </c>
      <c r="J156" s="74">
        <f t="shared" si="61"/>
        <v>2023</v>
      </c>
      <c r="K156" s="74">
        <f t="shared" si="61"/>
        <v>2024</v>
      </c>
      <c r="L156" s="74">
        <f t="shared" si="61"/>
        <v>2025</v>
      </c>
      <c r="M156" s="74">
        <f t="shared" si="61"/>
        <v>2026</v>
      </c>
      <c r="N156" s="74">
        <f t="shared" si="61"/>
        <v>2027</v>
      </c>
      <c r="O156" s="74">
        <f t="shared" si="61"/>
        <v>2028</v>
      </c>
      <c r="P156" s="74">
        <f t="shared" si="61"/>
        <v>2029</v>
      </c>
      <c r="Q156" s="74">
        <f t="shared" si="61"/>
        <v>2030</v>
      </c>
      <c r="R156" s="74">
        <f t="shared" si="61"/>
        <v>2031</v>
      </c>
      <c r="S156" s="74">
        <f t="shared" si="61"/>
        <v>2032</v>
      </c>
      <c r="T156" s="74">
        <f t="shared" si="61"/>
        <v>2033</v>
      </c>
      <c r="U156" s="74">
        <f t="shared" si="61"/>
        <v>2034</v>
      </c>
      <c r="V156" s="74">
        <f t="shared" si="61"/>
        <v>2035</v>
      </c>
      <c r="W156" s="74">
        <f t="shared" si="61"/>
        <v>2036</v>
      </c>
      <c r="X156" s="74">
        <f t="shared" si="61"/>
        <v>2037</v>
      </c>
      <c r="Y156" s="74">
        <f t="shared" si="61"/>
        <v>2038</v>
      </c>
      <c r="Z156" s="74">
        <f t="shared" si="61"/>
        <v>2039</v>
      </c>
      <c r="AA156" s="74">
        <f t="shared" si="61"/>
        <v>2040</v>
      </c>
    </row>
    <row r="157" spans="2:27" x14ac:dyDescent="0.2">
      <c r="B157" s="62" t="s">
        <v>190</v>
      </c>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2:27" x14ac:dyDescent="0.2">
      <c r="B158" s="59" t="s">
        <v>423</v>
      </c>
      <c r="C158" s="59" t="s">
        <v>70</v>
      </c>
      <c r="D158" s="82">
        <v>74</v>
      </c>
      <c r="E158" s="82">
        <v>74</v>
      </c>
      <c r="F158" s="82">
        <v>74</v>
      </c>
      <c r="G158" s="82">
        <v>74</v>
      </c>
      <c r="H158" s="82">
        <v>74</v>
      </c>
      <c r="I158" s="82">
        <v>74</v>
      </c>
      <c r="J158" s="82">
        <v>74</v>
      </c>
      <c r="K158" s="82">
        <v>74</v>
      </c>
      <c r="L158" s="82">
        <v>74</v>
      </c>
      <c r="M158" s="82">
        <v>74</v>
      </c>
      <c r="N158" s="82">
        <v>74</v>
      </c>
      <c r="O158" s="82">
        <v>74</v>
      </c>
      <c r="P158" s="82">
        <v>74</v>
      </c>
      <c r="Q158" s="82">
        <v>74</v>
      </c>
      <c r="R158" s="82">
        <v>74</v>
      </c>
      <c r="S158" s="82">
        <v>74</v>
      </c>
      <c r="T158" s="82">
        <v>74</v>
      </c>
      <c r="U158" s="82">
        <v>74</v>
      </c>
      <c r="V158" s="82">
        <v>74</v>
      </c>
      <c r="W158" s="82">
        <v>74</v>
      </c>
      <c r="X158" s="82">
        <v>74</v>
      </c>
      <c r="Y158" s="82">
        <v>74</v>
      </c>
      <c r="Z158" s="82">
        <v>74</v>
      </c>
      <c r="AA158" s="82">
        <v>74</v>
      </c>
    </row>
    <row r="159" spans="2:27" x14ac:dyDescent="0.2">
      <c r="B159" s="59" t="s">
        <v>424</v>
      </c>
      <c r="C159" s="59" t="s">
        <v>70</v>
      </c>
      <c r="D159" s="82">
        <v>0</v>
      </c>
      <c r="E159" s="82">
        <v>11.320388000000001</v>
      </c>
      <c r="F159" s="82">
        <v>22.640776000000002</v>
      </c>
      <c r="G159" s="82">
        <v>42.399940000000001</v>
      </c>
      <c r="H159" s="82">
        <v>91.586920000000006</v>
      </c>
      <c r="I159" s="82">
        <v>170.348612</v>
      </c>
      <c r="J159" s="82">
        <v>252.90587600000003</v>
      </c>
      <c r="K159" s="82">
        <v>335.46313999999995</v>
      </c>
      <c r="L159" s="82">
        <v>413.08422800000005</v>
      </c>
      <c r="M159" s="82">
        <v>464.64066000000003</v>
      </c>
      <c r="N159" s="82">
        <v>486.62238000000002</v>
      </c>
      <c r="O159" s="82">
        <v>493.48814000000004</v>
      </c>
      <c r="P159" s="82">
        <v>500.35389999999995</v>
      </c>
      <c r="Q159" s="82">
        <v>503.71705999999995</v>
      </c>
      <c r="R159" s="82">
        <v>503.71705999999995</v>
      </c>
      <c r="S159" s="82">
        <v>503.71705999999995</v>
      </c>
      <c r="T159" s="82">
        <v>503.71705999999995</v>
      </c>
      <c r="U159" s="82">
        <v>503.71705999999995</v>
      </c>
      <c r="V159" s="82">
        <v>503.71705999999995</v>
      </c>
      <c r="W159" s="82">
        <v>503.71705999999995</v>
      </c>
      <c r="X159" s="82">
        <v>503.71705999999995</v>
      </c>
      <c r="Y159" s="82">
        <v>503.71705999999995</v>
      </c>
      <c r="Z159" s="82">
        <v>503.71705999999995</v>
      </c>
      <c r="AA159" s="82">
        <v>503.71705999999995</v>
      </c>
    </row>
    <row r="160" spans="2:27" x14ac:dyDescent="0.2">
      <c r="B160" s="62" t="str">
        <f>"Total, "&amp;B157</f>
        <v>Total, Western Denmark (DK1)</v>
      </c>
      <c r="C160" s="62" t="s">
        <v>70</v>
      </c>
      <c r="D160" s="83">
        <f t="shared" ref="D160:AA160" si="62">D158+D159</f>
        <v>74</v>
      </c>
      <c r="E160" s="83">
        <f t="shared" si="62"/>
        <v>85.320388000000008</v>
      </c>
      <c r="F160" s="83">
        <f t="shared" si="62"/>
        <v>96.640776000000002</v>
      </c>
      <c r="G160" s="83">
        <f t="shared" si="62"/>
        <v>116.39994</v>
      </c>
      <c r="H160" s="83">
        <f t="shared" si="62"/>
        <v>165.58692000000002</v>
      </c>
      <c r="I160" s="83">
        <f t="shared" si="62"/>
        <v>244.348612</v>
      </c>
      <c r="J160" s="83">
        <f t="shared" si="62"/>
        <v>326.90587600000003</v>
      </c>
      <c r="K160" s="83">
        <f t="shared" si="62"/>
        <v>409.46313999999995</v>
      </c>
      <c r="L160" s="83">
        <f t="shared" si="62"/>
        <v>487.08422800000005</v>
      </c>
      <c r="M160" s="83">
        <f t="shared" si="62"/>
        <v>538.64066000000003</v>
      </c>
      <c r="N160" s="83">
        <f t="shared" si="62"/>
        <v>560.62238000000002</v>
      </c>
      <c r="O160" s="83">
        <f t="shared" si="62"/>
        <v>567.48814000000004</v>
      </c>
      <c r="P160" s="83">
        <f t="shared" si="62"/>
        <v>574.35389999999995</v>
      </c>
      <c r="Q160" s="83">
        <f t="shared" si="62"/>
        <v>577.71705999999995</v>
      </c>
      <c r="R160" s="83">
        <f t="shared" si="62"/>
        <v>577.71705999999995</v>
      </c>
      <c r="S160" s="83">
        <f t="shared" si="62"/>
        <v>577.71705999999995</v>
      </c>
      <c r="T160" s="83">
        <f t="shared" si="62"/>
        <v>577.71705999999995</v>
      </c>
      <c r="U160" s="83">
        <f t="shared" si="62"/>
        <v>577.71705999999995</v>
      </c>
      <c r="V160" s="83">
        <f t="shared" si="62"/>
        <v>577.71705999999995</v>
      </c>
      <c r="W160" s="83">
        <f t="shared" si="62"/>
        <v>577.71705999999995</v>
      </c>
      <c r="X160" s="83">
        <f t="shared" si="62"/>
        <v>577.71705999999995</v>
      </c>
      <c r="Y160" s="83">
        <f t="shared" si="62"/>
        <v>577.71705999999995</v>
      </c>
      <c r="Z160" s="83">
        <f t="shared" si="62"/>
        <v>577.71705999999995</v>
      </c>
      <c r="AA160" s="83">
        <f t="shared" si="62"/>
        <v>577.71705999999995</v>
      </c>
    </row>
    <row r="161" spans="2:27" x14ac:dyDescent="0.2">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row>
    <row r="162" spans="2:27" x14ac:dyDescent="0.2">
      <c r="B162" s="62" t="s">
        <v>192</v>
      </c>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spans="2:27" x14ac:dyDescent="0.2">
      <c r="B163" s="59" t="s">
        <v>423</v>
      </c>
      <c r="C163" s="59" t="s">
        <v>70</v>
      </c>
      <c r="D163" s="82">
        <v>119.80000000000001</v>
      </c>
      <c r="E163" s="82">
        <v>119.80000000000001</v>
      </c>
      <c r="F163" s="82">
        <v>119.80000000000001</v>
      </c>
      <c r="G163" s="82">
        <v>119.80000000000001</v>
      </c>
      <c r="H163" s="82">
        <v>119.80000000000001</v>
      </c>
      <c r="I163" s="82">
        <v>119.80000000000001</v>
      </c>
      <c r="J163" s="82">
        <v>119.80000000000001</v>
      </c>
      <c r="K163" s="82">
        <v>119.80000000000001</v>
      </c>
      <c r="L163" s="82">
        <v>119.80000000000001</v>
      </c>
      <c r="M163" s="82">
        <v>119.80000000000001</v>
      </c>
      <c r="N163" s="82">
        <v>119.80000000000001</v>
      </c>
      <c r="O163" s="82">
        <v>119.80000000000001</v>
      </c>
      <c r="P163" s="82">
        <v>119.80000000000001</v>
      </c>
      <c r="Q163" s="82">
        <v>119.80000000000001</v>
      </c>
      <c r="R163" s="82">
        <v>119.80000000000001</v>
      </c>
      <c r="S163" s="82">
        <v>119.80000000000001</v>
      </c>
      <c r="T163" s="82">
        <v>119.80000000000001</v>
      </c>
      <c r="U163" s="82">
        <v>119.80000000000001</v>
      </c>
      <c r="V163" s="82">
        <v>119.80000000000001</v>
      </c>
      <c r="W163" s="82">
        <v>119.80000000000001</v>
      </c>
      <c r="X163" s="82">
        <v>119.80000000000001</v>
      </c>
      <c r="Y163" s="82">
        <v>119.80000000000001</v>
      </c>
      <c r="Z163" s="82">
        <v>119.80000000000001</v>
      </c>
      <c r="AA163" s="82">
        <v>119.80000000000001</v>
      </c>
    </row>
    <row r="164" spans="2:27" x14ac:dyDescent="0.2">
      <c r="B164" s="59" t="s">
        <v>424</v>
      </c>
      <c r="C164" s="59" t="s">
        <v>70</v>
      </c>
      <c r="D164" s="82">
        <v>0</v>
      </c>
      <c r="E164" s="82">
        <v>20.123847999999999</v>
      </c>
      <c r="F164" s="82">
        <v>40.247695999999998</v>
      </c>
      <c r="G164" s="82">
        <v>80.311464000000001</v>
      </c>
      <c r="H164" s="82">
        <v>193.18781200000001</v>
      </c>
      <c r="I164" s="82">
        <v>306.06416000000002</v>
      </c>
      <c r="J164" s="82">
        <v>398.81665999999996</v>
      </c>
      <c r="K164" s="82">
        <v>530.7677359999999</v>
      </c>
      <c r="L164" s="82">
        <v>642.77889200000004</v>
      </c>
      <c r="M164" s="82">
        <v>700.56946799999992</v>
      </c>
      <c r="N164" s="82">
        <v>758.3600439999999</v>
      </c>
      <c r="O164" s="82">
        <v>816.15062</v>
      </c>
      <c r="P164" s="82">
        <v>834.74261999999999</v>
      </c>
      <c r="Q164" s="82">
        <v>853.33462000000009</v>
      </c>
      <c r="R164" s="82">
        <v>853.33462000000009</v>
      </c>
      <c r="S164" s="82">
        <v>853.33462000000009</v>
      </c>
      <c r="T164" s="82">
        <v>853.33462000000009</v>
      </c>
      <c r="U164" s="82">
        <v>853.33462000000009</v>
      </c>
      <c r="V164" s="82">
        <v>853.33462000000009</v>
      </c>
      <c r="W164" s="82">
        <v>853.33462000000009</v>
      </c>
      <c r="X164" s="82">
        <v>853.33462000000009</v>
      </c>
      <c r="Y164" s="82">
        <v>853.33462000000009</v>
      </c>
      <c r="Z164" s="82">
        <v>853.33462000000009</v>
      </c>
      <c r="AA164" s="82">
        <v>853.33462000000009</v>
      </c>
    </row>
    <row r="165" spans="2:27" x14ac:dyDescent="0.2">
      <c r="B165" s="62" t="str">
        <f>"Total, "&amp;B162</f>
        <v>Total, Eastern Denmark (DK2)</v>
      </c>
      <c r="C165" s="62" t="s">
        <v>70</v>
      </c>
      <c r="D165" s="83">
        <f t="shared" ref="D165:AA165" si="63">D163+D164</f>
        <v>119.80000000000001</v>
      </c>
      <c r="E165" s="83">
        <f t="shared" si="63"/>
        <v>139.92384800000002</v>
      </c>
      <c r="F165" s="83">
        <f t="shared" si="63"/>
        <v>160.047696</v>
      </c>
      <c r="G165" s="83">
        <f t="shared" si="63"/>
        <v>200.11146400000001</v>
      </c>
      <c r="H165" s="83">
        <f t="shared" si="63"/>
        <v>312.98781200000002</v>
      </c>
      <c r="I165" s="83">
        <f t="shared" si="63"/>
        <v>425.86416000000003</v>
      </c>
      <c r="J165" s="83">
        <f t="shared" si="63"/>
        <v>518.61665999999991</v>
      </c>
      <c r="K165" s="83">
        <f t="shared" si="63"/>
        <v>650.56773599999997</v>
      </c>
      <c r="L165" s="83">
        <f t="shared" si="63"/>
        <v>762.578892</v>
      </c>
      <c r="M165" s="83">
        <f t="shared" si="63"/>
        <v>820.36946799999987</v>
      </c>
      <c r="N165" s="83">
        <f t="shared" si="63"/>
        <v>878.16004399999997</v>
      </c>
      <c r="O165" s="83">
        <f t="shared" si="63"/>
        <v>935.95062000000007</v>
      </c>
      <c r="P165" s="83">
        <f t="shared" si="63"/>
        <v>954.54261999999994</v>
      </c>
      <c r="Q165" s="83">
        <f t="shared" si="63"/>
        <v>973.13462000000004</v>
      </c>
      <c r="R165" s="83">
        <f t="shared" si="63"/>
        <v>973.13462000000004</v>
      </c>
      <c r="S165" s="83">
        <f t="shared" si="63"/>
        <v>973.13462000000004</v>
      </c>
      <c r="T165" s="83">
        <f t="shared" si="63"/>
        <v>973.13462000000004</v>
      </c>
      <c r="U165" s="83">
        <f t="shared" si="63"/>
        <v>973.13462000000004</v>
      </c>
      <c r="V165" s="83">
        <f t="shared" si="63"/>
        <v>973.13462000000004</v>
      </c>
      <c r="W165" s="83">
        <f t="shared" si="63"/>
        <v>973.13462000000004</v>
      </c>
      <c r="X165" s="83">
        <f t="shared" si="63"/>
        <v>973.13462000000004</v>
      </c>
      <c r="Y165" s="83">
        <f t="shared" si="63"/>
        <v>973.13462000000004</v>
      </c>
      <c r="Z165" s="83">
        <f t="shared" si="63"/>
        <v>973.13462000000004</v>
      </c>
      <c r="AA165" s="83">
        <f t="shared" si="63"/>
        <v>973.13462000000004</v>
      </c>
    </row>
    <row r="166" spans="2:27" x14ac:dyDescent="0.2">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row>
    <row r="167" spans="2:27" x14ac:dyDescent="0.2">
      <c r="B167" s="91" t="s">
        <v>198</v>
      </c>
      <c r="C167" s="91" t="s">
        <v>70</v>
      </c>
      <c r="D167" s="94">
        <f>D160+D165</f>
        <v>193.8</v>
      </c>
      <c r="E167" s="94">
        <f t="shared" ref="E167:AA167" si="64">E160+E165</f>
        <v>225.24423600000003</v>
      </c>
      <c r="F167" s="94">
        <f t="shared" si="64"/>
        <v>256.68847199999999</v>
      </c>
      <c r="G167" s="94">
        <f t="shared" si="64"/>
        <v>316.51140400000003</v>
      </c>
      <c r="H167" s="94">
        <f t="shared" si="64"/>
        <v>478.57473200000004</v>
      </c>
      <c r="I167" s="94">
        <f t="shared" si="64"/>
        <v>670.21277200000009</v>
      </c>
      <c r="J167" s="94">
        <f t="shared" si="64"/>
        <v>845.52253599999995</v>
      </c>
      <c r="K167" s="94">
        <f t="shared" si="64"/>
        <v>1060.0308759999998</v>
      </c>
      <c r="L167" s="94">
        <f t="shared" si="64"/>
        <v>1249.6631200000002</v>
      </c>
      <c r="M167" s="94">
        <f t="shared" si="64"/>
        <v>1359.0101279999999</v>
      </c>
      <c r="N167" s="94">
        <f t="shared" si="64"/>
        <v>1438.782424</v>
      </c>
      <c r="O167" s="94">
        <f t="shared" si="64"/>
        <v>1503.43876</v>
      </c>
      <c r="P167" s="94">
        <f t="shared" si="64"/>
        <v>1528.8965199999998</v>
      </c>
      <c r="Q167" s="94">
        <f t="shared" si="64"/>
        <v>1550.85168</v>
      </c>
      <c r="R167" s="94">
        <f t="shared" si="64"/>
        <v>1550.85168</v>
      </c>
      <c r="S167" s="94">
        <f t="shared" si="64"/>
        <v>1550.85168</v>
      </c>
      <c r="T167" s="94">
        <f t="shared" si="64"/>
        <v>1550.85168</v>
      </c>
      <c r="U167" s="94">
        <f t="shared" si="64"/>
        <v>1550.85168</v>
      </c>
      <c r="V167" s="94">
        <f t="shared" si="64"/>
        <v>1550.85168</v>
      </c>
      <c r="W167" s="94">
        <f t="shared" si="64"/>
        <v>1550.85168</v>
      </c>
      <c r="X167" s="94">
        <f t="shared" si="64"/>
        <v>1550.85168</v>
      </c>
      <c r="Y167" s="94">
        <f t="shared" si="64"/>
        <v>1550.85168</v>
      </c>
      <c r="Z167" s="94">
        <f t="shared" si="64"/>
        <v>1550.85168</v>
      </c>
      <c r="AA167" s="94">
        <f t="shared" si="64"/>
        <v>1550.85168</v>
      </c>
    </row>
    <row r="168" spans="2:27" x14ac:dyDescent="0.2">
      <c r="B168" s="72" t="s">
        <v>425</v>
      </c>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row>
    <row r="169" spans="2:27" x14ac:dyDescent="0.2">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row>
    <row r="170" spans="2:27" s="12" customFormat="1" x14ac:dyDescent="0.2">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row>
    <row r="171" spans="2:27" x14ac:dyDescent="0.2">
      <c r="B171" s="62" t="s">
        <v>202</v>
      </c>
      <c r="C171" s="62" t="s">
        <v>141</v>
      </c>
      <c r="D171" s="74">
        <f>D$6</f>
        <v>2017</v>
      </c>
      <c r="E171" s="74">
        <f t="shared" ref="E171:AA171" si="65">E$6</f>
        <v>2018</v>
      </c>
      <c r="F171" s="74">
        <f t="shared" si="65"/>
        <v>2019</v>
      </c>
      <c r="G171" s="74">
        <f t="shared" si="65"/>
        <v>2020</v>
      </c>
      <c r="H171" s="74">
        <f t="shared" si="65"/>
        <v>2021</v>
      </c>
      <c r="I171" s="74">
        <f t="shared" si="65"/>
        <v>2022</v>
      </c>
      <c r="J171" s="74">
        <f t="shared" si="65"/>
        <v>2023</v>
      </c>
      <c r="K171" s="74">
        <f t="shared" si="65"/>
        <v>2024</v>
      </c>
      <c r="L171" s="74">
        <f t="shared" si="65"/>
        <v>2025</v>
      </c>
      <c r="M171" s="74">
        <f t="shared" si="65"/>
        <v>2026</v>
      </c>
      <c r="N171" s="74">
        <f t="shared" si="65"/>
        <v>2027</v>
      </c>
      <c r="O171" s="74">
        <f t="shared" si="65"/>
        <v>2028</v>
      </c>
      <c r="P171" s="74">
        <f t="shared" si="65"/>
        <v>2029</v>
      </c>
      <c r="Q171" s="74">
        <f t="shared" si="65"/>
        <v>2030</v>
      </c>
      <c r="R171" s="74">
        <f t="shared" si="65"/>
        <v>2031</v>
      </c>
      <c r="S171" s="74">
        <f t="shared" si="65"/>
        <v>2032</v>
      </c>
      <c r="T171" s="74">
        <f t="shared" si="65"/>
        <v>2033</v>
      </c>
      <c r="U171" s="74">
        <f t="shared" si="65"/>
        <v>2034</v>
      </c>
      <c r="V171" s="74">
        <f t="shared" si="65"/>
        <v>2035</v>
      </c>
      <c r="W171" s="74">
        <f t="shared" si="65"/>
        <v>2036</v>
      </c>
      <c r="X171" s="74">
        <f t="shared" si="65"/>
        <v>2037</v>
      </c>
      <c r="Y171" s="74">
        <f t="shared" si="65"/>
        <v>2038</v>
      </c>
      <c r="Z171" s="74">
        <f t="shared" si="65"/>
        <v>2039</v>
      </c>
      <c r="AA171" s="74">
        <f t="shared" si="65"/>
        <v>2040</v>
      </c>
    </row>
    <row r="172" spans="2:27" x14ac:dyDescent="0.2">
      <c r="B172" s="62" t="s">
        <v>190</v>
      </c>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spans="2:27" x14ac:dyDescent="0.2">
      <c r="B173" s="59" t="s">
        <v>423</v>
      </c>
      <c r="C173" s="59" t="s">
        <v>70</v>
      </c>
      <c r="D173" s="82">
        <f t="shared" ref="D173:AA173" si="66">D158*(1+HLOOKUP(D$171,Elforbrug_Nettab,2,FALSE))</f>
        <v>79.180000000000007</v>
      </c>
      <c r="E173" s="82">
        <f t="shared" si="66"/>
        <v>79.180000000000007</v>
      </c>
      <c r="F173" s="82">
        <f t="shared" si="66"/>
        <v>79.180000000000007</v>
      </c>
      <c r="G173" s="82">
        <f t="shared" si="66"/>
        <v>79.180000000000007</v>
      </c>
      <c r="H173" s="82">
        <f t="shared" si="66"/>
        <v>79.180000000000007</v>
      </c>
      <c r="I173" s="82">
        <f t="shared" si="66"/>
        <v>79.180000000000007</v>
      </c>
      <c r="J173" s="82">
        <f t="shared" si="66"/>
        <v>79.180000000000007</v>
      </c>
      <c r="K173" s="82">
        <f t="shared" si="66"/>
        <v>79.180000000000007</v>
      </c>
      <c r="L173" s="82">
        <f t="shared" si="66"/>
        <v>79.180000000000007</v>
      </c>
      <c r="M173" s="82">
        <f t="shared" si="66"/>
        <v>79.180000000000007</v>
      </c>
      <c r="N173" s="82">
        <f t="shared" si="66"/>
        <v>79.180000000000007</v>
      </c>
      <c r="O173" s="82">
        <f t="shared" si="66"/>
        <v>79.180000000000007</v>
      </c>
      <c r="P173" s="82">
        <f t="shared" si="66"/>
        <v>79.180000000000007</v>
      </c>
      <c r="Q173" s="82">
        <f t="shared" si="66"/>
        <v>79.180000000000007</v>
      </c>
      <c r="R173" s="82">
        <f t="shared" si="66"/>
        <v>79.180000000000007</v>
      </c>
      <c r="S173" s="82">
        <f t="shared" si="66"/>
        <v>79.180000000000007</v>
      </c>
      <c r="T173" s="82">
        <f t="shared" si="66"/>
        <v>79.180000000000007</v>
      </c>
      <c r="U173" s="82">
        <f t="shared" si="66"/>
        <v>79.180000000000007</v>
      </c>
      <c r="V173" s="82">
        <f t="shared" si="66"/>
        <v>79.180000000000007</v>
      </c>
      <c r="W173" s="82">
        <f t="shared" si="66"/>
        <v>79.180000000000007</v>
      </c>
      <c r="X173" s="82">
        <f t="shared" si="66"/>
        <v>79.180000000000007</v>
      </c>
      <c r="Y173" s="82">
        <f t="shared" si="66"/>
        <v>79.180000000000007</v>
      </c>
      <c r="Z173" s="82">
        <f t="shared" si="66"/>
        <v>79.180000000000007</v>
      </c>
      <c r="AA173" s="82">
        <f t="shared" si="66"/>
        <v>79.180000000000007</v>
      </c>
    </row>
    <row r="174" spans="2:27" x14ac:dyDescent="0.2">
      <c r="B174" s="59" t="s">
        <v>424</v>
      </c>
      <c r="C174" s="59" t="s">
        <v>70</v>
      </c>
      <c r="D174" s="82">
        <f t="shared" ref="D174:AA174" si="67">D159*(1+HLOOKUP(D$171,Elforbrug_Nettab,2,FALSE))</f>
        <v>0</v>
      </c>
      <c r="E174" s="82">
        <f t="shared" si="67"/>
        <v>12.112815160000002</v>
      </c>
      <c r="F174" s="82">
        <f t="shared" si="67"/>
        <v>24.225630320000004</v>
      </c>
      <c r="G174" s="82">
        <f t="shared" si="67"/>
        <v>45.367935800000005</v>
      </c>
      <c r="H174" s="82">
        <f t="shared" si="67"/>
        <v>97.998004400000013</v>
      </c>
      <c r="I174" s="82">
        <f t="shared" si="67"/>
        <v>182.27301484</v>
      </c>
      <c r="J174" s="82">
        <f t="shared" si="67"/>
        <v>270.60928732000008</v>
      </c>
      <c r="K174" s="82">
        <f t="shared" si="67"/>
        <v>358.94555979999996</v>
      </c>
      <c r="L174" s="82">
        <f t="shared" si="67"/>
        <v>442.00012396000011</v>
      </c>
      <c r="M174" s="82">
        <f t="shared" si="67"/>
        <v>497.16550620000004</v>
      </c>
      <c r="N174" s="82">
        <f t="shared" si="67"/>
        <v>520.68594660000008</v>
      </c>
      <c r="O174" s="82">
        <f t="shared" si="67"/>
        <v>528.03230980000012</v>
      </c>
      <c r="P174" s="82">
        <f t="shared" si="67"/>
        <v>535.37867299999994</v>
      </c>
      <c r="Q174" s="82">
        <f t="shared" si="67"/>
        <v>538.97725419999995</v>
      </c>
      <c r="R174" s="82">
        <f t="shared" si="67"/>
        <v>538.97725419999995</v>
      </c>
      <c r="S174" s="82">
        <f t="shared" si="67"/>
        <v>538.97725419999995</v>
      </c>
      <c r="T174" s="82">
        <f t="shared" si="67"/>
        <v>538.97725419999995</v>
      </c>
      <c r="U174" s="82">
        <f t="shared" si="67"/>
        <v>538.97725419999995</v>
      </c>
      <c r="V174" s="82">
        <f t="shared" si="67"/>
        <v>538.97725419999995</v>
      </c>
      <c r="W174" s="82">
        <f t="shared" si="67"/>
        <v>538.97725419999995</v>
      </c>
      <c r="X174" s="82">
        <f t="shared" si="67"/>
        <v>538.97725419999995</v>
      </c>
      <c r="Y174" s="82">
        <f t="shared" si="67"/>
        <v>538.97725419999995</v>
      </c>
      <c r="Z174" s="82">
        <f t="shared" si="67"/>
        <v>538.97725419999995</v>
      </c>
      <c r="AA174" s="82">
        <f t="shared" si="67"/>
        <v>538.97725419999995</v>
      </c>
    </row>
    <row r="175" spans="2:27" x14ac:dyDescent="0.2">
      <c r="B175" s="62" t="str">
        <f>"Total, "&amp;B172</f>
        <v>Total, Western Denmark (DK1)</v>
      </c>
      <c r="C175" s="62" t="s">
        <v>70</v>
      </c>
      <c r="D175" s="83">
        <f t="shared" ref="D175:AA175" si="68">D173+D174</f>
        <v>79.180000000000007</v>
      </c>
      <c r="E175" s="83">
        <f t="shared" si="68"/>
        <v>91.292815160000004</v>
      </c>
      <c r="F175" s="83">
        <f t="shared" si="68"/>
        <v>103.40563032000001</v>
      </c>
      <c r="G175" s="83">
        <f t="shared" si="68"/>
        <v>124.5479358</v>
      </c>
      <c r="H175" s="83">
        <f t="shared" si="68"/>
        <v>177.17800440000002</v>
      </c>
      <c r="I175" s="83">
        <f t="shared" si="68"/>
        <v>261.45301484000004</v>
      </c>
      <c r="J175" s="83">
        <f t="shared" si="68"/>
        <v>349.78928732000008</v>
      </c>
      <c r="K175" s="83">
        <f t="shared" si="68"/>
        <v>438.12555979999996</v>
      </c>
      <c r="L175" s="83">
        <f t="shared" si="68"/>
        <v>521.18012396000017</v>
      </c>
      <c r="M175" s="83">
        <f t="shared" si="68"/>
        <v>576.34550620000005</v>
      </c>
      <c r="N175" s="83">
        <f t="shared" si="68"/>
        <v>599.86594660000014</v>
      </c>
      <c r="O175" s="83">
        <f t="shared" si="68"/>
        <v>607.21230980000018</v>
      </c>
      <c r="P175" s="83">
        <f t="shared" si="68"/>
        <v>614.558673</v>
      </c>
      <c r="Q175" s="83">
        <f t="shared" si="68"/>
        <v>618.1572541999999</v>
      </c>
      <c r="R175" s="83">
        <f t="shared" si="68"/>
        <v>618.1572541999999</v>
      </c>
      <c r="S175" s="83">
        <f t="shared" si="68"/>
        <v>618.1572541999999</v>
      </c>
      <c r="T175" s="83">
        <f t="shared" si="68"/>
        <v>618.1572541999999</v>
      </c>
      <c r="U175" s="83">
        <f t="shared" si="68"/>
        <v>618.1572541999999</v>
      </c>
      <c r="V175" s="83">
        <f t="shared" si="68"/>
        <v>618.1572541999999</v>
      </c>
      <c r="W175" s="83">
        <f t="shared" si="68"/>
        <v>618.1572541999999</v>
      </c>
      <c r="X175" s="83">
        <f t="shared" si="68"/>
        <v>618.1572541999999</v>
      </c>
      <c r="Y175" s="83">
        <f t="shared" si="68"/>
        <v>618.1572541999999</v>
      </c>
      <c r="Z175" s="83">
        <f t="shared" si="68"/>
        <v>618.1572541999999</v>
      </c>
      <c r="AA175" s="83">
        <f t="shared" si="68"/>
        <v>618.1572541999999</v>
      </c>
    </row>
    <row r="176" spans="2:27" x14ac:dyDescent="0.2">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row>
    <row r="177" spans="2:27" x14ac:dyDescent="0.2">
      <c r="B177" s="62" t="s">
        <v>192</v>
      </c>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2:27" x14ac:dyDescent="0.2">
      <c r="B178" s="59" t="s">
        <v>423</v>
      </c>
      <c r="C178" s="59" t="s">
        <v>70</v>
      </c>
      <c r="D178" s="82">
        <f t="shared" ref="D178:AA178" si="69">D163*(1+HLOOKUP(D$171,Elforbrug_Nettab,3,FALSE))</f>
        <v>126.98800000000001</v>
      </c>
      <c r="E178" s="82">
        <f t="shared" si="69"/>
        <v>126.98800000000001</v>
      </c>
      <c r="F178" s="82">
        <f t="shared" si="69"/>
        <v>126.98800000000001</v>
      </c>
      <c r="G178" s="82">
        <f t="shared" si="69"/>
        <v>126.98800000000001</v>
      </c>
      <c r="H178" s="82">
        <f t="shared" si="69"/>
        <v>126.98800000000001</v>
      </c>
      <c r="I178" s="82">
        <f t="shared" si="69"/>
        <v>126.98800000000001</v>
      </c>
      <c r="J178" s="82">
        <f t="shared" si="69"/>
        <v>126.98800000000001</v>
      </c>
      <c r="K178" s="82">
        <f t="shared" si="69"/>
        <v>126.98800000000001</v>
      </c>
      <c r="L178" s="82">
        <f t="shared" si="69"/>
        <v>126.98800000000001</v>
      </c>
      <c r="M178" s="82">
        <f t="shared" si="69"/>
        <v>126.98800000000001</v>
      </c>
      <c r="N178" s="82">
        <f t="shared" si="69"/>
        <v>126.98800000000001</v>
      </c>
      <c r="O178" s="82">
        <f t="shared" si="69"/>
        <v>126.98800000000001</v>
      </c>
      <c r="P178" s="82">
        <f t="shared" si="69"/>
        <v>126.98800000000001</v>
      </c>
      <c r="Q178" s="82">
        <f t="shared" si="69"/>
        <v>126.98800000000001</v>
      </c>
      <c r="R178" s="82">
        <f t="shared" si="69"/>
        <v>126.98800000000001</v>
      </c>
      <c r="S178" s="82">
        <f t="shared" si="69"/>
        <v>126.98800000000001</v>
      </c>
      <c r="T178" s="82">
        <f t="shared" si="69"/>
        <v>126.98800000000001</v>
      </c>
      <c r="U178" s="82">
        <f t="shared" si="69"/>
        <v>126.98800000000001</v>
      </c>
      <c r="V178" s="82">
        <f t="shared" si="69"/>
        <v>126.98800000000001</v>
      </c>
      <c r="W178" s="82">
        <f t="shared" si="69"/>
        <v>126.98800000000001</v>
      </c>
      <c r="X178" s="82">
        <f t="shared" si="69"/>
        <v>126.98800000000001</v>
      </c>
      <c r="Y178" s="82">
        <f t="shared" si="69"/>
        <v>126.98800000000001</v>
      </c>
      <c r="Z178" s="82">
        <f t="shared" si="69"/>
        <v>126.98800000000001</v>
      </c>
      <c r="AA178" s="82">
        <f t="shared" si="69"/>
        <v>126.98800000000001</v>
      </c>
    </row>
    <row r="179" spans="2:27" x14ac:dyDescent="0.2">
      <c r="B179" s="59" t="s">
        <v>424</v>
      </c>
      <c r="C179" s="59" t="s">
        <v>70</v>
      </c>
      <c r="D179" s="82">
        <f t="shared" ref="D179:AA179" si="70">D164*(1+HLOOKUP(D$171,Elforbrug_Nettab,3,FALSE))</f>
        <v>0</v>
      </c>
      <c r="E179" s="82">
        <f t="shared" si="70"/>
        <v>21.331278879999999</v>
      </c>
      <c r="F179" s="82">
        <f t="shared" si="70"/>
        <v>42.662557759999999</v>
      </c>
      <c r="G179" s="82">
        <f t="shared" si="70"/>
        <v>85.130151840000011</v>
      </c>
      <c r="H179" s="82">
        <f t="shared" si="70"/>
        <v>204.77908072000002</v>
      </c>
      <c r="I179" s="82">
        <f t="shared" si="70"/>
        <v>324.42800960000005</v>
      </c>
      <c r="J179" s="82">
        <f t="shared" si="70"/>
        <v>422.74565959999995</v>
      </c>
      <c r="K179" s="82">
        <f t="shared" si="70"/>
        <v>562.61380015999987</v>
      </c>
      <c r="L179" s="82">
        <f t="shared" si="70"/>
        <v>681.34562552000011</v>
      </c>
      <c r="M179" s="82">
        <f t="shared" si="70"/>
        <v>742.60363608</v>
      </c>
      <c r="N179" s="82">
        <f t="shared" si="70"/>
        <v>803.86164663999989</v>
      </c>
      <c r="O179" s="82">
        <f t="shared" si="70"/>
        <v>865.11965720000001</v>
      </c>
      <c r="P179" s="82">
        <f t="shared" si="70"/>
        <v>884.82717720000005</v>
      </c>
      <c r="Q179" s="82">
        <f t="shared" si="70"/>
        <v>904.5346972000001</v>
      </c>
      <c r="R179" s="82">
        <f t="shared" si="70"/>
        <v>904.5346972000001</v>
      </c>
      <c r="S179" s="82">
        <f t="shared" si="70"/>
        <v>904.5346972000001</v>
      </c>
      <c r="T179" s="82">
        <f t="shared" si="70"/>
        <v>904.5346972000001</v>
      </c>
      <c r="U179" s="82">
        <f t="shared" si="70"/>
        <v>904.5346972000001</v>
      </c>
      <c r="V179" s="82">
        <f t="shared" si="70"/>
        <v>904.5346972000001</v>
      </c>
      <c r="W179" s="82">
        <f t="shared" si="70"/>
        <v>904.5346972000001</v>
      </c>
      <c r="X179" s="82">
        <f t="shared" si="70"/>
        <v>904.5346972000001</v>
      </c>
      <c r="Y179" s="82">
        <f t="shared" si="70"/>
        <v>904.5346972000001</v>
      </c>
      <c r="Z179" s="82">
        <f t="shared" si="70"/>
        <v>904.5346972000001</v>
      </c>
      <c r="AA179" s="82">
        <f t="shared" si="70"/>
        <v>904.5346972000001</v>
      </c>
    </row>
    <row r="180" spans="2:27" x14ac:dyDescent="0.2">
      <c r="B180" s="62" t="str">
        <f>"Total, "&amp;B177</f>
        <v>Total, Eastern Denmark (DK2)</v>
      </c>
      <c r="C180" s="62" t="s">
        <v>70</v>
      </c>
      <c r="D180" s="83">
        <f t="shared" ref="D180:AA180" si="71">D178+D179</f>
        <v>126.98800000000001</v>
      </c>
      <c r="E180" s="83">
        <f t="shared" si="71"/>
        <v>148.31927888000001</v>
      </c>
      <c r="F180" s="83">
        <f t="shared" si="71"/>
        <v>169.65055776000003</v>
      </c>
      <c r="G180" s="83">
        <f t="shared" si="71"/>
        <v>212.11815184000002</v>
      </c>
      <c r="H180" s="83">
        <f t="shared" si="71"/>
        <v>331.76708072000002</v>
      </c>
      <c r="I180" s="83">
        <f t="shared" si="71"/>
        <v>451.41600960000005</v>
      </c>
      <c r="J180" s="83">
        <f t="shared" si="71"/>
        <v>549.73365960000001</v>
      </c>
      <c r="K180" s="83">
        <f t="shared" si="71"/>
        <v>689.60180015999993</v>
      </c>
      <c r="L180" s="83">
        <f t="shared" si="71"/>
        <v>808.33362552000017</v>
      </c>
      <c r="M180" s="83">
        <f t="shared" si="71"/>
        <v>869.59163608000006</v>
      </c>
      <c r="N180" s="83">
        <f t="shared" si="71"/>
        <v>930.84964663999995</v>
      </c>
      <c r="O180" s="83">
        <f t="shared" si="71"/>
        <v>992.10765720000006</v>
      </c>
      <c r="P180" s="83">
        <f t="shared" si="71"/>
        <v>1011.8151772000001</v>
      </c>
      <c r="Q180" s="83">
        <f t="shared" si="71"/>
        <v>1031.5226972</v>
      </c>
      <c r="R180" s="83">
        <f t="shared" si="71"/>
        <v>1031.5226972</v>
      </c>
      <c r="S180" s="83">
        <f t="shared" si="71"/>
        <v>1031.5226972</v>
      </c>
      <c r="T180" s="83">
        <f t="shared" si="71"/>
        <v>1031.5226972</v>
      </c>
      <c r="U180" s="83">
        <f t="shared" si="71"/>
        <v>1031.5226972</v>
      </c>
      <c r="V180" s="83">
        <f t="shared" si="71"/>
        <v>1031.5226972</v>
      </c>
      <c r="W180" s="83">
        <f t="shared" si="71"/>
        <v>1031.5226972</v>
      </c>
      <c r="X180" s="83">
        <f t="shared" si="71"/>
        <v>1031.5226972</v>
      </c>
      <c r="Y180" s="83">
        <f t="shared" si="71"/>
        <v>1031.5226972</v>
      </c>
      <c r="Z180" s="83">
        <f t="shared" si="71"/>
        <v>1031.5226972</v>
      </c>
      <c r="AA180" s="83">
        <f t="shared" si="71"/>
        <v>1031.5226972</v>
      </c>
    </row>
    <row r="181" spans="2:27" x14ac:dyDescent="0.2">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row>
    <row r="182" spans="2:27" x14ac:dyDescent="0.2">
      <c r="B182" s="91" t="s">
        <v>198</v>
      </c>
      <c r="C182" s="91" t="s">
        <v>70</v>
      </c>
      <c r="D182" s="94">
        <f>D175+D180</f>
        <v>206.16800000000001</v>
      </c>
      <c r="E182" s="94">
        <f t="shared" ref="E182:AA182" si="72">E175+E180</f>
        <v>239.61209404000002</v>
      </c>
      <c r="F182" s="94">
        <f t="shared" si="72"/>
        <v>273.05618808000003</v>
      </c>
      <c r="G182" s="94">
        <f t="shared" si="72"/>
        <v>336.66608764</v>
      </c>
      <c r="H182" s="94">
        <f t="shared" si="72"/>
        <v>508.94508512000004</v>
      </c>
      <c r="I182" s="94">
        <f t="shared" si="72"/>
        <v>712.86902444000009</v>
      </c>
      <c r="J182" s="94">
        <f t="shared" si="72"/>
        <v>899.52294692000009</v>
      </c>
      <c r="K182" s="94">
        <f t="shared" si="72"/>
        <v>1127.7273599599998</v>
      </c>
      <c r="L182" s="94">
        <f t="shared" si="72"/>
        <v>1329.5137494800003</v>
      </c>
      <c r="M182" s="94">
        <f t="shared" si="72"/>
        <v>1445.93714228</v>
      </c>
      <c r="N182" s="94">
        <f t="shared" si="72"/>
        <v>1530.7155932400001</v>
      </c>
      <c r="O182" s="94">
        <f t="shared" si="72"/>
        <v>1599.3199670000004</v>
      </c>
      <c r="P182" s="94">
        <f t="shared" si="72"/>
        <v>1626.3738502000001</v>
      </c>
      <c r="Q182" s="94">
        <f t="shared" si="72"/>
        <v>1649.6799513999999</v>
      </c>
      <c r="R182" s="94">
        <f t="shared" si="72"/>
        <v>1649.6799513999999</v>
      </c>
      <c r="S182" s="94">
        <f t="shared" si="72"/>
        <v>1649.6799513999999</v>
      </c>
      <c r="T182" s="94">
        <f t="shared" si="72"/>
        <v>1649.6799513999999</v>
      </c>
      <c r="U182" s="94">
        <f t="shared" si="72"/>
        <v>1649.6799513999999</v>
      </c>
      <c r="V182" s="94">
        <f t="shared" si="72"/>
        <v>1649.6799513999999</v>
      </c>
      <c r="W182" s="94">
        <f t="shared" si="72"/>
        <v>1649.6799513999999</v>
      </c>
      <c r="X182" s="94">
        <f t="shared" si="72"/>
        <v>1649.6799513999999</v>
      </c>
      <c r="Y182" s="94">
        <f t="shared" si="72"/>
        <v>1649.6799513999999</v>
      </c>
      <c r="Z182" s="94">
        <f t="shared" si="72"/>
        <v>1649.6799513999999</v>
      </c>
      <c r="AA182" s="94">
        <f t="shared" si="72"/>
        <v>1649.6799513999999</v>
      </c>
    </row>
    <row r="185" spans="2:27" s="70" customFormat="1" x14ac:dyDescent="0.2">
      <c r="B185" s="70" t="s">
        <v>218</v>
      </c>
    </row>
    <row r="187" spans="2:27" x14ac:dyDescent="0.2">
      <c r="B187" s="62" t="s">
        <v>201</v>
      </c>
      <c r="C187" s="62" t="s">
        <v>141</v>
      </c>
      <c r="D187" s="74">
        <f>D$6</f>
        <v>2017</v>
      </c>
      <c r="E187" s="74">
        <f t="shared" ref="E187:AA187" si="73">E$6</f>
        <v>2018</v>
      </c>
      <c r="F187" s="74">
        <f t="shared" si="73"/>
        <v>2019</v>
      </c>
      <c r="G187" s="74">
        <f t="shared" si="73"/>
        <v>2020</v>
      </c>
      <c r="H187" s="74">
        <f t="shared" si="73"/>
        <v>2021</v>
      </c>
      <c r="I187" s="74">
        <f t="shared" si="73"/>
        <v>2022</v>
      </c>
      <c r="J187" s="74">
        <f t="shared" si="73"/>
        <v>2023</v>
      </c>
      <c r="K187" s="74">
        <f t="shared" si="73"/>
        <v>2024</v>
      </c>
      <c r="L187" s="74">
        <f t="shared" si="73"/>
        <v>2025</v>
      </c>
      <c r="M187" s="74">
        <f t="shared" si="73"/>
        <v>2026</v>
      </c>
      <c r="N187" s="74">
        <f t="shared" si="73"/>
        <v>2027</v>
      </c>
      <c r="O187" s="74">
        <f t="shared" si="73"/>
        <v>2028</v>
      </c>
      <c r="P187" s="74">
        <f t="shared" si="73"/>
        <v>2029</v>
      </c>
      <c r="Q187" s="74">
        <f t="shared" si="73"/>
        <v>2030</v>
      </c>
      <c r="R187" s="74">
        <f t="shared" si="73"/>
        <v>2031</v>
      </c>
      <c r="S187" s="74">
        <f t="shared" si="73"/>
        <v>2032</v>
      </c>
      <c r="T187" s="74">
        <f t="shared" si="73"/>
        <v>2033</v>
      </c>
      <c r="U187" s="74">
        <f t="shared" si="73"/>
        <v>2034</v>
      </c>
      <c r="V187" s="74">
        <f t="shared" si="73"/>
        <v>2035</v>
      </c>
      <c r="W187" s="74">
        <f t="shared" si="73"/>
        <v>2036</v>
      </c>
      <c r="X187" s="74">
        <f t="shared" si="73"/>
        <v>2037</v>
      </c>
      <c r="Y187" s="74">
        <f t="shared" si="73"/>
        <v>2038</v>
      </c>
      <c r="Z187" s="74">
        <f t="shared" si="73"/>
        <v>2039</v>
      </c>
      <c r="AA187" s="74">
        <f t="shared" si="73"/>
        <v>2040</v>
      </c>
    </row>
    <row r="188" spans="2:27" x14ac:dyDescent="0.2">
      <c r="B188" s="87" t="s">
        <v>190</v>
      </c>
      <c r="C188" s="87" t="s">
        <v>70</v>
      </c>
      <c r="D188" s="84">
        <v>0</v>
      </c>
      <c r="E188" s="84">
        <v>423.40000000000003</v>
      </c>
      <c r="F188" s="84">
        <v>846.80000000000007</v>
      </c>
      <c r="G188" s="84">
        <v>1445.4</v>
      </c>
      <c r="H188" s="84">
        <v>2044.0000000000002</v>
      </c>
      <c r="I188" s="84">
        <v>2642.6</v>
      </c>
      <c r="J188" s="84">
        <v>3241.2</v>
      </c>
      <c r="K188" s="84">
        <v>3416.3999999999996</v>
      </c>
      <c r="L188" s="84">
        <v>3591.6000000000004</v>
      </c>
      <c r="M188" s="84">
        <v>3591.6000000000004</v>
      </c>
      <c r="N188" s="84">
        <v>3591.6000000000004</v>
      </c>
      <c r="O188" s="84">
        <v>3591.6000000000004</v>
      </c>
      <c r="P188" s="84">
        <v>3591.6000000000004</v>
      </c>
      <c r="Q188" s="84">
        <v>3591.6000000000004</v>
      </c>
      <c r="R188" s="84">
        <v>3591.6000000000004</v>
      </c>
      <c r="S188" s="84">
        <v>3591.6000000000004</v>
      </c>
      <c r="T188" s="84">
        <v>3591.6000000000004</v>
      </c>
      <c r="U188" s="84">
        <v>3591.6000000000004</v>
      </c>
      <c r="V188" s="84">
        <v>3591.6000000000004</v>
      </c>
      <c r="W188" s="84">
        <v>3591.6000000000004</v>
      </c>
      <c r="X188" s="84">
        <v>3591.6000000000004</v>
      </c>
      <c r="Y188" s="84">
        <v>3591.6000000000004</v>
      </c>
      <c r="Z188" s="84">
        <v>3591.6000000000004</v>
      </c>
      <c r="AA188" s="84">
        <v>3591.6000000000004</v>
      </c>
    </row>
    <row r="189" spans="2:27" x14ac:dyDescent="0.2">
      <c r="B189" s="87" t="s">
        <v>192</v>
      </c>
      <c r="C189" s="87" t="s">
        <v>70</v>
      </c>
      <c r="D189" s="84">
        <v>0</v>
      </c>
      <c r="E189" s="84">
        <v>0</v>
      </c>
      <c r="F189" s="84">
        <v>0</v>
      </c>
      <c r="G189" s="84">
        <v>0</v>
      </c>
      <c r="H189" s="84">
        <v>0</v>
      </c>
      <c r="I189" s="84">
        <v>0</v>
      </c>
      <c r="J189" s="84">
        <v>0</v>
      </c>
      <c r="K189" s="84">
        <v>0</v>
      </c>
      <c r="L189" s="84">
        <v>0</v>
      </c>
      <c r="M189" s="84">
        <v>0</v>
      </c>
      <c r="N189" s="84">
        <v>0</v>
      </c>
      <c r="O189" s="84">
        <v>0</v>
      </c>
      <c r="P189" s="84">
        <v>0</v>
      </c>
      <c r="Q189" s="84">
        <v>0</v>
      </c>
      <c r="R189" s="84">
        <v>0</v>
      </c>
      <c r="S189" s="84">
        <v>0</v>
      </c>
      <c r="T189" s="84">
        <v>0</v>
      </c>
      <c r="U189" s="84">
        <v>0</v>
      </c>
      <c r="V189" s="84">
        <v>0</v>
      </c>
      <c r="W189" s="84">
        <v>0</v>
      </c>
      <c r="X189" s="84">
        <v>0</v>
      </c>
      <c r="Y189" s="84">
        <v>0</v>
      </c>
      <c r="Z189" s="84">
        <v>0</v>
      </c>
      <c r="AA189" s="84">
        <v>0</v>
      </c>
    </row>
    <row r="190" spans="2:27" x14ac:dyDescent="0.2">
      <c r="B190" s="93" t="s">
        <v>198</v>
      </c>
      <c r="C190" s="93" t="s">
        <v>70</v>
      </c>
      <c r="D190" s="94">
        <f t="shared" ref="D190:AA190" si="74">D188+D189</f>
        <v>0</v>
      </c>
      <c r="E190" s="94">
        <f t="shared" si="74"/>
        <v>423.40000000000003</v>
      </c>
      <c r="F190" s="94">
        <f t="shared" si="74"/>
        <v>846.80000000000007</v>
      </c>
      <c r="G190" s="94">
        <f t="shared" si="74"/>
        <v>1445.4</v>
      </c>
      <c r="H190" s="94">
        <f t="shared" si="74"/>
        <v>2044.0000000000002</v>
      </c>
      <c r="I190" s="94">
        <f t="shared" si="74"/>
        <v>2642.6</v>
      </c>
      <c r="J190" s="94">
        <f t="shared" si="74"/>
        <v>3241.2</v>
      </c>
      <c r="K190" s="94">
        <f t="shared" si="74"/>
        <v>3416.3999999999996</v>
      </c>
      <c r="L190" s="94">
        <f t="shared" si="74"/>
        <v>3591.6000000000004</v>
      </c>
      <c r="M190" s="94">
        <f t="shared" si="74"/>
        <v>3591.6000000000004</v>
      </c>
      <c r="N190" s="94">
        <f t="shared" si="74"/>
        <v>3591.6000000000004</v>
      </c>
      <c r="O190" s="94">
        <f t="shared" si="74"/>
        <v>3591.6000000000004</v>
      </c>
      <c r="P190" s="94">
        <f t="shared" si="74"/>
        <v>3591.6000000000004</v>
      </c>
      <c r="Q190" s="94">
        <f t="shared" si="74"/>
        <v>3591.6000000000004</v>
      </c>
      <c r="R190" s="94">
        <f t="shared" si="74"/>
        <v>3591.6000000000004</v>
      </c>
      <c r="S190" s="94">
        <f t="shared" si="74"/>
        <v>3591.6000000000004</v>
      </c>
      <c r="T190" s="94">
        <f t="shared" si="74"/>
        <v>3591.6000000000004</v>
      </c>
      <c r="U190" s="94">
        <f t="shared" si="74"/>
        <v>3591.6000000000004</v>
      </c>
      <c r="V190" s="94">
        <f t="shared" si="74"/>
        <v>3591.6000000000004</v>
      </c>
      <c r="W190" s="94">
        <f t="shared" si="74"/>
        <v>3591.6000000000004</v>
      </c>
      <c r="X190" s="94">
        <f t="shared" si="74"/>
        <v>3591.6000000000004</v>
      </c>
      <c r="Y190" s="94">
        <f t="shared" si="74"/>
        <v>3591.6000000000004</v>
      </c>
      <c r="Z190" s="94">
        <f t="shared" si="74"/>
        <v>3591.6000000000004</v>
      </c>
      <c r="AA190" s="94">
        <f t="shared" si="74"/>
        <v>3591.6000000000004</v>
      </c>
    </row>
    <row r="191" spans="2:27" x14ac:dyDescent="0.2">
      <c r="B191" s="72" t="s">
        <v>426</v>
      </c>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row>
    <row r="192" spans="2:27" s="12" customFormat="1" x14ac:dyDescent="0.2">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row>
    <row r="193" spans="2:27" s="12" customFormat="1" x14ac:dyDescent="0.2">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row>
    <row r="194" spans="2:27" x14ac:dyDescent="0.2">
      <c r="B194" s="62" t="s">
        <v>202</v>
      </c>
      <c r="C194" s="62" t="s">
        <v>141</v>
      </c>
      <c r="D194" s="74">
        <f>D$6</f>
        <v>2017</v>
      </c>
      <c r="E194" s="74">
        <f t="shared" ref="E194:AA194" si="75">E$6</f>
        <v>2018</v>
      </c>
      <c r="F194" s="74">
        <f t="shared" si="75"/>
        <v>2019</v>
      </c>
      <c r="G194" s="74">
        <f t="shared" si="75"/>
        <v>2020</v>
      </c>
      <c r="H194" s="74">
        <f t="shared" si="75"/>
        <v>2021</v>
      </c>
      <c r="I194" s="74">
        <f t="shared" si="75"/>
        <v>2022</v>
      </c>
      <c r="J194" s="74">
        <f t="shared" si="75"/>
        <v>2023</v>
      </c>
      <c r="K194" s="74">
        <f t="shared" si="75"/>
        <v>2024</v>
      </c>
      <c r="L194" s="74">
        <f t="shared" si="75"/>
        <v>2025</v>
      </c>
      <c r="M194" s="74">
        <f t="shared" si="75"/>
        <v>2026</v>
      </c>
      <c r="N194" s="74">
        <f t="shared" si="75"/>
        <v>2027</v>
      </c>
      <c r="O194" s="74">
        <f t="shared" si="75"/>
        <v>2028</v>
      </c>
      <c r="P194" s="74">
        <f t="shared" si="75"/>
        <v>2029</v>
      </c>
      <c r="Q194" s="74">
        <f t="shared" si="75"/>
        <v>2030</v>
      </c>
      <c r="R194" s="74">
        <f t="shared" si="75"/>
        <v>2031</v>
      </c>
      <c r="S194" s="74">
        <f t="shared" si="75"/>
        <v>2032</v>
      </c>
      <c r="T194" s="74">
        <f t="shared" si="75"/>
        <v>2033</v>
      </c>
      <c r="U194" s="74">
        <f t="shared" si="75"/>
        <v>2034</v>
      </c>
      <c r="V194" s="74">
        <f t="shared" si="75"/>
        <v>2035</v>
      </c>
      <c r="W194" s="74">
        <f t="shared" si="75"/>
        <v>2036</v>
      </c>
      <c r="X194" s="74">
        <f t="shared" si="75"/>
        <v>2037</v>
      </c>
      <c r="Y194" s="74">
        <f t="shared" si="75"/>
        <v>2038</v>
      </c>
      <c r="Z194" s="74">
        <f t="shared" si="75"/>
        <v>2039</v>
      </c>
      <c r="AA194" s="74">
        <f t="shared" si="75"/>
        <v>2040</v>
      </c>
    </row>
    <row r="195" spans="2:27" x14ac:dyDescent="0.2">
      <c r="B195" s="87" t="s">
        <v>190</v>
      </c>
      <c r="C195" s="87" t="s">
        <v>70</v>
      </c>
      <c r="D195" s="82">
        <f t="shared" ref="D195:AA195" si="76">D188*(1+HLOOKUP(D$194,Elforbrug_Nettab,2,FALSE))</f>
        <v>0</v>
      </c>
      <c r="E195" s="82">
        <f t="shared" si="76"/>
        <v>453.03800000000007</v>
      </c>
      <c r="F195" s="82">
        <f t="shared" si="76"/>
        <v>906.07600000000014</v>
      </c>
      <c r="G195" s="82">
        <f t="shared" si="76"/>
        <v>1546.5780000000002</v>
      </c>
      <c r="H195" s="82">
        <f t="shared" si="76"/>
        <v>2187.0800000000004</v>
      </c>
      <c r="I195" s="82">
        <f t="shared" si="76"/>
        <v>2827.5819999999999</v>
      </c>
      <c r="J195" s="82">
        <f t="shared" si="76"/>
        <v>3468.0839999999998</v>
      </c>
      <c r="K195" s="82">
        <f t="shared" si="76"/>
        <v>3655.5479999999998</v>
      </c>
      <c r="L195" s="82">
        <f t="shared" si="76"/>
        <v>3843.0120000000006</v>
      </c>
      <c r="M195" s="82">
        <f t="shared" si="76"/>
        <v>3843.0120000000006</v>
      </c>
      <c r="N195" s="82">
        <f t="shared" si="76"/>
        <v>3843.0120000000006</v>
      </c>
      <c r="O195" s="82">
        <f t="shared" si="76"/>
        <v>3843.0120000000006</v>
      </c>
      <c r="P195" s="82">
        <f t="shared" si="76"/>
        <v>3843.0120000000006</v>
      </c>
      <c r="Q195" s="82">
        <f t="shared" si="76"/>
        <v>3843.0120000000006</v>
      </c>
      <c r="R195" s="82">
        <f t="shared" si="76"/>
        <v>3843.0120000000006</v>
      </c>
      <c r="S195" s="82">
        <f t="shared" si="76"/>
        <v>3843.0120000000006</v>
      </c>
      <c r="T195" s="82">
        <f t="shared" si="76"/>
        <v>3843.0120000000006</v>
      </c>
      <c r="U195" s="82">
        <f t="shared" si="76"/>
        <v>3843.0120000000006</v>
      </c>
      <c r="V195" s="82">
        <f t="shared" si="76"/>
        <v>3843.0120000000006</v>
      </c>
      <c r="W195" s="82">
        <f t="shared" si="76"/>
        <v>3843.0120000000006</v>
      </c>
      <c r="X195" s="82">
        <f t="shared" si="76"/>
        <v>3843.0120000000006</v>
      </c>
      <c r="Y195" s="82">
        <f t="shared" si="76"/>
        <v>3843.0120000000006</v>
      </c>
      <c r="Z195" s="82">
        <f t="shared" si="76"/>
        <v>3843.0120000000006</v>
      </c>
      <c r="AA195" s="82">
        <f t="shared" si="76"/>
        <v>3843.0120000000006</v>
      </c>
    </row>
    <row r="196" spans="2:27" x14ac:dyDescent="0.2">
      <c r="B196" s="87" t="s">
        <v>192</v>
      </c>
      <c r="C196" s="87" t="s">
        <v>70</v>
      </c>
      <c r="D196" s="82">
        <f t="shared" ref="D196:AA196" si="77">D189*(1+HLOOKUP(D$194,Elforbrug_Nettab,3,FALSE))</f>
        <v>0</v>
      </c>
      <c r="E196" s="82">
        <f t="shared" si="77"/>
        <v>0</v>
      </c>
      <c r="F196" s="82">
        <f t="shared" si="77"/>
        <v>0</v>
      </c>
      <c r="G196" s="82">
        <f t="shared" si="77"/>
        <v>0</v>
      </c>
      <c r="H196" s="82">
        <f t="shared" si="77"/>
        <v>0</v>
      </c>
      <c r="I196" s="82">
        <f t="shared" si="77"/>
        <v>0</v>
      </c>
      <c r="J196" s="82">
        <f t="shared" si="77"/>
        <v>0</v>
      </c>
      <c r="K196" s="82">
        <f t="shared" si="77"/>
        <v>0</v>
      </c>
      <c r="L196" s="82">
        <f t="shared" si="77"/>
        <v>0</v>
      </c>
      <c r="M196" s="82">
        <f t="shared" si="77"/>
        <v>0</v>
      </c>
      <c r="N196" s="82">
        <f t="shared" si="77"/>
        <v>0</v>
      </c>
      <c r="O196" s="82">
        <f t="shared" si="77"/>
        <v>0</v>
      </c>
      <c r="P196" s="82">
        <f t="shared" si="77"/>
        <v>0</v>
      </c>
      <c r="Q196" s="82">
        <f t="shared" si="77"/>
        <v>0</v>
      </c>
      <c r="R196" s="82">
        <f t="shared" si="77"/>
        <v>0</v>
      </c>
      <c r="S196" s="82">
        <f t="shared" si="77"/>
        <v>0</v>
      </c>
      <c r="T196" s="82">
        <f t="shared" si="77"/>
        <v>0</v>
      </c>
      <c r="U196" s="82">
        <f t="shared" si="77"/>
        <v>0</v>
      </c>
      <c r="V196" s="82">
        <f t="shared" si="77"/>
        <v>0</v>
      </c>
      <c r="W196" s="82">
        <f t="shared" si="77"/>
        <v>0</v>
      </c>
      <c r="X196" s="82">
        <f t="shared" si="77"/>
        <v>0</v>
      </c>
      <c r="Y196" s="82">
        <f t="shared" si="77"/>
        <v>0</v>
      </c>
      <c r="Z196" s="82">
        <f t="shared" si="77"/>
        <v>0</v>
      </c>
      <c r="AA196" s="82">
        <f t="shared" si="77"/>
        <v>0</v>
      </c>
    </row>
    <row r="197" spans="2:27" x14ac:dyDescent="0.2">
      <c r="B197" s="93" t="s">
        <v>198</v>
      </c>
      <c r="C197" s="93" t="s">
        <v>70</v>
      </c>
      <c r="D197" s="94">
        <f t="shared" ref="D197:AA197" si="78">D195+D196</f>
        <v>0</v>
      </c>
      <c r="E197" s="94">
        <f t="shared" si="78"/>
        <v>453.03800000000007</v>
      </c>
      <c r="F197" s="94">
        <f t="shared" si="78"/>
        <v>906.07600000000014</v>
      </c>
      <c r="G197" s="94">
        <f t="shared" si="78"/>
        <v>1546.5780000000002</v>
      </c>
      <c r="H197" s="94">
        <f t="shared" si="78"/>
        <v>2187.0800000000004</v>
      </c>
      <c r="I197" s="94">
        <f t="shared" si="78"/>
        <v>2827.5819999999999</v>
      </c>
      <c r="J197" s="94">
        <f t="shared" si="78"/>
        <v>3468.0839999999998</v>
      </c>
      <c r="K197" s="94">
        <f t="shared" si="78"/>
        <v>3655.5479999999998</v>
      </c>
      <c r="L197" s="94">
        <f t="shared" si="78"/>
        <v>3843.0120000000006</v>
      </c>
      <c r="M197" s="94">
        <f t="shared" si="78"/>
        <v>3843.0120000000006</v>
      </c>
      <c r="N197" s="94">
        <f t="shared" si="78"/>
        <v>3843.0120000000006</v>
      </c>
      <c r="O197" s="94">
        <f t="shared" si="78"/>
        <v>3843.0120000000006</v>
      </c>
      <c r="P197" s="94">
        <f t="shared" si="78"/>
        <v>3843.0120000000006</v>
      </c>
      <c r="Q197" s="94">
        <f t="shared" si="78"/>
        <v>3843.0120000000006</v>
      </c>
      <c r="R197" s="94">
        <f t="shared" si="78"/>
        <v>3843.0120000000006</v>
      </c>
      <c r="S197" s="94">
        <f t="shared" si="78"/>
        <v>3843.0120000000006</v>
      </c>
      <c r="T197" s="94">
        <f t="shared" si="78"/>
        <v>3843.0120000000006</v>
      </c>
      <c r="U197" s="94">
        <f t="shared" si="78"/>
        <v>3843.0120000000006</v>
      </c>
      <c r="V197" s="94">
        <f t="shared" si="78"/>
        <v>3843.0120000000006</v>
      </c>
      <c r="W197" s="94">
        <f t="shared" si="78"/>
        <v>3843.0120000000006</v>
      </c>
      <c r="X197" s="94">
        <f t="shared" si="78"/>
        <v>3843.0120000000006</v>
      </c>
      <c r="Y197" s="94">
        <f t="shared" si="78"/>
        <v>3843.0120000000006</v>
      </c>
      <c r="Z197" s="94">
        <f t="shared" si="78"/>
        <v>3843.0120000000006</v>
      </c>
      <c r="AA197" s="94">
        <f t="shared" si="78"/>
        <v>3843.0120000000006</v>
      </c>
    </row>
    <row r="200" spans="2:27" s="70" customFormat="1" x14ac:dyDescent="0.2">
      <c r="B200" s="70" t="s">
        <v>219</v>
      </c>
    </row>
    <row r="202" spans="2:27" x14ac:dyDescent="0.2">
      <c r="B202" s="62" t="s">
        <v>201</v>
      </c>
      <c r="C202" s="62" t="s">
        <v>141</v>
      </c>
      <c r="D202" s="74">
        <f>D$6</f>
        <v>2017</v>
      </c>
      <c r="E202" s="74">
        <f t="shared" ref="E202:AA202" si="79">E$6</f>
        <v>2018</v>
      </c>
      <c r="F202" s="74">
        <f t="shared" si="79"/>
        <v>2019</v>
      </c>
      <c r="G202" s="74">
        <f t="shared" si="79"/>
        <v>2020</v>
      </c>
      <c r="H202" s="74">
        <f t="shared" si="79"/>
        <v>2021</v>
      </c>
      <c r="I202" s="74">
        <f t="shared" si="79"/>
        <v>2022</v>
      </c>
      <c r="J202" s="74">
        <f t="shared" si="79"/>
        <v>2023</v>
      </c>
      <c r="K202" s="74">
        <f t="shared" si="79"/>
        <v>2024</v>
      </c>
      <c r="L202" s="74">
        <f t="shared" si="79"/>
        <v>2025</v>
      </c>
      <c r="M202" s="74">
        <f t="shared" si="79"/>
        <v>2026</v>
      </c>
      <c r="N202" s="74">
        <f t="shared" si="79"/>
        <v>2027</v>
      </c>
      <c r="O202" s="74">
        <f t="shared" si="79"/>
        <v>2028</v>
      </c>
      <c r="P202" s="74">
        <f t="shared" si="79"/>
        <v>2029</v>
      </c>
      <c r="Q202" s="74">
        <f t="shared" si="79"/>
        <v>2030</v>
      </c>
      <c r="R202" s="74">
        <f t="shared" si="79"/>
        <v>2031</v>
      </c>
      <c r="S202" s="74">
        <f t="shared" si="79"/>
        <v>2032</v>
      </c>
      <c r="T202" s="74">
        <f t="shared" si="79"/>
        <v>2033</v>
      </c>
      <c r="U202" s="74">
        <f t="shared" si="79"/>
        <v>2034</v>
      </c>
      <c r="V202" s="74">
        <f t="shared" si="79"/>
        <v>2035</v>
      </c>
      <c r="W202" s="74">
        <f t="shared" si="79"/>
        <v>2036</v>
      </c>
      <c r="X202" s="74">
        <f t="shared" si="79"/>
        <v>2037</v>
      </c>
      <c r="Y202" s="74">
        <f t="shared" si="79"/>
        <v>2038</v>
      </c>
      <c r="Z202" s="74">
        <f t="shared" si="79"/>
        <v>2039</v>
      </c>
      <c r="AA202" s="74">
        <f t="shared" si="79"/>
        <v>2040</v>
      </c>
    </row>
    <row r="203" spans="2:27" x14ac:dyDescent="0.2">
      <c r="B203" s="62" t="s">
        <v>190</v>
      </c>
      <c r="C203" s="62"/>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spans="2:27" s="12" customFormat="1" x14ac:dyDescent="0.2">
      <c r="B204" s="87" t="s">
        <v>386</v>
      </c>
      <c r="C204" s="87" t="s">
        <v>70</v>
      </c>
      <c r="D204" s="88">
        <f t="shared" ref="D204:AA204" si="80">D21</f>
        <v>18481.491966499179</v>
      </c>
      <c r="E204" s="88">
        <f t="shared" si="80"/>
        <v>18594.769883535675</v>
      </c>
      <c r="F204" s="88">
        <f t="shared" si="80"/>
        <v>18729.521891593467</v>
      </c>
      <c r="G204" s="88">
        <f t="shared" si="80"/>
        <v>18733.929169709496</v>
      </c>
      <c r="H204" s="88">
        <f t="shared" si="80"/>
        <v>18701.883064085283</v>
      </c>
      <c r="I204" s="88">
        <f t="shared" si="80"/>
        <v>18738.337545589857</v>
      </c>
      <c r="J204" s="88">
        <f t="shared" si="80"/>
        <v>18756.887702640681</v>
      </c>
      <c r="K204" s="88">
        <f t="shared" si="80"/>
        <v>18777.582471111742</v>
      </c>
      <c r="L204" s="88">
        <f t="shared" si="80"/>
        <v>18791.470781903499</v>
      </c>
      <c r="M204" s="88">
        <f t="shared" si="80"/>
        <v>18788.067523054873</v>
      </c>
      <c r="N204" s="88">
        <f t="shared" si="80"/>
        <v>18796.783837655741</v>
      </c>
      <c r="O204" s="88">
        <f t="shared" si="80"/>
        <v>18784.450383748237</v>
      </c>
      <c r="P204" s="88">
        <f t="shared" si="80"/>
        <v>18776.450550045283</v>
      </c>
      <c r="Q204" s="88">
        <f t="shared" si="80"/>
        <v>18808.091738729574</v>
      </c>
      <c r="R204" s="88">
        <f t="shared" si="80"/>
        <v>18795.937140148544</v>
      </c>
      <c r="S204" s="88">
        <f t="shared" si="80"/>
        <v>18789.745799691053</v>
      </c>
      <c r="T204" s="88">
        <f t="shared" si="80"/>
        <v>18757.852606771146</v>
      </c>
      <c r="U204" s="88">
        <f t="shared" si="80"/>
        <v>18720.738877153883</v>
      </c>
      <c r="V204" s="88">
        <f t="shared" si="80"/>
        <v>18738.622953419799</v>
      </c>
      <c r="W204" s="88">
        <f t="shared" si="80"/>
        <v>18714.73704364185</v>
      </c>
      <c r="X204" s="88">
        <f t="shared" si="80"/>
        <v>18709.063486991257</v>
      </c>
      <c r="Y204" s="88">
        <f t="shared" si="80"/>
        <v>18698.773718225868</v>
      </c>
      <c r="Z204" s="88">
        <f t="shared" si="80"/>
        <v>18690.329190808752</v>
      </c>
      <c r="AA204" s="88">
        <f t="shared" si="80"/>
        <v>18733.303049822098</v>
      </c>
    </row>
    <row r="205" spans="2:27" x14ac:dyDescent="0.2">
      <c r="B205" s="59" t="s">
        <v>220</v>
      </c>
      <c r="C205" s="59" t="s">
        <v>70</v>
      </c>
      <c r="D205" s="81">
        <f t="shared" ref="D205:AA205" si="81">D36</f>
        <v>309.03115141855011</v>
      </c>
      <c r="E205" s="81">
        <f t="shared" si="81"/>
        <v>328.31095731140283</v>
      </c>
      <c r="F205" s="81">
        <f t="shared" si="81"/>
        <v>348.74407330873612</v>
      </c>
      <c r="G205" s="81">
        <f t="shared" si="81"/>
        <v>370.77725133997029</v>
      </c>
      <c r="H205" s="81">
        <f t="shared" si="81"/>
        <v>405.59525438962123</v>
      </c>
      <c r="I205" s="81">
        <f t="shared" si="81"/>
        <v>443.39530797665367</v>
      </c>
      <c r="J205" s="81">
        <f t="shared" si="81"/>
        <v>485.05533454246233</v>
      </c>
      <c r="K205" s="81">
        <f t="shared" si="81"/>
        <v>528.45775279942563</v>
      </c>
      <c r="L205" s="81">
        <f t="shared" si="81"/>
        <v>573.66293136530101</v>
      </c>
      <c r="M205" s="81">
        <f t="shared" si="81"/>
        <v>620.66055371475534</v>
      </c>
      <c r="N205" s="81">
        <f t="shared" si="81"/>
        <v>669.01617603299997</v>
      </c>
      <c r="O205" s="81">
        <f t="shared" si="81"/>
        <v>718.95430372473106</v>
      </c>
      <c r="P205" s="81">
        <f t="shared" si="81"/>
        <v>770.07947473166053</v>
      </c>
      <c r="Q205" s="81">
        <f t="shared" si="81"/>
        <v>820.75200817102575</v>
      </c>
      <c r="R205" s="81">
        <f t="shared" si="81"/>
        <v>873.42372683017686</v>
      </c>
      <c r="S205" s="81">
        <f t="shared" si="81"/>
        <v>930.39927180755296</v>
      </c>
      <c r="T205" s="81">
        <f t="shared" si="81"/>
        <v>988.11282643716356</v>
      </c>
      <c r="U205" s="81">
        <f t="shared" si="81"/>
        <v>1025.2796429404257</v>
      </c>
      <c r="V205" s="81">
        <f t="shared" si="81"/>
        <v>1060.8803603839331</v>
      </c>
      <c r="W205" s="81">
        <f t="shared" si="81"/>
        <v>1096.5382989338757</v>
      </c>
      <c r="X205" s="81">
        <f t="shared" si="81"/>
        <v>1131.6495279053022</v>
      </c>
      <c r="Y205" s="81">
        <f t="shared" si="81"/>
        <v>1166.1646323342479</v>
      </c>
      <c r="Z205" s="81">
        <f t="shared" si="81"/>
        <v>1200.0322098209413</v>
      </c>
      <c r="AA205" s="81">
        <f t="shared" si="81"/>
        <v>1233.1988046291717</v>
      </c>
    </row>
    <row r="206" spans="2:27" x14ac:dyDescent="0.2">
      <c r="B206" s="59" t="s">
        <v>221</v>
      </c>
      <c r="C206" s="59" t="s">
        <v>70</v>
      </c>
      <c r="D206" s="82">
        <f t="shared" ref="D206:AA206" si="82">D75</f>
        <v>90.023657700000001</v>
      </c>
      <c r="E206" s="82">
        <f t="shared" si="82"/>
        <v>108.9625721</v>
      </c>
      <c r="F206" s="82">
        <f t="shared" si="82"/>
        <v>209.29284569999996</v>
      </c>
      <c r="G206" s="82">
        <f t="shared" si="82"/>
        <v>284.34037040000004</v>
      </c>
      <c r="H206" s="82">
        <f t="shared" si="82"/>
        <v>312.5108391</v>
      </c>
      <c r="I206" s="82">
        <f t="shared" si="82"/>
        <v>325.87601060000003</v>
      </c>
      <c r="J206" s="82">
        <f t="shared" si="82"/>
        <v>361.75538979999999</v>
      </c>
      <c r="K206" s="82">
        <f t="shared" si="82"/>
        <v>329.72540100000003</v>
      </c>
      <c r="L206" s="82">
        <f t="shared" si="82"/>
        <v>327.9270593</v>
      </c>
      <c r="M206" s="82">
        <f t="shared" si="82"/>
        <v>353.31556089999998</v>
      </c>
      <c r="N206" s="82">
        <f t="shared" si="82"/>
        <v>430.82524649999999</v>
      </c>
      <c r="O206" s="82">
        <f t="shared" si="82"/>
        <v>605.20227909999994</v>
      </c>
      <c r="P206" s="82">
        <f t="shared" si="82"/>
        <v>599.97076660000005</v>
      </c>
      <c r="Q206" s="82">
        <f t="shared" si="82"/>
        <v>772.57619049999994</v>
      </c>
      <c r="R206" s="82">
        <f t="shared" si="82"/>
        <v>786.88356340000007</v>
      </c>
      <c r="S206" s="82">
        <f t="shared" si="82"/>
        <v>797.98427410000011</v>
      </c>
      <c r="T206" s="82">
        <f t="shared" si="82"/>
        <v>781.08290219999992</v>
      </c>
      <c r="U206" s="82">
        <f t="shared" si="82"/>
        <v>787.77431419999994</v>
      </c>
      <c r="V206" s="82">
        <f t="shared" si="82"/>
        <v>801.59492980000005</v>
      </c>
      <c r="W206" s="82">
        <f t="shared" si="82"/>
        <v>802.00523520000002</v>
      </c>
      <c r="X206" s="82">
        <f t="shared" si="82"/>
        <v>804.30071169999985</v>
      </c>
      <c r="Y206" s="82">
        <f t="shared" si="82"/>
        <v>808.0239102999999</v>
      </c>
      <c r="Z206" s="82">
        <f t="shared" si="82"/>
        <v>814.73968409999998</v>
      </c>
      <c r="AA206" s="82">
        <f t="shared" si="82"/>
        <v>827.10523249999994</v>
      </c>
    </row>
    <row r="207" spans="2:27" x14ac:dyDescent="0.2">
      <c r="B207" s="87" t="s">
        <v>222</v>
      </c>
      <c r="C207" s="59" t="s">
        <v>70</v>
      </c>
      <c r="D207" s="82">
        <f t="shared" ref="D207:AA207" si="83">D103</f>
        <v>88.360263900000007</v>
      </c>
      <c r="E207" s="82">
        <f t="shared" si="83"/>
        <v>98.251496099999997</v>
      </c>
      <c r="F207" s="82">
        <f t="shared" si="83"/>
        <v>116.974102</v>
      </c>
      <c r="G207" s="82">
        <f t="shared" si="83"/>
        <v>73.808571299999997</v>
      </c>
      <c r="H207" s="82">
        <f t="shared" si="83"/>
        <v>82.466625300000004</v>
      </c>
      <c r="I207" s="82">
        <f t="shared" si="83"/>
        <v>70.075261399999988</v>
      </c>
      <c r="J207" s="82">
        <f t="shared" si="83"/>
        <v>90.210461699999996</v>
      </c>
      <c r="K207" s="82">
        <f t="shared" si="83"/>
        <v>82.68720230000001</v>
      </c>
      <c r="L207" s="82">
        <f t="shared" si="83"/>
        <v>53.633292699999998</v>
      </c>
      <c r="M207" s="82">
        <f t="shared" si="83"/>
        <v>74.600992099999999</v>
      </c>
      <c r="N207" s="82">
        <f t="shared" si="83"/>
        <v>145.7376347</v>
      </c>
      <c r="O207" s="82">
        <f t="shared" si="83"/>
        <v>147.36790100000002</v>
      </c>
      <c r="P207" s="82">
        <f t="shared" si="83"/>
        <v>89.172768099999999</v>
      </c>
      <c r="Q207" s="82">
        <f t="shared" si="83"/>
        <v>110.87621969999999</v>
      </c>
      <c r="R207" s="82">
        <f t="shared" si="83"/>
        <v>110.28569419999999</v>
      </c>
      <c r="S207" s="82">
        <f t="shared" si="83"/>
        <v>118.86848499999999</v>
      </c>
      <c r="T207" s="82">
        <f t="shared" si="83"/>
        <v>102.98893799999999</v>
      </c>
      <c r="U207" s="82">
        <f t="shared" si="83"/>
        <v>106.17740330000001</v>
      </c>
      <c r="V207" s="82">
        <f t="shared" si="83"/>
        <v>109.63984450000001</v>
      </c>
      <c r="W207" s="82">
        <f t="shared" si="83"/>
        <v>101.601967</v>
      </c>
      <c r="X207" s="82">
        <f t="shared" si="83"/>
        <v>105.74577040000001</v>
      </c>
      <c r="Y207" s="82">
        <f t="shared" si="83"/>
        <v>103.64028590000001</v>
      </c>
      <c r="Z207" s="82">
        <f t="shared" si="83"/>
        <v>101.5579431</v>
      </c>
      <c r="AA207" s="82">
        <f t="shared" si="83"/>
        <v>90.576963199999994</v>
      </c>
    </row>
    <row r="208" spans="2:27" x14ac:dyDescent="0.2">
      <c r="B208" s="59" t="s">
        <v>223</v>
      </c>
      <c r="C208" s="59" t="s">
        <v>70</v>
      </c>
      <c r="D208" s="82">
        <f t="shared" ref="D208:AA208" si="84">D122</f>
        <v>11.758439840973136</v>
      </c>
      <c r="E208" s="82">
        <f t="shared" si="84"/>
        <v>13.32593233462898</v>
      </c>
      <c r="F208" s="82">
        <f t="shared" si="84"/>
        <v>19.657685659520375</v>
      </c>
      <c r="G208" s="82">
        <f t="shared" si="84"/>
        <v>42.91830852064605</v>
      </c>
      <c r="H208" s="82">
        <f t="shared" si="84"/>
        <v>94.660594841592655</v>
      </c>
      <c r="I208" s="82">
        <f t="shared" si="84"/>
        <v>180.1299850486694</v>
      </c>
      <c r="J208" s="82">
        <f t="shared" si="84"/>
        <v>291.82922743377793</v>
      </c>
      <c r="K208" s="82">
        <f t="shared" si="84"/>
        <v>419.13426007784699</v>
      </c>
      <c r="L208" s="82">
        <f t="shared" si="84"/>
        <v>557.20588920366788</v>
      </c>
      <c r="M208" s="82">
        <f t="shared" si="84"/>
        <v>726.15056998242608</v>
      </c>
      <c r="N208" s="82">
        <f t="shared" si="84"/>
        <v>921.37403671573395</v>
      </c>
      <c r="O208" s="82">
        <f t="shared" si="84"/>
        <v>1143.2959647621442</v>
      </c>
      <c r="P208" s="82">
        <f t="shared" si="84"/>
        <v>1394.9321913930396</v>
      </c>
      <c r="Q208" s="82">
        <f t="shared" si="84"/>
        <v>1672.0917197067226</v>
      </c>
      <c r="R208" s="82">
        <f t="shared" si="84"/>
        <v>1977.07134002984</v>
      </c>
      <c r="S208" s="82">
        <f t="shared" si="84"/>
        <v>2304.7903387402007</v>
      </c>
      <c r="T208" s="82">
        <f t="shared" si="84"/>
        <v>2684.8653651574318</v>
      </c>
      <c r="U208" s="82">
        <f t="shared" si="84"/>
        <v>3084.1352699953832</v>
      </c>
      <c r="V208" s="82">
        <f t="shared" si="84"/>
        <v>3486.9153078768472</v>
      </c>
      <c r="W208" s="82">
        <f t="shared" si="84"/>
        <v>3885.0620064530235</v>
      </c>
      <c r="X208" s="82">
        <f t="shared" si="84"/>
        <v>4255.9594751465283</v>
      </c>
      <c r="Y208" s="82">
        <f t="shared" si="84"/>
        <v>4591.7912074194965</v>
      </c>
      <c r="Z208" s="82">
        <f t="shared" si="84"/>
        <v>4900.5068679808483</v>
      </c>
      <c r="AA208" s="82">
        <f t="shared" si="84"/>
        <v>5184.5290130151861</v>
      </c>
    </row>
    <row r="209" spans="2:27" x14ac:dyDescent="0.2">
      <c r="B209" s="59" t="s">
        <v>224</v>
      </c>
      <c r="C209" s="59" t="s">
        <v>70</v>
      </c>
      <c r="D209" s="81">
        <f t="shared" ref="D209:AA209" si="85">D160</f>
        <v>74</v>
      </c>
      <c r="E209" s="81">
        <f t="shared" si="85"/>
        <v>85.320388000000008</v>
      </c>
      <c r="F209" s="81">
        <f t="shared" si="85"/>
        <v>96.640776000000002</v>
      </c>
      <c r="G209" s="81">
        <f t="shared" si="85"/>
        <v>116.39994</v>
      </c>
      <c r="H209" s="81">
        <f t="shared" si="85"/>
        <v>165.58692000000002</v>
      </c>
      <c r="I209" s="81">
        <f t="shared" si="85"/>
        <v>244.348612</v>
      </c>
      <c r="J209" s="81">
        <f t="shared" si="85"/>
        <v>326.90587600000003</v>
      </c>
      <c r="K209" s="81">
        <f t="shared" si="85"/>
        <v>409.46313999999995</v>
      </c>
      <c r="L209" s="81">
        <f t="shared" si="85"/>
        <v>487.08422800000005</v>
      </c>
      <c r="M209" s="81">
        <f t="shared" si="85"/>
        <v>538.64066000000003</v>
      </c>
      <c r="N209" s="81">
        <f t="shared" si="85"/>
        <v>560.62238000000002</v>
      </c>
      <c r="O209" s="81">
        <f t="shared" si="85"/>
        <v>567.48814000000004</v>
      </c>
      <c r="P209" s="81">
        <f t="shared" si="85"/>
        <v>574.35389999999995</v>
      </c>
      <c r="Q209" s="81">
        <f t="shared" si="85"/>
        <v>577.71705999999995</v>
      </c>
      <c r="R209" s="81">
        <f t="shared" si="85"/>
        <v>577.71705999999995</v>
      </c>
      <c r="S209" s="81">
        <f t="shared" si="85"/>
        <v>577.71705999999995</v>
      </c>
      <c r="T209" s="81">
        <f t="shared" si="85"/>
        <v>577.71705999999995</v>
      </c>
      <c r="U209" s="81">
        <f t="shared" si="85"/>
        <v>577.71705999999995</v>
      </c>
      <c r="V209" s="81">
        <f t="shared" si="85"/>
        <v>577.71705999999995</v>
      </c>
      <c r="W209" s="81">
        <f t="shared" si="85"/>
        <v>577.71705999999995</v>
      </c>
      <c r="X209" s="81">
        <f t="shared" si="85"/>
        <v>577.71705999999995</v>
      </c>
      <c r="Y209" s="81">
        <f t="shared" si="85"/>
        <v>577.71705999999995</v>
      </c>
      <c r="Z209" s="81">
        <f t="shared" si="85"/>
        <v>577.71705999999995</v>
      </c>
      <c r="AA209" s="81">
        <f t="shared" si="85"/>
        <v>577.71705999999995</v>
      </c>
    </row>
    <row r="210" spans="2:27" x14ac:dyDescent="0.2">
      <c r="B210" s="59" t="s">
        <v>225</v>
      </c>
      <c r="C210" s="59" t="s">
        <v>70</v>
      </c>
      <c r="D210" s="81">
        <f t="shared" ref="D210:AA210" si="86">D188</f>
        <v>0</v>
      </c>
      <c r="E210" s="81">
        <f t="shared" si="86"/>
        <v>423.40000000000003</v>
      </c>
      <c r="F210" s="81">
        <f t="shared" si="86"/>
        <v>846.80000000000007</v>
      </c>
      <c r="G210" s="81">
        <f t="shared" si="86"/>
        <v>1445.4</v>
      </c>
      <c r="H210" s="81">
        <f t="shared" si="86"/>
        <v>2044.0000000000002</v>
      </c>
      <c r="I210" s="81">
        <f t="shared" si="86"/>
        <v>2642.6</v>
      </c>
      <c r="J210" s="81">
        <f t="shared" si="86"/>
        <v>3241.2</v>
      </c>
      <c r="K210" s="81">
        <f t="shared" si="86"/>
        <v>3416.3999999999996</v>
      </c>
      <c r="L210" s="81">
        <f t="shared" si="86"/>
        <v>3591.6000000000004</v>
      </c>
      <c r="M210" s="81">
        <f t="shared" si="86"/>
        <v>3591.6000000000004</v>
      </c>
      <c r="N210" s="81">
        <f t="shared" si="86"/>
        <v>3591.6000000000004</v>
      </c>
      <c r="O210" s="81">
        <f t="shared" si="86"/>
        <v>3591.6000000000004</v>
      </c>
      <c r="P210" s="81">
        <f t="shared" si="86"/>
        <v>3591.6000000000004</v>
      </c>
      <c r="Q210" s="81">
        <f t="shared" si="86"/>
        <v>3591.6000000000004</v>
      </c>
      <c r="R210" s="81">
        <f t="shared" si="86"/>
        <v>3591.6000000000004</v>
      </c>
      <c r="S210" s="81">
        <f t="shared" si="86"/>
        <v>3591.6000000000004</v>
      </c>
      <c r="T210" s="81">
        <f t="shared" si="86"/>
        <v>3591.6000000000004</v>
      </c>
      <c r="U210" s="81">
        <f t="shared" si="86"/>
        <v>3591.6000000000004</v>
      </c>
      <c r="V210" s="81">
        <f t="shared" si="86"/>
        <v>3591.6000000000004</v>
      </c>
      <c r="W210" s="81">
        <f t="shared" si="86"/>
        <v>3591.6000000000004</v>
      </c>
      <c r="X210" s="81">
        <f t="shared" si="86"/>
        <v>3591.6000000000004</v>
      </c>
      <c r="Y210" s="81">
        <f t="shared" si="86"/>
        <v>3591.6000000000004</v>
      </c>
      <c r="Z210" s="81">
        <f t="shared" si="86"/>
        <v>3591.6000000000004</v>
      </c>
      <c r="AA210" s="81">
        <f t="shared" si="86"/>
        <v>3591.6000000000004</v>
      </c>
    </row>
    <row r="211" spans="2:27" x14ac:dyDescent="0.2">
      <c r="B211" s="62" t="str">
        <f>"Total, "&amp;B203</f>
        <v>Total, Western Denmark (DK1)</v>
      </c>
      <c r="C211" s="62" t="s">
        <v>70</v>
      </c>
      <c r="D211" s="85">
        <f>SUM(D204:D210)</f>
        <v>19054.6654793587</v>
      </c>
      <c r="E211" s="85">
        <f t="shared" ref="E211:AA211" si="87">SUM(E204:E210)</f>
        <v>19652.341229381709</v>
      </c>
      <c r="F211" s="85">
        <f t="shared" si="87"/>
        <v>20367.631374261724</v>
      </c>
      <c r="G211" s="85">
        <f t="shared" si="87"/>
        <v>21067.573611270112</v>
      </c>
      <c r="H211" s="85">
        <f t="shared" si="87"/>
        <v>21806.703297716496</v>
      </c>
      <c r="I211" s="85">
        <f t="shared" si="87"/>
        <v>22644.762722615182</v>
      </c>
      <c r="J211" s="85">
        <f t="shared" si="87"/>
        <v>23553.843992116923</v>
      </c>
      <c r="K211" s="85">
        <f t="shared" si="87"/>
        <v>23963.450227289017</v>
      </c>
      <c r="L211" s="85">
        <f t="shared" si="87"/>
        <v>24382.58418247247</v>
      </c>
      <c r="M211" s="85">
        <f t="shared" si="87"/>
        <v>24693.035859752054</v>
      </c>
      <c r="N211" s="85">
        <f t="shared" si="87"/>
        <v>25115.959311604478</v>
      </c>
      <c r="O211" s="85">
        <f t="shared" si="87"/>
        <v>25558.358972335111</v>
      </c>
      <c r="P211" s="85">
        <f t="shared" si="87"/>
        <v>25796.559650869982</v>
      </c>
      <c r="Q211" s="85">
        <f t="shared" si="87"/>
        <v>26353.70493680732</v>
      </c>
      <c r="R211" s="85">
        <f t="shared" si="87"/>
        <v>26712.918524608562</v>
      </c>
      <c r="S211" s="85">
        <f t="shared" si="87"/>
        <v>27111.105229338806</v>
      </c>
      <c r="T211" s="85">
        <f t="shared" si="87"/>
        <v>27484.219698565736</v>
      </c>
      <c r="U211" s="85">
        <f t="shared" si="87"/>
        <v>27893.422567589689</v>
      </c>
      <c r="V211" s="85">
        <f t="shared" si="87"/>
        <v>28366.970455980583</v>
      </c>
      <c r="W211" s="85">
        <f t="shared" si="87"/>
        <v>28769.261611228743</v>
      </c>
      <c r="X211" s="85">
        <f t="shared" si="87"/>
        <v>29176.036032143093</v>
      </c>
      <c r="Y211" s="85">
        <f t="shared" si="87"/>
        <v>29537.710814179612</v>
      </c>
      <c r="Z211" s="85">
        <f t="shared" si="87"/>
        <v>29876.482955810541</v>
      </c>
      <c r="AA211" s="85">
        <f t="shared" si="87"/>
        <v>30238.030123166456</v>
      </c>
    </row>
    <row r="212" spans="2:27" x14ac:dyDescent="0.2">
      <c r="B212" s="59"/>
      <c r="C212" s="59"/>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spans="2:27" x14ac:dyDescent="0.2">
      <c r="B213" s="62" t="s">
        <v>192</v>
      </c>
      <c r="C213" s="62"/>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spans="2:27" s="12" customFormat="1" x14ac:dyDescent="0.2">
      <c r="B214" s="87" t="str">
        <f>B204</f>
        <v>Traditional consumption</v>
      </c>
      <c r="C214" s="87" t="s">
        <v>70</v>
      </c>
      <c r="D214" s="88">
        <f t="shared" ref="D214:AA214" si="88">D22</f>
        <v>12710.672377570112</v>
      </c>
      <c r="E214" s="88">
        <f t="shared" si="88"/>
        <v>12793.727882474906</v>
      </c>
      <c r="F214" s="88">
        <f t="shared" si="88"/>
        <v>12894.00515818139</v>
      </c>
      <c r="G214" s="88">
        <f t="shared" si="88"/>
        <v>12895.953221118667</v>
      </c>
      <c r="H214" s="88">
        <f t="shared" si="88"/>
        <v>12870.22032730207</v>
      </c>
      <c r="I214" s="88">
        <f t="shared" si="88"/>
        <v>12892.212936537675</v>
      </c>
      <c r="J214" s="88">
        <f t="shared" si="88"/>
        <v>12892.30582583797</v>
      </c>
      <c r="K214" s="88">
        <f t="shared" si="88"/>
        <v>12908.380128404471</v>
      </c>
      <c r="L214" s="88">
        <f t="shared" si="88"/>
        <v>12921.370216393632</v>
      </c>
      <c r="M214" s="88">
        <f t="shared" si="88"/>
        <v>12919.030071333373</v>
      </c>
      <c r="N214" s="88">
        <f t="shared" si="88"/>
        <v>12925.023573874367</v>
      </c>
      <c r="O214" s="88">
        <f t="shared" si="88"/>
        <v>12916.542858030713</v>
      </c>
      <c r="P214" s="88">
        <f t="shared" si="88"/>
        <v>12911.042021287001</v>
      </c>
      <c r="Q214" s="88">
        <f t="shared" si="88"/>
        <v>12932.799100220398</v>
      </c>
      <c r="R214" s="88">
        <f t="shared" si="88"/>
        <v>12924.441368677191</v>
      </c>
      <c r="S214" s="88">
        <f t="shared" si="88"/>
        <v>12920.184086045327</v>
      </c>
      <c r="T214" s="88">
        <f t="shared" si="88"/>
        <v>12898.253724240023</v>
      </c>
      <c r="U214" s="88">
        <f t="shared" si="88"/>
        <v>12872.733622803491</v>
      </c>
      <c r="V214" s="88">
        <f t="shared" si="88"/>
        <v>12885.031051413105</v>
      </c>
      <c r="W214" s="88">
        <f t="shared" si="88"/>
        <v>12868.606648726463</v>
      </c>
      <c r="X214" s="88">
        <f t="shared" si="88"/>
        <v>12864.705404019391</v>
      </c>
      <c r="Y214" s="88">
        <f t="shared" si="88"/>
        <v>12857.629964677692</v>
      </c>
      <c r="Z214" s="88">
        <f t="shared" si="88"/>
        <v>12851.823348137377</v>
      </c>
      <c r="AA214" s="88">
        <f t="shared" si="88"/>
        <v>12881.372985224501</v>
      </c>
    </row>
    <row r="215" spans="2:27" x14ac:dyDescent="0.2">
      <c r="B215" s="87" t="str">
        <f t="shared" ref="B215:B220" si="89">B205</f>
        <v>Household heat pumps</v>
      </c>
      <c r="C215" s="59" t="s">
        <v>70</v>
      </c>
      <c r="D215" s="81">
        <f t="shared" ref="D215:AA215" si="90">D37</f>
        <v>212.53661377905001</v>
      </c>
      <c r="E215" s="81">
        <f t="shared" si="90"/>
        <v>225.88722931150676</v>
      </c>
      <c r="F215" s="81">
        <f t="shared" si="90"/>
        <v>240.08663468053226</v>
      </c>
      <c r="G215" s="81">
        <f t="shared" si="90"/>
        <v>255.23348814974523</v>
      </c>
      <c r="H215" s="81">
        <f t="shared" si="90"/>
        <v>279.1216408430621</v>
      </c>
      <c r="I215" s="81">
        <f t="shared" si="90"/>
        <v>305.06157291643439</v>
      </c>
      <c r="J215" s="81">
        <f t="shared" si="90"/>
        <v>333.39655354950912</v>
      </c>
      <c r="K215" s="81">
        <f t="shared" si="90"/>
        <v>363.28071334166339</v>
      </c>
      <c r="L215" s="81">
        <f t="shared" si="90"/>
        <v>394.46146614191787</v>
      </c>
      <c r="M215" s="81">
        <f t="shared" si="90"/>
        <v>426.77791889410844</v>
      </c>
      <c r="N215" s="81">
        <f t="shared" si="90"/>
        <v>460.02815807282451</v>
      </c>
      <c r="O215" s="81">
        <f t="shared" si="90"/>
        <v>494.366557834476</v>
      </c>
      <c r="P215" s="81">
        <f t="shared" si="90"/>
        <v>529.52119099885533</v>
      </c>
      <c r="Q215" s="81">
        <f t="shared" si="90"/>
        <v>564.36458202299843</v>
      </c>
      <c r="R215" s="81">
        <f t="shared" si="90"/>
        <v>600.58265056205289</v>
      </c>
      <c r="S215" s="81">
        <f t="shared" si="90"/>
        <v>639.76011136211116</v>
      </c>
      <c r="T215" s="81">
        <f t="shared" si="90"/>
        <v>679.44504153752962</v>
      </c>
      <c r="U215" s="81">
        <f t="shared" si="90"/>
        <v>705.00164651950388</v>
      </c>
      <c r="V215" s="81">
        <f t="shared" si="90"/>
        <v>729.48137220972387</v>
      </c>
      <c r="W215" s="81">
        <f t="shared" si="90"/>
        <v>754.00044421344012</v>
      </c>
      <c r="X215" s="81">
        <f t="shared" si="90"/>
        <v>778.14358838549049</v>
      </c>
      <c r="Y215" s="81">
        <f t="shared" si="90"/>
        <v>801.87682606337273</v>
      </c>
      <c r="Z215" s="81">
        <f t="shared" si="90"/>
        <v>825.16481198618794</v>
      </c>
      <c r="AA215" s="81">
        <f t="shared" si="90"/>
        <v>847.97078898012148</v>
      </c>
    </row>
    <row r="216" spans="2:27" x14ac:dyDescent="0.2">
      <c r="B216" s="87" t="str">
        <f t="shared" si="89"/>
        <v>Large heat pumps</v>
      </c>
      <c r="C216" s="59" t="s">
        <v>70</v>
      </c>
      <c r="D216" s="82">
        <f t="shared" ref="D216:AA216" si="91">D76</f>
        <v>18.496513200000003</v>
      </c>
      <c r="E216" s="82">
        <f t="shared" si="91"/>
        <v>43.513155399999995</v>
      </c>
      <c r="F216" s="82">
        <f t="shared" si="91"/>
        <v>63.589289100000002</v>
      </c>
      <c r="G216" s="82">
        <f t="shared" si="91"/>
        <v>68.016861000000006</v>
      </c>
      <c r="H216" s="82">
        <f t="shared" si="91"/>
        <v>74.149583699999994</v>
      </c>
      <c r="I216" s="82">
        <f t="shared" si="91"/>
        <v>80.436672899999991</v>
      </c>
      <c r="J216" s="82">
        <f t="shared" si="91"/>
        <v>81.741328100000004</v>
      </c>
      <c r="K216" s="82">
        <f t="shared" si="91"/>
        <v>77.692183200000017</v>
      </c>
      <c r="L216" s="82">
        <f t="shared" si="91"/>
        <v>75.311138700000015</v>
      </c>
      <c r="M216" s="82">
        <f t="shared" si="91"/>
        <v>83.166846899999996</v>
      </c>
      <c r="N216" s="82">
        <f t="shared" si="91"/>
        <v>87.205947999999992</v>
      </c>
      <c r="O216" s="82">
        <f t="shared" si="91"/>
        <v>92.256269700000004</v>
      </c>
      <c r="P216" s="82">
        <f t="shared" si="91"/>
        <v>92.056860300000011</v>
      </c>
      <c r="Q216" s="82">
        <f t="shared" si="91"/>
        <v>220.56097759999997</v>
      </c>
      <c r="R216" s="82">
        <f t="shared" si="91"/>
        <v>226.24493499999997</v>
      </c>
      <c r="S216" s="82">
        <f t="shared" si="91"/>
        <v>232.37320649999995</v>
      </c>
      <c r="T216" s="82">
        <f t="shared" si="91"/>
        <v>235.57417100000001</v>
      </c>
      <c r="U216" s="82">
        <f t="shared" si="91"/>
        <v>233.52315400000001</v>
      </c>
      <c r="V216" s="82">
        <f t="shared" si="91"/>
        <v>246.72293530000002</v>
      </c>
      <c r="W216" s="82">
        <f t="shared" si="91"/>
        <v>252.48202029999999</v>
      </c>
      <c r="X216" s="82">
        <f t="shared" si="91"/>
        <v>259.94596330000002</v>
      </c>
      <c r="Y216" s="82">
        <f t="shared" si="91"/>
        <v>262.05084599999998</v>
      </c>
      <c r="Z216" s="82">
        <f t="shared" si="91"/>
        <v>263.49222499999991</v>
      </c>
      <c r="AA216" s="82">
        <f t="shared" si="91"/>
        <v>262.05603109999998</v>
      </c>
    </row>
    <row r="217" spans="2:27" x14ac:dyDescent="0.2">
      <c r="B217" s="87" t="s">
        <v>222</v>
      </c>
      <c r="C217" s="59" t="s">
        <v>70</v>
      </c>
      <c r="D217" s="82">
        <f t="shared" ref="D217:AA217" si="92">D104</f>
        <v>114.8997036</v>
      </c>
      <c r="E217" s="82">
        <f t="shared" si="92"/>
        <v>80.659255999999999</v>
      </c>
      <c r="F217" s="82">
        <f t="shared" si="92"/>
        <v>95.269252300000005</v>
      </c>
      <c r="G217" s="82">
        <f t="shared" si="92"/>
        <v>311.6168993</v>
      </c>
      <c r="H217" s="82">
        <f t="shared" si="92"/>
        <v>314.0455005</v>
      </c>
      <c r="I217" s="82">
        <f t="shared" si="92"/>
        <v>324.28839870000002</v>
      </c>
      <c r="J217" s="82">
        <f t="shared" si="92"/>
        <v>314.36856040000004</v>
      </c>
      <c r="K217" s="82">
        <f t="shared" si="92"/>
        <v>319.1901335</v>
      </c>
      <c r="L217" s="82">
        <f t="shared" si="92"/>
        <v>317.85719519999998</v>
      </c>
      <c r="M217" s="82">
        <f t="shared" si="92"/>
        <v>312.45793400000002</v>
      </c>
      <c r="N217" s="82">
        <f t="shared" si="92"/>
        <v>310.85526180000005</v>
      </c>
      <c r="O217" s="82">
        <f t="shared" si="92"/>
        <v>299.35937779999995</v>
      </c>
      <c r="P217" s="82">
        <f t="shared" si="92"/>
        <v>297.96813519999995</v>
      </c>
      <c r="Q217" s="82">
        <f t="shared" si="92"/>
        <v>297.07088319999997</v>
      </c>
      <c r="R217" s="82">
        <f t="shared" si="92"/>
        <v>306.7835844</v>
      </c>
      <c r="S217" s="82">
        <f t="shared" si="92"/>
        <v>298.13664739999996</v>
      </c>
      <c r="T217" s="82">
        <f t="shared" si="92"/>
        <v>289.99882409999998</v>
      </c>
      <c r="U217" s="82">
        <f t="shared" si="92"/>
        <v>323.84248599999995</v>
      </c>
      <c r="V217" s="82">
        <f t="shared" si="92"/>
        <v>319.56932119999999</v>
      </c>
      <c r="W217" s="82">
        <f t="shared" si="92"/>
        <v>325.37956459999998</v>
      </c>
      <c r="X217" s="82">
        <f t="shared" si="92"/>
        <v>309.33145320000006</v>
      </c>
      <c r="Y217" s="82">
        <f t="shared" si="92"/>
        <v>309.98971370000004</v>
      </c>
      <c r="Z217" s="82">
        <f t="shared" si="92"/>
        <v>309.07210320000002</v>
      </c>
      <c r="AA217" s="82">
        <f t="shared" si="92"/>
        <v>329.80984750000005</v>
      </c>
    </row>
    <row r="218" spans="2:27" x14ac:dyDescent="0.2">
      <c r="B218" s="87" t="str">
        <f t="shared" si="89"/>
        <v>Road and sea transport</v>
      </c>
      <c r="C218" s="59" t="s">
        <v>70</v>
      </c>
      <c r="D218" s="82">
        <f t="shared" ref="D218:AA218" si="93">D128</f>
        <v>135.97130744155541</v>
      </c>
      <c r="E218" s="82">
        <f t="shared" si="93"/>
        <v>139.55905947184985</v>
      </c>
      <c r="F218" s="82">
        <f t="shared" si="93"/>
        <v>149.17905459418168</v>
      </c>
      <c r="G218" s="82">
        <f t="shared" si="93"/>
        <v>166.48907261218073</v>
      </c>
      <c r="H218" s="82">
        <f t="shared" si="93"/>
        <v>213.61089517817044</v>
      </c>
      <c r="I218" s="82">
        <f t="shared" si="93"/>
        <v>285.92566341976618</v>
      </c>
      <c r="J218" s="82">
        <f t="shared" si="93"/>
        <v>374.23464617244997</v>
      </c>
      <c r="K218" s="82">
        <f t="shared" si="93"/>
        <v>471.99221075451391</v>
      </c>
      <c r="L218" s="82">
        <f t="shared" si="93"/>
        <v>578.35648388265417</v>
      </c>
      <c r="M218" s="82">
        <f t="shared" si="93"/>
        <v>706.63690523157982</v>
      </c>
      <c r="N218" s="82">
        <f t="shared" si="93"/>
        <v>850.92742020881406</v>
      </c>
      <c r="O218" s="82">
        <f t="shared" si="93"/>
        <v>1013.8194898138556</v>
      </c>
      <c r="P218" s="82">
        <f t="shared" si="93"/>
        <v>1199.1607400496821</v>
      </c>
      <c r="Q218" s="82">
        <f t="shared" si="93"/>
        <v>1404.3712504772341</v>
      </c>
      <c r="R218" s="82">
        <f t="shared" si="93"/>
        <v>1631.920990938248</v>
      </c>
      <c r="S218" s="82">
        <f t="shared" si="93"/>
        <v>1878.4498293740326</v>
      </c>
      <c r="T218" s="82">
        <f t="shared" si="93"/>
        <v>2166.0512616193869</v>
      </c>
      <c r="U218" s="82">
        <f t="shared" si="93"/>
        <v>2468.4247062468635</v>
      </c>
      <c r="V218" s="82">
        <f t="shared" si="93"/>
        <v>2772.3575329944865</v>
      </c>
      <c r="W218" s="82">
        <f t="shared" si="93"/>
        <v>3074.6418454358209</v>
      </c>
      <c r="X218" s="82">
        <f t="shared" si="93"/>
        <v>3354.2027194171478</v>
      </c>
      <c r="Y218" s="82">
        <f t="shared" si="93"/>
        <v>3606.4983566172841</v>
      </c>
      <c r="Z218" s="82">
        <f t="shared" si="93"/>
        <v>3841.2217428681474</v>
      </c>
      <c r="AA218" s="82">
        <f t="shared" si="93"/>
        <v>4058.211402816728</v>
      </c>
    </row>
    <row r="219" spans="2:27" x14ac:dyDescent="0.2">
      <c r="B219" s="87" t="str">
        <f t="shared" si="89"/>
        <v>Rail transport</v>
      </c>
      <c r="C219" s="59" t="s">
        <v>70</v>
      </c>
      <c r="D219" s="81">
        <f t="shared" ref="D219:AA219" si="94">D165</f>
        <v>119.80000000000001</v>
      </c>
      <c r="E219" s="81">
        <f t="shared" si="94"/>
        <v>139.92384800000002</v>
      </c>
      <c r="F219" s="81">
        <f t="shared" si="94"/>
        <v>160.047696</v>
      </c>
      <c r="G219" s="81">
        <f t="shared" si="94"/>
        <v>200.11146400000001</v>
      </c>
      <c r="H219" s="81">
        <f t="shared" si="94"/>
        <v>312.98781200000002</v>
      </c>
      <c r="I219" s="81">
        <f t="shared" si="94"/>
        <v>425.86416000000003</v>
      </c>
      <c r="J219" s="81">
        <f t="shared" si="94"/>
        <v>518.61665999999991</v>
      </c>
      <c r="K219" s="81">
        <f t="shared" si="94"/>
        <v>650.56773599999997</v>
      </c>
      <c r="L219" s="81">
        <f t="shared" si="94"/>
        <v>762.578892</v>
      </c>
      <c r="M219" s="81">
        <f t="shared" si="94"/>
        <v>820.36946799999987</v>
      </c>
      <c r="N219" s="81">
        <f t="shared" si="94"/>
        <v>878.16004399999997</v>
      </c>
      <c r="O219" s="81">
        <f t="shared" si="94"/>
        <v>935.95062000000007</v>
      </c>
      <c r="P219" s="81">
        <f t="shared" si="94"/>
        <v>954.54261999999994</v>
      </c>
      <c r="Q219" s="81">
        <f t="shared" si="94"/>
        <v>973.13462000000004</v>
      </c>
      <c r="R219" s="81">
        <f t="shared" si="94"/>
        <v>973.13462000000004</v>
      </c>
      <c r="S219" s="81">
        <f t="shared" si="94"/>
        <v>973.13462000000004</v>
      </c>
      <c r="T219" s="81">
        <f t="shared" si="94"/>
        <v>973.13462000000004</v>
      </c>
      <c r="U219" s="81">
        <f t="shared" si="94"/>
        <v>973.13462000000004</v>
      </c>
      <c r="V219" s="81">
        <f t="shared" si="94"/>
        <v>973.13462000000004</v>
      </c>
      <c r="W219" s="81">
        <f t="shared" si="94"/>
        <v>973.13462000000004</v>
      </c>
      <c r="X219" s="81">
        <f t="shared" si="94"/>
        <v>973.13462000000004</v>
      </c>
      <c r="Y219" s="81">
        <f t="shared" si="94"/>
        <v>973.13462000000004</v>
      </c>
      <c r="Z219" s="81">
        <f t="shared" si="94"/>
        <v>973.13462000000004</v>
      </c>
      <c r="AA219" s="81">
        <f t="shared" si="94"/>
        <v>973.13462000000004</v>
      </c>
    </row>
    <row r="220" spans="2:27" x14ac:dyDescent="0.2">
      <c r="B220" s="87" t="str">
        <f t="shared" si="89"/>
        <v>Large data centres</v>
      </c>
      <c r="C220" s="59" t="s">
        <v>70</v>
      </c>
      <c r="D220" s="81">
        <f t="shared" ref="D220:AA220" si="95">D189</f>
        <v>0</v>
      </c>
      <c r="E220" s="81">
        <f t="shared" si="95"/>
        <v>0</v>
      </c>
      <c r="F220" s="81">
        <f t="shared" si="95"/>
        <v>0</v>
      </c>
      <c r="G220" s="81">
        <f t="shared" si="95"/>
        <v>0</v>
      </c>
      <c r="H220" s="81">
        <f t="shared" si="95"/>
        <v>0</v>
      </c>
      <c r="I220" s="81">
        <f t="shared" si="95"/>
        <v>0</v>
      </c>
      <c r="J220" s="81">
        <f t="shared" si="95"/>
        <v>0</v>
      </c>
      <c r="K220" s="81">
        <f t="shared" si="95"/>
        <v>0</v>
      </c>
      <c r="L220" s="81">
        <f t="shared" si="95"/>
        <v>0</v>
      </c>
      <c r="M220" s="81">
        <f t="shared" si="95"/>
        <v>0</v>
      </c>
      <c r="N220" s="81">
        <f t="shared" si="95"/>
        <v>0</v>
      </c>
      <c r="O220" s="81">
        <f t="shared" si="95"/>
        <v>0</v>
      </c>
      <c r="P220" s="81">
        <f t="shared" si="95"/>
        <v>0</v>
      </c>
      <c r="Q220" s="81">
        <f t="shared" si="95"/>
        <v>0</v>
      </c>
      <c r="R220" s="81">
        <f t="shared" si="95"/>
        <v>0</v>
      </c>
      <c r="S220" s="81">
        <f t="shared" si="95"/>
        <v>0</v>
      </c>
      <c r="T220" s="81">
        <f t="shared" si="95"/>
        <v>0</v>
      </c>
      <c r="U220" s="81">
        <f t="shared" si="95"/>
        <v>0</v>
      </c>
      <c r="V220" s="81">
        <f t="shared" si="95"/>
        <v>0</v>
      </c>
      <c r="W220" s="81">
        <f t="shared" si="95"/>
        <v>0</v>
      </c>
      <c r="X220" s="81">
        <f t="shared" si="95"/>
        <v>0</v>
      </c>
      <c r="Y220" s="81">
        <f t="shared" si="95"/>
        <v>0</v>
      </c>
      <c r="Z220" s="81">
        <f t="shared" si="95"/>
        <v>0</v>
      </c>
      <c r="AA220" s="81">
        <f t="shared" si="95"/>
        <v>0</v>
      </c>
    </row>
    <row r="221" spans="2:27" x14ac:dyDescent="0.2">
      <c r="B221" s="62" t="str">
        <f>"Total, "&amp;B213</f>
        <v>Total, Eastern Denmark (DK2)</v>
      </c>
      <c r="C221" s="62" t="s">
        <v>70</v>
      </c>
      <c r="D221" s="85">
        <f>SUM(D214:D220)</f>
        <v>13312.376515590717</v>
      </c>
      <c r="E221" s="85">
        <f t="shared" ref="E221:AA221" si="96">SUM(E214:E220)</f>
        <v>13423.270430658265</v>
      </c>
      <c r="F221" s="85">
        <f t="shared" si="96"/>
        <v>13602.177084856105</v>
      </c>
      <c r="G221" s="85">
        <f t="shared" si="96"/>
        <v>13897.421006180592</v>
      </c>
      <c r="H221" s="85">
        <f t="shared" si="96"/>
        <v>14064.135759523302</v>
      </c>
      <c r="I221" s="85">
        <f t="shared" si="96"/>
        <v>14313.789404473875</v>
      </c>
      <c r="J221" s="85">
        <f t="shared" si="96"/>
        <v>14514.66357405993</v>
      </c>
      <c r="K221" s="85">
        <f t="shared" si="96"/>
        <v>14791.103105200647</v>
      </c>
      <c r="L221" s="85">
        <f t="shared" si="96"/>
        <v>15049.935392318204</v>
      </c>
      <c r="M221" s="85">
        <f t="shared" si="96"/>
        <v>15268.439144359061</v>
      </c>
      <c r="N221" s="85">
        <f t="shared" si="96"/>
        <v>15512.200405956006</v>
      </c>
      <c r="O221" s="85">
        <f t="shared" si="96"/>
        <v>15752.295173179042</v>
      </c>
      <c r="P221" s="85">
        <f t="shared" si="96"/>
        <v>15984.291567835538</v>
      </c>
      <c r="Q221" s="85">
        <f t="shared" si="96"/>
        <v>16392.301413520629</v>
      </c>
      <c r="R221" s="85">
        <f t="shared" si="96"/>
        <v>16663.108149577492</v>
      </c>
      <c r="S221" s="85">
        <f t="shared" si="96"/>
        <v>16942.038500681472</v>
      </c>
      <c r="T221" s="85">
        <f t="shared" si="96"/>
        <v>17242.457642496938</v>
      </c>
      <c r="U221" s="85">
        <f t="shared" si="96"/>
        <v>17576.66023556986</v>
      </c>
      <c r="V221" s="85">
        <f t="shared" si="96"/>
        <v>17926.296833117318</v>
      </c>
      <c r="W221" s="85">
        <f t="shared" si="96"/>
        <v>18248.245143275726</v>
      </c>
      <c r="X221" s="85">
        <f t="shared" si="96"/>
        <v>18539.463748322032</v>
      </c>
      <c r="Y221" s="85">
        <f t="shared" si="96"/>
        <v>18811.180327058351</v>
      </c>
      <c r="Z221" s="85">
        <f t="shared" si="96"/>
        <v>19063.908851191714</v>
      </c>
      <c r="AA221" s="85">
        <f t="shared" si="96"/>
        <v>19352.555675621352</v>
      </c>
    </row>
    <row r="222" spans="2:27" x14ac:dyDescent="0.2">
      <c r="B222" s="59"/>
      <c r="C222" s="59"/>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spans="2:27" x14ac:dyDescent="0.2">
      <c r="B223" s="62" t="s">
        <v>119</v>
      </c>
      <c r="C223" s="62"/>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spans="2:27" s="12" customFormat="1" x14ac:dyDescent="0.2">
      <c r="B224" s="87" t="str">
        <f>B204</f>
        <v>Traditional consumption</v>
      </c>
      <c r="C224" s="87" t="s">
        <v>70</v>
      </c>
      <c r="D224" s="88">
        <f t="shared" ref="D224:D230" si="97">D204+D214</f>
        <v>31192.164344069293</v>
      </c>
      <c r="E224" s="88">
        <f t="shared" ref="E224:AA230" si="98">E204+E214</f>
        <v>31388.49776601058</v>
      </c>
      <c r="F224" s="88">
        <f t="shared" si="98"/>
        <v>31623.527049774857</v>
      </c>
      <c r="G224" s="88">
        <f t="shared" si="98"/>
        <v>31629.882390828163</v>
      </c>
      <c r="H224" s="88">
        <f t="shared" si="98"/>
        <v>31572.103391387354</v>
      </c>
      <c r="I224" s="88">
        <f t="shared" si="98"/>
        <v>31630.550482127532</v>
      </c>
      <c r="J224" s="88">
        <f t="shared" si="98"/>
        <v>31649.193528478652</v>
      </c>
      <c r="K224" s="88">
        <f t="shared" si="98"/>
        <v>31685.962599516213</v>
      </c>
      <c r="L224" s="88">
        <f t="shared" si="98"/>
        <v>31712.840998297132</v>
      </c>
      <c r="M224" s="88">
        <f t="shared" si="98"/>
        <v>31707.097594388244</v>
      </c>
      <c r="N224" s="88">
        <f t="shared" si="98"/>
        <v>31721.807411530106</v>
      </c>
      <c r="O224" s="88">
        <f t="shared" si="98"/>
        <v>31700.99324177895</v>
      </c>
      <c r="P224" s="88">
        <f t="shared" si="98"/>
        <v>31687.492571332285</v>
      </c>
      <c r="Q224" s="88">
        <f t="shared" si="98"/>
        <v>31740.89083894997</v>
      </c>
      <c r="R224" s="88">
        <f t="shared" si="98"/>
        <v>31720.378508825735</v>
      </c>
      <c r="S224" s="88">
        <f t="shared" si="98"/>
        <v>31709.929885736379</v>
      </c>
      <c r="T224" s="88">
        <f t="shared" si="98"/>
        <v>31656.106331011171</v>
      </c>
      <c r="U224" s="88">
        <f t="shared" si="98"/>
        <v>31593.472499957374</v>
      </c>
      <c r="V224" s="88">
        <f t="shared" si="98"/>
        <v>31623.654004832904</v>
      </c>
      <c r="W224" s="88">
        <f t="shared" si="98"/>
        <v>31583.343692368311</v>
      </c>
      <c r="X224" s="88">
        <f t="shared" si="98"/>
        <v>31573.768891010648</v>
      </c>
      <c r="Y224" s="88">
        <f t="shared" si="98"/>
        <v>31556.403682903561</v>
      </c>
      <c r="Z224" s="88">
        <f t="shared" si="98"/>
        <v>31542.152538946131</v>
      </c>
      <c r="AA224" s="88">
        <f t="shared" si="98"/>
        <v>31614.676035046599</v>
      </c>
    </row>
    <row r="225" spans="2:27" x14ac:dyDescent="0.2">
      <c r="B225" s="87" t="str">
        <f t="shared" ref="B225:B230" si="99">B205</f>
        <v>Household heat pumps</v>
      </c>
      <c r="C225" s="59" t="s">
        <v>70</v>
      </c>
      <c r="D225" s="88">
        <f t="shared" si="97"/>
        <v>521.56776519760012</v>
      </c>
      <c r="E225" s="88">
        <f t="shared" ref="E225:S225" si="100">E205+E215</f>
        <v>554.19818662290959</v>
      </c>
      <c r="F225" s="88">
        <f t="shared" si="100"/>
        <v>588.83070798926838</v>
      </c>
      <c r="G225" s="88">
        <f t="shared" si="100"/>
        <v>626.01073948971555</v>
      </c>
      <c r="H225" s="88">
        <f t="shared" si="100"/>
        <v>684.71689523268333</v>
      </c>
      <c r="I225" s="88">
        <f t="shared" si="100"/>
        <v>748.45688089308806</v>
      </c>
      <c r="J225" s="88">
        <f t="shared" si="100"/>
        <v>818.45188809197145</v>
      </c>
      <c r="K225" s="88">
        <f t="shared" si="100"/>
        <v>891.73846614108902</v>
      </c>
      <c r="L225" s="88">
        <f t="shared" si="100"/>
        <v>968.12439750721887</v>
      </c>
      <c r="M225" s="88">
        <f t="shared" si="100"/>
        <v>1047.4384726088638</v>
      </c>
      <c r="N225" s="88">
        <f t="shared" si="100"/>
        <v>1129.0443341058244</v>
      </c>
      <c r="O225" s="88">
        <f t="shared" si="100"/>
        <v>1213.3208615592071</v>
      </c>
      <c r="P225" s="88">
        <f t="shared" si="100"/>
        <v>1299.6006657305159</v>
      </c>
      <c r="Q225" s="88">
        <f t="shared" si="100"/>
        <v>1385.1165901940242</v>
      </c>
      <c r="R225" s="88">
        <f t="shared" si="100"/>
        <v>1474.0063773922298</v>
      </c>
      <c r="S225" s="88">
        <f t="shared" si="100"/>
        <v>1570.1593831696641</v>
      </c>
      <c r="T225" s="88">
        <f t="shared" si="98"/>
        <v>1667.5578679746932</v>
      </c>
      <c r="U225" s="88">
        <f t="shared" si="98"/>
        <v>1730.2812894599297</v>
      </c>
      <c r="V225" s="88">
        <f t="shared" si="98"/>
        <v>1790.3617325936571</v>
      </c>
      <c r="W225" s="88">
        <f t="shared" si="98"/>
        <v>1850.5387431473159</v>
      </c>
      <c r="X225" s="88">
        <f t="shared" si="98"/>
        <v>1909.7931162907926</v>
      </c>
      <c r="Y225" s="88">
        <f t="shared" si="98"/>
        <v>1968.0414583976208</v>
      </c>
      <c r="Z225" s="88">
        <f t="shared" si="98"/>
        <v>2025.1970218071292</v>
      </c>
      <c r="AA225" s="88">
        <f t="shared" si="98"/>
        <v>2081.1695936092933</v>
      </c>
    </row>
    <row r="226" spans="2:27" x14ac:dyDescent="0.2">
      <c r="B226" s="87" t="str">
        <f t="shared" si="99"/>
        <v>Large heat pumps</v>
      </c>
      <c r="C226" s="59" t="s">
        <v>70</v>
      </c>
      <c r="D226" s="82">
        <f t="shared" si="97"/>
        <v>108.52017090000001</v>
      </c>
      <c r="E226" s="82">
        <f t="shared" si="98"/>
        <v>152.4757275</v>
      </c>
      <c r="F226" s="82">
        <f t="shared" si="98"/>
        <v>272.88213479999996</v>
      </c>
      <c r="G226" s="82">
        <f t="shared" si="98"/>
        <v>352.35723140000005</v>
      </c>
      <c r="H226" s="82">
        <f t="shared" si="98"/>
        <v>386.66042279999999</v>
      </c>
      <c r="I226" s="82">
        <f t="shared" si="98"/>
        <v>406.31268350000005</v>
      </c>
      <c r="J226" s="82">
        <f t="shared" si="98"/>
        <v>443.49671790000002</v>
      </c>
      <c r="K226" s="82">
        <f t="shared" si="98"/>
        <v>407.41758420000008</v>
      </c>
      <c r="L226" s="82">
        <f t="shared" si="98"/>
        <v>403.23819800000001</v>
      </c>
      <c r="M226" s="82">
        <f t="shared" si="98"/>
        <v>436.48240779999998</v>
      </c>
      <c r="N226" s="82">
        <f t="shared" si="98"/>
        <v>518.03119449999997</v>
      </c>
      <c r="O226" s="82">
        <f t="shared" si="98"/>
        <v>697.4585487999999</v>
      </c>
      <c r="P226" s="82">
        <f t="shared" si="98"/>
        <v>692.02762690000009</v>
      </c>
      <c r="Q226" s="82">
        <f t="shared" si="98"/>
        <v>993.13716809999994</v>
      </c>
      <c r="R226" s="82">
        <f t="shared" si="98"/>
        <v>1013.1284984</v>
      </c>
      <c r="S226" s="82">
        <f t="shared" si="98"/>
        <v>1030.3574806000001</v>
      </c>
      <c r="T226" s="82">
        <f t="shared" si="98"/>
        <v>1016.6570731999999</v>
      </c>
      <c r="U226" s="82">
        <f t="shared" si="98"/>
        <v>1021.2974681999999</v>
      </c>
      <c r="V226" s="82">
        <f t="shared" si="98"/>
        <v>1048.3178651000001</v>
      </c>
      <c r="W226" s="82">
        <f t="shared" si="98"/>
        <v>1054.4872554999999</v>
      </c>
      <c r="X226" s="82">
        <f t="shared" si="98"/>
        <v>1064.2466749999999</v>
      </c>
      <c r="Y226" s="82">
        <f t="shared" si="98"/>
        <v>1070.0747563</v>
      </c>
      <c r="Z226" s="82">
        <f t="shared" si="98"/>
        <v>1078.2319090999999</v>
      </c>
      <c r="AA226" s="82">
        <f t="shared" si="98"/>
        <v>1089.1612636</v>
      </c>
    </row>
    <row r="227" spans="2:27" x14ac:dyDescent="0.2">
      <c r="B227" s="87" t="s">
        <v>222</v>
      </c>
      <c r="C227" s="59" t="s">
        <v>70</v>
      </c>
      <c r="D227" s="82">
        <f>D207+D217</f>
        <v>203.25996750000002</v>
      </c>
      <c r="E227" s="82">
        <f t="shared" si="98"/>
        <v>178.9107521</v>
      </c>
      <c r="F227" s="82">
        <f t="shared" si="98"/>
        <v>212.24335430000002</v>
      </c>
      <c r="G227" s="82">
        <f t="shared" si="98"/>
        <v>385.42547059999998</v>
      </c>
      <c r="H227" s="82">
        <f t="shared" si="98"/>
        <v>396.51212580000004</v>
      </c>
      <c r="I227" s="82">
        <f t="shared" si="98"/>
        <v>394.3636601</v>
      </c>
      <c r="J227" s="82">
        <f t="shared" si="98"/>
        <v>404.57902210000003</v>
      </c>
      <c r="K227" s="82">
        <f t="shared" si="98"/>
        <v>401.87733580000003</v>
      </c>
      <c r="L227" s="82">
        <f t="shared" si="98"/>
        <v>371.49048789999995</v>
      </c>
      <c r="M227" s="82">
        <f t="shared" si="98"/>
        <v>387.05892610000001</v>
      </c>
      <c r="N227" s="82">
        <f t="shared" si="98"/>
        <v>456.59289650000005</v>
      </c>
      <c r="O227" s="82">
        <f t="shared" si="98"/>
        <v>446.72727879999997</v>
      </c>
      <c r="P227" s="82">
        <f t="shared" si="98"/>
        <v>387.14090329999993</v>
      </c>
      <c r="Q227" s="82">
        <f t="shared" si="98"/>
        <v>407.94710289999995</v>
      </c>
      <c r="R227" s="82">
        <f t="shared" si="98"/>
        <v>417.06927859999996</v>
      </c>
      <c r="S227" s="82">
        <f t="shared" si="98"/>
        <v>417.00513239999998</v>
      </c>
      <c r="T227" s="82">
        <f t="shared" si="98"/>
        <v>392.98776209999994</v>
      </c>
      <c r="U227" s="82">
        <f t="shared" si="98"/>
        <v>430.01988929999993</v>
      </c>
      <c r="V227" s="82">
        <f t="shared" si="98"/>
        <v>429.20916569999997</v>
      </c>
      <c r="W227" s="82">
        <f t="shared" si="98"/>
        <v>426.98153159999998</v>
      </c>
      <c r="X227" s="82">
        <f t="shared" si="98"/>
        <v>415.07722360000008</v>
      </c>
      <c r="Y227" s="82">
        <f t="shared" si="98"/>
        <v>413.62999960000002</v>
      </c>
      <c r="Z227" s="82">
        <f t="shared" si="98"/>
        <v>410.6300463</v>
      </c>
      <c r="AA227" s="82">
        <f t="shared" si="98"/>
        <v>420.38681070000007</v>
      </c>
    </row>
    <row r="228" spans="2:27" x14ac:dyDescent="0.2">
      <c r="B228" s="87" t="str">
        <f t="shared" si="99"/>
        <v>Road and sea transport</v>
      </c>
      <c r="C228" s="59" t="s">
        <v>70</v>
      </c>
      <c r="D228" s="82">
        <f t="shared" si="97"/>
        <v>147.72974728252854</v>
      </c>
      <c r="E228" s="82">
        <f t="shared" si="98"/>
        <v>152.88499180647884</v>
      </c>
      <c r="F228" s="82">
        <f t="shared" si="98"/>
        <v>168.83674025370206</v>
      </c>
      <c r="G228" s="82">
        <f t="shared" si="98"/>
        <v>209.4073811328268</v>
      </c>
      <c r="H228" s="82">
        <f t="shared" si="98"/>
        <v>308.27149001976306</v>
      </c>
      <c r="I228" s="82">
        <f t="shared" si="98"/>
        <v>466.05564846843561</v>
      </c>
      <c r="J228" s="82">
        <f t="shared" si="98"/>
        <v>666.06387360622784</v>
      </c>
      <c r="K228" s="82">
        <f t="shared" si="98"/>
        <v>891.12647083236084</v>
      </c>
      <c r="L228" s="82">
        <f t="shared" si="98"/>
        <v>1135.5623730863222</v>
      </c>
      <c r="M228" s="82">
        <f t="shared" si="98"/>
        <v>1432.787475214006</v>
      </c>
      <c r="N228" s="82">
        <f t="shared" si="98"/>
        <v>1772.3014569245479</v>
      </c>
      <c r="O228" s="82">
        <f t="shared" si="98"/>
        <v>2157.115454576</v>
      </c>
      <c r="P228" s="82">
        <f t="shared" si="98"/>
        <v>2594.0929314427217</v>
      </c>
      <c r="Q228" s="82">
        <f t="shared" si="98"/>
        <v>3076.4629701839567</v>
      </c>
      <c r="R228" s="82">
        <f t="shared" si="98"/>
        <v>3608.992330968088</v>
      </c>
      <c r="S228" s="82">
        <f t="shared" si="98"/>
        <v>4183.2401681142328</v>
      </c>
      <c r="T228" s="82">
        <f t="shared" si="98"/>
        <v>4850.9166267768187</v>
      </c>
      <c r="U228" s="82">
        <f t="shared" si="98"/>
        <v>5552.5599762422462</v>
      </c>
      <c r="V228" s="82">
        <f t="shared" si="98"/>
        <v>6259.2728408713338</v>
      </c>
      <c r="W228" s="82">
        <f t="shared" si="98"/>
        <v>6959.7038518888439</v>
      </c>
      <c r="X228" s="82">
        <f t="shared" si="98"/>
        <v>7610.1621945636762</v>
      </c>
      <c r="Y228" s="82">
        <f t="shared" si="98"/>
        <v>8198.2895640367806</v>
      </c>
      <c r="Z228" s="82">
        <f t="shared" si="98"/>
        <v>8741.7286108489952</v>
      </c>
      <c r="AA228" s="82">
        <f t="shared" si="98"/>
        <v>9242.740415831915</v>
      </c>
    </row>
    <row r="229" spans="2:27" x14ac:dyDescent="0.2">
      <c r="B229" s="87" t="str">
        <f t="shared" si="99"/>
        <v>Rail transport</v>
      </c>
      <c r="C229" s="59" t="s">
        <v>70</v>
      </c>
      <c r="D229" s="88">
        <f t="shared" si="97"/>
        <v>193.8</v>
      </c>
      <c r="E229" s="88">
        <f t="shared" si="98"/>
        <v>225.24423600000003</v>
      </c>
      <c r="F229" s="88">
        <f t="shared" si="98"/>
        <v>256.68847199999999</v>
      </c>
      <c r="G229" s="88">
        <f t="shared" si="98"/>
        <v>316.51140400000003</v>
      </c>
      <c r="H229" s="88">
        <f t="shared" si="98"/>
        <v>478.57473200000004</v>
      </c>
      <c r="I229" s="88">
        <f t="shared" si="98"/>
        <v>670.21277200000009</v>
      </c>
      <c r="J229" s="88">
        <f t="shared" si="98"/>
        <v>845.52253599999995</v>
      </c>
      <c r="K229" s="88">
        <f t="shared" si="98"/>
        <v>1060.0308759999998</v>
      </c>
      <c r="L229" s="88">
        <f t="shared" si="98"/>
        <v>1249.6631200000002</v>
      </c>
      <c r="M229" s="88">
        <f t="shared" si="98"/>
        <v>1359.0101279999999</v>
      </c>
      <c r="N229" s="88">
        <f t="shared" si="98"/>
        <v>1438.782424</v>
      </c>
      <c r="O229" s="88">
        <f t="shared" si="98"/>
        <v>1503.43876</v>
      </c>
      <c r="P229" s="88">
        <f t="shared" si="98"/>
        <v>1528.8965199999998</v>
      </c>
      <c r="Q229" s="88">
        <f t="shared" si="98"/>
        <v>1550.85168</v>
      </c>
      <c r="R229" s="88">
        <f t="shared" si="98"/>
        <v>1550.85168</v>
      </c>
      <c r="S229" s="88">
        <f t="shared" si="98"/>
        <v>1550.85168</v>
      </c>
      <c r="T229" s="88">
        <f t="shared" si="98"/>
        <v>1550.85168</v>
      </c>
      <c r="U229" s="88">
        <f t="shared" si="98"/>
        <v>1550.85168</v>
      </c>
      <c r="V229" s="88">
        <f t="shared" si="98"/>
        <v>1550.85168</v>
      </c>
      <c r="W229" s="88">
        <f t="shared" si="98"/>
        <v>1550.85168</v>
      </c>
      <c r="X229" s="88">
        <f t="shared" si="98"/>
        <v>1550.85168</v>
      </c>
      <c r="Y229" s="88">
        <f t="shared" si="98"/>
        <v>1550.85168</v>
      </c>
      <c r="Z229" s="88">
        <f t="shared" si="98"/>
        <v>1550.85168</v>
      </c>
      <c r="AA229" s="88">
        <f t="shared" si="98"/>
        <v>1550.85168</v>
      </c>
    </row>
    <row r="230" spans="2:27" x14ac:dyDescent="0.2">
      <c r="B230" s="87" t="str">
        <f t="shared" si="99"/>
        <v>Large data centres</v>
      </c>
      <c r="C230" s="59" t="s">
        <v>70</v>
      </c>
      <c r="D230" s="88">
        <f t="shared" si="97"/>
        <v>0</v>
      </c>
      <c r="E230" s="88">
        <f t="shared" si="98"/>
        <v>423.40000000000003</v>
      </c>
      <c r="F230" s="88">
        <f t="shared" si="98"/>
        <v>846.80000000000007</v>
      </c>
      <c r="G230" s="88">
        <f t="shared" si="98"/>
        <v>1445.4</v>
      </c>
      <c r="H230" s="88">
        <f t="shared" si="98"/>
        <v>2044.0000000000002</v>
      </c>
      <c r="I230" s="88">
        <f t="shared" si="98"/>
        <v>2642.6</v>
      </c>
      <c r="J230" s="88">
        <f t="shared" si="98"/>
        <v>3241.2</v>
      </c>
      <c r="K230" s="88">
        <f t="shared" si="98"/>
        <v>3416.3999999999996</v>
      </c>
      <c r="L230" s="88">
        <f t="shared" si="98"/>
        <v>3591.6000000000004</v>
      </c>
      <c r="M230" s="88">
        <f t="shared" si="98"/>
        <v>3591.6000000000004</v>
      </c>
      <c r="N230" s="88">
        <f t="shared" si="98"/>
        <v>3591.6000000000004</v>
      </c>
      <c r="O230" s="88">
        <f t="shared" si="98"/>
        <v>3591.6000000000004</v>
      </c>
      <c r="P230" s="88">
        <f t="shared" si="98"/>
        <v>3591.6000000000004</v>
      </c>
      <c r="Q230" s="88">
        <f t="shared" si="98"/>
        <v>3591.6000000000004</v>
      </c>
      <c r="R230" s="88">
        <f t="shared" si="98"/>
        <v>3591.6000000000004</v>
      </c>
      <c r="S230" s="88">
        <f t="shared" si="98"/>
        <v>3591.6000000000004</v>
      </c>
      <c r="T230" s="88">
        <f t="shared" si="98"/>
        <v>3591.6000000000004</v>
      </c>
      <c r="U230" s="88">
        <f t="shared" si="98"/>
        <v>3591.6000000000004</v>
      </c>
      <c r="V230" s="88">
        <f t="shared" si="98"/>
        <v>3591.6000000000004</v>
      </c>
      <c r="W230" s="88">
        <f t="shared" si="98"/>
        <v>3591.6000000000004</v>
      </c>
      <c r="X230" s="88">
        <f t="shared" si="98"/>
        <v>3591.6000000000004</v>
      </c>
      <c r="Y230" s="88">
        <f t="shared" si="98"/>
        <v>3591.6000000000004</v>
      </c>
      <c r="Z230" s="88">
        <f t="shared" si="98"/>
        <v>3591.6000000000004</v>
      </c>
      <c r="AA230" s="88">
        <f t="shared" si="98"/>
        <v>3591.6000000000004</v>
      </c>
    </row>
    <row r="231" spans="2:27" x14ac:dyDescent="0.2">
      <c r="B231" s="91" t="str">
        <f>"Total, "&amp;B223</f>
        <v>Total, Denmark</v>
      </c>
      <c r="C231" s="91" t="s">
        <v>70</v>
      </c>
      <c r="D231" s="92">
        <f>SUM(D224:D230)</f>
        <v>32367.041994949421</v>
      </c>
      <c r="E231" s="92">
        <f t="shared" ref="E231:AA231" si="101">SUM(E224:E230)</f>
        <v>33075.611660039969</v>
      </c>
      <c r="F231" s="92">
        <f t="shared" si="101"/>
        <v>33969.808459117834</v>
      </c>
      <c r="G231" s="92">
        <f t="shared" si="101"/>
        <v>34964.994617450706</v>
      </c>
      <c r="H231" s="92">
        <f t="shared" si="101"/>
        <v>35870.839057239798</v>
      </c>
      <c r="I231" s="92">
        <f t="shared" si="101"/>
        <v>36958.552127089053</v>
      </c>
      <c r="J231" s="92">
        <f t="shared" si="101"/>
        <v>38068.507566176842</v>
      </c>
      <c r="K231" s="92">
        <f t="shared" si="101"/>
        <v>38754.553332489661</v>
      </c>
      <c r="L231" s="92">
        <f t="shared" si="101"/>
        <v>39432.519574790669</v>
      </c>
      <c r="M231" s="92">
        <f t="shared" si="101"/>
        <v>39961.475004111111</v>
      </c>
      <c r="N231" s="92">
        <f t="shared" si="101"/>
        <v>40628.159717560477</v>
      </c>
      <c r="O231" s="92">
        <f t="shared" si="101"/>
        <v>41310.654145514149</v>
      </c>
      <c r="P231" s="92">
        <f t="shared" si="101"/>
        <v>41780.851218705524</v>
      </c>
      <c r="Q231" s="92">
        <f t="shared" si="101"/>
        <v>42746.006350327953</v>
      </c>
      <c r="R231" s="92">
        <f t="shared" si="101"/>
        <v>43376.026674186054</v>
      </c>
      <c r="S231" s="92">
        <f t="shared" si="101"/>
        <v>44053.143730020282</v>
      </c>
      <c r="T231" s="92">
        <f t="shared" si="101"/>
        <v>44726.67734106267</v>
      </c>
      <c r="U231" s="92">
        <f t="shared" si="101"/>
        <v>45470.082803159545</v>
      </c>
      <c r="V231" s="92">
        <f t="shared" si="101"/>
        <v>46293.267289097887</v>
      </c>
      <c r="W231" s="92">
        <f t="shared" si="101"/>
        <v>47017.506754504466</v>
      </c>
      <c r="X231" s="92">
        <f t="shared" si="101"/>
        <v>47715.499780465121</v>
      </c>
      <c r="Y231" s="92">
        <f t="shared" si="101"/>
        <v>48348.89114123796</v>
      </c>
      <c r="Z231" s="92">
        <f t="shared" si="101"/>
        <v>48940.391807002256</v>
      </c>
      <c r="AA231" s="92">
        <f t="shared" si="101"/>
        <v>49590.585798787812</v>
      </c>
    </row>
    <row r="233" spans="2:27" s="12" customFormat="1" x14ac:dyDescent="0.2"/>
    <row r="234" spans="2:27" x14ac:dyDescent="0.2">
      <c r="B234" s="62" t="s">
        <v>202</v>
      </c>
      <c r="C234" s="62" t="s">
        <v>141</v>
      </c>
      <c r="D234" s="74">
        <f>D$6</f>
        <v>2017</v>
      </c>
      <c r="E234" s="74">
        <f t="shared" ref="E234:AA234" si="102">E$6</f>
        <v>2018</v>
      </c>
      <c r="F234" s="74">
        <f t="shared" si="102"/>
        <v>2019</v>
      </c>
      <c r="G234" s="74">
        <f t="shared" si="102"/>
        <v>2020</v>
      </c>
      <c r="H234" s="74">
        <f t="shared" si="102"/>
        <v>2021</v>
      </c>
      <c r="I234" s="74">
        <f t="shared" si="102"/>
        <v>2022</v>
      </c>
      <c r="J234" s="74">
        <f t="shared" si="102"/>
        <v>2023</v>
      </c>
      <c r="K234" s="74">
        <f t="shared" si="102"/>
        <v>2024</v>
      </c>
      <c r="L234" s="74">
        <f t="shared" si="102"/>
        <v>2025</v>
      </c>
      <c r="M234" s="74">
        <f t="shared" si="102"/>
        <v>2026</v>
      </c>
      <c r="N234" s="74">
        <f t="shared" si="102"/>
        <v>2027</v>
      </c>
      <c r="O234" s="74">
        <f t="shared" si="102"/>
        <v>2028</v>
      </c>
      <c r="P234" s="74">
        <f t="shared" si="102"/>
        <v>2029</v>
      </c>
      <c r="Q234" s="74">
        <f t="shared" si="102"/>
        <v>2030</v>
      </c>
      <c r="R234" s="74">
        <f t="shared" si="102"/>
        <v>2031</v>
      </c>
      <c r="S234" s="74">
        <f t="shared" si="102"/>
        <v>2032</v>
      </c>
      <c r="T234" s="74">
        <f t="shared" si="102"/>
        <v>2033</v>
      </c>
      <c r="U234" s="74">
        <f t="shared" si="102"/>
        <v>2034</v>
      </c>
      <c r="V234" s="74">
        <f t="shared" si="102"/>
        <v>2035</v>
      </c>
      <c r="W234" s="74">
        <f t="shared" si="102"/>
        <v>2036</v>
      </c>
      <c r="X234" s="74">
        <f t="shared" si="102"/>
        <v>2037</v>
      </c>
      <c r="Y234" s="74">
        <f t="shared" si="102"/>
        <v>2038</v>
      </c>
      <c r="Z234" s="74">
        <f t="shared" si="102"/>
        <v>2039</v>
      </c>
      <c r="AA234" s="74">
        <f t="shared" si="102"/>
        <v>2040</v>
      </c>
    </row>
    <row r="235" spans="2:27" x14ac:dyDescent="0.2">
      <c r="B235" s="62" t="s">
        <v>190</v>
      </c>
      <c r="C235" s="62"/>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spans="2:27" x14ac:dyDescent="0.2">
      <c r="B236" s="87" t="str">
        <f>B224</f>
        <v>Traditional consumption</v>
      </c>
      <c r="C236" s="87" t="s">
        <v>70</v>
      </c>
      <c r="D236" s="88">
        <f t="shared" ref="D236:AA236" si="103">D28</f>
        <v>19775.196404154121</v>
      </c>
      <c r="E236" s="88">
        <f t="shared" si="103"/>
        <v>19896.403775383173</v>
      </c>
      <c r="F236" s="88">
        <f t="shared" si="103"/>
        <v>20040.588424005011</v>
      </c>
      <c r="G236" s="88">
        <f t="shared" si="103"/>
        <v>20045.304211589162</v>
      </c>
      <c r="H236" s="88">
        <f t="shared" si="103"/>
        <v>20011.014878571255</v>
      </c>
      <c r="I236" s="88">
        <f t="shared" si="103"/>
        <v>20050.021173781148</v>
      </c>
      <c r="J236" s="88">
        <f t="shared" si="103"/>
        <v>20069.86984182553</v>
      </c>
      <c r="K236" s="88">
        <f t="shared" si="103"/>
        <v>20092.013244089565</v>
      </c>
      <c r="L236" s="88">
        <f t="shared" si="103"/>
        <v>20106.873736636746</v>
      </c>
      <c r="M236" s="88">
        <f t="shared" si="103"/>
        <v>20103.232249668716</v>
      </c>
      <c r="N236" s="88">
        <f t="shared" si="103"/>
        <v>20112.558706291646</v>
      </c>
      <c r="O236" s="88">
        <f t="shared" si="103"/>
        <v>20099.361910610616</v>
      </c>
      <c r="P236" s="88">
        <f t="shared" si="103"/>
        <v>20090.802088548455</v>
      </c>
      <c r="Q236" s="88">
        <f t="shared" si="103"/>
        <v>20124.658160440646</v>
      </c>
      <c r="R236" s="88">
        <f t="shared" si="103"/>
        <v>20111.652739958943</v>
      </c>
      <c r="S236" s="88">
        <f t="shared" si="103"/>
        <v>20105.028005669428</v>
      </c>
      <c r="T236" s="88">
        <f t="shared" si="103"/>
        <v>20070.902289245128</v>
      </c>
      <c r="U236" s="88">
        <f t="shared" si="103"/>
        <v>20031.190598554655</v>
      </c>
      <c r="V236" s="88">
        <f t="shared" si="103"/>
        <v>20050.326560159185</v>
      </c>
      <c r="W236" s="88">
        <f t="shared" si="103"/>
        <v>20024.768636696779</v>
      </c>
      <c r="X236" s="88">
        <f t="shared" si="103"/>
        <v>20018.697931080646</v>
      </c>
      <c r="Y236" s="88">
        <f t="shared" si="103"/>
        <v>20007.687878501682</v>
      </c>
      <c r="Z236" s="88">
        <f t="shared" si="103"/>
        <v>19998.652234165365</v>
      </c>
      <c r="AA236" s="88">
        <f t="shared" si="103"/>
        <v>20044.634263309646</v>
      </c>
    </row>
    <row r="237" spans="2:27" x14ac:dyDescent="0.2">
      <c r="B237" s="87" t="str">
        <f t="shared" ref="B237:B242" si="104">B225</f>
        <v>Household heat pumps</v>
      </c>
      <c r="C237" s="59" t="s">
        <v>70</v>
      </c>
      <c r="D237" s="81">
        <f t="shared" ref="D237:AA237" si="105">D43</f>
        <v>330.66333201784863</v>
      </c>
      <c r="E237" s="81">
        <f t="shared" si="105"/>
        <v>351.29272432320107</v>
      </c>
      <c r="F237" s="81">
        <f t="shared" si="105"/>
        <v>373.15615844034767</v>
      </c>
      <c r="G237" s="81">
        <f t="shared" si="105"/>
        <v>396.73165893376824</v>
      </c>
      <c r="H237" s="81">
        <f t="shared" si="105"/>
        <v>433.98692219689474</v>
      </c>
      <c r="I237" s="81">
        <f t="shared" si="105"/>
        <v>474.43297953501946</v>
      </c>
      <c r="J237" s="81">
        <f t="shared" si="105"/>
        <v>519.00920796043476</v>
      </c>
      <c r="K237" s="81">
        <f t="shared" si="105"/>
        <v>565.4497954953855</v>
      </c>
      <c r="L237" s="81">
        <f t="shared" si="105"/>
        <v>613.8193365608721</v>
      </c>
      <c r="M237" s="81">
        <f t="shared" si="105"/>
        <v>664.10679247478822</v>
      </c>
      <c r="N237" s="81">
        <f t="shared" si="105"/>
        <v>715.84730835531002</v>
      </c>
      <c r="O237" s="81">
        <f t="shared" si="105"/>
        <v>769.28110498546232</v>
      </c>
      <c r="P237" s="81">
        <f t="shared" si="105"/>
        <v>823.98503796287685</v>
      </c>
      <c r="Q237" s="81">
        <f t="shared" si="105"/>
        <v>878.20464874299762</v>
      </c>
      <c r="R237" s="81">
        <f t="shared" si="105"/>
        <v>934.56338770828927</v>
      </c>
      <c r="S237" s="81">
        <f t="shared" si="105"/>
        <v>995.52722083408173</v>
      </c>
      <c r="T237" s="81">
        <f t="shared" si="105"/>
        <v>1057.280724287765</v>
      </c>
      <c r="U237" s="81">
        <f t="shared" si="105"/>
        <v>1097.0492179462556</v>
      </c>
      <c r="V237" s="81">
        <f t="shared" si="105"/>
        <v>1135.1419856108084</v>
      </c>
      <c r="W237" s="81">
        <f t="shared" si="105"/>
        <v>1173.2959798592472</v>
      </c>
      <c r="X237" s="81">
        <f t="shared" si="105"/>
        <v>1210.8649948586735</v>
      </c>
      <c r="Y237" s="81">
        <f t="shared" si="105"/>
        <v>1247.7961565976454</v>
      </c>
      <c r="Z237" s="81">
        <f t="shared" si="105"/>
        <v>1284.0344645084072</v>
      </c>
      <c r="AA237" s="81">
        <f t="shared" si="105"/>
        <v>1319.5227209532138</v>
      </c>
    </row>
    <row r="238" spans="2:27" x14ac:dyDescent="0.2">
      <c r="B238" s="87" t="str">
        <f t="shared" si="104"/>
        <v>Large heat pumps</v>
      </c>
      <c r="C238" s="59" t="s">
        <v>70</v>
      </c>
      <c r="D238" s="82">
        <f t="shared" ref="D238:AA238" si="106">D82</f>
        <v>96.325313739000009</v>
      </c>
      <c r="E238" s="82">
        <f t="shared" si="106"/>
        <v>116.58995214700001</v>
      </c>
      <c r="F238" s="82">
        <f t="shared" si="106"/>
        <v>223.94334489899998</v>
      </c>
      <c r="G238" s="82">
        <f t="shared" si="106"/>
        <v>304.24419632800004</v>
      </c>
      <c r="H238" s="82">
        <f t="shared" si="106"/>
        <v>334.38659783700001</v>
      </c>
      <c r="I238" s="82">
        <f t="shared" si="106"/>
        <v>348.68733134200005</v>
      </c>
      <c r="J238" s="82">
        <f t="shared" si="106"/>
        <v>387.07826708599998</v>
      </c>
      <c r="K238" s="82">
        <f t="shared" si="106"/>
        <v>352.80617907000004</v>
      </c>
      <c r="L238" s="82">
        <f t="shared" si="106"/>
        <v>350.88195345100002</v>
      </c>
      <c r="M238" s="82">
        <f t="shared" si="106"/>
        <v>378.04765016300001</v>
      </c>
      <c r="N238" s="82">
        <f t="shared" si="106"/>
        <v>460.983013755</v>
      </c>
      <c r="O238" s="82">
        <f t="shared" si="106"/>
        <v>647.56643863699992</v>
      </c>
      <c r="P238" s="82">
        <f t="shared" si="106"/>
        <v>641.96872026200003</v>
      </c>
      <c r="Q238" s="82">
        <f t="shared" si="106"/>
        <v>826.65652383500003</v>
      </c>
      <c r="R238" s="82">
        <f t="shared" si="106"/>
        <v>841.96541283800013</v>
      </c>
      <c r="S238" s="82">
        <f t="shared" si="106"/>
        <v>853.84317328700013</v>
      </c>
      <c r="T238" s="82">
        <f t="shared" si="106"/>
        <v>835.75870535399997</v>
      </c>
      <c r="U238" s="82">
        <f t="shared" si="106"/>
        <v>842.91851619399995</v>
      </c>
      <c r="V238" s="82">
        <f t="shared" si="106"/>
        <v>857.70657488600011</v>
      </c>
      <c r="W238" s="82">
        <f t="shared" si="106"/>
        <v>858.14560166400008</v>
      </c>
      <c r="X238" s="82">
        <f t="shared" si="106"/>
        <v>860.60176151899987</v>
      </c>
      <c r="Y238" s="82">
        <f t="shared" si="106"/>
        <v>864.58558402099993</v>
      </c>
      <c r="Z238" s="82">
        <f t="shared" si="106"/>
        <v>871.77146198700007</v>
      </c>
      <c r="AA238" s="82">
        <f t="shared" si="106"/>
        <v>885.00259877500002</v>
      </c>
    </row>
    <row r="239" spans="2:27" x14ac:dyDescent="0.2">
      <c r="B239" s="87" t="s">
        <v>222</v>
      </c>
      <c r="C239" s="59" t="s">
        <v>70</v>
      </c>
      <c r="D239" s="82">
        <f t="shared" ref="D239:AA239" si="107">D110</f>
        <v>94.545482373000013</v>
      </c>
      <c r="E239" s="82">
        <f t="shared" si="107"/>
        <v>105.129100827</v>
      </c>
      <c r="F239" s="82">
        <f t="shared" si="107"/>
        <v>125.16228914000001</v>
      </c>
      <c r="G239" s="82">
        <f t="shared" si="107"/>
        <v>78.975171290999995</v>
      </c>
      <c r="H239" s="82">
        <f t="shared" si="107"/>
        <v>88.239289071000016</v>
      </c>
      <c r="I239" s="82">
        <f t="shared" si="107"/>
        <v>74.980529697999998</v>
      </c>
      <c r="J239" s="82">
        <f t="shared" si="107"/>
        <v>96.525194018999997</v>
      </c>
      <c r="K239" s="82">
        <f t="shared" si="107"/>
        <v>88.475306461000017</v>
      </c>
      <c r="L239" s="82">
        <f t="shared" si="107"/>
        <v>57.387623189000003</v>
      </c>
      <c r="M239" s="82">
        <f t="shared" si="107"/>
        <v>79.823061547000009</v>
      </c>
      <c r="N239" s="82">
        <f t="shared" si="107"/>
        <v>155.939269129</v>
      </c>
      <c r="O239" s="82">
        <f t="shared" si="107"/>
        <v>157.68365407000002</v>
      </c>
      <c r="P239" s="82">
        <f t="shared" si="107"/>
        <v>95.414861866999999</v>
      </c>
      <c r="Q239" s="82">
        <f t="shared" si="107"/>
        <v>118.63755507899999</v>
      </c>
      <c r="R239" s="82">
        <f t="shared" si="107"/>
        <v>118.005692794</v>
      </c>
      <c r="S239" s="82">
        <f t="shared" si="107"/>
        <v>127.18927895</v>
      </c>
      <c r="T239" s="82">
        <f t="shared" si="107"/>
        <v>110.19816365999999</v>
      </c>
      <c r="U239" s="82">
        <f t="shared" si="107"/>
        <v>113.60982153100002</v>
      </c>
      <c r="V239" s="82">
        <f t="shared" si="107"/>
        <v>117.31463361500002</v>
      </c>
      <c r="W239" s="82">
        <f t="shared" si="107"/>
        <v>108.71410469000001</v>
      </c>
      <c r="X239" s="82">
        <f t="shared" si="107"/>
        <v>113.14797432800002</v>
      </c>
      <c r="Y239" s="82">
        <f t="shared" si="107"/>
        <v>110.89510591300002</v>
      </c>
      <c r="Z239" s="82">
        <f t="shared" si="107"/>
        <v>108.666999117</v>
      </c>
      <c r="AA239" s="82">
        <f t="shared" si="107"/>
        <v>96.917350623999994</v>
      </c>
    </row>
    <row r="240" spans="2:27" x14ac:dyDescent="0.2">
      <c r="B240" s="87" t="str">
        <f t="shared" si="104"/>
        <v>Road and sea transport</v>
      </c>
      <c r="C240" s="59" t="s">
        <v>70</v>
      </c>
      <c r="D240" s="82">
        <f t="shared" ref="D240:AA240" si="108">D143</f>
        <v>12.581530629841257</v>
      </c>
      <c r="E240" s="82">
        <f t="shared" si="108"/>
        <v>14.258747598053009</v>
      </c>
      <c r="F240" s="82">
        <f t="shared" si="108"/>
        <v>21.033723655686803</v>
      </c>
      <c r="G240" s="82">
        <f t="shared" si="108"/>
        <v>45.922590117091275</v>
      </c>
      <c r="H240" s="82">
        <f t="shared" si="108"/>
        <v>101.28683648050414</v>
      </c>
      <c r="I240" s="82">
        <f t="shared" si="108"/>
        <v>192.73908400207625</v>
      </c>
      <c r="J240" s="82">
        <f t="shared" si="108"/>
        <v>312.2572733541424</v>
      </c>
      <c r="K240" s="82">
        <f t="shared" si="108"/>
        <v>448.47365828329634</v>
      </c>
      <c r="L240" s="82">
        <f t="shared" si="108"/>
        <v>596.21030144792451</v>
      </c>
      <c r="M240" s="82">
        <f t="shared" si="108"/>
        <v>776.98110988119583</v>
      </c>
      <c r="N240" s="82">
        <f t="shared" si="108"/>
        <v>985.87021928583533</v>
      </c>
      <c r="O240" s="82">
        <f t="shared" si="108"/>
        <v>1223.3266822954943</v>
      </c>
      <c r="P240" s="82">
        <f t="shared" si="108"/>
        <v>1492.5774447905526</v>
      </c>
      <c r="Q240" s="82">
        <f t="shared" si="108"/>
        <v>1789.1381400861933</v>
      </c>
      <c r="R240" s="82">
        <f t="shared" si="108"/>
        <v>2115.4663338319292</v>
      </c>
      <c r="S240" s="82">
        <f t="shared" si="108"/>
        <v>2466.1256624520151</v>
      </c>
      <c r="T240" s="82">
        <f t="shared" si="108"/>
        <v>2872.8059407184523</v>
      </c>
      <c r="U240" s="82">
        <f t="shared" si="108"/>
        <v>3300.0247388950602</v>
      </c>
      <c r="V240" s="82">
        <f t="shared" si="108"/>
        <v>3730.9993794282263</v>
      </c>
      <c r="W240" s="82">
        <f t="shared" si="108"/>
        <v>4157.0163469047347</v>
      </c>
      <c r="X240" s="82">
        <f t="shared" si="108"/>
        <v>4553.8766384067858</v>
      </c>
      <c r="Y240" s="82">
        <f t="shared" si="108"/>
        <v>4913.2165919388608</v>
      </c>
      <c r="Z240" s="82">
        <f t="shared" si="108"/>
        <v>5243.5423487395083</v>
      </c>
      <c r="AA240" s="82">
        <f t="shared" si="108"/>
        <v>5547.4460439262493</v>
      </c>
    </row>
    <row r="241" spans="2:27" x14ac:dyDescent="0.2">
      <c r="B241" s="87" t="str">
        <f t="shared" si="104"/>
        <v>Rail transport</v>
      </c>
      <c r="C241" s="59" t="s">
        <v>70</v>
      </c>
      <c r="D241" s="81">
        <f t="shared" ref="D241:AA241" si="109">D175</f>
        <v>79.180000000000007</v>
      </c>
      <c r="E241" s="81">
        <f t="shared" si="109"/>
        <v>91.292815160000004</v>
      </c>
      <c r="F241" s="81">
        <f t="shared" si="109"/>
        <v>103.40563032000001</v>
      </c>
      <c r="G241" s="81">
        <f t="shared" si="109"/>
        <v>124.5479358</v>
      </c>
      <c r="H241" s="81">
        <f t="shared" si="109"/>
        <v>177.17800440000002</v>
      </c>
      <c r="I241" s="81">
        <f t="shared" si="109"/>
        <v>261.45301484000004</v>
      </c>
      <c r="J241" s="81">
        <f t="shared" si="109"/>
        <v>349.78928732000008</v>
      </c>
      <c r="K241" s="81">
        <f t="shared" si="109"/>
        <v>438.12555979999996</v>
      </c>
      <c r="L241" s="81">
        <f t="shared" si="109"/>
        <v>521.18012396000017</v>
      </c>
      <c r="M241" s="81">
        <f t="shared" si="109"/>
        <v>576.34550620000005</v>
      </c>
      <c r="N241" s="81">
        <f t="shared" si="109"/>
        <v>599.86594660000014</v>
      </c>
      <c r="O241" s="81">
        <f t="shared" si="109"/>
        <v>607.21230980000018</v>
      </c>
      <c r="P241" s="81">
        <f t="shared" si="109"/>
        <v>614.558673</v>
      </c>
      <c r="Q241" s="81">
        <f t="shared" si="109"/>
        <v>618.1572541999999</v>
      </c>
      <c r="R241" s="81">
        <f t="shared" si="109"/>
        <v>618.1572541999999</v>
      </c>
      <c r="S241" s="81">
        <f t="shared" si="109"/>
        <v>618.1572541999999</v>
      </c>
      <c r="T241" s="81">
        <f t="shared" si="109"/>
        <v>618.1572541999999</v>
      </c>
      <c r="U241" s="81">
        <f t="shared" si="109"/>
        <v>618.1572541999999</v>
      </c>
      <c r="V241" s="81">
        <f t="shared" si="109"/>
        <v>618.1572541999999</v>
      </c>
      <c r="W241" s="81">
        <f t="shared" si="109"/>
        <v>618.1572541999999</v>
      </c>
      <c r="X241" s="81">
        <f t="shared" si="109"/>
        <v>618.1572541999999</v>
      </c>
      <c r="Y241" s="81">
        <f t="shared" si="109"/>
        <v>618.1572541999999</v>
      </c>
      <c r="Z241" s="81">
        <f t="shared" si="109"/>
        <v>618.1572541999999</v>
      </c>
      <c r="AA241" s="81">
        <f t="shared" si="109"/>
        <v>618.1572541999999</v>
      </c>
    </row>
    <row r="242" spans="2:27" x14ac:dyDescent="0.2">
      <c r="B242" s="87" t="str">
        <f t="shared" si="104"/>
        <v>Large data centres</v>
      </c>
      <c r="C242" s="59" t="s">
        <v>70</v>
      </c>
      <c r="D242" s="82">
        <f t="shared" ref="D242:AA242" si="110">D195</f>
        <v>0</v>
      </c>
      <c r="E242" s="82">
        <f t="shared" si="110"/>
        <v>453.03800000000007</v>
      </c>
      <c r="F242" s="82">
        <f t="shared" si="110"/>
        <v>906.07600000000014</v>
      </c>
      <c r="G242" s="82">
        <f t="shared" si="110"/>
        <v>1546.5780000000002</v>
      </c>
      <c r="H242" s="82">
        <f t="shared" si="110"/>
        <v>2187.0800000000004</v>
      </c>
      <c r="I242" s="82">
        <f t="shared" si="110"/>
        <v>2827.5819999999999</v>
      </c>
      <c r="J242" s="82">
        <f t="shared" si="110"/>
        <v>3468.0839999999998</v>
      </c>
      <c r="K242" s="82">
        <f t="shared" si="110"/>
        <v>3655.5479999999998</v>
      </c>
      <c r="L242" s="82">
        <f t="shared" si="110"/>
        <v>3843.0120000000006</v>
      </c>
      <c r="M242" s="82">
        <f t="shared" si="110"/>
        <v>3843.0120000000006</v>
      </c>
      <c r="N242" s="82">
        <f t="shared" si="110"/>
        <v>3843.0120000000006</v>
      </c>
      <c r="O242" s="82">
        <f t="shared" si="110"/>
        <v>3843.0120000000006</v>
      </c>
      <c r="P242" s="82">
        <f t="shared" si="110"/>
        <v>3843.0120000000006</v>
      </c>
      <c r="Q242" s="82">
        <f t="shared" si="110"/>
        <v>3843.0120000000006</v>
      </c>
      <c r="R242" s="82">
        <f t="shared" si="110"/>
        <v>3843.0120000000006</v>
      </c>
      <c r="S242" s="82">
        <f t="shared" si="110"/>
        <v>3843.0120000000006</v>
      </c>
      <c r="T242" s="82">
        <f t="shared" si="110"/>
        <v>3843.0120000000006</v>
      </c>
      <c r="U242" s="82">
        <f t="shared" si="110"/>
        <v>3843.0120000000006</v>
      </c>
      <c r="V242" s="82">
        <f t="shared" si="110"/>
        <v>3843.0120000000006</v>
      </c>
      <c r="W242" s="82">
        <f t="shared" si="110"/>
        <v>3843.0120000000006</v>
      </c>
      <c r="X242" s="82">
        <f t="shared" si="110"/>
        <v>3843.0120000000006</v>
      </c>
      <c r="Y242" s="82">
        <f t="shared" si="110"/>
        <v>3843.0120000000006</v>
      </c>
      <c r="Z242" s="82">
        <f t="shared" si="110"/>
        <v>3843.0120000000006</v>
      </c>
      <c r="AA242" s="82">
        <f t="shared" si="110"/>
        <v>3843.0120000000006</v>
      </c>
    </row>
    <row r="243" spans="2:27" x14ac:dyDescent="0.2">
      <c r="B243" s="62" t="str">
        <f>"Total, "&amp;B235</f>
        <v>Total, Western Denmark (DK1)</v>
      </c>
      <c r="C243" s="62" t="s">
        <v>70</v>
      </c>
      <c r="D243" s="85">
        <f t="shared" ref="D243:AA243" si="111">SUM(D236:D242)</f>
        <v>20388.492062913811</v>
      </c>
      <c r="E243" s="85">
        <f t="shared" si="111"/>
        <v>21028.005115438427</v>
      </c>
      <c r="F243" s="85">
        <f t="shared" si="111"/>
        <v>21793.365570460046</v>
      </c>
      <c r="G243" s="85">
        <f t="shared" si="111"/>
        <v>22542.303764059023</v>
      </c>
      <c r="H243" s="85">
        <f t="shared" si="111"/>
        <v>23333.172528556657</v>
      </c>
      <c r="I243" s="85">
        <f t="shared" si="111"/>
        <v>24229.896113198247</v>
      </c>
      <c r="J243" s="85">
        <f t="shared" si="111"/>
        <v>25202.613071565105</v>
      </c>
      <c r="K243" s="85">
        <f t="shared" si="111"/>
        <v>25640.891743199245</v>
      </c>
      <c r="L243" s="85">
        <f t="shared" si="111"/>
        <v>26089.365075245543</v>
      </c>
      <c r="M243" s="85">
        <f t="shared" si="111"/>
        <v>26421.548369934695</v>
      </c>
      <c r="N243" s="85">
        <f t="shared" si="111"/>
        <v>26874.076463416794</v>
      </c>
      <c r="O243" s="85">
        <f t="shared" si="111"/>
        <v>27347.44410039857</v>
      </c>
      <c r="P243" s="85">
        <f t="shared" si="111"/>
        <v>27602.318826430885</v>
      </c>
      <c r="Q243" s="85">
        <f t="shared" si="111"/>
        <v>28198.464282383837</v>
      </c>
      <c r="R243" s="85">
        <f t="shared" si="111"/>
        <v>28582.82282133116</v>
      </c>
      <c r="S243" s="85">
        <f t="shared" si="111"/>
        <v>29008.882595392526</v>
      </c>
      <c r="T243" s="85">
        <f t="shared" si="111"/>
        <v>29408.115077465343</v>
      </c>
      <c r="U243" s="85">
        <f t="shared" si="111"/>
        <v>29845.96214732097</v>
      </c>
      <c r="V243" s="85">
        <f t="shared" si="111"/>
        <v>30352.658387899217</v>
      </c>
      <c r="W243" s="85">
        <f t="shared" si="111"/>
        <v>30783.10992401476</v>
      </c>
      <c r="X243" s="85">
        <f t="shared" si="111"/>
        <v>31218.358554393104</v>
      </c>
      <c r="Y243" s="85">
        <f t="shared" si="111"/>
        <v>31605.350571172188</v>
      </c>
      <c r="Z243" s="85">
        <f t="shared" si="111"/>
        <v>31967.836762717277</v>
      </c>
      <c r="AA243" s="85">
        <f t="shared" si="111"/>
        <v>32354.692231788111</v>
      </c>
    </row>
    <row r="244" spans="2:27" x14ac:dyDescent="0.2">
      <c r="B244" s="59"/>
      <c r="C244" s="59"/>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spans="2:27" x14ac:dyDescent="0.2">
      <c r="B245" s="62" t="s">
        <v>192</v>
      </c>
      <c r="C245" s="62"/>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spans="2:27" x14ac:dyDescent="0.2">
      <c r="B246" s="87" t="str">
        <f>B224</f>
        <v>Traditional consumption</v>
      </c>
      <c r="C246" s="87" t="s">
        <v>70</v>
      </c>
      <c r="D246" s="88">
        <f t="shared" ref="D246:AA246" si="112">D29</f>
        <v>13473.312720224319</v>
      </c>
      <c r="E246" s="88">
        <f t="shared" si="112"/>
        <v>13561.351555423402</v>
      </c>
      <c r="F246" s="88">
        <f t="shared" si="112"/>
        <v>13667.645467672273</v>
      </c>
      <c r="G246" s="88">
        <f t="shared" si="112"/>
        <v>13669.710414385787</v>
      </c>
      <c r="H246" s="88">
        <f t="shared" si="112"/>
        <v>13642.433546940194</v>
      </c>
      <c r="I246" s="88">
        <f t="shared" si="112"/>
        <v>13665.745712729937</v>
      </c>
      <c r="J246" s="88">
        <f t="shared" si="112"/>
        <v>13665.844175388249</v>
      </c>
      <c r="K246" s="88">
        <f t="shared" si="112"/>
        <v>13682.882936108741</v>
      </c>
      <c r="L246" s="88">
        <f t="shared" si="112"/>
        <v>13696.652429377251</v>
      </c>
      <c r="M246" s="88">
        <f t="shared" si="112"/>
        <v>13694.171875613376</v>
      </c>
      <c r="N246" s="88">
        <f t="shared" si="112"/>
        <v>13700.52498830683</v>
      </c>
      <c r="O246" s="88">
        <f t="shared" si="112"/>
        <v>13691.535429512556</v>
      </c>
      <c r="P246" s="88">
        <f t="shared" si="112"/>
        <v>13685.704542564223</v>
      </c>
      <c r="Q246" s="88">
        <f t="shared" si="112"/>
        <v>13708.767046233623</v>
      </c>
      <c r="R246" s="88">
        <f t="shared" si="112"/>
        <v>13699.907850797823</v>
      </c>
      <c r="S246" s="88">
        <f t="shared" si="112"/>
        <v>13695.395131208046</v>
      </c>
      <c r="T246" s="88">
        <f t="shared" si="112"/>
        <v>13672.148947694424</v>
      </c>
      <c r="U246" s="88">
        <f t="shared" si="112"/>
        <v>13645.097640171702</v>
      </c>
      <c r="V246" s="88">
        <f t="shared" si="112"/>
        <v>13658.132914497892</v>
      </c>
      <c r="W246" s="88">
        <f t="shared" si="112"/>
        <v>13640.723047650052</v>
      </c>
      <c r="X246" s="88">
        <f t="shared" si="112"/>
        <v>13636.587728260554</v>
      </c>
      <c r="Y246" s="88">
        <f t="shared" si="112"/>
        <v>13629.087762558354</v>
      </c>
      <c r="Z246" s="88">
        <f t="shared" si="112"/>
        <v>13622.93274902562</v>
      </c>
      <c r="AA246" s="88">
        <f t="shared" si="112"/>
        <v>13654.255364337972</v>
      </c>
    </row>
    <row r="247" spans="2:27" x14ac:dyDescent="0.2">
      <c r="B247" s="87" t="str">
        <f t="shared" ref="B247:B252" si="113">B225</f>
        <v>Household heat pumps</v>
      </c>
      <c r="C247" s="59" t="s">
        <v>70</v>
      </c>
      <c r="D247" s="81">
        <f t="shared" ref="D247:AA247" si="114">D44</f>
        <v>225.28881060579303</v>
      </c>
      <c r="E247" s="81">
        <f t="shared" si="114"/>
        <v>239.44046307019718</v>
      </c>
      <c r="F247" s="81">
        <f t="shared" si="114"/>
        <v>254.49183276136421</v>
      </c>
      <c r="G247" s="81">
        <f t="shared" si="114"/>
        <v>270.54749743872998</v>
      </c>
      <c r="H247" s="81">
        <f t="shared" si="114"/>
        <v>295.86893929364584</v>
      </c>
      <c r="I247" s="81">
        <f t="shared" si="114"/>
        <v>323.36526729142048</v>
      </c>
      <c r="J247" s="81">
        <f t="shared" si="114"/>
        <v>353.40034676247967</v>
      </c>
      <c r="K247" s="81">
        <f t="shared" si="114"/>
        <v>385.07755614216319</v>
      </c>
      <c r="L247" s="81">
        <f t="shared" si="114"/>
        <v>418.12915411043298</v>
      </c>
      <c r="M247" s="81">
        <f t="shared" si="114"/>
        <v>452.38459402775499</v>
      </c>
      <c r="N247" s="81">
        <f t="shared" si="114"/>
        <v>487.62984755719401</v>
      </c>
      <c r="O247" s="81">
        <f t="shared" si="114"/>
        <v>524.02855130454464</v>
      </c>
      <c r="P247" s="81">
        <f t="shared" si="114"/>
        <v>561.29246245878664</v>
      </c>
      <c r="Q247" s="81">
        <f t="shared" si="114"/>
        <v>598.22645694437836</v>
      </c>
      <c r="R247" s="81">
        <f t="shared" si="114"/>
        <v>636.61760959577612</v>
      </c>
      <c r="S247" s="81">
        <f t="shared" si="114"/>
        <v>678.14571804383786</v>
      </c>
      <c r="T247" s="81">
        <f t="shared" si="114"/>
        <v>720.21174402978147</v>
      </c>
      <c r="U247" s="81">
        <f t="shared" si="114"/>
        <v>747.30174531067416</v>
      </c>
      <c r="V247" s="81">
        <f t="shared" si="114"/>
        <v>773.25025454230729</v>
      </c>
      <c r="W247" s="81">
        <f t="shared" si="114"/>
        <v>799.2404708662466</v>
      </c>
      <c r="X247" s="81">
        <f t="shared" si="114"/>
        <v>824.83220368861998</v>
      </c>
      <c r="Y247" s="81">
        <f t="shared" si="114"/>
        <v>849.98943562717511</v>
      </c>
      <c r="Z247" s="81">
        <f t="shared" si="114"/>
        <v>874.67470070535921</v>
      </c>
      <c r="AA247" s="81">
        <f t="shared" si="114"/>
        <v>898.84903631892882</v>
      </c>
    </row>
    <row r="248" spans="2:27" x14ac:dyDescent="0.2">
      <c r="B248" s="87" t="str">
        <f t="shared" si="113"/>
        <v>Large heat pumps</v>
      </c>
      <c r="C248" s="59" t="s">
        <v>70</v>
      </c>
      <c r="D248" s="82">
        <f t="shared" ref="D248:AA248" si="115">D83</f>
        <v>19.606303992000004</v>
      </c>
      <c r="E248" s="82">
        <f t="shared" si="115"/>
        <v>46.123944723999998</v>
      </c>
      <c r="F248" s="82">
        <f t="shared" si="115"/>
        <v>67.404646446000001</v>
      </c>
      <c r="G248" s="82">
        <f t="shared" si="115"/>
        <v>72.097872660000007</v>
      </c>
      <c r="H248" s="82">
        <f t="shared" si="115"/>
        <v>78.598558721999993</v>
      </c>
      <c r="I248" s="82">
        <f t="shared" si="115"/>
        <v>85.262873274</v>
      </c>
      <c r="J248" s="82">
        <f t="shared" si="115"/>
        <v>86.645807786000006</v>
      </c>
      <c r="K248" s="82">
        <f t="shared" si="115"/>
        <v>82.353714192000027</v>
      </c>
      <c r="L248" s="82">
        <f t="shared" si="115"/>
        <v>79.829807022000026</v>
      </c>
      <c r="M248" s="82">
        <f t="shared" si="115"/>
        <v>88.156857713999997</v>
      </c>
      <c r="N248" s="82">
        <f t="shared" si="115"/>
        <v>92.43830487999999</v>
      </c>
      <c r="O248" s="82">
        <f t="shared" si="115"/>
        <v>97.791645882000012</v>
      </c>
      <c r="P248" s="82">
        <f t="shared" si="115"/>
        <v>97.580271918000022</v>
      </c>
      <c r="Q248" s="82">
        <f t="shared" si="115"/>
        <v>233.79463625599999</v>
      </c>
      <c r="R248" s="82">
        <f t="shared" si="115"/>
        <v>239.81963109999998</v>
      </c>
      <c r="S248" s="82">
        <f t="shared" si="115"/>
        <v>246.31559888999996</v>
      </c>
      <c r="T248" s="82">
        <f t="shared" si="115"/>
        <v>249.70862126000003</v>
      </c>
      <c r="U248" s="82">
        <f t="shared" si="115"/>
        <v>247.53454324</v>
      </c>
      <c r="V248" s="82">
        <f t="shared" si="115"/>
        <v>261.52631141800003</v>
      </c>
      <c r="W248" s="82">
        <f t="shared" si="115"/>
        <v>267.63094151799999</v>
      </c>
      <c r="X248" s="82">
        <f t="shared" si="115"/>
        <v>275.54272109800002</v>
      </c>
      <c r="Y248" s="82">
        <f t="shared" si="115"/>
        <v>277.77389676000001</v>
      </c>
      <c r="Z248" s="82">
        <f t="shared" si="115"/>
        <v>279.30175849999989</v>
      </c>
      <c r="AA248" s="82">
        <f t="shared" si="115"/>
        <v>277.77939296599999</v>
      </c>
    </row>
    <row r="249" spans="2:27" x14ac:dyDescent="0.2">
      <c r="B249" s="87" t="s">
        <v>222</v>
      </c>
      <c r="C249" s="59" t="s">
        <v>70</v>
      </c>
      <c r="D249" s="82">
        <f t="shared" ref="D249:AA249" si="116">D111</f>
        <v>121.79368581600001</v>
      </c>
      <c r="E249" s="82">
        <f t="shared" si="116"/>
        <v>85.498811360000005</v>
      </c>
      <c r="F249" s="82">
        <f t="shared" si="116"/>
        <v>100.98540743800001</v>
      </c>
      <c r="G249" s="82">
        <f t="shared" si="116"/>
        <v>330.31391325800001</v>
      </c>
      <c r="H249" s="82">
        <f t="shared" si="116"/>
        <v>332.88823053000004</v>
      </c>
      <c r="I249" s="82">
        <f t="shared" si="116"/>
        <v>343.74570262200001</v>
      </c>
      <c r="J249" s="82">
        <f t="shared" si="116"/>
        <v>333.23067402400005</v>
      </c>
      <c r="K249" s="82">
        <f t="shared" si="116"/>
        <v>338.34154151000001</v>
      </c>
      <c r="L249" s="82">
        <f t="shared" si="116"/>
        <v>336.92862691199997</v>
      </c>
      <c r="M249" s="82">
        <f t="shared" si="116"/>
        <v>331.20541004000006</v>
      </c>
      <c r="N249" s="82">
        <f t="shared" si="116"/>
        <v>329.50657750800008</v>
      </c>
      <c r="O249" s="82">
        <f t="shared" si="116"/>
        <v>317.32094046799995</v>
      </c>
      <c r="P249" s="82">
        <f t="shared" si="116"/>
        <v>315.84622331199995</v>
      </c>
      <c r="Q249" s="82">
        <f t="shared" si="116"/>
        <v>314.895136192</v>
      </c>
      <c r="R249" s="82">
        <f t="shared" si="116"/>
        <v>325.190599464</v>
      </c>
      <c r="S249" s="82">
        <f t="shared" si="116"/>
        <v>316.02484624399995</v>
      </c>
      <c r="T249" s="82">
        <f t="shared" si="116"/>
        <v>307.39875354599997</v>
      </c>
      <c r="U249" s="82">
        <f t="shared" si="116"/>
        <v>343.27303515999995</v>
      </c>
      <c r="V249" s="82">
        <f t="shared" si="116"/>
        <v>338.74348047199999</v>
      </c>
      <c r="W249" s="82">
        <f t="shared" si="116"/>
        <v>344.90233847600001</v>
      </c>
      <c r="X249" s="82">
        <f t="shared" si="116"/>
        <v>327.89134039200007</v>
      </c>
      <c r="Y249" s="82">
        <f t="shared" si="116"/>
        <v>328.58909652200003</v>
      </c>
      <c r="Z249" s="82">
        <f t="shared" si="116"/>
        <v>327.61642939200004</v>
      </c>
      <c r="AA249" s="82">
        <f t="shared" si="116"/>
        <v>349.59843835000009</v>
      </c>
    </row>
    <row r="250" spans="2:27" x14ac:dyDescent="0.2">
      <c r="B250" s="87" t="str">
        <f t="shared" si="113"/>
        <v>Road and sea transport</v>
      </c>
      <c r="C250" s="59" t="s">
        <v>70</v>
      </c>
      <c r="D250" s="82">
        <f t="shared" ref="D250:AA250" si="117">D149</f>
        <v>144.12958588804872</v>
      </c>
      <c r="E250" s="82">
        <f t="shared" si="117"/>
        <v>147.93260304016087</v>
      </c>
      <c r="F250" s="82">
        <f t="shared" si="117"/>
        <v>158.1297978698326</v>
      </c>
      <c r="G250" s="82">
        <f t="shared" si="117"/>
        <v>176.47841696891157</v>
      </c>
      <c r="H250" s="82">
        <f t="shared" si="117"/>
        <v>226.42754888886066</v>
      </c>
      <c r="I250" s="82">
        <f t="shared" si="117"/>
        <v>303.08120322495216</v>
      </c>
      <c r="J250" s="82">
        <f t="shared" si="117"/>
        <v>396.68872494279697</v>
      </c>
      <c r="K250" s="82">
        <f t="shared" si="117"/>
        <v>500.3117433997848</v>
      </c>
      <c r="L250" s="82">
        <f t="shared" si="117"/>
        <v>613.05787291561342</v>
      </c>
      <c r="M250" s="82">
        <f t="shared" si="117"/>
        <v>749.03511954547457</v>
      </c>
      <c r="N250" s="82">
        <f t="shared" si="117"/>
        <v>901.98306542134299</v>
      </c>
      <c r="O250" s="82">
        <f t="shared" si="117"/>
        <v>1074.648659202687</v>
      </c>
      <c r="P250" s="82">
        <f t="shared" si="117"/>
        <v>1271.1103844526631</v>
      </c>
      <c r="Q250" s="82">
        <f t="shared" si="117"/>
        <v>1488.633525505868</v>
      </c>
      <c r="R250" s="82">
        <f t="shared" si="117"/>
        <v>1729.836250394543</v>
      </c>
      <c r="S250" s="82">
        <f t="shared" si="117"/>
        <v>1991.1568191364745</v>
      </c>
      <c r="T250" s="82">
        <f t="shared" si="117"/>
        <v>2296.0143373165502</v>
      </c>
      <c r="U250" s="82">
        <f t="shared" si="117"/>
        <v>2616.5301886216753</v>
      </c>
      <c r="V250" s="82">
        <f t="shared" si="117"/>
        <v>2938.6989849741558</v>
      </c>
      <c r="W250" s="82">
        <f t="shared" si="117"/>
        <v>3259.12035616197</v>
      </c>
      <c r="X250" s="82">
        <f t="shared" si="117"/>
        <v>3555.4548825821767</v>
      </c>
      <c r="Y250" s="82">
        <f t="shared" si="117"/>
        <v>3822.8882580143209</v>
      </c>
      <c r="Z250" s="82">
        <f t="shared" si="117"/>
        <v>4071.6950474402361</v>
      </c>
      <c r="AA250" s="82">
        <f t="shared" si="117"/>
        <v>4301.704086985731</v>
      </c>
    </row>
    <row r="251" spans="2:27" x14ac:dyDescent="0.2">
      <c r="B251" s="87" t="str">
        <f t="shared" si="113"/>
        <v>Rail transport</v>
      </c>
      <c r="C251" s="59" t="s">
        <v>70</v>
      </c>
      <c r="D251" s="81">
        <f t="shared" ref="D251:AA251" si="118">D180</f>
        <v>126.98800000000001</v>
      </c>
      <c r="E251" s="81">
        <f t="shared" si="118"/>
        <v>148.31927888000001</v>
      </c>
      <c r="F251" s="81">
        <f t="shared" si="118"/>
        <v>169.65055776000003</v>
      </c>
      <c r="G251" s="81">
        <f t="shared" si="118"/>
        <v>212.11815184000002</v>
      </c>
      <c r="H251" s="81">
        <f t="shared" si="118"/>
        <v>331.76708072000002</v>
      </c>
      <c r="I251" s="81">
        <f t="shared" si="118"/>
        <v>451.41600960000005</v>
      </c>
      <c r="J251" s="81">
        <f t="shared" si="118"/>
        <v>549.73365960000001</v>
      </c>
      <c r="K251" s="81">
        <f t="shared" si="118"/>
        <v>689.60180015999993</v>
      </c>
      <c r="L251" s="81">
        <f t="shared" si="118"/>
        <v>808.33362552000017</v>
      </c>
      <c r="M251" s="81">
        <f t="shared" si="118"/>
        <v>869.59163608000006</v>
      </c>
      <c r="N251" s="81">
        <f t="shared" si="118"/>
        <v>930.84964663999995</v>
      </c>
      <c r="O251" s="81">
        <f t="shared" si="118"/>
        <v>992.10765720000006</v>
      </c>
      <c r="P251" s="81">
        <f t="shared" si="118"/>
        <v>1011.8151772000001</v>
      </c>
      <c r="Q251" s="81">
        <f t="shared" si="118"/>
        <v>1031.5226972</v>
      </c>
      <c r="R251" s="81">
        <f t="shared" si="118"/>
        <v>1031.5226972</v>
      </c>
      <c r="S251" s="81">
        <f t="shared" si="118"/>
        <v>1031.5226972</v>
      </c>
      <c r="T251" s="81">
        <f t="shared" si="118"/>
        <v>1031.5226972</v>
      </c>
      <c r="U251" s="81">
        <f t="shared" si="118"/>
        <v>1031.5226972</v>
      </c>
      <c r="V251" s="81">
        <f t="shared" si="118"/>
        <v>1031.5226972</v>
      </c>
      <c r="W251" s="81">
        <f t="shared" si="118"/>
        <v>1031.5226972</v>
      </c>
      <c r="X251" s="81">
        <f t="shared" si="118"/>
        <v>1031.5226972</v>
      </c>
      <c r="Y251" s="81">
        <f t="shared" si="118"/>
        <v>1031.5226972</v>
      </c>
      <c r="Z251" s="81">
        <f t="shared" si="118"/>
        <v>1031.5226972</v>
      </c>
      <c r="AA251" s="81">
        <f t="shared" si="118"/>
        <v>1031.5226972</v>
      </c>
    </row>
    <row r="252" spans="2:27" x14ac:dyDescent="0.2">
      <c r="B252" s="87" t="str">
        <f t="shared" si="113"/>
        <v>Large data centres</v>
      </c>
      <c r="C252" s="59" t="s">
        <v>70</v>
      </c>
      <c r="D252" s="81">
        <f t="shared" ref="D252:AA252" si="119">D196</f>
        <v>0</v>
      </c>
      <c r="E252" s="81">
        <f t="shared" si="119"/>
        <v>0</v>
      </c>
      <c r="F252" s="81">
        <f t="shared" si="119"/>
        <v>0</v>
      </c>
      <c r="G252" s="81">
        <f t="shared" si="119"/>
        <v>0</v>
      </c>
      <c r="H252" s="81">
        <f t="shared" si="119"/>
        <v>0</v>
      </c>
      <c r="I252" s="81">
        <f t="shared" si="119"/>
        <v>0</v>
      </c>
      <c r="J252" s="81">
        <f t="shared" si="119"/>
        <v>0</v>
      </c>
      <c r="K252" s="81">
        <f t="shared" si="119"/>
        <v>0</v>
      </c>
      <c r="L252" s="81">
        <f t="shared" si="119"/>
        <v>0</v>
      </c>
      <c r="M252" s="81">
        <f t="shared" si="119"/>
        <v>0</v>
      </c>
      <c r="N252" s="81">
        <f t="shared" si="119"/>
        <v>0</v>
      </c>
      <c r="O252" s="81">
        <f t="shared" si="119"/>
        <v>0</v>
      </c>
      <c r="P252" s="81">
        <f t="shared" si="119"/>
        <v>0</v>
      </c>
      <c r="Q252" s="81">
        <f t="shared" si="119"/>
        <v>0</v>
      </c>
      <c r="R252" s="81">
        <f t="shared" si="119"/>
        <v>0</v>
      </c>
      <c r="S252" s="81">
        <f t="shared" si="119"/>
        <v>0</v>
      </c>
      <c r="T252" s="81">
        <f t="shared" si="119"/>
        <v>0</v>
      </c>
      <c r="U252" s="81">
        <f t="shared" si="119"/>
        <v>0</v>
      </c>
      <c r="V252" s="81">
        <f t="shared" si="119"/>
        <v>0</v>
      </c>
      <c r="W252" s="81">
        <f t="shared" si="119"/>
        <v>0</v>
      </c>
      <c r="X252" s="81">
        <f t="shared" si="119"/>
        <v>0</v>
      </c>
      <c r="Y252" s="81">
        <f t="shared" si="119"/>
        <v>0</v>
      </c>
      <c r="Z252" s="81">
        <f t="shared" si="119"/>
        <v>0</v>
      </c>
      <c r="AA252" s="81">
        <f t="shared" si="119"/>
        <v>0</v>
      </c>
    </row>
    <row r="253" spans="2:27" x14ac:dyDescent="0.2">
      <c r="B253" s="62" t="str">
        <f>"Total, "&amp;B245</f>
        <v>Total, Eastern Denmark (DK2)</v>
      </c>
      <c r="C253" s="62" t="s">
        <v>70</v>
      </c>
      <c r="D253" s="85">
        <f t="shared" ref="D253:AA253" si="120">SUM(D246:D252)</f>
        <v>14111.119106526161</v>
      </c>
      <c r="E253" s="85">
        <f t="shared" si="120"/>
        <v>14228.66665649776</v>
      </c>
      <c r="F253" s="85">
        <f t="shared" si="120"/>
        <v>14418.307709947472</v>
      </c>
      <c r="G253" s="85">
        <f t="shared" si="120"/>
        <v>14731.266266551431</v>
      </c>
      <c r="H253" s="85">
        <f t="shared" si="120"/>
        <v>14907.983905094699</v>
      </c>
      <c r="I253" s="85">
        <f t="shared" si="120"/>
        <v>15172.616768742309</v>
      </c>
      <c r="J253" s="85">
        <f t="shared" si="120"/>
        <v>15385.543388503525</v>
      </c>
      <c r="K253" s="85">
        <f t="shared" si="120"/>
        <v>15678.569291512691</v>
      </c>
      <c r="L253" s="85">
        <f t="shared" si="120"/>
        <v>15952.931515857297</v>
      </c>
      <c r="M253" s="85">
        <f t="shared" si="120"/>
        <v>16184.545493020607</v>
      </c>
      <c r="N253" s="85">
        <f t="shared" si="120"/>
        <v>16442.932430313369</v>
      </c>
      <c r="O253" s="85">
        <f t="shared" si="120"/>
        <v>16697.432883569785</v>
      </c>
      <c r="P253" s="85">
        <f t="shared" si="120"/>
        <v>16943.349061905672</v>
      </c>
      <c r="Q253" s="85">
        <f t="shared" si="120"/>
        <v>17375.839498331869</v>
      </c>
      <c r="R253" s="85">
        <f t="shared" si="120"/>
        <v>17662.894638552141</v>
      </c>
      <c r="S253" s="85">
        <f t="shared" si="120"/>
        <v>17958.56081072236</v>
      </c>
      <c r="T253" s="85">
        <f t="shared" si="120"/>
        <v>18277.005101046758</v>
      </c>
      <c r="U253" s="85">
        <f t="shared" si="120"/>
        <v>18631.259849704053</v>
      </c>
      <c r="V253" s="85">
        <f t="shared" si="120"/>
        <v>19001.874643104355</v>
      </c>
      <c r="W253" s="85">
        <f t="shared" si="120"/>
        <v>19343.139851872271</v>
      </c>
      <c r="X253" s="85">
        <f t="shared" si="120"/>
        <v>19651.831573221352</v>
      </c>
      <c r="Y253" s="85">
        <f t="shared" si="120"/>
        <v>19939.851146681853</v>
      </c>
      <c r="Z253" s="85">
        <f t="shared" si="120"/>
        <v>20207.743382263216</v>
      </c>
      <c r="AA253" s="85">
        <f t="shared" si="120"/>
        <v>20513.709016158631</v>
      </c>
    </row>
    <row r="254" spans="2:27" x14ac:dyDescent="0.2">
      <c r="B254" s="59"/>
      <c r="C254" s="59"/>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spans="2:27" x14ac:dyDescent="0.2">
      <c r="B255" s="62" t="s">
        <v>119</v>
      </c>
      <c r="C255" s="62"/>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spans="2:27" x14ac:dyDescent="0.2">
      <c r="B256" s="87" t="str">
        <f>B246</f>
        <v>Traditional consumption</v>
      </c>
      <c r="C256" s="87" t="s">
        <v>70</v>
      </c>
      <c r="D256" s="88">
        <f>D236+D246</f>
        <v>33248.509124378441</v>
      </c>
      <c r="E256" s="88">
        <f t="shared" ref="E256:AA256" si="121">E236+E246</f>
        <v>33457.755330806576</v>
      </c>
      <c r="F256" s="88">
        <f t="shared" si="121"/>
        <v>33708.233891677286</v>
      </c>
      <c r="G256" s="88">
        <f t="shared" si="121"/>
        <v>33715.014625974945</v>
      </c>
      <c r="H256" s="88">
        <f t="shared" si="121"/>
        <v>33653.448425511451</v>
      </c>
      <c r="I256" s="88">
        <f t="shared" si="121"/>
        <v>33715.766886511083</v>
      </c>
      <c r="J256" s="88">
        <f t="shared" si="121"/>
        <v>33735.714017213781</v>
      </c>
      <c r="K256" s="88">
        <f t="shared" si="121"/>
        <v>33774.89618019831</v>
      </c>
      <c r="L256" s="88">
        <f t="shared" si="121"/>
        <v>33803.526166013995</v>
      </c>
      <c r="M256" s="88">
        <f t="shared" si="121"/>
        <v>33797.40412528209</v>
      </c>
      <c r="N256" s="88">
        <f t="shared" si="121"/>
        <v>33813.083694598477</v>
      </c>
      <c r="O256" s="88">
        <f t="shared" si="121"/>
        <v>33790.897340123171</v>
      </c>
      <c r="P256" s="88">
        <f t="shared" si="121"/>
        <v>33776.506631112679</v>
      </c>
      <c r="Q256" s="88">
        <f t="shared" si="121"/>
        <v>33833.42520667427</v>
      </c>
      <c r="R256" s="88">
        <f t="shared" si="121"/>
        <v>33811.560590756766</v>
      </c>
      <c r="S256" s="88">
        <f t="shared" si="121"/>
        <v>33800.423136877478</v>
      </c>
      <c r="T256" s="88">
        <f t="shared" si="121"/>
        <v>33743.051236939551</v>
      </c>
      <c r="U256" s="88">
        <f t="shared" si="121"/>
        <v>33676.288238726353</v>
      </c>
      <c r="V256" s="88">
        <f t="shared" si="121"/>
        <v>33708.45947465708</v>
      </c>
      <c r="W256" s="88">
        <f t="shared" si="121"/>
        <v>33665.491684346831</v>
      </c>
      <c r="X256" s="88">
        <f t="shared" si="121"/>
        <v>33655.2856593412</v>
      </c>
      <c r="Y256" s="88">
        <f t="shared" si="121"/>
        <v>33636.775641060034</v>
      </c>
      <c r="Z256" s="88">
        <f t="shared" si="121"/>
        <v>33621.584983190987</v>
      </c>
      <c r="AA256" s="88">
        <f t="shared" si="121"/>
        <v>33698.889627647615</v>
      </c>
    </row>
    <row r="257" spans="1:27" x14ac:dyDescent="0.2">
      <c r="B257" s="87" t="str">
        <f t="shared" ref="B257:B262" si="122">B247</f>
        <v>Household heat pumps</v>
      </c>
      <c r="C257" s="59" t="s">
        <v>70</v>
      </c>
      <c r="D257" s="88">
        <f t="shared" ref="D257:AA257" si="123">D237+D247</f>
        <v>555.95214262364163</v>
      </c>
      <c r="E257" s="88">
        <f t="shared" si="123"/>
        <v>590.73318739339823</v>
      </c>
      <c r="F257" s="88">
        <f t="shared" si="123"/>
        <v>627.64799120171187</v>
      </c>
      <c r="G257" s="88">
        <f t="shared" si="123"/>
        <v>667.27915637249816</v>
      </c>
      <c r="H257" s="88">
        <f t="shared" si="123"/>
        <v>729.85586149054052</v>
      </c>
      <c r="I257" s="88">
        <f t="shared" si="123"/>
        <v>797.79824682643994</v>
      </c>
      <c r="J257" s="88">
        <f t="shared" si="123"/>
        <v>872.40955472291444</v>
      </c>
      <c r="K257" s="88">
        <f t="shared" si="123"/>
        <v>950.52735163754869</v>
      </c>
      <c r="L257" s="88">
        <f t="shared" si="123"/>
        <v>1031.9484906713051</v>
      </c>
      <c r="M257" s="88">
        <f t="shared" si="123"/>
        <v>1116.4913865025433</v>
      </c>
      <c r="N257" s="88">
        <f t="shared" si="123"/>
        <v>1203.477155912504</v>
      </c>
      <c r="O257" s="88">
        <f t="shared" si="123"/>
        <v>1293.3096562900068</v>
      </c>
      <c r="P257" s="88">
        <f t="shared" si="123"/>
        <v>1385.2775004216635</v>
      </c>
      <c r="Q257" s="88">
        <f t="shared" si="123"/>
        <v>1476.431105687376</v>
      </c>
      <c r="R257" s="88">
        <f t="shared" si="123"/>
        <v>1571.1809973040654</v>
      </c>
      <c r="S257" s="88">
        <f t="shared" si="123"/>
        <v>1673.6729388779195</v>
      </c>
      <c r="T257" s="88">
        <f t="shared" si="123"/>
        <v>1777.4924683175464</v>
      </c>
      <c r="U257" s="88">
        <f t="shared" si="123"/>
        <v>1844.3509632569298</v>
      </c>
      <c r="V257" s="88">
        <f t="shared" si="123"/>
        <v>1908.3922401531158</v>
      </c>
      <c r="W257" s="88">
        <f t="shared" si="123"/>
        <v>1972.5364507254938</v>
      </c>
      <c r="X257" s="88">
        <f t="shared" si="123"/>
        <v>2035.6971985472935</v>
      </c>
      <c r="Y257" s="88">
        <f t="shared" si="123"/>
        <v>2097.7855922248204</v>
      </c>
      <c r="Z257" s="88">
        <f t="shared" si="123"/>
        <v>2158.7091652137665</v>
      </c>
      <c r="AA257" s="88">
        <f t="shared" si="123"/>
        <v>2218.3717572721425</v>
      </c>
    </row>
    <row r="258" spans="1:27" x14ac:dyDescent="0.2">
      <c r="B258" s="87" t="str">
        <f t="shared" si="122"/>
        <v>Large heat pumps</v>
      </c>
      <c r="C258" s="59" t="s">
        <v>70</v>
      </c>
      <c r="D258" s="82">
        <f t="shared" ref="D258:AA258" si="124">D238+D248</f>
        <v>115.93161773100002</v>
      </c>
      <c r="E258" s="82">
        <f t="shared" si="124"/>
        <v>162.713896871</v>
      </c>
      <c r="F258" s="82">
        <f t="shared" si="124"/>
        <v>291.34799134499997</v>
      </c>
      <c r="G258" s="82">
        <f t="shared" si="124"/>
        <v>376.34206898800005</v>
      </c>
      <c r="H258" s="82">
        <f t="shared" si="124"/>
        <v>412.98515655900002</v>
      </c>
      <c r="I258" s="82">
        <f t="shared" si="124"/>
        <v>433.95020461600006</v>
      </c>
      <c r="J258" s="82">
        <f t="shared" si="124"/>
        <v>473.72407487199996</v>
      </c>
      <c r="K258" s="82">
        <f t="shared" si="124"/>
        <v>435.15989326200008</v>
      </c>
      <c r="L258" s="82">
        <f t="shared" si="124"/>
        <v>430.71176047300003</v>
      </c>
      <c r="M258" s="82">
        <f t="shared" si="124"/>
        <v>466.20450787700003</v>
      </c>
      <c r="N258" s="82">
        <f t="shared" si="124"/>
        <v>553.42131863500003</v>
      </c>
      <c r="O258" s="82">
        <f t="shared" si="124"/>
        <v>745.35808451899993</v>
      </c>
      <c r="P258" s="82">
        <f t="shared" si="124"/>
        <v>739.54899218000003</v>
      </c>
      <c r="Q258" s="82">
        <f t="shared" si="124"/>
        <v>1060.451160091</v>
      </c>
      <c r="R258" s="82">
        <f t="shared" si="124"/>
        <v>1081.7850439380002</v>
      </c>
      <c r="S258" s="82">
        <f t="shared" si="124"/>
        <v>1100.1587721770002</v>
      </c>
      <c r="T258" s="82">
        <f t="shared" si="124"/>
        <v>1085.4673266140001</v>
      </c>
      <c r="U258" s="82">
        <f t="shared" si="124"/>
        <v>1090.4530594339999</v>
      </c>
      <c r="V258" s="82">
        <f t="shared" si="124"/>
        <v>1119.2328863040002</v>
      </c>
      <c r="W258" s="82">
        <f t="shared" si="124"/>
        <v>1125.7765431820001</v>
      </c>
      <c r="X258" s="82">
        <f t="shared" si="124"/>
        <v>1136.144482617</v>
      </c>
      <c r="Y258" s="82">
        <f t="shared" si="124"/>
        <v>1142.359480781</v>
      </c>
      <c r="Z258" s="82">
        <f t="shared" si="124"/>
        <v>1151.0732204870001</v>
      </c>
      <c r="AA258" s="82">
        <f t="shared" si="124"/>
        <v>1162.781991741</v>
      </c>
    </row>
    <row r="259" spans="1:27" x14ac:dyDescent="0.2">
      <c r="B259" s="87" t="s">
        <v>222</v>
      </c>
      <c r="C259" s="59" t="s">
        <v>70</v>
      </c>
      <c r="D259" s="82">
        <f>D239+D249</f>
        <v>216.33916818900002</v>
      </c>
      <c r="E259" s="82">
        <f t="shared" ref="E259:AA259" si="125">E239+E249</f>
        <v>190.62791218699999</v>
      </c>
      <c r="F259" s="82">
        <f t="shared" si="125"/>
        <v>226.14769657800002</v>
      </c>
      <c r="G259" s="82">
        <f t="shared" si="125"/>
        <v>409.28908454899999</v>
      </c>
      <c r="H259" s="82">
        <f t="shared" si="125"/>
        <v>421.12751960100007</v>
      </c>
      <c r="I259" s="82">
        <f t="shared" si="125"/>
        <v>418.72623232000001</v>
      </c>
      <c r="J259" s="82">
        <f t="shared" si="125"/>
        <v>429.75586804300008</v>
      </c>
      <c r="K259" s="82">
        <f t="shared" si="125"/>
        <v>426.81684797100002</v>
      </c>
      <c r="L259" s="82">
        <f t="shared" si="125"/>
        <v>394.31625010099998</v>
      </c>
      <c r="M259" s="82">
        <f t="shared" si="125"/>
        <v>411.02847158700007</v>
      </c>
      <c r="N259" s="82">
        <f t="shared" si="125"/>
        <v>485.44584663700005</v>
      </c>
      <c r="O259" s="82">
        <f t="shared" si="125"/>
        <v>475.00459453799999</v>
      </c>
      <c r="P259" s="82">
        <f t="shared" si="125"/>
        <v>411.26108517899996</v>
      </c>
      <c r="Q259" s="82">
        <f t="shared" si="125"/>
        <v>433.53269127099998</v>
      </c>
      <c r="R259" s="82">
        <f t="shared" si="125"/>
        <v>443.19629225799997</v>
      </c>
      <c r="S259" s="82">
        <f t="shared" si="125"/>
        <v>443.21412519399996</v>
      </c>
      <c r="T259" s="82">
        <f t="shared" si="125"/>
        <v>417.59691720599994</v>
      </c>
      <c r="U259" s="82">
        <f t="shared" si="125"/>
        <v>456.88285669099997</v>
      </c>
      <c r="V259" s="82">
        <f t="shared" si="125"/>
        <v>456.05811408700004</v>
      </c>
      <c r="W259" s="82">
        <f t="shared" si="125"/>
        <v>453.61644316600001</v>
      </c>
      <c r="X259" s="82">
        <f t="shared" si="125"/>
        <v>441.03931472000011</v>
      </c>
      <c r="Y259" s="82">
        <f t="shared" si="125"/>
        <v>439.48420243500004</v>
      </c>
      <c r="Z259" s="82">
        <f t="shared" si="125"/>
        <v>436.28342850900003</v>
      </c>
      <c r="AA259" s="82">
        <f t="shared" si="125"/>
        <v>446.51578897400009</v>
      </c>
    </row>
    <row r="260" spans="1:27" x14ac:dyDescent="0.2">
      <c r="B260" s="87" t="str">
        <f t="shared" si="122"/>
        <v>Road and sea transport</v>
      </c>
      <c r="C260" s="59" t="s">
        <v>70</v>
      </c>
      <c r="D260" s="82">
        <f t="shared" ref="D260:AA260" si="126">D240+D250</f>
        <v>156.71111651788999</v>
      </c>
      <c r="E260" s="82">
        <f t="shared" si="126"/>
        <v>162.19135063821389</v>
      </c>
      <c r="F260" s="82">
        <f t="shared" si="126"/>
        <v>179.1635215255194</v>
      </c>
      <c r="G260" s="82">
        <f t="shared" si="126"/>
        <v>222.40100708600283</v>
      </c>
      <c r="H260" s="82">
        <f t="shared" si="126"/>
        <v>327.71438536936478</v>
      </c>
      <c r="I260" s="82">
        <f t="shared" si="126"/>
        <v>495.82028722702842</v>
      </c>
      <c r="J260" s="82">
        <f t="shared" si="126"/>
        <v>708.94599829693936</v>
      </c>
      <c r="K260" s="82">
        <f t="shared" si="126"/>
        <v>948.78540168308109</v>
      </c>
      <c r="L260" s="82">
        <f t="shared" si="126"/>
        <v>1209.268174363538</v>
      </c>
      <c r="M260" s="82">
        <f t="shared" si="126"/>
        <v>1526.0162294266704</v>
      </c>
      <c r="N260" s="82">
        <f t="shared" si="126"/>
        <v>1887.8532847071783</v>
      </c>
      <c r="O260" s="82">
        <f t="shared" si="126"/>
        <v>2297.9753414981815</v>
      </c>
      <c r="P260" s="82">
        <f t="shared" si="126"/>
        <v>2763.6878292432157</v>
      </c>
      <c r="Q260" s="82">
        <f t="shared" si="126"/>
        <v>3277.7716655920613</v>
      </c>
      <c r="R260" s="82">
        <f t="shared" si="126"/>
        <v>3845.3025842264724</v>
      </c>
      <c r="S260" s="82">
        <f t="shared" si="126"/>
        <v>4457.2824815884896</v>
      </c>
      <c r="T260" s="82">
        <f t="shared" si="126"/>
        <v>5168.820278035002</v>
      </c>
      <c r="U260" s="82">
        <f t="shared" si="126"/>
        <v>5916.5549275167359</v>
      </c>
      <c r="V260" s="82">
        <f t="shared" si="126"/>
        <v>6669.6983644023821</v>
      </c>
      <c r="W260" s="82">
        <f t="shared" si="126"/>
        <v>7416.1367030667043</v>
      </c>
      <c r="X260" s="82">
        <f t="shared" si="126"/>
        <v>8109.3315209889624</v>
      </c>
      <c r="Y260" s="82">
        <f t="shared" si="126"/>
        <v>8736.1048499531826</v>
      </c>
      <c r="Z260" s="82">
        <f t="shared" si="126"/>
        <v>9315.2373961797439</v>
      </c>
      <c r="AA260" s="82">
        <f t="shared" si="126"/>
        <v>9849.1501309119813</v>
      </c>
    </row>
    <row r="261" spans="1:27" x14ac:dyDescent="0.2">
      <c r="B261" s="87" t="str">
        <f t="shared" si="122"/>
        <v>Rail transport</v>
      </c>
      <c r="C261" s="59" t="s">
        <v>70</v>
      </c>
      <c r="D261" s="88">
        <f t="shared" ref="D261:AA261" si="127">D241+D251</f>
        <v>206.16800000000001</v>
      </c>
      <c r="E261" s="88">
        <f t="shared" si="127"/>
        <v>239.61209404000002</v>
      </c>
      <c r="F261" s="88">
        <f t="shared" si="127"/>
        <v>273.05618808000003</v>
      </c>
      <c r="G261" s="88">
        <f t="shared" si="127"/>
        <v>336.66608764</v>
      </c>
      <c r="H261" s="88">
        <f t="shared" si="127"/>
        <v>508.94508512000004</v>
      </c>
      <c r="I261" s="88">
        <f t="shared" si="127"/>
        <v>712.86902444000009</v>
      </c>
      <c r="J261" s="88">
        <f t="shared" si="127"/>
        <v>899.52294692000009</v>
      </c>
      <c r="K261" s="88">
        <f t="shared" si="127"/>
        <v>1127.7273599599998</v>
      </c>
      <c r="L261" s="88">
        <f t="shared" si="127"/>
        <v>1329.5137494800003</v>
      </c>
      <c r="M261" s="88">
        <f t="shared" si="127"/>
        <v>1445.93714228</v>
      </c>
      <c r="N261" s="88">
        <f t="shared" si="127"/>
        <v>1530.7155932400001</v>
      </c>
      <c r="O261" s="88">
        <f t="shared" si="127"/>
        <v>1599.3199670000004</v>
      </c>
      <c r="P261" s="88">
        <f t="shared" si="127"/>
        <v>1626.3738502000001</v>
      </c>
      <c r="Q261" s="88">
        <f t="shared" si="127"/>
        <v>1649.6799513999999</v>
      </c>
      <c r="R261" s="88">
        <f t="shared" si="127"/>
        <v>1649.6799513999999</v>
      </c>
      <c r="S261" s="88">
        <f t="shared" si="127"/>
        <v>1649.6799513999999</v>
      </c>
      <c r="T261" s="88">
        <f t="shared" si="127"/>
        <v>1649.6799513999999</v>
      </c>
      <c r="U261" s="88">
        <f t="shared" si="127"/>
        <v>1649.6799513999999</v>
      </c>
      <c r="V261" s="88">
        <f t="shared" si="127"/>
        <v>1649.6799513999999</v>
      </c>
      <c r="W261" s="88">
        <f t="shared" si="127"/>
        <v>1649.6799513999999</v>
      </c>
      <c r="X261" s="88">
        <f t="shared" si="127"/>
        <v>1649.6799513999999</v>
      </c>
      <c r="Y261" s="88">
        <f t="shared" si="127"/>
        <v>1649.6799513999999</v>
      </c>
      <c r="Z261" s="88">
        <f t="shared" si="127"/>
        <v>1649.6799513999999</v>
      </c>
      <c r="AA261" s="88">
        <f t="shared" si="127"/>
        <v>1649.6799513999999</v>
      </c>
    </row>
    <row r="262" spans="1:27" x14ac:dyDescent="0.2">
      <c r="B262" s="87" t="str">
        <f t="shared" si="122"/>
        <v>Large data centres</v>
      </c>
      <c r="C262" s="59" t="s">
        <v>70</v>
      </c>
      <c r="D262" s="82">
        <f t="shared" ref="D262:AA262" si="128">D242+D252</f>
        <v>0</v>
      </c>
      <c r="E262" s="82">
        <f t="shared" si="128"/>
        <v>453.03800000000007</v>
      </c>
      <c r="F262" s="82">
        <f t="shared" si="128"/>
        <v>906.07600000000014</v>
      </c>
      <c r="G262" s="82">
        <f t="shared" si="128"/>
        <v>1546.5780000000002</v>
      </c>
      <c r="H262" s="82">
        <f t="shared" si="128"/>
        <v>2187.0800000000004</v>
      </c>
      <c r="I262" s="82">
        <f t="shared" si="128"/>
        <v>2827.5819999999999</v>
      </c>
      <c r="J262" s="82">
        <f t="shared" si="128"/>
        <v>3468.0839999999998</v>
      </c>
      <c r="K262" s="82">
        <f t="shared" si="128"/>
        <v>3655.5479999999998</v>
      </c>
      <c r="L262" s="82">
        <f t="shared" si="128"/>
        <v>3843.0120000000006</v>
      </c>
      <c r="M262" s="82">
        <f t="shared" si="128"/>
        <v>3843.0120000000006</v>
      </c>
      <c r="N262" s="82">
        <f t="shared" si="128"/>
        <v>3843.0120000000006</v>
      </c>
      <c r="O262" s="82">
        <f t="shared" si="128"/>
        <v>3843.0120000000006</v>
      </c>
      <c r="P262" s="82">
        <f t="shared" si="128"/>
        <v>3843.0120000000006</v>
      </c>
      <c r="Q262" s="82">
        <f t="shared" si="128"/>
        <v>3843.0120000000006</v>
      </c>
      <c r="R262" s="82">
        <f t="shared" si="128"/>
        <v>3843.0120000000006</v>
      </c>
      <c r="S262" s="82">
        <f t="shared" si="128"/>
        <v>3843.0120000000006</v>
      </c>
      <c r="T262" s="82">
        <f t="shared" si="128"/>
        <v>3843.0120000000006</v>
      </c>
      <c r="U262" s="82">
        <f t="shared" si="128"/>
        <v>3843.0120000000006</v>
      </c>
      <c r="V262" s="82">
        <f t="shared" si="128"/>
        <v>3843.0120000000006</v>
      </c>
      <c r="W262" s="82">
        <f t="shared" si="128"/>
        <v>3843.0120000000006</v>
      </c>
      <c r="X262" s="82">
        <f t="shared" si="128"/>
        <v>3843.0120000000006</v>
      </c>
      <c r="Y262" s="82">
        <f t="shared" si="128"/>
        <v>3843.0120000000006</v>
      </c>
      <c r="Z262" s="82">
        <f t="shared" si="128"/>
        <v>3843.0120000000006</v>
      </c>
      <c r="AA262" s="82">
        <f t="shared" si="128"/>
        <v>3843.0120000000006</v>
      </c>
    </row>
    <row r="263" spans="1:27" x14ac:dyDescent="0.2">
      <c r="B263" s="91" t="str">
        <f>"Total, "&amp;B255</f>
        <v>Total, Denmark</v>
      </c>
      <c r="C263" s="91" t="s">
        <v>70</v>
      </c>
      <c r="D263" s="92">
        <f t="shared" ref="D263:AA263" si="129">SUM(D256:D262)</f>
        <v>34499.611169439966</v>
      </c>
      <c r="E263" s="92">
        <f t="shared" si="129"/>
        <v>35256.671771936191</v>
      </c>
      <c r="F263" s="92">
        <f t="shared" si="129"/>
        <v>36211.673280407522</v>
      </c>
      <c r="G263" s="92">
        <f t="shared" si="129"/>
        <v>37273.570030610441</v>
      </c>
      <c r="H263" s="92">
        <f t="shared" si="129"/>
        <v>38241.156433651362</v>
      </c>
      <c r="I263" s="92">
        <f t="shared" si="129"/>
        <v>39402.512881940544</v>
      </c>
      <c r="J263" s="92">
        <f t="shared" si="129"/>
        <v>40588.15646006864</v>
      </c>
      <c r="K263" s="92">
        <f t="shared" si="129"/>
        <v>41319.461034711945</v>
      </c>
      <c r="L263" s="92">
        <f t="shared" si="129"/>
        <v>42042.296591102844</v>
      </c>
      <c r="M263" s="92">
        <f t="shared" si="129"/>
        <v>42606.093862955313</v>
      </c>
      <c r="N263" s="92">
        <f t="shared" si="129"/>
        <v>43317.008893730163</v>
      </c>
      <c r="O263" s="92">
        <f t="shared" si="129"/>
        <v>44044.876983968366</v>
      </c>
      <c r="P263" s="92">
        <f t="shared" si="129"/>
        <v>44545.66788833656</v>
      </c>
      <c r="Q263" s="92">
        <f t="shared" si="129"/>
        <v>45574.303780715709</v>
      </c>
      <c r="R263" s="92">
        <f t="shared" si="129"/>
        <v>46245.717459883308</v>
      </c>
      <c r="S263" s="92">
        <f t="shared" si="129"/>
        <v>46967.443406114886</v>
      </c>
      <c r="T263" s="92">
        <f t="shared" si="129"/>
        <v>47685.120178512108</v>
      </c>
      <c r="U263" s="92">
        <f t="shared" si="129"/>
        <v>48477.22199702503</v>
      </c>
      <c r="V263" s="92">
        <f t="shared" si="129"/>
        <v>49354.533031003579</v>
      </c>
      <c r="W263" s="92">
        <f t="shared" si="129"/>
        <v>50126.24977588703</v>
      </c>
      <c r="X263" s="92">
        <f t="shared" si="129"/>
        <v>50870.190127614456</v>
      </c>
      <c r="Y263" s="92">
        <f t="shared" si="129"/>
        <v>51545.201717854041</v>
      </c>
      <c r="Z263" s="92">
        <f t="shared" si="129"/>
        <v>52175.5801449805</v>
      </c>
      <c r="AA263" s="92">
        <f t="shared" si="129"/>
        <v>52868.401247946749</v>
      </c>
    </row>
    <row r="266" spans="1:27" s="70" customFormat="1" x14ac:dyDescent="0.2">
      <c r="B266" s="70" t="s">
        <v>314</v>
      </c>
    </row>
    <row r="268" spans="1:27" outlineLevel="1" x14ac:dyDescent="0.2">
      <c r="A268"/>
      <c r="B268" s="1" t="s">
        <v>310</v>
      </c>
    </row>
    <row r="269" spans="1:27" outlineLevel="1" x14ac:dyDescent="0.2">
      <c r="A269"/>
    </row>
    <row r="270" spans="1:27" s="12" customFormat="1" outlineLevel="1" x14ac:dyDescent="0.2">
      <c r="B270" s="183" t="s">
        <v>201</v>
      </c>
      <c r="C270" s="183" t="s">
        <v>141</v>
      </c>
      <c r="D270" s="184">
        <v>2017</v>
      </c>
      <c r="E270" s="184">
        <v>2018</v>
      </c>
      <c r="F270" s="184">
        <v>2019</v>
      </c>
      <c r="G270" s="184">
        <v>2020</v>
      </c>
      <c r="H270" s="184">
        <v>2021</v>
      </c>
      <c r="I270" s="184">
        <v>2022</v>
      </c>
      <c r="J270" s="184">
        <v>2023</v>
      </c>
      <c r="K270" s="184">
        <v>2024</v>
      </c>
      <c r="L270" s="184">
        <v>2025</v>
      </c>
      <c r="M270" s="184">
        <v>2026</v>
      </c>
      <c r="N270" s="184">
        <v>2027</v>
      </c>
      <c r="O270" s="184">
        <v>2028</v>
      </c>
      <c r="P270" s="184">
        <v>2029</v>
      </c>
      <c r="Q270" s="184">
        <v>2030</v>
      </c>
      <c r="R270" s="184">
        <v>2031</v>
      </c>
      <c r="S270" s="184">
        <v>2032</v>
      </c>
      <c r="T270" s="184">
        <v>2033</v>
      </c>
      <c r="U270" s="184">
        <v>2034</v>
      </c>
      <c r="V270" s="184">
        <v>2035</v>
      </c>
      <c r="W270" s="184">
        <v>2036</v>
      </c>
      <c r="X270" s="184">
        <v>2037</v>
      </c>
      <c r="Y270" s="184">
        <v>2038</v>
      </c>
      <c r="Z270" s="184">
        <v>2039</v>
      </c>
      <c r="AA270" s="184">
        <v>2040</v>
      </c>
    </row>
    <row r="271" spans="1:27" s="12" customFormat="1" outlineLevel="1" x14ac:dyDescent="0.2">
      <c r="B271" s="183" t="s">
        <v>190</v>
      </c>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c r="AA271" s="183"/>
    </row>
    <row r="272" spans="1:27" s="12" customFormat="1" outlineLevel="1" x14ac:dyDescent="0.2">
      <c r="B272" s="3" t="s">
        <v>385</v>
      </c>
      <c r="C272" s="3" t="s">
        <v>70</v>
      </c>
      <c r="D272" s="185">
        <v>18385.872722728956</v>
      </c>
      <c r="E272" s="185">
        <v>18498.564564313179</v>
      </c>
      <c r="F272" s="185">
        <v>18632.619394614427</v>
      </c>
      <c r="G272" s="185">
        <v>18637.003870426321</v>
      </c>
      <c r="H272" s="185">
        <v>18605.123564424295</v>
      </c>
      <c r="I272" s="185">
        <v>18641.389438322953</v>
      </c>
      <c r="J272" s="185">
        <v>18659.84362087171</v>
      </c>
      <c r="K272" s="185">
        <v>18680.431319084873</v>
      </c>
      <c r="L272" s="185">
        <v>18694.247774759227</v>
      </c>
      <c r="M272" s="185">
        <v>18690.862123636103</v>
      </c>
      <c r="N272" s="185">
        <v>18699.533341909675</v>
      </c>
      <c r="O272" s="185">
        <v>18687.263698626222</v>
      </c>
      <c r="P272" s="185">
        <v>18679.305254333292</v>
      </c>
      <c r="Q272" s="185">
        <v>18710.782738348098</v>
      </c>
      <c r="R272" s="185">
        <v>18698.691025032327</v>
      </c>
      <c r="S272" s="185">
        <v>18692.531717231806</v>
      </c>
      <c r="T272" s="185">
        <v>18660.803532796814</v>
      </c>
      <c r="U272" s="185">
        <v>18623.881821592666</v>
      </c>
      <c r="V272" s="185">
        <v>18641.673369514487</v>
      </c>
      <c r="W272" s="185">
        <v>18617.911040269639</v>
      </c>
      <c r="X272" s="185">
        <v>18612.266837374544</v>
      </c>
      <c r="Y272" s="185">
        <v>18602.030305648113</v>
      </c>
      <c r="Z272" s="185">
        <v>18593.629468390161</v>
      </c>
      <c r="AA272" s="185">
        <v>18636.38098994784</v>
      </c>
    </row>
    <row r="273" spans="2:27" s="12" customFormat="1" outlineLevel="1" x14ac:dyDescent="0.2">
      <c r="B273" s="3" t="s">
        <v>267</v>
      </c>
      <c r="C273" s="3" t="s">
        <v>70</v>
      </c>
      <c r="D273" s="185">
        <v>309.03115141855011</v>
      </c>
      <c r="E273" s="185">
        <v>328.31095731140283</v>
      </c>
      <c r="F273" s="185">
        <v>348.74407330873612</v>
      </c>
      <c r="G273" s="185">
        <v>370.77725133997029</v>
      </c>
      <c r="H273" s="185">
        <v>405.59525438962123</v>
      </c>
      <c r="I273" s="185">
        <v>443.39530797665367</v>
      </c>
      <c r="J273" s="185">
        <v>485.05533454246233</v>
      </c>
      <c r="K273" s="185">
        <v>528.45775279942563</v>
      </c>
      <c r="L273" s="185">
        <v>573.66293136530101</v>
      </c>
      <c r="M273" s="185">
        <v>620.66055371475534</v>
      </c>
      <c r="N273" s="185">
        <v>669.01617603299997</v>
      </c>
      <c r="O273" s="185">
        <v>718.95430372473106</v>
      </c>
      <c r="P273" s="185">
        <v>770.07947473166053</v>
      </c>
      <c r="Q273" s="185">
        <v>820.75200817102575</v>
      </c>
      <c r="R273" s="185">
        <v>873.42372683017686</v>
      </c>
      <c r="S273" s="185">
        <v>930.39927180755296</v>
      </c>
      <c r="T273" s="185">
        <v>988.11282643716356</v>
      </c>
      <c r="U273" s="185">
        <v>1025.2796429404257</v>
      </c>
      <c r="V273" s="185">
        <v>1060.8803603839331</v>
      </c>
      <c r="W273" s="185">
        <v>1096.5382989338757</v>
      </c>
      <c r="X273" s="185">
        <v>1131.6495279053022</v>
      </c>
      <c r="Y273" s="185">
        <v>1166.1646323342479</v>
      </c>
      <c r="Z273" s="185">
        <v>1200.0322098209413</v>
      </c>
      <c r="AA273" s="185">
        <v>1233.1988046291717</v>
      </c>
    </row>
    <row r="274" spans="2:27" s="12" customFormat="1" outlineLevel="1" x14ac:dyDescent="0.2">
      <c r="B274" s="3" t="s">
        <v>268</v>
      </c>
      <c r="C274" s="3" t="s">
        <v>70</v>
      </c>
      <c r="D274" s="185">
        <v>87.11793456961189</v>
      </c>
      <c r="E274" s="185">
        <v>112.92039685267851</v>
      </c>
      <c r="F274" s="185">
        <v>152.36021649034464</v>
      </c>
      <c r="G274" s="185">
        <v>153.45082058716656</v>
      </c>
      <c r="H274" s="185">
        <v>175.31088972185032</v>
      </c>
      <c r="I274" s="185">
        <v>196.58028801941788</v>
      </c>
      <c r="J274" s="185">
        <v>229.68107389208987</v>
      </c>
      <c r="K274" s="185">
        <v>267.7205415944577</v>
      </c>
      <c r="L274" s="185">
        <v>331.05355178281826</v>
      </c>
      <c r="M274" s="185">
        <v>422.76970978234993</v>
      </c>
      <c r="N274" s="185">
        <v>528.49614719061094</v>
      </c>
      <c r="O274" s="185">
        <v>626.02990772760143</v>
      </c>
      <c r="P274" s="185">
        <v>730.52280457984273</v>
      </c>
      <c r="Q274" s="185">
        <v>818.03248210257971</v>
      </c>
      <c r="R274" s="185">
        <v>894.07878291954864</v>
      </c>
      <c r="S274" s="185">
        <v>976.60792338094393</v>
      </c>
      <c r="T274" s="185">
        <v>1024.653612623091</v>
      </c>
      <c r="U274" s="185">
        <v>1077.284556689056</v>
      </c>
      <c r="V274" s="185">
        <v>1111.1332493482118</v>
      </c>
      <c r="W274" s="185">
        <v>1158.8740878778976</v>
      </c>
      <c r="X274" s="185">
        <v>1267.1284835764172</v>
      </c>
      <c r="Y274" s="185">
        <v>1318.5930759740208</v>
      </c>
      <c r="Z274" s="185">
        <v>1365.2323605483268</v>
      </c>
      <c r="AA274" s="185">
        <v>1490.6552588044096</v>
      </c>
    </row>
    <row r="275" spans="2:27" s="12" customFormat="1" outlineLevel="1" x14ac:dyDescent="0.2">
      <c r="B275" s="3" t="s">
        <v>269</v>
      </c>
      <c r="C275" s="3" t="s">
        <v>70</v>
      </c>
      <c r="D275" s="185">
        <v>684.09756213455705</v>
      </c>
      <c r="E275" s="185">
        <v>675.90675254546704</v>
      </c>
      <c r="F275" s="185">
        <v>627.78747066931692</v>
      </c>
      <c r="G275" s="185">
        <v>497.88811586319105</v>
      </c>
      <c r="H275" s="185">
        <v>401.57167836361305</v>
      </c>
      <c r="I275" s="185">
        <v>320.39536198556402</v>
      </c>
      <c r="J275" s="185">
        <v>330.99111133504601</v>
      </c>
      <c r="K275" s="185">
        <v>277.27053243062903</v>
      </c>
      <c r="L275" s="185">
        <v>267.95283283140799</v>
      </c>
      <c r="M275" s="185">
        <v>400.847612127486</v>
      </c>
      <c r="N275" s="185">
        <v>425.08203687353102</v>
      </c>
      <c r="O275" s="185">
        <v>398.14351506329001</v>
      </c>
      <c r="P275" s="185">
        <v>358.98644670315599</v>
      </c>
      <c r="Q275" s="185">
        <v>590.391768460913</v>
      </c>
      <c r="R275" s="185">
        <v>580.76879706774196</v>
      </c>
      <c r="S275" s="185">
        <v>573.28343288464293</v>
      </c>
      <c r="T275" s="185">
        <v>546.77236606071904</v>
      </c>
      <c r="U275" s="185">
        <v>545.94008158672796</v>
      </c>
      <c r="V275" s="185">
        <v>515.17582791045004</v>
      </c>
      <c r="W275" s="185">
        <v>492.26948188587403</v>
      </c>
      <c r="X275" s="185">
        <v>455.68310028748499</v>
      </c>
      <c r="Y275" s="185">
        <v>445.48037263680698</v>
      </c>
      <c r="Z275" s="185">
        <v>411.71666580808903</v>
      </c>
      <c r="AA275" s="185">
        <v>425.17197322291997</v>
      </c>
    </row>
    <row r="276" spans="2:27" s="12" customFormat="1" outlineLevel="1" x14ac:dyDescent="0.2">
      <c r="B276" s="3" t="s">
        <v>270</v>
      </c>
      <c r="C276" s="3" t="s">
        <v>70</v>
      </c>
      <c r="D276" s="185">
        <v>15.997616503657435</v>
      </c>
      <c r="E276" s="185">
        <v>17.772213906653967</v>
      </c>
      <c r="F276" s="185">
        <v>19.988958310890876</v>
      </c>
      <c r="G276" s="185">
        <v>22.210716283530008</v>
      </c>
      <c r="H276" s="185">
        <v>59.087378896377416</v>
      </c>
      <c r="I276" s="185">
        <v>95.970845784071727</v>
      </c>
      <c r="J276" s="185">
        <v>132.9017140210006</v>
      </c>
      <c r="K276" s="185">
        <v>169.78424944728215</v>
      </c>
      <c r="L276" s="185">
        <v>206.652107754734</v>
      </c>
      <c r="M276" s="185">
        <v>243.53839795611663</v>
      </c>
      <c r="N276" s="185">
        <v>280.42468815749925</v>
      </c>
      <c r="O276" s="185">
        <v>317.31097835888187</v>
      </c>
      <c r="P276" s="185">
        <v>354.19726856026449</v>
      </c>
      <c r="Q276" s="185">
        <v>391.08355876164717</v>
      </c>
      <c r="R276" s="185">
        <v>455.07905019537122</v>
      </c>
      <c r="S276" s="185">
        <v>519.07454162909528</v>
      </c>
      <c r="T276" s="185">
        <v>583.07003306281933</v>
      </c>
      <c r="U276" s="185">
        <v>647.0655244965435</v>
      </c>
      <c r="V276" s="185">
        <v>711.06101593026756</v>
      </c>
      <c r="W276" s="185">
        <v>835.49669371806431</v>
      </c>
      <c r="X276" s="185">
        <v>959.93237150586117</v>
      </c>
      <c r="Y276" s="185">
        <v>1084.368049293658</v>
      </c>
      <c r="Z276" s="185">
        <v>1208.8037270814548</v>
      </c>
      <c r="AA276" s="185">
        <v>1333.2394048692515</v>
      </c>
    </row>
    <row r="277" spans="2:27" s="12" customFormat="1" outlineLevel="1" x14ac:dyDescent="0.2">
      <c r="B277" s="3" t="s">
        <v>271</v>
      </c>
      <c r="C277" s="3" t="s">
        <v>70</v>
      </c>
      <c r="D277" s="185">
        <v>82.240775999999997</v>
      </c>
      <c r="E277" s="185">
        <v>90.361164000000002</v>
      </c>
      <c r="F277" s="185">
        <v>98.481551999999994</v>
      </c>
      <c r="G277" s="185">
        <v>156.749212</v>
      </c>
      <c r="H277" s="185">
        <v>214.04743200000001</v>
      </c>
      <c r="I277" s="185">
        <v>300.92036400000001</v>
      </c>
      <c r="J277" s="185">
        <v>402.90925599999997</v>
      </c>
      <c r="K277" s="185">
        <v>504.89814799999999</v>
      </c>
      <c r="L277" s="185">
        <v>560.24236799999994</v>
      </c>
      <c r="M277" s="185">
        <v>611.79880000000003</v>
      </c>
      <c r="N277" s="185">
        <v>633.78052000000002</v>
      </c>
      <c r="O277" s="185">
        <v>640.64628000000005</v>
      </c>
      <c r="P277" s="185">
        <v>647.51203999999996</v>
      </c>
      <c r="Q277" s="185">
        <v>650.87519999999995</v>
      </c>
      <c r="R277" s="185">
        <v>650.87519999999995</v>
      </c>
      <c r="S277" s="185">
        <v>650.87519999999995</v>
      </c>
      <c r="T277" s="185">
        <v>650.87519999999995</v>
      </c>
      <c r="U277" s="185">
        <v>650.87519999999995</v>
      </c>
      <c r="V277" s="185">
        <v>650.87519999999995</v>
      </c>
      <c r="W277" s="185">
        <v>650.87519999999995</v>
      </c>
      <c r="X277" s="185">
        <v>650.87519999999995</v>
      </c>
      <c r="Y277" s="185">
        <v>650.87519999999995</v>
      </c>
      <c r="Z277" s="185">
        <v>650.87519999999995</v>
      </c>
      <c r="AA277" s="185">
        <v>650.87519999999995</v>
      </c>
    </row>
    <row r="278" spans="2:27" s="12" customFormat="1" outlineLevel="1" x14ac:dyDescent="0.2">
      <c r="B278" s="3" t="s">
        <v>272</v>
      </c>
      <c r="C278" s="3" t="s">
        <v>70</v>
      </c>
      <c r="D278" s="185">
        <v>0</v>
      </c>
      <c r="E278" s="185">
        <v>700.8</v>
      </c>
      <c r="F278" s="185">
        <v>1401.6</v>
      </c>
      <c r="G278" s="185">
        <v>2102.4</v>
      </c>
      <c r="H278" s="185">
        <v>2657.2</v>
      </c>
      <c r="I278" s="185">
        <v>3212</v>
      </c>
      <c r="J278" s="185">
        <v>3766.8</v>
      </c>
      <c r="K278" s="185">
        <v>3766.8</v>
      </c>
      <c r="L278" s="185">
        <v>3766.8</v>
      </c>
      <c r="M278" s="185">
        <v>3766.8</v>
      </c>
      <c r="N278" s="185">
        <v>3766.8</v>
      </c>
      <c r="O278" s="185">
        <v>3766.8</v>
      </c>
      <c r="P278" s="185">
        <v>3766.8</v>
      </c>
      <c r="Q278" s="185">
        <v>3766.8</v>
      </c>
      <c r="R278" s="185">
        <v>3766.8</v>
      </c>
      <c r="S278" s="185">
        <v>3766.8</v>
      </c>
      <c r="T278" s="185">
        <v>3766.8</v>
      </c>
      <c r="U278" s="185">
        <v>3766.8</v>
      </c>
      <c r="V278" s="185">
        <v>3766.8</v>
      </c>
      <c r="W278" s="185">
        <v>3766.8</v>
      </c>
      <c r="X278" s="185">
        <v>3766.8</v>
      </c>
      <c r="Y278" s="185">
        <v>3766.8</v>
      </c>
      <c r="Z278" s="185">
        <v>3766.8</v>
      </c>
      <c r="AA278" s="185">
        <v>3766.8</v>
      </c>
    </row>
    <row r="279" spans="2:27" s="12" customFormat="1" outlineLevel="1" x14ac:dyDescent="0.2">
      <c r="B279" s="183" t="s">
        <v>199</v>
      </c>
      <c r="C279" s="183" t="s">
        <v>70</v>
      </c>
      <c r="D279" s="186">
        <f>SUM(D272:D278)</f>
        <v>19564.357763355329</v>
      </c>
      <c r="E279" s="186">
        <f t="shared" ref="E279:AA279" si="130">SUM(E272:E278)</f>
        <v>20424.63604892938</v>
      </c>
      <c r="F279" s="186">
        <f t="shared" si="130"/>
        <v>21281.581665393718</v>
      </c>
      <c r="G279" s="186">
        <f t="shared" si="130"/>
        <v>21940.479986500181</v>
      </c>
      <c r="H279" s="186">
        <f t="shared" si="130"/>
        <v>22517.936197795756</v>
      </c>
      <c r="I279" s="186">
        <f t="shared" si="130"/>
        <v>23210.651606088661</v>
      </c>
      <c r="J279" s="186">
        <f t="shared" si="130"/>
        <v>24008.18211066231</v>
      </c>
      <c r="K279" s="186">
        <f t="shared" si="130"/>
        <v>24195.36254335667</v>
      </c>
      <c r="L279" s="186">
        <f t="shared" si="130"/>
        <v>24400.611566493484</v>
      </c>
      <c r="M279" s="186">
        <f t="shared" si="130"/>
        <v>24757.277197216812</v>
      </c>
      <c r="N279" s="186">
        <f t="shared" si="130"/>
        <v>25003.132910164313</v>
      </c>
      <c r="O279" s="186">
        <f t="shared" si="130"/>
        <v>25155.148683500727</v>
      </c>
      <c r="P279" s="186">
        <f t="shared" si="130"/>
        <v>25307.403288908215</v>
      </c>
      <c r="Q279" s="186">
        <f t="shared" si="130"/>
        <v>25748.717755844256</v>
      </c>
      <c r="R279" s="186">
        <f t="shared" si="130"/>
        <v>25919.716582045163</v>
      </c>
      <c r="S279" s="186">
        <f t="shared" si="130"/>
        <v>26109.57208693404</v>
      </c>
      <c r="T279" s="186">
        <f t="shared" si="130"/>
        <v>26221.087570980602</v>
      </c>
      <c r="U279" s="186">
        <f t="shared" si="130"/>
        <v>26337.126827305416</v>
      </c>
      <c r="V279" s="186">
        <f t="shared" si="130"/>
        <v>26457.599023087347</v>
      </c>
      <c r="W279" s="186">
        <f t="shared" si="130"/>
        <v>26618.764802685349</v>
      </c>
      <c r="X279" s="186">
        <f t="shared" si="130"/>
        <v>26844.335520649605</v>
      </c>
      <c r="Y279" s="186">
        <f t="shared" si="130"/>
        <v>27034.311635886846</v>
      </c>
      <c r="Z279" s="186">
        <f t="shared" si="130"/>
        <v>27197.089631648967</v>
      </c>
      <c r="AA279" s="186">
        <f t="shared" si="130"/>
        <v>27536.321631473591</v>
      </c>
    </row>
    <row r="280" spans="2:27" s="12" customFormat="1" outlineLevel="1" x14ac:dyDescent="0.2">
      <c r="B280" s="3"/>
      <c r="C280" s="3"/>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row>
    <row r="281" spans="2:27" s="12" customFormat="1" outlineLevel="1" x14ac:dyDescent="0.2">
      <c r="B281" s="183" t="s">
        <v>192</v>
      </c>
      <c r="C281" s="183"/>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c r="AA281" s="186"/>
    </row>
    <row r="282" spans="2:27" s="12" customFormat="1" outlineLevel="1" x14ac:dyDescent="0.2">
      <c r="B282" s="3" t="s">
        <v>385</v>
      </c>
      <c r="C282" s="3" t="s">
        <v>70</v>
      </c>
      <c r="D282" s="185">
        <v>12644.910106712465</v>
      </c>
      <c r="E282" s="185">
        <v>12727.535900391329</v>
      </c>
      <c r="F282" s="185">
        <v>12827.294363153074</v>
      </c>
      <c r="G282" s="185">
        <v>12829.232347233876</v>
      </c>
      <c r="H282" s="185">
        <v>12803.632589846482</v>
      </c>
      <c r="I282" s="185">
        <v>12825.51141407666</v>
      </c>
      <c r="J282" s="185">
        <v>12825.603822787802</v>
      </c>
      <c r="K282" s="185">
        <v>12841.59496038806</v>
      </c>
      <c r="L282" s="185">
        <v>12854.517840470402</v>
      </c>
      <c r="M282" s="185">
        <v>12852.189802814746</v>
      </c>
      <c r="N282" s="185">
        <v>12858.152296269376</v>
      </c>
      <c r="O282" s="185">
        <v>12849.715457815983</v>
      </c>
      <c r="P282" s="185">
        <v>12844.243081212311</v>
      </c>
      <c r="Q282" s="185">
        <v>12865.887593723148</v>
      </c>
      <c r="R282" s="185">
        <v>12857.573103276021</v>
      </c>
      <c r="S282" s="185">
        <v>12853.337846904076</v>
      </c>
      <c r="T282" s="185">
        <v>12831.520948049447</v>
      </c>
      <c r="U282" s="185">
        <v>12806.132882100346</v>
      </c>
      <c r="V282" s="185">
        <v>12818.366686473015</v>
      </c>
      <c r="W282" s="185">
        <v>12802.027260094948</v>
      </c>
      <c r="X282" s="185">
        <v>12798.146199584549</v>
      </c>
      <c r="Y282" s="185">
        <v>12791.107367036304</v>
      </c>
      <c r="Z282" s="185">
        <v>12785.330792674587</v>
      </c>
      <c r="AA282" s="185">
        <v>12814.727546328</v>
      </c>
    </row>
    <row r="283" spans="2:27" s="12" customFormat="1" outlineLevel="1" x14ac:dyDescent="0.2">
      <c r="B283" s="3" t="s">
        <v>267</v>
      </c>
      <c r="C283" s="3" t="s">
        <v>70</v>
      </c>
      <c r="D283" s="185">
        <v>212.53661377905001</v>
      </c>
      <c r="E283" s="185">
        <v>225.88722931150676</v>
      </c>
      <c r="F283" s="185">
        <v>240.08663468053226</v>
      </c>
      <c r="G283" s="185">
        <v>255.23348814974523</v>
      </c>
      <c r="H283" s="185">
        <v>279.1216408430621</v>
      </c>
      <c r="I283" s="185">
        <v>305.06157291643439</v>
      </c>
      <c r="J283" s="185">
        <v>333.39655354950912</v>
      </c>
      <c r="K283" s="185">
        <v>363.28071334166339</v>
      </c>
      <c r="L283" s="185">
        <v>394.46146614191787</v>
      </c>
      <c r="M283" s="185">
        <v>426.77791889410844</v>
      </c>
      <c r="N283" s="185">
        <v>460.02815807282451</v>
      </c>
      <c r="O283" s="185">
        <v>494.366557834476</v>
      </c>
      <c r="P283" s="185">
        <v>529.52119099885533</v>
      </c>
      <c r="Q283" s="185">
        <v>564.36458202299843</v>
      </c>
      <c r="R283" s="185">
        <v>600.58265056205289</v>
      </c>
      <c r="S283" s="185">
        <v>639.76011136211116</v>
      </c>
      <c r="T283" s="185">
        <v>679.44504153752962</v>
      </c>
      <c r="U283" s="185">
        <v>705.00164651950388</v>
      </c>
      <c r="V283" s="185">
        <v>729.48137220972387</v>
      </c>
      <c r="W283" s="185">
        <v>754.00044421344012</v>
      </c>
      <c r="X283" s="185">
        <v>778.14358838549049</v>
      </c>
      <c r="Y283" s="185">
        <v>801.87682606337273</v>
      </c>
      <c r="Z283" s="185">
        <v>825.16481198618794</v>
      </c>
      <c r="AA283" s="185">
        <v>847.97078898012148</v>
      </c>
    </row>
    <row r="284" spans="2:27" s="12" customFormat="1" outlineLevel="1" x14ac:dyDescent="0.2">
      <c r="B284" s="3" t="s">
        <v>268</v>
      </c>
      <c r="C284" s="3" t="s">
        <v>70</v>
      </c>
      <c r="D284" s="185">
        <v>6.8481842340376904</v>
      </c>
      <c r="E284" s="185">
        <v>18.013214864603388</v>
      </c>
      <c r="F284" s="185">
        <v>32.918349345438855</v>
      </c>
      <c r="G284" s="185">
        <v>52.56301865574526</v>
      </c>
      <c r="H284" s="185">
        <v>64.920290812348753</v>
      </c>
      <c r="I284" s="185">
        <v>77.663021735684922</v>
      </c>
      <c r="J284" s="185">
        <v>92.219992519406134</v>
      </c>
      <c r="K284" s="185">
        <v>108.68787285681955</v>
      </c>
      <c r="L284" s="185">
        <v>124.84505132066722</v>
      </c>
      <c r="M284" s="185">
        <v>171.5536245570469</v>
      </c>
      <c r="N284" s="185">
        <v>205.82129268136387</v>
      </c>
      <c r="O284" s="185">
        <v>243.44999577816571</v>
      </c>
      <c r="P284" s="185">
        <v>281.50364956385016</v>
      </c>
      <c r="Q284" s="185">
        <v>321.42128802937566</v>
      </c>
      <c r="R284" s="185">
        <v>342.12761194524649</v>
      </c>
      <c r="S284" s="185">
        <v>366.84505956171705</v>
      </c>
      <c r="T284" s="185">
        <v>381.47306691869335</v>
      </c>
      <c r="U284" s="185">
        <v>401.14928112143059</v>
      </c>
      <c r="V284" s="185">
        <v>414.32499304252713</v>
      </c>
      <c r="W284" s="185">
        <v>431.3362952563993</v>
      </c>
      <c r="X284" s="185">
        <v>444.5468810605762</v>
      </c>
      <c r="Y284" s="185">
        <v>458.13276214817461</v>
      </c>
      <c r="Z284" s="185">
        <v>542.31123572716535</v>
      </c>
      <c r="AA284" s="185">
        <v>556.11009960833906</v>
      </c>
    </row>
    <row r="285" spans="2:27" s="12" customFormat="1" outlineLevel="1" x14ac:dyDescent="0.2">
      <c r="B285" s="3" t="s">
        <v>269</v>
      </c>
      <c r="C285" s="3" t="s">
        <v>70</v>
      </c>
      <c r="D285" s="185">
        <v>84.117250524330998</v>
      </c>
      <c r="E285" s="185">
        <v>263.31407726314796</v>
      </c>
      <c r="F285" s="185">
        <v>259.39855046123603</v>
      </c>
      <c r="G285" s="185">
        <v>276.05514765267202</v>
      </c>
      <c r="H285" s="185">
        <v>246.37349353085099</v>
      </c>
      <c r="I285" s="185">
        <v>239.98282972151699</v>
      </c>
      <c r="J285" s="185">
        <v>234.80037642846</v>
      </c>
      <c r="K285" s="185">
        <v>244.81277636161101</v>
      </c>
      <c r="L285" s="185">
        <v>229.650771019926</v>
      </c>
      <c r="M285" s="185">
        <v>245.15966058328098</v>
      </c>
      <c r="N285" s="185">
        <v>234.01225571955601</v>
      </c>
      <c r="O285" s="185">
        <v>238.54359265443603</v>
      </c>
      <c r="P285" s="185">
        <v>226.14871612561299</v>
      </c>
      <c r="Q285" s="185">
        <v>206.96550004837999</v>
      </c>
      <c r="R285" s="185">
        <v>205.03898755312301</v>
      </c>
      <c r="S285" s="185">
        <v>202.35226770958499</v>
      </c>
      <c r="T285" s="185">
        <v>189.13600940178202</v>
      </c>
      <c r="U285" s="185">
        <v>183.59071191449999</v>
      </c>
      <c r="V285" s="185">
        <v>176.49676937752901</v>
      </c>
      <c r="W285" s="185">
        <v>172.251331619941</v>
      </c>
      <c r="X285" s="185">
        <v>156.186868682126</v>
      </c>
      <c r="Y285" s="185">
        <v>145.361070451042</v>
      </c>
      <c r="Z285" s="185">
        <v>131.80053324739001</v>
      </c>
      <c r="AA285" s="185">
        <v>126.06469738120701</v>
      </c>
    </row>
    <row r="286" spans="2:27" outlineLevel="1" x14ac:dyDescent="0.2">
      <c r="B286" s="3" t="s">
        <v>270</v>
      </c>
      <c r="C286" s="3" t="s">
        <v>70</v>
      </c>
      <c r="D286" s="185">
        <v>11.002383496342565</v>
      </c>
      <c r="E286" s="185">
        <v>12.227786093346033</v>
      </c>
      <c r="F286" s="185">
        <v>13.761041689109124</v>
      </c>
      <c r="G286" s="185">
        <v>15.289283716469992</v>
      </c>
      <c r="H286" s="185">
        <v>40.662621103622584</v>
      </c>
      <c r="I286" s="185">
        <v>66.029154215928273</v>
      </c>
      <c r="J286" s="185">
        <v>91.3482859789994</v>
      </c>
      <c r="K286" s="185">
        <v>116.71575055271784</v>
      </c>
      <c r="L286" s="185">
        <v>142.097892245266</v>
      </c>
      <c r="M286" s="185">
        <v>167.46160204388337</v>
      </c>
      <c r="N286" s="185">
        <v>192.82531184250075</v>
      </c>
      <c r="O286" s="185">
        <v>218.1890216411181</v>
      </c>
      <c r="P286" s="185">
        <v>243.55273143973548</v>
      </c>
      <c r="Q286" s="185">
        <v>268.91644123835283</v>
      </c>
      <c r="R286" s="185">
        <v>312.92094980462878</v>
      </c>
      <c r="S286" s="185">
        <v>356.92545837090472</v>
      </c>
      <c r="T286" s="185">
        <v>400.92996693718061</v>
      </c>
      <c r="U286" s="185">
        <v>444.93447550345655</v>
      </c>
      <c r="V286" s="185">
        <v>488.93898406973244</v>
      </c>
      <c r="W286" s="185">
        <v>574.50330628193569</v>
      </c>
      <c r="X286" s="185">
        <v>660.06762849413883</v>
      </c>
      <c r="Y286" s="185">
        <v>745.63195070634197</v>
      </c>
      <c r="Z286" s="185">
        <v>831.19627291854522</v>
      </c>
      <c r="AA286" s="185">
        <v>916.76059513074836</v>
      </c>
    </row>
    <row r="287" spans="2:27" outlineLevel="1" x14ac:dyDescent="0.2">
      <c r="B287" s="3" t="s">
        <v>271</v>
      </c>
      <c r="C287" s="3" t="s">
        <v>70</v>
      </c>
      <c r="D287" s="185">
        <v>120</v>
      </c>
      <c r="E287" s="185">
        <v>140.12384800000001</v>
      </c>
      <c r="F287" s="185">
        <v>179.22348799999997</v>
      </c>
      <c r="G287" s="185">
        <v>278.22024399999998</v>
      </c>
      <c r="H287" s="185">
        <v>381.70331599999997</v>
      </c>
      <c r="I287" s="185">
        <v>494.12382799999989</v>
      </c>
      <c r="J287" s="185">
        <v>586.42049199999997</v>
      </c>
      <c r="K287" s="185">
        <v>698.55614800000001</v>
      </c>
      <c r="L287" s="185">
        <v>750.79468799999995</v>
      </c>
      <c r="M287" s="185">
        <v>798.54691199999991</v>
      </c>
      <c r="N287" s="185">
        <v>837.36169600000005</v>
      </c>
      <c r="O287" s="185">
        <v>876.17647999999997</v>
      </c>
      <c r="P287" s="185">
        <v>876.17648000000008</v>
      </c>
      <c r="Q287" s="185">
        <v>876.17648000000008</v>
      </c>
      <c r="R287" s="185">
        <v>876.17648000000008</v>
      </c>
      <c r="S287" s="185">
        <v>876.17648000000008</v>
      </c>
      <c r="T287" s="185">
        <v>876.17648000000008</v>
      </c>
      <c r="U287" s="185">
        <v>876.17648000000008</v>
      </c>
      <c r="V287" s="185">
        <v>876.17648000000008</v>
      </c>
      <c r="W287" s="185">
        <v>876.17648000000008</v>
      </c>
      <c r="X287" s="185">
        <v>876.17648000000008</v>
      </c>
      <c r="Y287" s="185">
        <v>876.17648000000008</v>
      </c>
      <c r="Z287" s="185">
        <v>876.17648000000008</v>
      </c>
      <c r="AA287" s="185">
        <v>876.17648000000008</v>
      </c>
    </row>
    <row r="288" spans="2:27" outlineLevel="1" x14ac:dyDescent="0.2">
      <c r="B288" s="3" t="s">
        <v>272</v>
      </c>
      <c r="C288" s="3" t="s">
        <v>70</v>
      </c>
      <c r="D288" s="185">
        <v>0</v>
      </c>
      <c r="E288" s="185">
        <v>0</v>
      </c>
      <c r="F288" s="185">
        <v>0</v>
      </c>
      <c r="G288" s="185">
        <v>0</v>
      </c>
      <c r="H288" s="185">
        <v>0</v>
      </c>
      <c r="I288" s="185">
        <v>0</v>
      </c>
      <c r="J288" s="185">
        <v>0</v>
      </c>
      <c r="K288" s="185">
        <v>0</v>
      </c>
      <c r="L288" s="185">
        <v>0</v>
      </c>
      <c r="M288" s="185">
        <v>0</v>
      </c>
      <c r="N288" s="185">
        <v>0</v>
      </c>
      <c r="O288" s="185">
        <v>0</v>
      </c>
      <c r="P288" s="185">
        <v>0</v>
      </c>
      <c r="Q288" s="185">
        <v>0</v>
      </c>
      <c r="R288" s="185">
        <v>0</v>
      </c>
      <c r="S288" s="185">
        <v>0</v>
      </c>
      <c r="T288" s="185">
        <v>0</v>
      </c>
      <c r="U288" s="185">
        <v>0</v>
      </c>
      <c r="V288" s="185">
        <v>0</v>
      </c>
      <c r="W288" s="185">
        <v>0</v>
      </c>
      <c r="X288" s="185">
        <v>0</v>
      </c>
      <c r="Y288" s="185">
        <v>0</v>
      </c>
      <c r="Z288" s="185">
        <v>0</v>
      </c>
      <c r="AA288" s="185">
        <v>0</v>
      </c>
    </row>
    <row r="289" spans="2:27" s="12" customFormat="1" outlineLevel="1" x14ac:dyDescent="0.2">
      <c r="B289" s="183" t="s">
        <v>200</v>
      </c>
      <c r="C289" s="183" t="s">
        <v>70</v>
      </c>
      <c r="D289" s="186">
        <f>SUM(D282:D288)</f>
        <v>13079.414538746225</v>
      </c>
      <c r="E289" s="186">
        <f t="shared" ref="E289:AA289" si="131">SUM(E282:E288)</f>
        <v>13387.102055923933</v>
      </c>
      <c r="F289" s="186">
        <f t="shared" si="131"/>
        <v>13552.68242732939</v>
      </c>
      <c r="G289" s="186">
        <f t="shared" si="131"/>
        <v>13706.593529408508</v>
      </c>
      <c r="H289" s="186">
        <f t="shared" si="131"/>
        <v>13816.413952136365</v>
      </c>
      <c r="I289" s="186">
        <f t="shared" si="131"/>
        <v>14008.371820666225</v>
      </c>
      <c r="J289" s="186">
        <f t="shared" si="131"/>
        <v>14163.789523264177</v>
      </c>
      <c r="K289" s="186">
        <f t="shared" si="131"/>
        <v>14373.648221500869</v>
      </c>
      <c r="L289" s="186">
        <f t="shared" si="131"/>
        <v>14496.367709198181</v>
      </c>
      <c r="M289" s="186">
        <f t="shared" si="131"/>
        <v>14661.689520893064</v>
      </c>
      <c r="N289" s="186">
        <f t="shared" si="131"/>
        <v>14788.201010585619</v>
      </c>
      <c r="O289" s="186">
        <f t="shared" si="131"/>
        <v>14920.441105724178</v>
      </c>
      <c r="P289" s="186">
        <f t="shared" si="131"/>
        <v>15001.145849340366</v>
      </c>
      <c r="Q289" s="186">
        <f t="shared" si="131"/>
        <v>15103.731885062254</v>
      </c>
      <c r="R289" s="186">
        <f t="shared" si="131"/>
        <v>15194.419783141075</v>
      </c>
      <c r="S289" s="186">
        <f t="shared" si="131"/>
        <v>15295.397223908394</v>
      </c>
      <c r="T289" s="186">
        <f t="shared" si="131"/>
        <v>15358.681512844634</v>
      </c>
      <c r="U289" s="186">
        <f t="shared" si="131"/>
        <v>15416.985477159236</v>
      </c>
      <c r="V289" s="186">
        <f t="shared" si="131"/>
        <v>15503.785285172527</v>
      </c>
      <c r="W289" s="186">
        <f t="shared" si="131"/>
        <v>15610.295117466661</v>
      </c>
      <c r="X289" s="186">
        <f t="shared" si="131"/>
        <v>15713.267646206879</v>
      </c>
      <c r="Y289" s="186">
        <f t="shared" si="131"/>
        <v>15818.286456405234</v>
      </c>
      <c r="Z289" s="186">
        <f t="shared" si="131"/>
        <v>15991.980126553875</v>
      </c>
      <c r="AA289" s="186">
        <f t="shared" si="131"/>
        <v>16137.810207428416</v>
      </c>
    </row>
    <row r="290" spans="2:27" s="12" customFormat="1" outlineLevel="1" x14ac:dyDescent="0.2">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2:27" s="12" customFormat="1" outlineLevel="1" x14ac:dyDescent="0.2">
      <c r="B291" s="183" t="s">
        <v>119</v>
      </c>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c r="AA291" s="183"/>
    </row>
    <row r="292" spans="2:27" s="12" customFormat="1" outlineLevel="1" x14ac:dyDescent="0.2">
      <c r="B292" s="3" t="s">
        <v>385</v>
      </c>
      <c r="C292" s="3" t="s">
        <v>70</v>
      </c>
      <c r="D292" s="185">
        <f t="shared" ref="D292:AA292" si="132">D272+D282</f>
        <v>31030.782829441421</v>
      </c>
      <c r="E292" s="185">
        <f t="shared" si="132"/>
        <v>31226.100464704508</v>
      </c>
      <c r="F292" s="185">
        <f t="shared" si="132"/>
        <v>31459.913757767499</v>
      </c>
      <c r="G292" s="185">
        <f t="shared" si="132"/>
        <v>31466.236217660196</v>
      </c>
      <c r="H292" s="185">
        <f t="shared" si="132"/>
        <v>31408.756154270777</v>
      </c>
      <c r="I292" s="185">
        <f t="shared" si="132"/>
        <v>31466.900852399613</v>
      </c>
      <c r="J292" s="185">
        <f t="shared" si="132"/>
        <v>31485.447443659512</v>
      </c>
      <c r="K292" s="185">
        <f t="shared" si="132"/>
        <v>31522.026279472935</v>
      </c>
      <c r="L292" s="185">
        <f t="shared" si="132"/>
        <v>31548.765615229629</v>
      </c>
      <c r="M292" s="185">
        <f t="shared" si="132"/>
        <v>31543.051926450848</v>
      </c>
      <c r="N292" s="185">
        <f t="shared" si="132"/>
        <v>31557.685638179049</v>
      </c>
      <c r="O292" s="185">
        <f t="shared" si="132"/>
        <v>31536.979156442205</v>
      </c>
      <c r="P292" s="185">
        <f t="shared" si="132"/>
        <v>31523.548335545602</v>
      </c>
      <c r="Q292" s="185">
        <f t="shared" si="132"/>
        <v>31576.670332071248</v>
      </c>
      <c r="R292" s="185">
        <f t="shared" si="132"/>
        <v>31556.26412830835</v>
      </c>
      <c r="S292" s="185">
        <f t="shared" si="132"/>
        <v>31545.869564135883</v>
      </c>
      <c r="T292" s="185">
        <f t="shared" si="132"/>
        <v>31492.324480846262</v>
      </c>
      <c r="U292" s="185">
        <f t="shared" si="132"/>
        <v>31430.014703693014</v>
      </c>
      <c r="V292" s="185">
        <f t="shared" si="132"/>
        <v>31460.040055987502</v>
      </c>
      <c r="W292" s="185">
        <f t="shared" si="132"/>
        <v>31419.938300364585</v>
      </c>
      <c r="X292" s="185">
        <f t="shared" si="132"/>
        <v>31410.413036959093</v>
      </c>
      <c r="Y292" s="185">
        <f t="shared" si="132"/>
        <v>31393.137672684417</v>
      </c>
      <c r="Z292" s="185">
        <f t="shared" si="132"/>
        <v>31378.960261064749</v>
      </c>
      <c r="AA292" s="185">
        <f t="shared" si="132"/>
        <v>31451.108536275839</v>
      </c>
    </row>
    <row r="293" spans="2:27" s="12" customFormat="1" outlineLevel="1" x14ac:dyDescent="0.2">
      <c r="B293" s="3" t="s">
        <v>267</v>
      </c>
      <c r="C293" s="3" t="s">
        <v>70</v>
      </c>
      <c r="D293" s="185">
        <f t="shared" ref="D293:AA293" si="133">D273+D283</f>
        <v>521.56776519760012</v>
      </c>
      <c r="E293" s="185">
        <f t="shared" si="133"/>
        <v>554.19818662290959</v>
      </c>
      <c r="F293" s="185">
        <f t="shared" si="133"/>
        <v>588.83070798926838</v>
      </c>
      <c r="G293" s="185">
        <f t="shared" si="133"/>
        <v>626.01073948971555</v>
      </c>
      <c r="H293" s="185">
        <f t="shared" si="133"/>
        <v>684.71689523268333</v>
      </c>
      <c r="I293" s="185">
        <f t="shared" si="133"/>
        <v>748.45688089308806</v>
      </c>
      <c r="J293" s="185">
        <f t="shared" si="133"/>
        <v>818.45188809197145</v>
      </c>
      <c r="K293" s="185">
        <f t="shared" si="133"/>
        <v>891.73846614108902</v>
      </c>
      <c r="L293" s="185">
        <f t="shared" si="133"/>
        <v>968.12439750721887</v>
      </c>
      <c r="M293" s="185">
        <f t="shared" si="133"/>
        <v>1047.4384726088638</v>
      </c>
      <c r="N293" s="185">
        <f t="shared" si="133"/>
        <v>1129.0443341058244</v>
      </c>
      <c r="O293" s="185">
        <f t="shared" si="133"/>
        <v>1213.3208615592071</v>
      </c>
      <c r="P293" s="185">
        <f t="shared" si="133"/>
        <v>1299.6006657305159</v>
      </c>
      <c r="Q293" s="185">
        <f t="shared" si="133"/>
        <v>1385.1165901940242</v>
      </c>
      <c r="R293" s="185">
        <f t="shared" si="133"/>
        <v>1474.0063773922298</v>
      </c>
      <c r="S293" s="185">
        <f t="shared" si="133"/>
        <v>1570.1593831696641</v>
      </c>
      <c r="T293" s="185">
        <f t="shared" si="133"/>
        <v>1667.5578679746932</v>
      </c>
      <c r="U293" s="185">
        <f t="shared" si="133"/>
        <v>1730.2812894599297</v>
      </c>
      <c r="V293" s="185">
        <f t="shared" si="133"/>
        <v>1790.3617325936571</v>
      </c>
      <c r="W293" s="185">
        <f t="shared" si="133"/>
        <v>1850.5387431473159</v>
      </c>
      <c r="X293" s="185">
        <f t="shared" si="133"/>
        <v>1909.7931162907926</v>
      </c>
      <c r="Y293" s="185">
        <f t="shared" si="133"/>
        <v>1968.0414583976208</v>
      </c>
      <c r="Z293" s="185">
        <f t="shared" si="133"/>
        <v>2025.1970218071292</v>
      </c>
      <c r="AA293" s="185">
        <f t="shared" si="133"/>
        <v>2081.1695936092933</v>
      </c>
    </row>
    <row r="294" spans="2:27" s="12" customFormat="1" outlineLevel="1" x14ac:dyDescent="0.2">
      <c r="B294" s="3" t="s">
        <v>268</v>
      </c>
      <c r="C294" s="3" t="s">
        <v>70</v>
      </c>
      <c r="D294" s="185">
        <f>D274+D284</f>
        <v>93.966118803649579</v>
      </c>
      <c r="E294" s="185">
        <f t="shared" ref="E294:AA294" si="134">E274+E284</f>
        <v>130.93361171728191</v>
      </c>
      <c r="F294" s="185">
        <f t="shared" si="134"/>
        <v>185.2785658357835</v>
      </c>
      <c r="G294" s="185">
        <f t="shared" si="134"/>
        <v>206.01383924291181</v>
      </c>
      <c r="H294" s="185">
        <f t="shared" si="134"/>
        <v>240.23118053419907</v>
      </c>
      <c r="I294" s="185">
        <f t="shared" si="134"/>
        <v>274.24330975510281</v>
      </c>
      <c r="J294" s="185">
        <f t="shared" si="134"/>
        <v>321.901066411496</v>
      </c>
      <c r="K294" s="185">
        <f t="shared" si="134"/>
        <v>376.40841445127728</v>
      </c>
      <c r="L294" s="185">
        <f t="shared" si="134"/>
        <v>455.89860310348547</v>
      </c>
      <c r="M294" s="185">
        <f t="shared" si="134"/>
        <v>594.32333433939687</v>
      </c>
      <c r="N294" s="185">
        <f t="shared" si="134"/>
        <v>734.31743987197478</v>
      </c>
      <c r="O294" s="185">
        <f t="shared" si="134"/>
        <v>869.4799035057672</v>
      </c>
      <c r="P294" s="185">
        <f t="shared" si="134"/>
        <v>1012.0264541436929</v>
      </c>
      <c r="Q294" s="185">
        <f t="shared" si="134"/>
        <v>1139.4537701319555</v>
      </c>
      <c r="R294" s="185">
        <f t="shared" si="134"/>
        <v>1236.2063948647951</v>
      </c>
      <c r="S294" s="185">
        <f t="shared" si="134"/>
        <v>1343.452982942661</v>
      </c>
      <c r="T294" s="185">
        <f t="shared" si="134"/>
        <v>1406.1266795417844</v>
      </c>
      <c r="U294" s="185">
        <f t="shared" si="134"/>
        <v>1478.4338378104867</v>
      </c>
      <c r="V294" s="185">
        <f t="shared" si="134"/>
        <v>1525.4582423907391</v>
      </c>
      <c r="W294" s="185">
        <f t="shared" si="134"/>
        <v>1590.210383134297</v>
      </c>
      <c r="X294" s="185">
        <f t="shared" si="134"/>
        <v>1711.6753646369934</v>
      </c>
      <c r="Y294" s="185">
        <f t="shared" si="134"/>
        <v>1776.7258381221955</v>
      </c>
      <c r="Z294" s="185">
        <f t="shared" si="134"/>
        <v>1907.5435962754923</v>
      </c>
      <c r="AA294" s="185">
        <f t="shared" si="134"/>
        <v>2046.7653584127488</v>
      </c>
    </row>
    <row r="295" spans="2:27" s="12" customFormat="1" outlineLevel="1" x14ac:dyDescent="0.2">
      <c r="B295" s="3" t="s">
        <v>269</v>
      </c>
      <c r="C295" s="3" t="s">
        <v>70</v>
      </c>
      <c r="D295" s="185">
        <f>D275+D285</f>
        <v>768.21481265888804</v>
      </c>
      <c r="E295" s="185">
        <f>E275+E285</f>
        <v>939.22082980861501</v>
      </c>
      <c r="F295" s="185">
        <f t="shared" ref="F295:AA295" si="135">F275+F285</f>
        <v>887.18602113055294</v>
      </c>
      <c r="G295" s="185">
        <f>G275+G285</f>
        <v>773.94326351586301</v>
      </c>
      <c r="H295" s="185">
        <f t="shared" si="135"/>
        <v>647.94517189446401</v>
      </c>
      <c r="I295" s="185">
        <f>I275+I285</f>
        <v>560.37819170708099</v>
      </c>
      <c r="J295" s="185">
        <f t="shared" si="135"/>
        <v>565.79148776350598</v>
      </c>
      <c r="K295" s="185">
        <f t="shared" si="135"/>
        <v>522.08330879224002</v>
      </c>
      <c r="L295" s="185">
        <f t="shared" si="135"/>
        <v>497.60360385133401</v>
      </c>
      <c r="M295" s="185">
        <f t="shared" si="135"/>
        <v>646.00727271076698</v>
      </c>
      <c r="N295" s="185">
        <f t="shared" si="135"/>
        <v>659.09429259308706</v>
      </c>
      <c r="O295" s="185">
        <f t="shared" si="135"/>
        <v>636.68710771772601</v>
      </c>
      <c r="P295" s="185">
        <f t="shared" si="135"/>
        <v>585.13516282876901</v>
      </c>
      <c r="Q295" s="185">
        <f t="shared" si="135"/>
        <v>797.35726850929302</v>
      </c>
      <c r="R295" s="185">
        <f t="shared" si="135"/>
        <v>785.80778462086494</v>
      </c>
      <c r="S295" s="185">
        <f t="shared" si="135"/>
        <v>775.63570059422796</v>
      </c>
      <c r="T295" s="185">
        <f t="shared" si="135"/>
        <v>735.908375462501</v>
      </c>
      <c r="U295" s="185">
        <f t="shared" si="135"/>
        <v>729.53079350122789</v>
      </c>
      <c r="V295" s="185">
        <f t="shared" si="135"/>
        <v>691.67259728797899</v>
      </c>
      <c r="W295" s="185">
        <f t="shared" si="135"/>
        <v>664.520813505815</v>
      </c>
      <c r="X295" s="185">
        <f t="shared" si="135"/>
        <v>611.86996896961102</v>
      </c>
      <c r="Y295" s="185">
        <f t="shared" si="135"/>
        <v>590.84144308784903</v>
      </c>
      <c r="Z295" s="185">
        <f t="shared" si="135"/>
        <v>543.51719905547907</v>
      </c>
      <c r="AA295" s="185">
        <f t="shared" si="135"/>
        <v>551.23667060412697</v>
      </c>
    </row>
    <row r="296" spans="2:27" s="12" customFormat="1" outlineLevel="1" x14ac:dyDescent="0.2">
      <c r="B296" s="3" t="s">
        <v>270</v>
      </c>
      <c r="C296" s="3" t="s">
        <v>70</v>
      </c>
      <c r="D296" s="185">
        <f t="shared" ref="D296:AA296" si="136">D276+D286</f>
        <v>27</v>
      </c>
      <c r="E296" s="185">
        <f t="shared" si="136"/>
        <v>30</v>
      </c>
      <c r="F296" s="185">
        <f t="shared" si="136"/>
        <v>33.75</v>
      </c>
      <c r="G296" s="185">
        <f t="shared" si="136"/>
        <v>37.5</v>
      </c>
      <c r="H296" s="185">
        <f t="shared" si="136"/>
        <v>99.75</v>
      </c>
      <c r="I296" s="185">
        <f t="shared" si="136"/>
        <v>162</v>
      </c>
      <c r="J296" s="185">
        <f t="shared" si="136"/>
        <v>224.25</v>
      </c>
      <c r="K296" s="185">
        <f t="shared" si="136"/>
        <v>286.5</v>
      </c>
      <c r="L296" s="185">
        <f t="shared" si="136"/>
        <v>348.75</v>
      </c>
      <c r="M296" s="185">
        <f t="shared" si="136"/>
        <v>411</v>
      </c>
      <c r="N296" s="185">
        <f t="shared" si="136"/>
        <v>473.25</v>
      </c>
      <c r="O296" s="185">
        <f t="shared" si="136"/>
        <v>535.5</v>
      </c>
      <c r="P296" s="185">
        <f t="shared" si="136"/>
        <v>597.75</v>
      </c>
      <c r="Q296" s="185">
        <f t="shared" si="136"/>
        <v>660</v>
      </c>
      <c r="R296" s="185">
        <f t="shared" si="136"/>
        <v>768</v>
      </c>
      <c r="S296" s="185">
        <f t="shared" si="136"/>
        <v>876</v>
      </c>
      <c r="T296" s="185">
        <f t="shared" si="136"/>
        <v>984</v>
      </c>
      <c r="U296" s="185">
        <f t="shared" si="136"/>
        <v>1092</v>
      </c>
      <c r="V296" s="185">
        <f t="shared" si="136"/>
        <v>1200</v>
      </c>
      <c r="W296" s="185">
        <f t="shared" si="136"/>
        <v>1410</v>
      </c>
      <c r="X296" s="185">
        <f t="shared" si="136"/>
        <v>1620</v>
      </c>
      <c r="Y296" s="185">
        <f t="shared" si="136"/>
        <v>1830</v>
      </c>
      <c r="Z296" s="185">
        <f t="shared" si="136"/>
        <v>2040</v>
      </c>
      <c r="AA296" s="185">
        <f t="shared" si="136"/>
        <v>2250</v>
      </c>
    </row>
    <row r="297" spans="2:27" s="12" customFormat="1" outlineLevel="1" x14ac:dyDescent="0.2">
      <c r="B297" s="3" t="s">
        <v>271</v>
      </c>
      <c r="C297" s="3" t="s">
        <v>70</v>
      </c>
      <c r="D297" s="185">
        <f t="shared" ref="D297:AA297" si="137">D277+D287</f>
        <v>202.24077599999998</v>
      </c>
      <c r="E297" s="185">
        <f t="shared" si="137"/>
        <v>230.48501200000001</v>
      </c>
      <c r="F297" s="185">
        <f t="shared" si="137"/>
        <v>277.70503999999994</v>
      </c>
      <c r="G297" s="185">
        <f t="shared" si="137"/>
        <v>434.96945599999998</v>
      </c>
      <c r="H297" s="185">
        <f t="shared" si="137"/>
        <v>595.75074799999993</v>
      </c>
      <c r="I297" s="185">
        <f t="shared" si="137"/>
        <v>795.04419199999984</v>
      </c>
      <c r="J297" s="185">
        <f t="shared" si="137"/>
        <v>989.32974799999988</v>
      </c>
      <c r="K297" s="185">
        <f t="shared" si="137"/>
        <v>1203.4542959999999</v>
      </c>
      <c r="L297" s="185">
        <f t="shared" si="137"/>
        <v>1311.0370559999999</v>
      </c>
      <c r="M297" s="185">
        <f t="shared" si="137"/>
        <v>1410.3457119999998</v>
      </c>
      <c r="N297" s="185">
        <f t="shared" si="137"/>
        <v>1471.1422160000002</v>
      </c>
      <c r="O297" s="185">
        <f t="shared" si="137"/>
        <v>1516.82276</v>
      </c>
      <c r="P297" s="185">
        <f t="shared" si="137"/>
        <v>1523.6885200000002</v>
      </c>
      <c r="Q297" s="185">
        <f t="shared" si="137"/>
        <v>1527.05168</v>
      </c>
      <c r="R297" s="185">
        <f t="shared" si="137"/>
        <v>1527.05168</v>
      </c>
      <c r="S297" s="185">
        <f t="shared" si="137"/>
        <v>1527.05168</v>
      </c>
      <c r="T297" s="185">
        <f t="shared" si="137"/>
        <v>1527.05168</v>
      </c>
      <c r="U297" s="185">
        <f t="shared" si="137"/>
        <v>1527.05168</v>
      </c>
      <c r="V297" s="185">
        <f t="shared" si="137"/>
        <v>1527.05168</v>
      </c>
      <c r="W297" s="185">
        <f t="shared" si="137"/>
        <v>1527.05168</v>
      </c>
      <c r="X297" s="185">
        <f t="shared" si="137"/>
        <v>1527.05168</v>
      </c>
      <c r="Y297" s="185">
        <f t="shared" si="137"/>
        <v>1527.05168</v>
      </c>
      <c r="Z297" s="185">
        <f t="shared" si="137"/>
        <v>1527.05168</v>
      </c>
      <c r="AA297" s="185">
        <f t="shared" si="137"/>
        <v>1527.05168</v>
      </c>
    </row>
    <row r="298" spans="2:27" s="12" customFormat="1" outlineLevel="1" x14ac:dyDescent="0.2">
      <c r="B298" s="3" t="s">
        <v>272</v>
      </c>
      <c r="C298" s="3" t="s">
        <v>70</v>
      </c>
      <c r="D298" s="185">
        <f t="shared" ref="D298:AA298" si="138">D278+D288</f>
        <v>0</v>
      </c>
      <c r="E298" s="185">
        <f t="shared" si="138"/>
        <v>700.8</v>
      </c>
      <c r="F298" s="185">
        <f t="shared" si="138"/>
        <v>1401.6</v>
      </c>
      <c r="G298" s="185">
        <f t="shared" si="138"/>
        <v>2102.4</v>
      </c>
      <c r="H298" s="185">
        <f t="shared" si="138"/>
        <v>2657.2</v>
      </c>
      <c r="I298" s="185">
        <f t="shared" si="138"/>
        <v>3212</v>
      </c>
      <c r="J298" s="185">
        <f t="shared" si="138"/>
        <v>3766.8</v>
      </c>
      <c r="K298" s="185">
        <f t="shared" si="138"/>
        <v>3766.8</v>
      </c>
      <c r="L298" s="185">
        <f t="shared" si="138"/>
        <v>3766.8</v>
      </c>
      <c r="M298" s="185">
        <f t="shared" si="138"/>
        <v>3766.8</v>
      </c>
      <c r="N298" s="185">
        <f t="shared" si="138"/>
        <v>3766.8</v>
      </c>
      <c r="O298" s="185">
        <f t="shared" si="138"/>
        <v>3766.8</v>
      </c>
      <c r="P298" s="185">
        <f t="shared" si="138"/>
        <v>3766.8</v>
      </c>
      <c r="Q298" s="185">
        <f t="shared" si="138"/>
        <v>3766.8</v>
      </c>
      <c r="R298" s="185">
        <f t="shared" si="138"/>
        <v>3766.8</v>
      </c>
      <c r="S298" s="185">
        <f t="shared" si="138"/>
        <v>3766.8</v>
      </c>
      <c r="T298" s="185">
        <f t="shared" si="138"/>
        <v>3766.8</v>
      </c>
      <c r="U298" s="185">
        <f t="shared" si="138"/>
        <v>3766.8</v>
      </c>
      <c r="V298" s="185">
        <f t="shared" si="138"/>
        <v>3766.8</v>
      </c>
      <c r="W298" s="185">
        <f t="shared" si="138"/>
        <v>3766.8</v>
      </c>
      <c r="X298" s="185">
        <f t="shared" si="138"/>
        <v>3766.8</v>
      </c>
      <c r="Y298" s="185">
        <f t="shared" si="138"/>
        <v>3766.8</v>
      </c>
      <c r="Z298" s="185">
        <f t="shared" si="138"/>
        <v>3766.8</v>
      </c>
      <c r="AA298" s="185">
        <f t="shared" si="138"/>
        <v>3766.8</v>
      </c>
    </row>
    <row r="299" spans="2:27" s="12" customFormat="1" outlineLevel="1" x14ac:dyDescent="0.2">
      <c r="B299" s="183" t="s">
        <v>198</v>
      </c>
      <c r="C299" s="183" t="s">
        <v>70</v>
      </c>
      <c r="D299" s="186">
        <f>SUM(D292:D298)</f>
        <v>32643.772302101555</v>
      </c>
      <c r="E299" s="186">
        <f t="shared" ref="E299:AA299" si="139">SUM(E292:E298)</f>
        <v>33811.738104853313</v>
      </c>
      <c r="F299" s="186">
        <f t="shared" si="139"/>
        <v>34834.264092723104</v>
      </c>
      <c r="G299" s="186">
        <f t="shared" si="139"/>
        <v>35647.073515908691</v>
      </c>
      <c r="H299" s="186">
        <f t="shared" si="139"/>
        <v>36334.350149932121</v>
      </c>
      <c r="I299" s="186">
        <f t="shared" si="139"/>
        <v>37219.023426754888</v>
      </c>
      <c r="J299" s="186">
        <f t="shared" si="139"/>
        <v>38171.971633926485</v>
      </c>
      <c r="K299" s="186">
        <f t="shared" si="139"/>
        <v>38569.010764857536</v>
      </c>
      <c r="L299" s="186">
        <f t="shared" si="139"/>
        <v>38896.979275691672</v>
      </c>
      <c r="M299" s="186">
        <f t="shared" si="139"/>
        <v>39418.966718109885</v>
      </c>
      <c r="N299" s="186">
        <f t="shared" si="139"/>
        <v>39791.333920749938</v>
      </c>
      <c r="O299" s="186">
        <f t="shared" si="139"/>
        <v>40075.589789224912</v>
      </c>
      <c r="P299" s="186">
        <f t="shared" si="139"/>
        <v>40308.549138248585</v>
      </c>
      <c r="Q299" s="186">
        <f t="shared" si="139"/>
        <v>40852.449640906525</v>
      </c>
      <c r="R299" s="186">
        <f t="shared" si="139"/>
        <v>41114.136365186234</v>
      </c>
      <c r="S299" s="186">
        <f t="shared" si="139"/>
        <v>41404.969310842433</v>
      </c>
      <c r="T299" s="186">
        <f t="shared" si="139"/>
        <v>41579.769083825238</v>
      </c>
      <c r="U299" s="186">
        <f t="shared" si="139"/>
        <v>41754.112304464659</v>
      </c>
      <c r="V299" s="186">
        <f t="shared" si="139"/>
        <v>41961.384308259876</v>
      </c>
      <c r="W299" s="186">
        <f t="shared" si="139"/>
        <v>42229.059920152009</v>
      </c>
      <c r="X299" s="186">
        <f t="shared" si="139"/>
        <v>42557.603166856483</v>
      </c>
      <c r="Y299" s="186">
        <f t="shared" si="139"/>
        <v>42852.598092292086</v>
      </c>
      <c r="Z299" s="186">
        <f t="shared" si="139"/>
        <v>43189.069758202852</v>
      </c>
      <c r="AA299" s="186">
        <f t="shared" si="139"/>
        <v>43674.131838902009</v>
      </c>
    </row>
    <row r="300" spans="2:27" s="12" customFormat="1" outlineLevel="1" x14ac:dyDescent="0.2">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2:27" s="12" customFormat="1" outlineLevel="1" x14ac:dyDescent="0.2">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2:27" s="12" customFormat="1" outlineLevel="1" x14ac:dyDescent="0.2">
      <c r="B302" s="183" t="s">
        <v>202</v>
      </c>
      <c r="C302" s="183" t="s">
        <v>141</v>
      </c>
      <c r="D302" s="184">
        <v>2017</v>
      </c>
      <c r="E302" s="184">
        <v>2018</v>
      </c>
      <c r="F302" s="184">
        <v>2019</v>
      </c>
      <c r="G302" s="184">
        <v>2020</v>
      </c>
      <c r="H302" s="184">
        <v>2021</v>
      </c>
      <c r="I302" s="184">
        <v>2022</v>
      </c>
      <c r="J302" s="184">
        <v>2023</v>
      </c>
      <c r="K302" s="184">
        <v>2024</v>
      </c>
      <c r="L302" s="184">
        <v>2025</v>
      </c>
      <c r="M302" s="184">
        <v>2026</v>
      </c>
      <c r="N302" s="184">
        <v>2027</v>
      </c>
      <c r="O302" s="184">
        <v>2028</v>
      </c>
      <c r="P302" s="184">
        <v>2029</v>
      </c>
      <c r="Q302" s="184">
        <v>2030</v>
      </c>
      <c r="R302" s="184">
        <v>2031</v>
      </c>
      <c r="S302" s="184">
        <v>2032</v>
      </c>
      <c r="T302" s="184">
        <v>2033</v>
      </c>
      <c r="U302" s="184">
        <v>2034</v>
      </c>
      <c r="V302" s="184">
        <v>2035</v>
      </c>
      <c r="W302" s="184">
        <v>2036</v>
      </c>
      <c r="X302" s="184">
        <v>2037</v>
      </c>
      <c r="Y302" s="184">
        <v>2038</v>
      </c>
      <c r="Z302" s="184">
        <v>2039</v>
      </c>
      <c r="AA302" s="184">
        <v>2040</v>
      </c>
    </row>
    <row r="303" spans="2:27" s="12" customFormat="1" outlineLevel="1" x14ac:dyDescent="0.2">
      <c r="B303" s="3" t="s">
        <v>191</v>
      </c>
      <c r="C303" s="3" t="s">
        <v>70</v>
      </c>
      <c r="D303" s="185">
        <v>20933.862806790206</v>
      </c>
      <c r="E303" s="185">
        <v>21854.360572354442</v>
      </c>
      <c r="F303" s="185">
        <v>22771.292381971278</v>
      </c>
      <c r="G303" s="185">
        <v>23476.313585555192</v>
      </c>
      <c r="H303" s="185">
        <v>24094.191731641462</v>
      </c>
      <c r="I303" s="185">
        <v>24835.397218514867</v>
      </c>
      <c r="J303" s="185">
        <v>25688.754858408673</v>
      </c>
      <c r="K303" s="185">
        <v>25889.037921391635</v>
      </c>
      <c r="L303" s="185">
        <v>26108.654376148032</v>
      </c>
      <c r="M303" s="185">
        <v>26490.286601021988</v>
      </c>
      <c r="N303" s="185">
        <v>26753.352213875824</v>
      </c>
      <c r="O303" s="185">
        <v>26916.009091345779</v>
      </c>
      <c r="P303" s="185">
        <v>27078.921519131789</v>
      </c>
      <c r="Q303" s="185">
        <v>27551.12799875336</v>
      </c>
      <c r="R303" s="185">
        <v>27734.096742788326</v>
      </c>
      <c r="S303" s="185">
        <v>27937.242133019427</v>
      </c>
      <c r="T303" s="185">
        <v>28056.563700949253</v>
      </c>
      <c r="U303" s="185">
        <v>28180.725705216799</v>
      </c>
      <c r="V303" s="185">
        <v>28309.630954703465</v>
      </c>
      <c r="W303" s="185">
        <v>28482.078338873325</v>
      </c>
      <c r="X303" s="185">
        <v>28723.439007095083</v>
      </c>
      <c r="Y303" s="185">
        <v>28926.713450398922</v>
      </c>
      <c r="Z303" s="185">
        <v>29100.885905864401</v>
      </c>
      <c r="AA303" s="185">
        <v>29463.864145676747</v>
      </c>
    </row>
    <row r="304" spans="2:27" s="12" customFormat="1" outlineLevel="1" x14ac:dyDescent="0.2">
      <c r="B304" s="3" t="s">
        <v>193</v>
      </c>
      <c r="C304" s="3" t="s">
        <v>70</v>
      </c>
      <c r="D304" s="185">
        <v>13864.179411071002</v>
      </c>
      <c r="E304" s="185">
        <v>14190.328179279371</v>
      </c>
      <c r="F304" s="185">
        <v>14365.843372969155</v>
      </c>
      <c r="G304" s="185">
        <v>14528.989141173019</v>
      </c>
      <c r="H304" s="185">
        <v>14645.398789264551</v>
      </c>
      <c r="I304" s="185">
        <v>14848.8741299062</v>
      </c>
      <c r="J304" s="185">
        <v>15013.616894660026</v>
      </c>
      <c r="K304" s="185">
        <v>15236.067114790927</v>
      </c>
      <c r="L304" s="185">
        <v>15366.149771750072</v>
      </c>
      <c r="M304" s="185">
        <v>15541.390892146652</v>
      </c>
      <c r="N304" s="185">
        <v>15675.493071220759</v>
      </c>
      <c r="O304" s="185">
        <v>15815.667572067628</v>
      </c>
      <c r="P304" s="185">
        <v>15901.214600300787</v>
      </c>
      <c r="Q304" s="185">
        <v>16009.955798165989</v>
      </c>
      <c r="R304" s="185">
        <v>16106.084970129537</v>
      </c>
      <c r="S304" s="185">
        <v>16213.121057342898</v>
      </c>
      <c r="T304" s="185">
        <v>16280.202403615309</v>
      </c>
      <c r="U304" s="185">
        <v>16342.004605788792</v>
      </c>
      <c r="V304" s="185">
        <v>16434.012402282879</v>
      </c>
      <c r="W304" s="185">
        <v>16546.912824514664</v>
      </c>
      <c r="X304" s="185">
        <v>16656.063704979293</v>
      </c>
      <c r="Y304" s="185">
        <v>16767.383643789552</v>
      </c>
      <c r="Z304" s="185">
        <v>16951.498934147108</v>
      </c>
      <c r="AA304" s="185">
        <v>17106.078819874121</v>
      </c>
    </row>
    <row r="305" spans="1:27" s="12" customFormat="1" outlineLevel="1" x14ac:dyDescent="0.2">
      <c r="B305" s="183" t="s">
        <v>120</v>
      </c>
      <c r="C305" s="183" t="s">
        <v>70</v>
      </c>
      <c r="D305" s="186">
        <f t="shared" ref="D305:AA305" si="140">D303+D304</f>
        <v>34798.042217861206</v>
      </c>
      <c r="E305" s="186">
        <f t="shared" si="140"/>
        <v>36044.688751633817</v>
      </c>
      <c r="F305" s="186">
        <f t="shared" si="140"/>
        <v>37137.135754940435</v>
      </c>
      <c r="G305" s="186">
        <f t="shared" si="140"/>
        <v>38005.302726728209</v>
      </c>
      <c r="H305" s="186">
        <f t="shared" si="140"/>
        <v>38739.590520906015</v>
      </c>
      <c r="I305" s="186">
        <f t="shared" si="140"/>
        <v>39684.271348421069</v>
      </c>
      <c r="J305" s="186">
        <f t="shared" si="140"/>
        <v>40702.371753068699</v>
      </c>
      <c r="K305" s="186">
        <f t="shared" si="140"/>
        <v>41125.105036182562</v>
      </c>
      <c r="L305" s="186">
        <f t="shared" si="140"/>
        <v>41474.804147898103</v>
      </c>
      <c r="M305" s="186">
        <f t="shared" si="140"/>
        <v>42031.677493168638</v>
      </c>
      <c r="N305" s="186">
        <f t="shared" si="140"/>
        <v>42428.845285096584</v>
      </c>
      <c r="O305" s="186">
        <f t="shared" si="140"/>
        <v>42731.676663413411</v>
      </c>
      <c r="P305" s="186">
        <f t="shared" si="140"/>
        <v>42980.136119432573</v>
      </c>
      <c r="Q305" s="186">
        <f t="shared" si="140"/>
        <v>43561.083796919353</v>
      </c>
      <c r="R305" s="186">
        <f t="shared" si="140"/>
        <v>43840.181712917867</v>
      </c>
      <c r="S305" s="186">
        <f t="shared" si="140"/>
        <v>44150.363190362325</v>
      </c>
      <c r="T305" s="186">
        <f t="shared" si="140"/>
        <v>44336.766104564565</v>
      </c>
      <c r="U305" s="186">
        <f t="shared" si="140"/>
        <v>44522.730311005595</v>
      </c>
      <c r="V305" s="186">
        <f t="shared" si="140"/>
        <v>44743.643356986344</v>
      </c>
      <c r="W305" s="186">
        <f t="shared" si="140"/>
        <v>45028.991163387989</v>
      </c>
      <c r="X305" s="186">
        <f t="shared" si="140"/>
        <v>45379.502712074376</v>
      </c>
      <c r="Y305" s="186">
        <f t="shared" si="140"/>
        <v>45694.097094188473</v>
      </c>
      <c r="Z305" s="186">
        <f t="shared" si="140"/>
        <v>46052.384840011509</v>
      </c>
      <c r="AA305" s="186">
        <f t="shared" si="140"/>
        <v>46569.942965550872</v>
      </c>
    </row>
    <row r="306" spans="1:27" s="12" customFormat="1" outlineLevel="1" x14ac:dyDescent="0.2">
      <c r="B306" s="183"/>
      <c r="C306" s="183"/>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c r="AA306" s="186"/>
    </row>
    <row r="307" spans="1:27" s="12" customFormat="1" outlineLevel="1" x14ac:dyDescent="0.2">
      <c r="C307" s="183"/>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c r="AA307" s="186"/>
    </row>
    <row r="308" spans="1:27" s="12" customFormat="1" outlineLevel="1" x14ac:dyDescent="0.2">
      <c r="B308" s="183" t="s">
        <v>266</v>
      </c>
      <c r="C308" s="183"/>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c r="AA308" s="186"/>
    </row>
    <row r="309" spans="1:27" s="12" customFormat="1" outlineLevel="1" x14ac:dyDescent="0.2">
      <c r="B309" s="183" t="s">
        <v>221</v>
      </c>
      <c r="C309" s="183" t="s">
        <v>141</v>
      </c>
      <c r="D309" s="184">
        <v>2017</v>
      </c>
      <c r="E309" s="184">
        <v>2018</v>
      </c>
      <c r="F309" s="184">
        <v>2019</v>
      </c>
      <c r="G309" s="184">
        <v>2020</v>
      </c>
      <c r="H309" s="184">
        <v>2021</v>
      </c>
      <c r="I309" s="184">
        <v>2022</v>
      </c>
      <c r="J309" s="184">
        <v>2023</v>
      </c>
      <c r="K309" s="184">
        <v>2024</v>
      </c>
      <c r="L309" s="184">
        <v>2025</v>
      </c>
      <c r="M309" s="184">
        <v>2026</v>
      </c>
      <c r="N309" s="184">
        <v>2027</v>
      </c>
      <c r="O309" s="184">
        <v>2028</v>
      </c>
      <c r="P309" s="184">
        <v>2029</v>
      </c>
      <c r="Q309" s="184">
        <v>2030</v>
      </c>
      <c r="R309" s="184">
        <v>2031</v>
      </c>
      <c r="S309" s="184">
        <v>2032</v>
      </c>
      <c r="T309" s="184">
        <v>2033</v>
      </c>
      <c r="U309" s="184">
        <v>2034</v>
      </c>
      <c r="V309" s="184">
        <v>2035</v>
      </c>
      <c r="W309" s="184">
        <v>2036</v>
      </c>
      <c r="X309" s="184">
        <v>2037</v>
      </c>
      <c r="Y309" s="184">
        <v>2038</v>
      </c>
      <c r="Z309" s="184">
        <v>2039</v>
      </c>
      <c r="AA309" s="184">
        <v>2040</v>
      </c>
    </row>
    <row r="310" spans="1:27" s="12" customFormat="1" outlineLevel="1" x14ac:dyDescent="0.2">
      <c r="B310" s="3" t="s">
        <v>205</v>
      </c>
      <c r="C310" s="183" t="s">
        <v>68</v>
      </c>
      <c r="D310" s="185">
        <v>4</v>
      </c>
      <c r="E310" s="185">
        <v>6</v>
      </c>
      <c r="F310" s="185">
        <v>8</v>
      </c>
      <c r="G310" s="185">
        <v>10</v>
      </c>
      <c r="H310" s="185">
        <v>18</v>
      </c>
      <c r="I310" s="185">
        <v>26</v>
      </c>
      <c r="J310" s="185">
        <v>34</v>
      </c>
      <c r="K310" s="185">
        <v>42</v>
      </c>
      <c r="L310" s="185">
        <v>50</v>
      </c>
      <c r="M310" s="185">
        <v>60</v>
      </c>
      <c r="N310" s="185">
        <v>70</v>
      </c>
      <c r="O310" s="185">
        <v>80</v>
      </c>
      <c r="P310" s="185">
        <v>90</v>
      </c>
      <c r="Q310" s="185">
        <v>100</v>
      </c>
      <c r="R310" s="185">
        <v>110</v>
      </c>
      <c r="S310" s="185">
        <v>120</v>
      </c>
      <c r="T310" s="185">
        <v>130</v>
      </c>
      <c r="U310" s="185">
        <v>140</v>
      </c>
      <c r="V310" s="185">
        <v>150</v>
      </c>
      <c r="W310" s="185">
        <v>170</v>
      </c>
      <c r="X310" s="185">
        <v>190</v>
      </c>
      <c r="Y310" s="185">
        <v>210</v>
      </c>
      <c r="Z310" s="185">
        <v>230</v>
      </c>
      <c r="AA310" s="185">
        <v>250</v>
      </c>
    </row>
    <row r="311" spans="1:27" s="12" customFormat="1" outlineLevel="1" x14ac:dyDescent="0.2">
      <c r="B311" s="3" t="s">
        <v>207</v>
      </c>
      <c r="C311" s="183" t="s">
        <v>68</v>
      </c>
      <c r="D311" s="185">
        <v>10.00946069349048</v>
      </c>
      <c r="E311" s="185">
        <v>14.879844635869336</v>
      </c>
      <c r="F311" s="185">
        <v>20</v>
      </c>
      <c r="G311" s="185">
        <v>25</v>
      </c>
      <c r="H311" s="185">
        <v>30</v>
      </c>
      <c r="I311" s="185">
        <v>35</v>
      </c>
      <c r="J311" s="185">
        <v>40</v>
      </c>
      <c r="K311" s="185">
        <v>45</v>
      </c>
      <c r="L311" s="185">
        <v>50</v>
      </c>
      <c r="M311" s="185">
        <v>75</v>
      </c>
      <c r="N311" s="185">
        <v>100</v>
      </c>
      <c r="O311" s="185">
        <v>125</v>
      </c>
      <c r="P311" s="185">
        <v>150</v>
      </c>
      <c r="Q311" s="185">
        <v>175</v>
      </c>
      <c r="R311" s="185">
        <v>200</v>
      </c>
      <c r="S311" s="185">
        <v>225</v>
      </c>
      <c r="T311" s="185">
        <v>250</v>
      </c>
      <c r="U311" s="185">
        <v>275</v>
      </c>
      <c r="V311" s="185">
        <v>300</v>
      </c>
      <c r="W311" s="185">
        <v>320</v>
      </c>
      <c r="X311" s="185">
        <v>340</v>
      </c>
      <c r="Y311" s="185">
        <v>360</v>
      </c>
      <c r="Z311" s="185">
        <v>380</v>
      </c>
      <c r="AA311" s="185">
        <v>399.99999999999994</v>
      </c>
    </row>
    <row r="312" spans="1:27" s="12" customFormat="1" outlineLevel="1" x14ac:dyDescent="0.2">
      <c r="B312" s="3" t="s">
        <v>273</v>
      </c>
      <c r="C312" s="183" t="s">
        <v>68</v>
      </c>
      <c r="D312" s="186">
        <f>D310+D311</f>
        <v>14.00946069349048</v>
      </c>
      <c r="E312" s="186">
        <f t="shared" ref="E312:AA312" si="141">E310+E311</f>
        <v>20.879844635869336</v>
      </c>
      <c r="F312" s="186">
        <f t="shared" si="141"/>
        <v>28</v>
      </c>
      <c r="G312" s="186">
        <f t="shared" si="141"/>
        <v>35</v>
      </c>
      <c r="H312" s="186">
        <f t="shared" si="141"/>
        <v>48</v>
      </c>
      <c r="I312" s="186">
        <f t="shared" si="141"/>
        <v>61</v>
      </c>
      <c r="J312" s="186">
        <f t="shared" si="141"/>
        <v>74</v>
      </c>
      <c r="K312" s="186">
        <f t="shared" si="141"/>
        <v>87</v>
      </c>
      <c r="L312" s="186">
        <f t="shared" si="141"/>
        <v>100</v>
      </c>
      <c r="M312" s="186">
        <f t="shared" si="141"/>
        <v>135</v>
      </c>
      <c r="N312" s="186">
        <f t="shared" si="141"/>
        <v>170</v>
      </c>
      <c r="O312" s="186">
        <f t="shared" si="141"/>
        <v>205</v>
      </c>
      <c r="P312" s="186">
        <f t="shared" si="141"/>
        <v>240</v>
      </c>
      <c r="Q312" s="186">
        <f t="shared" si="141"/>
        <v>275</v>
      </c>
      <c r="R312" s="186">
        <f t="shared" si="141"/>
        <v>310</v>
      </c>
      <c r="S312" s="186">
        <f t="shared" si="141"/>
        <v>345</v>
      </c>
      <c r="T312" s="186">
        <f t="shared" si="141"/>
        <v>380</v>
      </c>
      <c r="U312" s="186">
        <f t="shared" si="141"/>
        <v>415</v>
      </c>
      <c r="V312" s="186">
        <f t="shared" si="141"/>
        <v>450</v>
      </c>
      <c r="W312" s="186">
        <f t="shared" si="141"/>
        <v>490</v>
      </c>
      <c r="X312" s="186">
        <f t="shared" si="141"/>
        <v>530</v>
      </c>
      <c r="Y312" s="186">
        <f t="shared" si="141"/>
        <v>570</v>
      </c>
      <c r="Z312" s="186">
        <f t="shared" si="141"/>
        <v>610</v>
      </c>
      <c r="AA312" s="186">
        <f t="shared" si="141"/>
        <v>650</v>
      </c>
    </row>
    <row r="313" spans="1:27" s="12" customFormat="1" outlineLevel="1" x14ac:dyDescent="0.2">
      <c r="B313" s="183" t="s">
        <v>274</v>
      </c>
      <c r="C313" s="183" t="s">
        <v>68</v>
      </c>
      <c r="D313" s="186">
        <v>666.9</v>
      </c>
      <c r="E313" s="186">
        <v>666.9</v>
      </c>
      <c r="F313" s="186">
        <v>666.9</v>
      </c>
      <c r="G313" s="186">
        <v>666.9</v>
      </c>
      <c r="H313" s="186">
        <v>666.9</v>
      </c>
      <c r="I313" s="186">
        <v>666.9</v>
      </c>
      <c r="J313" s="186">
        <v>666.9</v>
      </c>
      <c r="K313" s="186">
        <v>666.9</v>
      </c>
      <c r="L313" s="186">
        <v>666.9</v>
      </c>
      <c r="M313" s="186">
        <v>666.9</v>
      </c>
      <c r="N313" s="186">
        <v>666.9</v>
      </c>
      <c r="O313" s="186">
        <v>666.9</v>
      </c>
      <c r="P313" s="186">
        <v>666.9</v>
      </c>
      <c r="Q313" s="186">
        <v>666.9</v>
      </c>
      <c r="R313" s="186">
        <v>666.9</v>
      </c>
      <c r="S313" s="186">
        <v>666.9</v>
      </c>
      <c r="T313" s="186">
        <v>666.9</v>
      </c>
      <c r="U313" s="186">
        <v>666.9</v>
      </c>
      <c r="V313" s="186">
        <v>666.9</v>
      </c>
      <c r="W313" s="186">
        <v>666.9</v>
      </c>
      <c r="X313" s="186">
        <v>666.9</v>
      </c>
      <c r="Y313" s="186">
        <v>666.9</v>
      </c>
      <c r="Z313" s="186">
        <v>666.9</v>
      </c>
      <c r="AA313" s="186">
        <v>666.9</v>
      </c>
    </row>
    <row r="314" spans="1:27" s="12" customFormat="1" outlineLevel="1" x14ac:dyDescent="0.2">
      <c r="C314" s="183"/>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c r="AA314" s="186"/>
    </row>
    <row r="315" spans="1:27" s="12" customFormat="1" outlineLevel="1" x14ac:dyDescent="0.2">
      <c r="B315" s="183"/>
      <c r="C315" s="183"/>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c r="AA315" s="186"/>
    </row>
    <row r="316" spans="1:27" s="12" customFormat="1" outlineLevel="1" x14ac:dyDescent="0.2">
      <c r="B316" s="183"/>
      <c r="C316" s="183"/>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c r="AA316" s="186"/>
    </row>
    <row r="317" spans="1:27" x14ac:dyDescent="0.2">
      <c r="A317"/>
      <c r="B317" s="1" t="s">
        <v>310</v>
      </c>
    </row>
    <row r="318" spans="1:27" s="12" customFormat="1" x14ac:dyDescent="0.2">
      <c r="B318" s="183"/>
    </row>
    <row r="319" spans="1:27" s="12" customFormat="1" x14ac:dyDescent="0.2">
      <c r="L319"/>
      <c r="M319"/>
      <c r="N319"/>
      <c r="O319"/>
      <c r="P319"/>
    </row>
    <row r="320" spans="1:27" s="12" customFormat="1" x14ac:dyDescent="0.2">
      <c r="L320"/>
      <c r="M320"/>
      <c r="N320"/>
      <c r="O320"/>
      <c r="P320"/>
    </row>
    <row r="321" spans="12:25" s="12" customFormat="1" x14ac:dyDescent="0.2">
      <c r="L321"/>
      <c r="M321"/>
      <c r="N321"/>
      <c r="O321"/>
      <c r="P321"/>
      <c r="Q321"/>
      <c r="X321"/>
      <c r="Y321"/>
    </row>
    <row r="322" spans="12:25" s="12" customFormat="1" x14ac:dyDescent="0.2">
      <c r="L322"/>
      <c r="O322"/>
      <c r="P322"/>
      <c r="Q322"/>
      <c r="X322"/>
      <c r="Y322"/>
    </row>
    <row r="323" spans="12:25" x14ac:dyDescent="0.2">
      <c r="M323" s="12"/>
      <c r="N323" s="12"/>
    </row>
    <row r="324" spans="12:25" x14ac:dyDescent="0.2">
      <c r="M324" s="12"/>
      <c r="N324" s="12"/>
    </row>
    <row r="325" spans="12:25" x14ac:dyDescent="0.2">
      <c r="M325" s="12"/>
      <c r="N325" s="12"/>
    </row>
    <row r="326" spans="12:25" x14ac:dyDescent="0.2">
      <c r="M326" s="12"/>
      <c r="N326" s="12"/>
    </row>
    <row r="327" spans="12:25" x14ac:dyDescent="0.2">
      <c r="M327" s="12"/>
      <c r="N327" s="12"/>
    </row>
    <row r="328" spans="12:25" x14ac:dyDescent="0.2">
      <c r="P328" t="s">
        <v>386</v>
      </c>
    </row>
    <row r="329" spans="12:25" x14ac:dyDescent="0.2">
      <c r="P329" t="s">
        <v>220</v>
      </c>
    </row>
    <row r="330" spans="12:25" x14ac:dyDescent="0.2">
      <c r="P330" t="s">
        <v>275</v>
      </c>
    </row>
    <row r="331" spans="12:25" x14ac:dyDescent="0.2">
      <c r="P331" t="s">
        <v>223</v>
      </c>
    </row>
    <row r="332" spans="12:25" x14ac:dyDescent="0.2">
      <c r="P332" t="s">
        <v>224</v>
      </c>
    </row>
    <row r="333" spans="12:25" x14ac:dyDescent="0.2">
      <c r="P333" t="s">
        <v>225</v>
      </c>
    </row>
  </sheetData>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B1:AA90"/>
  <sheetViews>
    <sheetView showGridLines="0" topLeftCell="A30" zoomScale="110" zoomScaleNormal="110" workbookViewId="0"/>
  </sheetViews>
  <sheetFormatPr baseColWidth="10" defaultColWidth="8.83203125" defaultRowHeight="15" outlineLevelRow="1" x14ac:dyDescent="0.2"/>
  <cols>
    <col min="1" max="1" width="5.6640625" customWidth="1"/>
    <col min="2" max="2" width="40.6640625" customWidth="1"/>
    <col min="4" max="4" width="12.5" bestFit="1" customWidth="1"/>
  </cols>
  <sheetData>
    <row r="1" spans="2:27" s="68" customFormat="1" ht="21" x14ac:dyDescent="0.25">
      <c r="B1" s="68" t="s">
        <v>299</v>
      </c>
    </row>
    <row r="4" spans="2:27" s="70" customFormat="1" x14ac:dyDescent="0.2">
      <c r="B4" s="70" t="s">
        <v>456</v>
      </c>
    </row>
    <row r="5" spans="2:27" hidden="1" outlineLevel="1" x14ac:dyDescent="0.2"/>
    <row r="6" spans="2:27" hidden="1" outlineLevel="1" x14ac:dyDescent="0.2">
      <c r="B6" s="183" t="s">
        <v>399</v>
      </c>
      <c r="C6" s="183" t="s">
        <v>141</v>
      </c>
      <c r="D6" s="184">
        <v>2017</v>
      </c>
      <c r="E6" s="184">
        <v>2018</v>
      </c>
      <c r="F6" s="184">
        <v>2019</v>
      </c>
      <c r="G6" s="184">
        <v>2020</v>
      </c>
      <c r="H6" s="184">
        <v>2021</v>
      </c>
      <c r="I6" s="184">
        <v>2022</v>
      </c>
      <c r="J6" s="184">
        <v>2023</v>
      </c>
      <c r="K6" s="184">
        <v>2024</v>
      </c>
      <c r="L6" s="184">
        <v>2025</v>
      </c>
      <c r="M6" s="184">
        <v>2026</v>
      </c>
      <c r="N6" s="184">
        <v>2027</v>
      </c>
      <c r="O6" s="184">
        <v>2028</v>
      </c>
      <c r="P6" s="184">
        <v>2029</v>
      </c>
      <c r="Q6" s="184">
        <v>2030</v>
      </c>
      <c r="R6" s="184">
        <v>2031</v>
      </c>
      <c r="S6" s="184">
        <v>2032</v>
      </c>
      <c r="T6" s="184">
        <v>2033</v>
      </c>
      <c r="U6" s="184">
        <v>2034</v>
      </c>
      <c r="V6" s="184">
        <v>2035</v>
      </c>
      <c r="W6" s="184">
        <v>2036</v>
      </c>
      <c r="X6" s="184">
        <v>2037</v>
      </c>
      <c r="Y6" s="184">
        <v>2038</v>
      </c>
      <c r="Z6" s="184">
        <v>2039</v>
      </c>
      <c r="AA6" s="184">
        <v>2040</v>
      </c>
    </row>
    <row r="7" spans="2:27" s="12" customFormat="1" hidden="1" outlineLevel="1" x14ac:dyDescent="0.2">
      <c r="B7" s="183" t="s">
        <v>190</v>
      </c>
      <c r="C7" s="183"/>
      <c r="D7" s="184"/>
      <c r="E7" s="184"/>
      <c r="F7" s="184"/>
      <c r="G7" s="184"/>
      <c r="H7" s="184"/>
      <c r="I7" s="184"/>
      <c r="J7" s="184"/>
      <c r="K7" s="184"/>
      <c r="L7" s="184"/>
      <c r="M7" s="184"/>
      <c r="N7" s="184"/>
      <c r="O7" s="184"/>
      <c r="P7" s="184"/>
      <c r="Q7" s="184"/>
      <c r="R7" s="184"/>
      <c r="S7" s="184"/>
      <c r="T7" s="184"/>
      <c r="U7" s="184"/>
      <c r="V7" s="184"/>
      <c r="W7" s="184"/>
      <c r="X7" s="184"/>
      <c r="Y7" s="184"/>
      <c r="Z7" s="184"/>
      <c r="AA7" s="184"/>
    </row>
    <row r="8" spans="2:27" hidden="1" outlineLevel="1" x14ac:dyDescent="0.2">
      <c r="B8" s="3" t="s">
        <v>386</v>
      </c>
      <c r="C8" s="3" t="s">
        <v>70</v>
      </c>
      <c r="D8" s="185">
        <f>'Electricity consumption'!D236</f>
        <v>19775.196404154121</v>
      </c>
      <c r="E8" s="185">
        <f>'Electricity consumption'!E236</f>
        <v>19896.403775383173</v>
      </c>
      <c r="F8" s="185">
        <f>'Electricity consumption'!F236</f>
        <v>20040.588424005011</v>
      </c>
      <c r="G8" s="185">
        <f>'Electricity consumption'!G236</f>
        <v>20045.304211589162</v>
      </c>
      <c r="H8" s="185">
        <f>'Electricity consumption'!H236</f>
        <v>20011.014878571255</v>
      </c>
      <c r="I8" s="185">
        <f>'Electricity consumption'!I236</f>
        <v>20050.021173781148</v>
      </c>
      <c r="J8" s="185">
        <f>'Electricity consumption'!J236</f>
        <v>20069.86984182553</v>
      </c>
      <c r="K8" s="185">
        <f>'Electricity consumption'!K236</f>
        <v>20092.013244089565</v>
      </c>
      <c r="L8" s="185">
        <f>'Electricity consumption'!L236</f>
        <v>20106.873736636746</v>
      </c>
      <c r="M8" s="185">
        <f>'Electricity consumption'!M236</f>
        <v>20103.232249668716</v>
      </c>
      <c r="N8" s="185">
        <f>'Electricity consumption'!N236</f>
        <v>20112.558706291646</v>
      </c>
      <c r="O8" s="185">
        <f>'Electricity consumption'!O236</f>
        <v>20099.361910610616</v>
      </c>
      <c r="P8" s="185">
        <f>'Electricity consumption'!P236</f>
        <v>20090.802088548455</v>
      </c>
      <c r="Q8" s="185">
        <f>'Electricity consumption'!Q236</f>
        <v>20124.658160440646</v>
      </c>
      <c r="R8" s="185">
        <f>'Electricity consumption'!R236</f>
        <v>20111.652739958943</v>
      </c>
      <c r="S8" s="185">
        <f>'Electricity consumption'!S236</f>
        <v>20105.028005669428</v>
      </c>
      <c r="T8" s="185">
        <f>'Electricity consumption'!T236</f>
        <v>20070.902289245128</v>
      </c>
      <c r="U8" s="185">
        <f>'Electricity consumption'!U236</f>
        <v>20031.190598554655</v>
      </c>
      <c r="V8" s="185">
        <f>'Electricity consumption'!V236</f>
        <v>20050.326560159185</v>
      </c>
      <c r="W8" s="185">
        <f>'Electricity consumption'!W236</f>
        <v>20024.768636696779</v>
      </c>
      <c r="X8" s="185">
        <f>'Electricity consumption'!X236</f>
        <v>20018.697931080646</v>
      </c>
      <c r="Y8" s="185">
        <f>'Electricity consumption'!Y236</f>
        <v>20007.687878501682</v>
      </c>
      <c r="Z8" s="185">
        <f>'Electricity consumption'!Z236</f>
        <v>19998.652234165365</v>
      </c>
      <c r="AA8" s="185">
        <f>'Electricity consumption'!AA236</f>
        <v>20044.634263309646</v>
      </c>
    </row>
    <row r="9" spans="2:27" s="12" customFormat="1" hidden="1" outlineLevel="1" x14ac:dyDescent="0.2">
      <c r="B9" s="3" t="s">
        <v>220</v>
      </c>
      <c r="C9" s="3" t="s">
        <v>70</v>
      </c>
      <c r="D9" s="185">
        <f>'Electricity consumption'!D237</f>
        <v>330.66333201784863</v>
      </c>
      <c r="E9" s="185">
        <f>'Electricity consumption'!E237</f>
        <v>351.29272432320107</v>
      </c>
      <c r="F9" s="185">
        <f>'Electricity consumption'!F237</f>
        <v>373.15615844034767</v>
      </c>
      <c r="G9" s="185">
        <f>'Electricity consumption'!G237</f>
        <v>396.73165893376824</v>
      </c>
      <c r="H9" s="185">
        <f>'Electricity consumption'!H237</f>
        <v>433.98692219689474</v>
      </c>
      <c r="I9" s="185">
        <f>'Electricity consumption'!I237</f>
        <v>474.43297953501946</v>
      </c>
      <c r="J9" s="185">
        <f>'Electricity consumption'!J237</f>
        <v>519.00920796043476</v>
      </c>
      <c r="K9" s="185">
        <f>'Electricity consumption'!K237</f>
        <v>565.4497954953855</v>
      </c>
      <c r="L9" s="185">
        <f>'Electricity consumption'!L237</f>
        <v>613.8193365608721</v>
      </c>
      <c r="M9" s="185">
        <f>'Electricity consumption'!M237</f>
        <v>664.10679247478822</v>
      </c>
      <c r="N9" s="185">
        <f>'Electricity consumption'!N237</f>
        <v>715.84730835531002</v>
      </c>
      <c r="O9" s="185">
        <f>'Electricity consumption'!O237</f>
        <v>769.28110498546232</v>
      </c>
      <c r="P9" s="185">
        <f>'Electricity consumption'!P237</f>
        <v>823.98503796287685</v>
      </c>
      <c r="Q9" s="185">
        <f>'Electricity consumption'!Q237</f>
        <v>878.20464874299762</v>
      </c>
      <c r="R9" s="185">
        <f>'Electricity consumption'!R237</f>
        <v>934.56338770828927</v>
      </c>
      <c r="S9" s="185">
        <f>'Electricity consumption'!S237</f>
        <v>995.52722083408173</v>
      </c>
      <c r="T9" s="185">
        <f>'Electricity consumption'!T237</f>
        <v>1057.280724287765</v>
      </c>
      <c r="U9" s="185">
        <f>'Electricity consumption'!U237</f>
        <v>1097.0492179462556</v>
      </c>
      <c r="V9" s="185">
        <f>'Electricity consumption'!V237</f>
        <v>1135.1419856108084</v>
      </c>
      <c r="W9" s="185">
        <f>'Electricity consumption'!W237</f>
        <v>1173.2959798592472</v>
      </c>
      <c r="X9" s="185">
        <f>'Electricity consumption'!X237</f>
        <v>1210.8649948586735</v>
      </c>
      <c r="Y9" s="185">
        <f>'Electricity consumption'!Y237</f>
        <v>1247.7961565976454</v>
      </c>
      <c r="Z9" s="185">
        <f>'Electricity consumption'!Z237</f>
        <v>1284.0344645084072</v>
      </c>
      <c r="AA9" s="185">
        <f>'Electricity consumption'!AA237</f>
        <v>1319.5227209532138</v>
      </c>
    </row>
    <row r="10" spans="2:27" s="12" customFormat="1" hidden="1" outlineLevel="1" x14ac:dyDescent="0.2">
      <c r="B10" s="3" t="s">
        <v>275</v>
      </c>
      <c r="C10" s="3" t="s">
        <v>70</v>
      </c>
      <c r="D10" s="185">
        <f>'Electricity consumption'!D238+'Electricity consumption'!D239</f>
        <v>190.87079611200002</v>
      </c>
      <c r="E10" s="185">
        <f>'Electricity consumption'!E238+'Electricity consumption'!E239</f>
        <v>221.71905297400002</v>
      </c>
      <c r="F10" s="185">
        <f>'Electricity consumption'!F238+'Electricity consumption'!F239</f>
        <v>349.10563403899999</v>
      </c>
      <c r="G10" s="185">
        <f>'Electricity consumption'!G238+'Electricity consumption'!G239</f>
        <v>383.21936761900002</v>
      </c>
      <c r="H10" s="185">
        <f>'Electricity consumption'!H238+'Electricity consumption'!H239</f>
        <v>422.62588690800004</v>
      </c>
      <c r="I10" s="185">
        <f>'Electricity consumption'!I238+'Electricity consumption'!I239</f>
        <v>423.66786104000005</v>
      </c>
      <c r="J10" s="185">
        <f>'Electricity consumption'!J238+'Electricity consumption'!J239</f>
        <v>483.60346110499995</v>
      </c>
      <c r="K10" s="185">
        <f>'Electricity consumption'!K238+'Electricity consumption'!K239</f>
        <v>441.28148553100004</v>
      </c>
      <c r="L10" s="185">
        <f>'Electricity consumption'!L238+'Electricity consumption'!L239</f>
        <v>408.26957664000003</v>
      </c>
      <c r="M10" s="185">
        <f>'Electricity consumption'!M238+'Electricity consumption'!M239</f>
        <v>457.87071171000002</v>
      </c>
      <c r="N10" s="185">
        <f>'Electricity consumption'!N238+'Electricity consumption'!N239</f>
        <v>616.92228288399997</v>
      </c>
      <c r="O10" s="185">
        <f>'Electricity consumption'!O238+'Electricity consumption'!O239</f>
        <v>805.25009270699991</v>
      </c>
      <c r="P10" s="185">
        <f>'Electricity consumption'!P238+'Electricity consumption'!P239</f>
        <v>737.38358212900005</v>
      </c>
      <c r="Q10" s="185">
        <f>'Electricity consumption'!Q238+'Electricity consumption'!Q239</f>
        <v>945.29407891400001</v>
      </c>
      <c r="R10" s="185">
        <f>'Electricity consumption'!R238+'Electricity consumption'!R239</f>
        <v>959.9711056320001</v>
      </c>
      <c r="S10" s="185">
        <f>'Electricity consumption'!S238+'Electricity consumption'!S239</f>
        <v>981.03245223700014</v>
      </c>
      <c r="T10" s="185">
        <f>'Electricity consumption'!T238+'Electricity consumption'!T239</f>
        <v>945.95686901399995</v>
      </c>
      <c r="U10" s="185">
        <f>'Electricity consumption'!U238+'Electricity consumption'!U239</f>
        <v>956.52833772500003</v>
      </c>
      <c r="V10" s="185">
        <f>'Electricity consumption'!V238+'Electricity consumption'!V239</f>
        <v>975.02120850100016</v>
      </c>
      <c r="W10" s="185">
        <f>'Electricity consumption'!W238+'Electricity consumption'!W239</f>
        <v>966.85970635400008</v>
      </c>
      <c r="X10" s="185">
        <f>'Electricity consumption'!X238+'Electricity consumption'!X239</f>
        <v>973.7497358469999</v>
      </c>
      <c r="Y10" s="185">
        <f>'Electricity consumption'!Y238+'Electricity consumption'!Y239</f>
        <v>975.480689934</v>
      </c>
      <c r="Z10" s="185">
        <f>'Electricity consumption'!Z238+'Electricity consumption'!Z239</f>
        <v>980.43846110400011</v>
      </c>
      <c r="AA10" s="185">
        <f>'Electricity consumption'!AA238+'Electricity consumption'!AA239</f>
        <v>981.91994939899996</v>
      </c>
    </row>
    <row r="11" spans="2:27" s="12" customFormat="1" hidden="1" outlineLevel="1" x14ac:dyDescent="0.2">
      <c r="B11" s="3" t="s">
        <v>223</v>
      </c>
      <c r="C11" s="3" t="s">
        <v>70</v>
      </c>
      <c r="D11" s="185">
        <f>'Electricity consumption'!D240</f>
        <v>12.581530629841257</v>
      </c>
      <c r="E11" s="185">
        <f>'Electricity consumption'!E240</f>
        <v>14.258747598053009</v>
      </c>
      <c r="F11" s="185">
        <f>'Electricity consumption'!F240</f>
        <v>21.033723655686803</v>
      </c>
      <c r="G11" s="185">
        <f>'Electricity consumption'!G240</f>
        <v>45.922590117091275</v>
      </c>
      <c r="H11" s="185">
        <f>'Electricity consumption'!H240</f>
        <v>101.28683648050414</v>
      </c>
      <c r="I11" s="185">
        <f>'Electricity consumption'!I240</f>
        <v>192.73908400207625</v>
      </c>
      <c r="J11" s="185">
        <f>'Electricity consumption'!J240</f>
        <v>312.2572733541424</v>
      </c>
      <c r="K11" s="185">
        <f>'Electricity consumption'!K240</f>
        <v>448.47365828329634</v>
      </c>
      <c r="L11" s="185">
        <f>'Electricity consumption'!L240</f>
        <v>596.21030144792451</v>
      </c>
      <c r="M11" s="185">
        <f>'Electricity consumption'!M240</f>
        <v>776.98110988119583</v>
      </c>
      <c r="N11" s="185">
        <f>'Electricity consumption'!N240</f>
        <v>985.87021928583533</v>
      </c>
      <c r="O11" s="185">
        <f>'Electricity consumption'!O240</f>
        <v>1223.3266822954943</v>
      </c>
      <c r="P11" s="185">
        <f>'Electricity consumption'!P240</f>
        <v>1492.5774447905526</v>
      </c>
      <c r="Q11" s="185">
        <f>'Electricity consumption'!Q240</f>
        <v>1789.1381400861933</v>
      </c>
      <c r="R11" s="185">
        <f>'Electricity consumption'!R240</f>
        <v>2115.4663338319292</v>
      </c>
      <c r="S11" s="185">
        <f>'Electricity consumption'!S240</f>
        <v>2466.1256624520151</v>
      </c>
      <c r="T11" s="185">
        <f>'Electricity consumption'!T240</f>
        <v>2872.8059407184523</v>
      </c>
      <c r="U11" s="185">
        <f>'Electricity consumption'!U240</f>
        <v>3300.0247388950602</v>
      </c>
      <c r="V11" s="185">
        <f>'Electricity consumption'!V240</f>
        <v>3730.9993794282263</v>
      </c>
      <c r="W11" s="185">
        <f>'Electricity consumption'!W240</f>
        <v>4157.0163469047347</v>
      </c>
      <c r="X11" s="185">
        <f>'Electricity consumption'!X240</f>
        <v>4553.8766384067858</v>
      </c>
      <c r="Y11" s="185">
        <f>'Electricity consumption'!Y240</f>
        <v>4913.2165919388608</v>
      </c>
      <c r="Z11" s="185">
        <f>'Electricity consumption'!Z240</f>
        <v>5243.5423487395083</v>
      </c>
      <c r="AA11" s="185">
        <f>'Electricity consumption'!AA240</f>
        <v>5547.4460439262493</v>
      </c>
    </row>
    <row r="12" spans="2:27" s="12" customFormat="1" hidden="1" outlineLevel="1" x14ac:dyDescent="0.2">
      <c r="B12" s="3" t="s">
        <v>224</v>
      </c>
      <c r="C12" s="3" t="s">
        <v>70</v>
      </c>
      <c r="D12" s="185">
        <f>'Electricity consumption'!D241</f>
        <v>79.180000000000007</v>
      </c>
      <c r="E12" s="185">
        <f>'Electricity consumption'!E241</f>
        <v>91.292815160000004</v>
      </c>
      <c r="F12" s="185">
        <f>'Electricity consumption'!F241</f>
        <v>103.40563032000001</v>
      </c>
      <c r="G12" s="185">
        <f>'Electricity consumption'!G241</f>
        <v>124.5479358</v>
      </c>
      <c r="H12" s="185">
        <f>'Electricity consumption'!H241</f>
        <v>177.17800440000002</v>
      </c>
      <c r="I12" s="185">
        <f>'Electricity consumption'!I241</f>
        <v>261.45301484000004</v>
      </c>
      <c r="J12" s="185">
        <f>'Electricity consumption'!J241</f>
        <v>349.78928732000008</v>
      </c>
      <c r="K12" s="185">
        <f>'Electricity consumption'!K241</f>
        <v>438.12555979999996</v>
      </c>
      <c r="L12" s="185">
        <f>'Electricity consumption'!L241</f>
        <v>521.18012396000017</v>
      </c>
      <c r="M12" s="185">
        <f>'Electricity consumption'!M241</f>
        <v>576.34550620000005</v>
      </c>
      <c r="N12" s="185">
        <f>'Electricity consumption'!N241</f>
        <v>599.86594660000014</v>
      </c>
      <c r="O12" s="185">
        <f>'Electricity consumption'!O241</f>
        <v>607.21230980000018</v>
      </c>
      <c r="P12" s="185">
        <f>'Electricity consumption'!P241</f>
        <v>614.558673</v>
      </c>
      <c r="Q12" s="185">
        <f>'Electricity consumption'!Q241</f>
        <v>618.1572541999999</v>
      </c>
      <c r="R12" s="185">
        <f>'Electricity consumption'!R241</f>
        <v>618.1572541999999</v>
      </c>
      <c r="S12" s="185">
        <f>'Electricity consumption'!S241</f>
        <v>618.1572541999999</v>
      </c>
      <c r="T12" s="185">
        <f>'Electricity consumption'!T241</f>
        <v>618.1572541999999</v>
      </c>
      <c r="U12" s="185">
        <f>'Electricity consumption'!U241</f>
        <v>618.1572541999999</v>
      </c>
      <c r="V12" s="185">
        <f>'Electricity consumption'!V241</f>
        <v>618.1572541999999</v>
      </c>
      <c r="W12" s="185">
        <f>'Electricity consumption'!W241</f>
        <v>618.1572541999999</v>
      </c>
      <c r="X12" s="185">
        <f>'Electricity consumption'!X241</f>
        <v>618.1572541999999</v>
      </c>
      <c r="Y12" s="185">
        <f>'Electricity consumption'!Y241</f>
        <v>618.1572541999999</v>
      </c>
      <c r="Z12" s="185">
        <f>'Electricity consumption'!Z241</f>
        <v>618.1572541999999</v>
      </c>
      <c r="AA12" s="185">
        <f>'Electricity consumption'!AA241</f>
        <v>618.1572541999999</v>
      </c>
    </row>
    <row r="13" spans="2:27" s="12" customFormat="1" hidden="1" outlineLevel="1" x14ac:dyDescent="0.2">
      <c r="B13" s="3" t="s">
        <v>225</v>
      </c>
      <c r="C13" s="3" t="s">
        <v>70</v>
      </c>
      <c r="D13" s="185">
        <f>'Electricity consumption'!D242</f>
        <v>0</v>
      </c>
      <c r="E13" s="185">
        <f>'Electricity consumption'!E242</f>
        <v>453.03800000000007</v>
      </c>
      <c r="F13" s="185">
        <f>'Electricity consumption'!F242</f>
        <v>906.07600000000014</v>
      </c>
      <c r="G13" s="185">
        <f>'Electricity consumption'!G242</f>
        <v>1546.5780000000002</v>
      </c>
      <c r="H13" s="185">
        <f>'Electricity consumption'!H242</f>
        <v>2187.0800000000004</v>
      </c>
      <c r="I13" s="185">
        <f>'Electricity consumption'!I242</f>
        <v>2827.5819999999999</v>
      </c>
      <c r="J13" s="185">
        <f>'Electricity consumption'!J242</f>
        <v>3468.0839999999998</v>
      </c>
      <c r="K13" s="185">
        <f>'Electricity consumption'!K242</f>
        <v>3655.5479999999998</v>
      </c>
      <c r="L13" s="185">
        <f>'Electricity consumption'!L242</f>
        <v>3843.0120000000006</v>
      </c>
      <c r="M13" s="185">
        <f>'Electricity consumption'!M242</f>
        <v>3843.0120000000006</v>
      </c>
      <c r="N13" s="185">
        <f>'Electricity consumption'!N242</f>
        <v>3843.0120000000006</v>
      </c>
      <c r="O13" s="185">
        <f>'Electricity consumption'!O242</f>
        <v>3843.0120000000006</v>
      </c>
      <c r="P13" s="185">
        <f>'Electricity consumption'!P242</f>
        <v>3843.0120000000006</v>
      </c>
      <c r="Q13" s="185">
        <f>'Electricity consumption'!Q242</f>
        <v>3843.0120000000006</v>
      </c>
      <c r="R13" s="185">
        <f>'Electricity consumption'!R242</f>
        <v>3843.0120000000006</v>
      </c>
      <c r="S13" s="185">
        <f>'Electricity consumption'!S242</f>
        <v>3843.0120000000006</v>
      </c>
      <c r="T13" s="185">
        <f>'Electricity consumption'!T242</f>
        <v>3843.0120000000006</v>
      </c>
      <c r="U13" s="185">
        <f>'Electricity consumption'!U242</f>
        <v>3843.0120000000006</v>
      </c>
      <c r="V13" s="185">
        <f>'Electricity consumption'!V242</f>
        <v>3843.0120000000006</v>
      </c>
      <c r="W13" s="185">
        <f>'Electricity consumption'!W242</f>
        <v>3843.0120000000006</v>
      </c>
      <c r="X13" s="185">
        <f>'Electricity consumption'!X242</f>
        <v>3843.0120000000006</v>
      </c>
      <c r="Y13" s="185">
        <f>'Electricity consumption'!Y242</f>
        <v>3843.0120000000006</v>
      </c>
      <c r="Z13" s="185">
        <f>'Electricity consumption'!Z242</f>
        <v>3843.0120000000006</v>
      </c>
      <c r="AA13" s="185">
        <f>'Electricity consumption'!AA242</f>
        <v>3843.0120000000006</v>
      </c>
    </row>
    <row r="14" spans="2:27" s="12" customFormat="1" hidden="1" outlineLevel="1" x14ac:dyDescent="0.2">
      <c r="B14" s="3"/>
      <c r="C14" s="3"/>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row>
    <row r="15" spans="2:27" s="12" customFormat="1" hidden="1" outlineLevel="1" x14ac:dyDescent="0.2">
      <c r="B15" s="183" t="s">
        <v>192</v>
      </c>
      <c r="C15" s="183"/>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row>
    <row r="16" spans="2:27" hidden="1" outlineLevel="1" x14ac:dyDescent="0.2">
      <c r="B16" s="3" t="s">
        <v>386</v>
      </c>
      <c r="C16" s="3" t="s">
        <v>70</v>
      </c>
      <c r="D16" s="185">
        <f>'Electricity consumption'!D246</f>
        <v>13473.312720224319</v>
      </c>
      <c r="E16" s="185">
        <f>'Electricity consumption'!E246</f>
        <v>13561.351555423402</v>
      </c>
      <c r="F16" s="185">
        <f>'Electricity consumption'!F246</f>
        <v>13667.645467672273</v>
      </c>
      <c r="G16" s="185">
        <f>'Electricity consumption'!G246</f>
        <v>13669.710414385787</v>
      </c>
      <c r="H16" s="185">
        <f>'Electricity consumption'!H246</f>
        <v>13642.433546940194</v>
      </c>
      <c r="I16" s="185">
        <f>'Electricity consumption'!I246</f>
        <v>13665.745712729937</v>
      </c>
      <c r="J16" s="185">
        <f>'Electricity consumption'!J246</f>
        <v>13665.844175388249</v>
      </c>
      <c r="K16" s="185">
        <f>'Electricity consumption'!K246</f>
        <v>13682.882936108741</v>
      </c>
      <c r="L16" s="185">
        <f>'Electricity consumption'!L246</f>
        <v>13696.652429377251</v>
      </c>
      <c r="M16" s="185">
        <f>'Electricity consumption'!M246</f>
        <v>13694.171875613376</v>
      </c>
      <c r="N16" s="185">
        <f>'Electricity consumption'!N246</f>
        <v>13700.52498830683</v>
      </c>
      <c r="O16" s="185">
        <f>'Electricity consumption'!O246</f>
        <v>13691.535429512556</v>
      </c>
      <c r="P16" s="185">
        <f>'Electricity consumption'!P246</f>
        <v>13685.704542564223</v>
      </c>
      <c r="Q16" s="185">
        <f>'Electricity consumption'!Q246</f>
        <v>13708.767046233623</v>
      </c>
      <c r="R16" s="185">
        <f>'Electricity consumption'!R246</f>
        <v>13699.907850797823</v>
      </c>
      <c r="S16" s="185">
        <f>'Electricity consumption'!S246</f>
        <v>13695.395131208046</v>
      </c>
      <c r="T16" s="185">
        <f>'Electricity consumption'!T246</f>
        <v>13672.148947694424</v>
      </c>
      <c r="U16" s="185">
        <f>'Electricity consumption'!U246</f>
        <v>13645.097640171702</v>
      </c>
      <c r="V16" s="185">
        <f>'Electricity consumption'!V246</f>
        <v>13658.132914497892</v>
      </c>
      <c r="W16" s="185">
        <f>'Electricity consumption'!W246</f>
        <v>13640.723047650052</v>
      </c>
      <c r="X16" s="185">
        <f>'Electricity consumption'!X246</f>
        <v>13636.587728260554</v>
      </c>
      <c r="Y16" s="185">
        <f>'Electricity consumption'!Y246</f>
        <v>13629.087762558354</v>
      </c>
      <c r="Z16" s="185">
        <f>'Electricity consumption'!Z246</f>
        <v>13622.93274902562</v>
      </c>
      <c r="AA16" s="185">
        <f>'Electricity consumption'!AA246</f>
        <v>13654.255364337972</v>
      </c>
    </row>
    <row r="17" spans="2:27" s="12" customFormat="1" hidden="1" outlineLevel="1" x14ac:dyDescent="0.2">
      <c r="B17" s="3" t="s">
        <v>220</v>
      </c>
      <c r="C17" s="3" t="s">
        <v>70</v>
      </c>
      <c r="D17" s="185">
        <f>'Electricity consumption'!D247</f>
        <v>225.28881060579303</v>
      </c>
      <c r="E17" s="185">
        <f>'Electricity consumption'!E247</f>
        <v>239.44046307019718</v>
      </c>
      <c r="F17" s="185">
        <f>'Electricity consumption'!F247</f>
        <v>254.49183276136421</v>
      </c>
      <c r="G17" s="185">
        <f>'Electricity consumption'!G247</f>
        <v>270.54749743872998</v>
      </c>
      <c r="H17" s="185">
        <f>'Electricity consumption'!H247</f>
        <v>295.86893929364584</v>
      </c>
      <c r="I17" s="185">
        <f>'Electricity consumption'!I247</f>
        <v>323.36526729142048</v>
      </c>
      <c r="J17" s="185">
        <f>'Electricity consumption'!J247</f>
        <v>353.40034676247967</v>
      </c>
      <c r="K17" s="185">
        <f>'Electricity consumption'!K247</f>
        <v>385.07755614216319</v>
      </c>
      <c r="L17" s="185">
        <f>'Electricity consumption'!L247</f>
        <v>418.12915411043298</v>
      </c>
      <c r="M17" s="185">
        <f>'Electricity consumption'!M247</f>
        <v>452.38459402775499</v>
      </c>
      <c r="N17" s="185">
        <f>'Electricity consumption'!N247</f>
        <v>487.62984755719401</v>
      </c>
      <c r="O17" s="185">
        <f>'Electricity consumption'!O247</f>
        <v>524.02855130454464</v>
      </c>
      <c r="P17" s="185">
        <f>'Electricity consumption'!P247</f>
        <v>561.29246245878664</v>
      </c>
      <c r="Q17" s="185">
        <f>'Electricity consumption'!Q247</f>
        <v>598.22645694437836</v>
      </c>
      <c r="R17" s="185">
        <f>'Electricity consumption'!R247</f>
        <v>636.61760959577612</v>
      </c>
      <c r="S17" s="185">
        <f>'Electricity consumption'!S247</f>
        <v>678.14571804383786</v>
      </c>
      <c r="T17" s="185">
        <f>'Electricity consumption'!T247</f>
        <v>720.21174402978147</v>
      </c>
      <c r="U17" s="185">
        <f>'Electricity consumption'!U247</f>
        <v>747.30174531067416</v>
      </c>
      <c r="V17" s="185">
        <f>'Electricity consumption'!V247</f>
        <v>773.25025454230729</v>
      </c>
      <c r="W17" s="185">
        <f>'Electricity consumption'!W247</f>
        <v>799.2404708662466</v>
      </c>
      <c r="X17" s="185">
        <f>'Electricity consumption'!X247</f>
        <v>824.83220368861998</v>
      </c>
      <c r="Y17" s="185">
        <f>'Electricity consumption'!Y247</f>
        <v>849.98943562717511</v>
      </c>
      <c r="Z17" s="185">
        <f>'Electricity consumption'!Z247</f>
        <v>874.67470070535921</v>
      </c>
      <c r="AA17" s="185">
        <f>'Electricity consumption'!AA247</f>
        <v>898.84903631892882</v>
      </c>
    </row>
    <row r="18" spans="2:27" s="12" customFormat="1" hidden="1" outlineLevel="1" x14ac:dyDescent="0.2">
      <c r="B18" s="3" t="s">
        <v>275</v>
      </c>
      <c r="C18" s="3" t="s">
        <v>70</v>
      </c>
      <c r="D18" s="185">
        <f>'Electricity consumption'!D248+'Electricity consumption'!D249</f>
        <v>141.39998980800002</v>
      </c>
      <c r="E18" s="185">
        <f>'Electricity consumption'!E248+'Electricity consumption'!E249</f>
        <v>131.622756084</v>
      </c>
      <c r="F18" s="185">
        <f>'Electricity consumption'!F248+'Electricity consumption'!F249</f>
        <v>168.390053884</v>
      </c>
      <c r="G18" s="185">
        <f>'Electricity consumption'!G248+'Electricity consumption'!G249</f>
        <v>402.41178591800002</v>
      </c>
      <c r="H18" s="185">
        <f>'Electricity consumption'!H248+'Electricity consumption'!H249</f>
        <v>411.48678925200005</v>
      </c>
      <c r="I18" s="185">
        <f>'Electricity consumption'!I248+'Electricity consumption'!I249</f>
        <v>429.00857589600002</v>
      </c>
      <c r="J18" s="185">
        <f>'Electricity consumption'!J248+'Electricity consumption'!J249</f>
        <v>419.87648181000009</v>
      </c>
      <c r="K18" s="185">
        <f>'Electricity consumption'!K248+'Electricity consumption'!K249</f>
        <v>420.69525570200005</v>
      </c>
      <c r="L18" s="185">
        <f>'Electricity consumption'!L248+'Electricity consumption'!L249</f>
        <v>416.75843393399998</v>
      </c>
      <c r="M18" s="185">
        <f>'Electricity consumption'!M248+'Electricity consumption'!M249</f>
        <v>419.36226775400007</v>
      </c>
      <c r="N18" s="185">
        <f>'Electricity consumption'!N248+'Electricity consumption'!N249</f>
        <v>421.94488238800005</v>
      </c>
      <c r="O18" s="185">
        <f>'Electricity consumption'!O248+'Electricity consumption'!O249</f>
        <v>415.11258634999996</v>
      </c>
      <c r="P18" s="185">
        <f>'Electricity consumption'!P248+'Electricity consumption'!P249</f>
        <v>413.42649523</v>
      </c>
      <c r="Q18" s="185">
        <f>'Electricity consumption'!Q248+'Electricity consumption'!Q249</f>
        <v>548.68977244799999</v>
      </c>
      <c r="R18" s="185">
        <f>'Electricity consumption'!R248+'Electricity consumption'!R249</f>
        <v>565.01023056400004</v>
      </c>
      <c r="S18" s="185">
        <f>'Electricity consumption'!S248+'Electricity consumption'!S249</f>
        <v>562.34044513399988</v>
      </c>
      <c r="T18" s="185">
        <f>'Electricity consumption'!T248+'Electricity consumption'!T249</f>
        <v>557.10737480600005</v>
      </c>
      <c r="U18" s="185">
        <f>'Electricity consumption'!U248+'Electricity consumption'!U249</f>
        <v>590.80757840000001</v>
      </c>
      <c r="V18" s="185">
        <f>'Electricity consumption'!V248+'Electricity consumption'!V249</f>
        <v>600.26979189000008</v>
      </c>
      <c r="W18" s="185">
        <f>'Electricity consumption'!W248+'Electricity consumption'!W249</f>
        <v>612.53327999399994</v>
      </c>
      <c r="X18" s="185">
        <f>'Electricity consumption'!X248+'Electricity consumption'!X249</f>
        <v>603.43406149000009</v>
      </c>
      <c r="Y18" s="185">
        <f>'Electricity consumption'!Y248+'Electricity consumption'!Y249</f>
        <v>606.36299328200005</v>
      </c>
      <c r="Z18" s="185">
        <f>'Electricity consumption'!Z248+'Electricity consumption'!Z249</f>
        <v>606.91818789199988</v>
      </c>
      <c r="AA18" s="185">
        <f>'Electricity consumption'!AA248+'Electricity consumption'!AA249</f>
        <v>627.37783131600008</v>
      </c>
    </row>
    <row r="19" spans="2:27" s="12" customFormat="1" hidden="1" outlineLevel="1" x14ac:dyDescent="0.2">
      <c r="B19" s="3" t="s">
        <v>223</v>
      </c>
      <c r="C19" s="3" t="s">
        <v>70</v>
      </c>
      <c r="D19" s="185">
        <f>'Electricity consumption'!D250</f>
        <v>144.12958588804872</v>
      </c>
      <c r="E19" s="185">
        <f>'Electricity consumption'!E250</f>
        <v>147.93260304016087</v>
      </c>
      <c r="F19" s="185">
        <f>'Electricity consumption'!F250</f>
        <v>158.1297978698326</v>
      </c>
      <c r="G19" s="185">
        <f>'Electricity consumption'!G250</f>
        <v>176.47841696891157</v>
      </c>
      <c r="H19" s="185">
        <f>'Electricity consumption'!H250</f>
        <v>226.42754888886066</v>
      </c>
      <c r="I19" s="185">
        <f>'Electricity consumption'!I250</f>
        <v>303.08120322495216</v>
      </c>
      <c r="J19" s="185">
        <f>'Electricity consumption'!J250</f>
        <v>396.68872494279697</v>
      </c>
      <c r="K19" s="185">
        <f>'Electricity consumption'!K250</f>
        <v>500.3117433997848</v>
      </c>
      <c r="L19" s="185">
        <f>'Electricity consumption'!L250</f>
        <v>613.05787291561342</v>
      </c>
      <c r="M19" s="185">
        <f>'Electricity consumption'!M250</f>
        <v>749.03511954547457</v>
      </c>
      <c r="N19" s="185">
        <f>'Electricity consumption'!N250</f>
        <v>901.98306542134299</v>
      </c>
      <c r="O19" s="185">
        <f>'Electricity consumption'!O250</f>
        <v>1074.648659202687</v>
      </c>
      <c r="P19" s="185">
        <f>'Electricity consumption'!P250</f>
        <v>1271.1103844526631</v>
      </c>
      <c r="Q19" s="185">
        <f>'Electricity consumption'!Q250</f>
        <v>1488.633525505868</v>
      </c>
      <c r="R19" s="185">
        <f>'Electricity consumption'!R250</f>
        <v>1729.836250394543</v>
      </c>
      <c r="S19" s="185">
        <f>'Electricity consumption'!S250</f>
        <v>1991.1568191364745</v>
      </c>
      <c r="T19" s="185">
        <f>'Electricity consumption'!T250</f>
        <v>2296.0143373165502</v>
      </c>
      <c r="U19" s="185">
        <f>'Electricity consumption'!U250</f>
        <v>2616.5301886216753</v>
      </c>
      <c r="V19" s="185">
        <f>'Electricity consumption'!V250</f>
        <v>2938.6989849741558</v>
      </c>
      <c r="W19" s="185">
        <f>'Electricity consumption'!W250</f>
        <v>3259.12035616197</v>
      </c>
      <c r="X19" s="185">
        <f>'Electricity consumption'!X250</f>
        <v>3555.4548825821767</v>
      </c>
      <c r="Y19" s="185">
        <f>'Electricity consumption'!Y250</f>
        <v>3822.8882580143209</v>
      </c>
      <c r="Z19" s="185">
        <f>'Electricity consumption'!Z250</f>
        <v>4071.6950474402361</v>
      </c>
      <c r="AA19" s="185">
        <f>'Electricity consumption'!AA250</f>
        <v>4301.704086985731</v>
      </c>
    </row>
    <row r="20" spans="2:27" s="12" customFormat="1" hidden="1" outlineLevel="1" x14ac:dyDescent="0.2">
      <c r="B20" s="3" t="s">
        <v>224</v>
      </c>
      <c r="C20" s="3" t="s">
        <v>70</v>
      </c>
      <c r="D20" s="185">
        <f>'Electricity consumption'!D251</f>
        <v>126.98800000000001</v>
      </c>
      <c r="E20" s="185">
        <f>'Electricity consumption'!E251</f>
        <v>148.31927888000001</v>
      </c>
      <c r="F20" s="185">
        <f>'Electricity consumption'!F251</f>
        <v>169.65055776000003</v>
      </c>
      <c r="G20" s="185">
        <f>'Electricity consumption'!G251</f>
        <v>212.11815184000002</v>
      </c>
      <c r="H20" s="185">
        <f>'Electricity consumption'!H251</f>
        <v>331.76708072000002</v>
      </c>
      <c r="I20" s="185">
        <f>'Electricity consumption'!I251</f>
        <v>451.41600960000005</v>
      </c>
      <c r="J20" s="185">
        <f>'Electricity consumption'!J251</f>
        <v>549.73365960000001</v>
      </c>
      <c r="K20" s="185">
        <f>'Electricity consumption'!K251</f>
        <v>689.60180015999993</v>
      </c>
      <c r="L20" s="185">
        <f>'Electricity consumption'!L251</f>
        <v>808.33362552000017</v>
      </c>
      <c r="M20" s="185">
        <f>'Electricity consumption'!M251</f>
        <v>869.59163608000006</v>
      </c>
      <c r="N20" s="185">
        <f>'Electricity consumption'!N251</f>
        <v>930.84964663999995</v>
      </c>
      <c r="O20" s="185">
        <f>'Electricity consumption'!O251</f>
        <v>992.10765720000006</v>
      </c>
      <c r="P20" s="185">
        <f>'Electricity consumption'!P251</f>
        <v>1011.8151772000001</v>
      </c>
      <c r="Q20" s="185">
        <f>'Electricity consumption'!Q251</f>
        <v>1031.5226972</v>
      </c>
      <c r="R20" s="185">
        <f>'Electricity consumption'!R251</f>
        <v>1031.5226972</v>
      </c>
      <c r="S20" s="185">
        <f>'Electricity consumption'!S251</f>
        <v>1031.5226972</v>
      </c>
      <c r="T20" s="185">
        <f>'Electricity consumption'!T251</f>
        <v>1031.5226972</v>
      </c>
      <c r="U20" s="185">
        <f>'Electricity consumption'!U251</f>
        <v>1031.5226972</v>
      </c>
      <c r="V20" s="185">
        <f>'Electricity consumption'!V251</f>
        <v>1031.5226972</v>
      </c>
      <c r="W20" s="185">
        <f>'Electricity consumption'!W251</f>
        <v>1031.5226972</v>
      </c>
      <c r="X20" s="185">
        <f>'Electricity consumption'!X251</f>
        <v>1031.5226972</v>
      </c>
      <c r="Y20" s="185">
        <f>'Electricity consumption'!Y251</f>
        <v>1031.5226972</v>
      </c>
      <c r="Z20" s="185">
        <f>'Electricity consumption'!Z251</f>
        <v>1031.5226972</v>
      </c>
      <c r="AA20" s="185">
        <f>'Electricity consumption'!AA251</f>
        <v>1031.5226972</v>
      </c>
    </row>
    <row r="21" spans="2:27" s="12" customFormat="1" hidden="1" outlineLevel="1" x14ac:dyDescent="0.2">
      <c r="B21" s="3" t="s">
        <v>225</v>
      </c>
      <c r="C21" s="3" t="s">
        <v>70</v>
      </c>
      <c r="D21" s="185">
        <f>'Electricity consumption'!D252</f>
        <v>0</v>
      </c>
      <c r="E21" s="185">
        <f>'Electricity consumption'!E252</f>
        <v>0</v>
      </c>
      <c r="F21" s="185">
        <f>'Electricity consumption'!F252</f>
        <v>0</v>
      </c>
      <c r="G21" s="185">
        <f>'Electricity consumption'!G252</f>
        <v>0</v>
      </c>
      <c r="H21" s="185">
        <f>'Electricity consumption'!H252</f>
        <v>0</v>
      </c>
      <c r="I21" s="185">
        <f>'Electricity consumption'!I252</f>
        <v>0</v>
      </c>
      <c r="J21" s="185">
        <f>'Electricity consumption'!J252</f>
        <v>0</v>
      </c>
      <c r="K21" s="185">
        <f>'Electricity consumption'!K252</f>
        <v>0</v>
      </c>
      <c r="L21" s="185">
        <f>'Electricity consumption'!L252</f>
        <v>0</v>
      </c>
      <c r="M21" s="185">
        <f>'Electricity consumption'!M252</f>
        <v>0</v>
      </c>
      <c r="N21" s="185">
        <f>'Electricity consumption'!N252</f>
        <v>0</v>
      </c>
      <c r="O21" s="185">
        <f>'Electricity consumption'!O252</f>
        <v>0</v>
      </c>
      <c r="P21" s="185">
        <f>'Electricity consumption'!P252</f>
        <v>0</v>
      </c>
      <c r="Q21" s="185">
        <f>'Electricity consumption'!Q252</f>
        <v>0</v>
      </c>
      <c r="R21" s="185">
        <f>'Electricity consumption'!R252</f>
        <v>0</v>
      </c>
      <c r="S21" s="185">
        <f>'Electricity consumption'!S252</f>
        <v>0</v>
      </c>
      <c r="T21" s="185">
        <f>'Electricity consumption'!T252</f>
        <v>0</v>
      </c>
      <c r="U21" s="185">
        <f>'Electricity consumption'!U252</f>
        <v>0</v>
      </c>
      <c r="V21" s="185">
        <f>'Electricity consumption'!V252</f>
        <v>0</v>
      </c>
      <c r="W21" s="185">
        <f>'Electricity consumption'!W252</f>
        <v>0</v>
      </c>
      <c r="X21" s="185">
        <f>'Electricity consumption'!X252</f>
        <v>0</v>
      </c>
      <c r="Y21" s="185">
        <f>'Electricity consumption'!Y252</f>
        <v>0</v>
      </c>
      <c r="Z21" s="185">
        <f>'Electricity consumption'!Z252</f>
        <v>0</v>
      </c>
      <c r="AA21" s="185">
        <f>'Electricity consumption'!AA252</f>
        <v>0</v>
      </c>
    </row>
    <row r="22" spans="2:27" s="12" customFormat="1" hidden="1" outlineLevel="1" x14ac:dyDescent="0.2">
      <c r="B22" s="3"/>
      <c r="C22" s="3"/>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row>
    <row r="23" spans="2:27" s="12" customFormat="1" collapsed="1" x14ac:dyDescent="0.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row>
    <row r="24" spans="2:27" s="12" customFormat="1" x14ac:dyDescent="0.2">
      <c r="B24" s="1" t="s">
        <v>455</v>
      </c>
      <c r="C24" s="1" t="s">
        <v>141</v>
      </c>
      <c r="D24" s="151" t="s">
        <v>293</v>
      </c>
      <c r="E24" s="182"/>
      <c r="F24" s="182"/>
      <c r="G24" s="182"/>
      <c r="H24" s="182"/>
      <c r="I24" s="182"/>
      <c r="J24" s="182"/>
      <c r="K24" s="182"/>
      <c r="L24" s="182"/>
      <c r="M24" s="182"/>
      <c r="N24" s="182"/>
      <c r="O24" s="182"/>
      <c r="P24" s="182"/>
      <c r="Q24" s="182"/>
      <c r="R24" s="182"/>
      <c r="S24" s="182"/>
      <c r="T24" s="182"/>
      <c r="U24" s="182"/>
      <c r="V24" s="182"/>
      <c r="W24" s="182"/>
      <c r="X24" s="182"/>
      <c r="Y24" s="182"/>
      <c r="Z24" s="182"/>
      <c r="AA24" s="182"/>
    </row>
    <row r="25" spans="2:27" s="12" customFormat="1" x14ac:dyDescent="0.2">
      <c r="B25" s="12" t="s">
        <v>407</v>
      </c>
      <c r="C25" s="12" t="s">
        <v>69</v>
      </c>
      <c r="D25" s="155">
        <v>5560</v>
      </c>
      <c r="E25" s="182"/>
      <c r="F25" s="182"/>
      <c r="G25" s="182"/>
      <c r="H25" s="182"/>
      <c r="I25" s="182"/>
      <c r="J25" s="182"/>
      <c r="K25" s="182"/>
      <c r="L25" s="182"/>
      <c r="M25" s="182"/>
      <c r="N25" s="182"/>
      <c r="O25" s="182"/>
      <c r="P25" s="182"/>
      <c r="Q25" s="182"/>
      <c r="R25" s="182"/>
      <c r="S25" s="182"/>
      <c r="T25" s="182"/>
      <c r="U25" s="182"/>
      <c r="V25" s="182"/>
      <c r="W25" s="182"/>
      <c r="X25" s="182"/>
      <c r="Y25" s="182"/>
      <c r="Z25" s="182"/>
      <c r="AA25" s="182"/>
    </row>
    <row r="26" spans="2:27" s="12" customFormat="1" x14ac:dyDescent="0.2">
      <c r="B26" s="12" t="s">
        <v>408</v>
      </c>
      <c r="C26" s="12" t="s">
        <v>69</v>
      </c>
      <c r="D26" s="155">
        <v>5327</v>
      </c>
      <c r="E26" s="182"/>
      <c r="F26" s="182"/>
      <c r="G26" s="182"/>
      <c r="H26" s="182"/>
      <c r="I26" s="182"/>
      <c r="J26" s="182"/>
      <c r="K26" s="182"/>
      <c r="L26" s="182"/>
      <c r="M26" s="182"/>
      <c r="N26" s="182"/>
      <c r="O26" s="182"/>
      <c r="P26" s="182"/>
      <c r="Q26" s="182"/>
      <c r="R26" s="182"/>
      <c r="S26" s="182"/>
      <c r="T26" s="182"/>
      <c r="U26" s="182"/>
      <c r="V26" s="182"/>
      <c r="W26" s="182"/>
      <c r="X26" s="182"/>
      <c r="Y26" s="182"/>
      <c r="Z26" s="182"/>
      <c r="AA26" s="182"/>
    </row>
    <row r="27" spans="2:27" s="12" customFormat="1" x14ac:dyDescent="0.2">
      <c r="B27" s="12" t="s">
        <v>409</v>
      </c>
      <c r="C27" s="12" t="s">
        <v>69</v>
      </c>
      <c r="D27" s="155">
        <v>16911</v>
      </c>
      <c r="E27" s="182"/>
      <c r="F27" s="182"/>
      <c r="G27" s="182"/>
      <c r="H27" s="182"/>
      <c r="I27" s="182"/>
      <c r="J27" s="182"/>
      <c r="K27" s="182"/>
      <c r="L27" s="182"/>
      <c r="M27" s="182"/>
      <c r="N27" s="182"/>
      <c r="O27" s="182"/>
      <c r="P27" s="182"/>
      <c r="Q27" s="182"/>
      <c r="R27" s="182"/>
      <c r="S27" s="182"/>
      <c r="T27" s="182"/>
      <c r="U27" s="182"/>
      <c r="V27" s="182"/>
      <c r="W27" s="182"/>
      <c r="X27" s="182"/>
      <c r="Y27" s="182"/>
      <c r="Z27" s="182"/>
      <c r="AA27" s="182"/>
    </row>
    <row r="28" spans="2:27" s="12" customFormat="1" x14ac:dyDescent="0.2">
      <c r="B28" s="12" t="s">
        <v>410</v>
      </c>
      <c r="C28" s="12" t="s">
        <v>69</v>
      </c>
      <c r="D28" s="155">
        <v>15862</v>
      </c>
      <c r="E28" s="182"/>
      <c r="F28" s="182"/>
      <c r="G28" s="182"/>
      <c r="H28" s="182"/>
      <c r="I28" s="182"/>
      <c r="J28" s="182"/>
      <c r="K28" s="182"/>
      <c r="L28" s="182"/>
      <c r="M28" s="182"/>
      <c r="N28" s="182"/>
      <c r="O28" s="182"/>
      <c r="P28" s="182"/>
      <c r="Q28" s="182"/>
      <c r="R28" s="182"/>
      <c r="S28" s="182"/>
      <c r="T28" s="182"/>
      <c r="U28" s="182"/>
      <c r="V28" s="182"/>
      <c r="W28" s="182"/>
      <c r="X28" s="182"/>
      <c r="Y28" s="182"/>
      <c r="Z28" s="182"/>
      <c r="AA28" s="182"/>
    </row>
    <row r="29" spans="2:27" s="12" customFormat="1" x14ac:dyDescent="0.2">
      <c r="D29" s="155"/>
      <c r="E29" s="182"/>
      <c r="F29" s="182"/>
      <c r="G29" s="182"/>
      <c r="H29" s="182"/>
      <c r="I29" s="182"/>
      <c r="J29" s="182"/>
      <c r="K29" s="182"/>
      <c r="L29" s="182"/>
      <c r="M29" s="182"/>
      <c r="N29" s="182"/>
      <c r="O29" s="182"/>
      <c r="P29" s="182"/>
      <c r="Q29" s="182"/>
      <c r="R29" s="182"/>
      <c r="S29" s="182"/>
      <c r="T29" s="182"/>
      <c r="U29" s="182"/>
      <c r="V29" s="182"/>
      <c r="W29" s="182"/>
      <c r="X29" s="182"/>
      <c r="Y29" s="182"/>
      <c r="Z29" s="182"/>
      <c r="AA29" s="182"/>
    </row>
    <row r="30" spans="2:27" s="12" customFormat="1" x14ac:dyDescent="0.2">
      <c r="B30" s="12" t="s">
        <v>406</v>
      </c>
      <c r="C30" s="12" t="s">
        <v>69</v>
      </c>
      <c r="D30" s="155">
        <v>2000</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row>
    <row r="31" spans="2:27" s="12" customFormat="1" x14ac:dyDescent="0.2">
      <c r="B31" s="12" t="s">
        <v>405</v>
      </c>
      <c r="C31" s="12" t="s">
        <v>69</v>
      </c>
      <c r="D31" s="155">
        <v>8760</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row>
    <row r="32" spans="2:27" s="12" customFormat="1" x14ac:dyDescent="0.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row>
    <row r="33" spans="2:27" s="12" customFormat="1" x14ac:dyDescent="0.2">
      <c r="B33" s="12" t="s">
        <v>400</v>
      </c>
      <c r="C33" s="12" t="s">
        <v>89</v>
      </c>
      <c r="D33" s="188">
        <v>1.02</v>
      </c>
      <c r="E33" s="182"/>
      <c r="F33" s="182"/>
      <c r="G33" s="182"/>
      <c r="H33" s="182"/>
      <c r="I33" s="182"/>
      <c r="J33" s="182"/>
      <c r="K33" s="182"/>
      <c r="L33" s="182"/>
      <c r="M33" s="182"/>
      <c r="N33" s="182"/>
      <c r="O33" s="182"/>
      <c r="P33" s="182"/>
      <c r="Q33" s="182"/>
      <c r="R33" s="182"/>
      <c r="S33" s="182"/>
      <c r="T33" s="182"/>
      <c r="U33" s="182"/>
      <c r="V33" s="182"/>
      <c r="W33" s="182"/>
      <c r="X33" s="182"/>
      <c r="Y33" s="182"/>
      <c r="Z33" s="182"/>
      <c r="AA33" s="182"/>
    </row>
    <row r="34" spans="2:27" s="12" customFormat="1" x14ac:dyDescent="0.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row>
    <row r="35" spans="2:27" s="12" customFormat="1" x14ac:dyDescent="0.2">
      <c r="B35" s="12" t="s">
        <v>401</v>
      </c>
      <c r="C35" s="12" t="s">
        <v>441</v>
      </c>
      <c r="D35" s="187">
        <v>1</v>
      </c>
      <c r="E35" s="182"/>
      <c r="F35" s="182"/>
      <c r="G35" s="182"/>
      <c r="H35" s="182"/>
      <c r="I35" s="182"/>
      <c r="J35" s="182"/>
      <c r="K35" s="182"/>
      <c r="L35" s="182"/>
      <c r="M35" s="182"/>
      <c r="N35" s="182"/>
      <c r="O35" s="182"/>
      <c r="P35" s="182"/>
      <c r="Q35" s="182"/>
      <c r="R35" s="182"/>
      <c r="S35" s="182"/>
      <c r="T35" s="182"/>
      <c r="U35" s="182"/>
      <c r="V35" s="182"/>
      <c r="W35" s="182"/>
      <c r="X35" s="182"/>
      <c r="Y35" s="182"/>
      <c r="Z35" s="182"/>
      <c r="AA35" s="182"/>
    </row>
    <row r="36" spans="2:27" s="12" customFormat="1" x14ac:dyDescent="0.2">
      <c r="B36" s="12" t="s">
        <v>402</v>
      </c>
      <c r="C36" s="12" t="s">
        <v>441</v>
      </c>
      <c r="D36" s="187">
        <v>0</v>
      </c>
      <c r="E36" s="182"/>
      <c r="F36" s="182"/>
      <c r="G36" s="182"/>
      <c r="H36" s="182"/>
      <c r="I36" s="182"/>
      <c r="J36" s="182"/>
      <c r="K36" s="182"/>
      <c r="L36" s="182"/>
      <c r="M36" s="182"/>
      <c r="N36" s="182"/>
      <c r="O36" s="182"/>
      <c r="P36" s="182"/>
      <c r="Q36" s="182"/>
      <c r="R36" s="182"/>
      <c r="S36" s="182"/>
      <c r="T36" s="182"/>
      <c r="U36" s="182"/>
      <c r="V36" s="182"/>
      <c r="W36" s="182"/>
      <c r="X36" s="182"/>
      <c r="Y36" s="182"/>
      <c r="Z36" s="182"/>
      <c r="AA36" s="182"/>
    </row>
    <row r="37" spans="2:27" s="12" customFormat="1" x14ac:dyDescent="0.2">
      <c r="B37" s="12" t="s">
        <v>403</v>
      </c>
      <c r="C37" s="12" t="s">
        <v>441</v>
      </c>
      <c r="D37" s="187">
        <v>0.25</v>
      </c>
      <c r="E37" s="182"/>
      <c r="F37" s="182"/>
      <c r="G37" s="182"/>
      <c r="H37" s="182"/>
      <c r="I37" s="182"/>
      <c r="J37" s="182"/>
      <c r="K37" s="182"/>
      <c r="L37" s="182"/>
      <c r="M37" s="182"/>
      <c r="N37" s="182"/>
      <c r="O37" s="182"/>
      <c r="P37" s="182"/>
      <c r="Q37" s="182"/>
      <c r="R37" s="182"/>
      <c r="S37" s="182"/>
      <c r="T37" s="182"/>
      <c r="U37" s="182"/>
      <c r="V37" s="182"/>
      <c r="W37" s="182"/>
      <c r="X37" s="182"/>
      <c r="Y37" s="182"/>
      <c r="Z37" s="182"/>
      <c r="AA37" s="182"/>
    </row>
    <row r="38" spans="2:27" x14ac:dyDescent="0.2">
      <c r="B38" s="2" t="s">
        <v>404</v>
      </c>
    </row>
    <row r="39" spans="2:27" s="12" customFormat="1" x14ac:dyDescent="0.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row>
    <row r="40" spans="2:27" s="12" customFormat="1" x14ac:dyDescent="0.2">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row>
    <row r="41" spans="2:27" s="70" customFormat="1" x14ac:dyDescent="0.2">
      <c r="B41" s="70" t="s">
        <v>411</v>
      </c>
      <c r="D41" s="235"/>
      <c r="E41" s="235"/>
      <c r="F41" s="235"/>
      <c r="G41" s="235"/>
      <c r="H41" s="235"/>
      <c r="I41" s="235"/>
      <c r="J41" s="235"/>
      <c r="K41" s="235"/>
      <c r="L41" s="235"/>
      <c r="M41" s="235"/>
      <c r="N41" s="235"/>
      <c r="O41" s="235"/>
      <c r="P41" s="235"/>
      <c r="Q41" s="235"/>
      <c r="R41" s="235"/>
      <c r="S41" s="235"/>
      <c r="T41" s="235"/>
      <c r="U41" s="235"/>
      <c r="V41" s="235"/>
      <c r="W41" s="235"/>
      <c r="X41" s="235"/>
      <c r="Y41" s="235"/>
      <c r="Z41" s="235"/>
      <c r="AA41" s="235"/>
    </row>
    <row r="42" spans="2:27" s="12" customFormat="1" x14ac:dyDescent="0.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row>
    <row r="43" spans="2:27" x14ac:dyDescent="0.2">
      <c r="B43" s="1" t="s">
        <v>413</v>
      </c>
      <c r="C43" s="1" t="s">
        <v>141</v>
      </c>
      <c r="D43" s="151">
        <f>D$6</f>
        <v>2017</v>
      </c>
      <c r="E43" s="151">
        <f t="shared" ref="E43:AA43" si="0">E$6</f>
        <v>2018</v>
      </c>
      <c r="F43" s="151">
        <f t="shared" si="0"/>
        <v>2019</v>
      </c>
      <c r="G43" s="151">
        <f t="shared" si="0"/>
        <v>2020</v>
      </c>
      <c r="H43" s="151">
        <f t="shared" si="0"/>
        <v>2021</v>
      </c>
      <c r="I43" s="151">
        <f t="shared" si="0"/>
        <v>2022</v>
      </c>
      <c r="J43" s="151">
        <f t="shared" si="0"/>
        <v>2023</v>
      </c>
      <c r="K43" s="151">
        <f t="shared" si="0"/>
        <v>2024</v>
      </c>
      <c r="L43" s="151">
        <f t="shared" si="0"/>
        <v>2025</v>
      </c>
      <c r="M43" s="151">
        <f t="shared" si="0"/>
        <v>2026</v>
      </c>
      <c r="N43" s="151">
        <f t="shared" si="0"/>
        <v>2027</v>
      </c>
      <c r="O43" s="151">
        <f t="shared" si="0"/>
        <v>2028</v>
      </c>
      <c r="P43" s="151">
        <f t="shared" si="0"/>
        <v>2029</v>
      </c>
      <c r="Q43" s="151">
        <f t="shared" si="0"/>
        <v>2030</v>
      </c>
      <c r="R43" s="151">
        <f t="shared" si="0"/>
        <v>2031</v>
      </c>
      <c r="S43" s="151">
        <f t="shared" si="0"/>
        <v>2032</v>
      </c>
      <c r="T43" s="151">
        <f t="shared" si="0"/>
        <v>2033</v>
      </c>
      <c r="U43" s="151">
        <f t="shared" si="0"/>
        <v>2034</v>
      </c>
      <c r="V43" s="151">
        <f t="shared" si="0"/>
        <v>2035</v>
      </c>
      <c r="W43" s="151">
        <f t="shared" si="0"/>
        <v>2036</v>
      </c>
      <c r="X43" s="151">
        <f t="shared" si="0"/>
        <v>2037</v>
      </c>
      <c r="Y43" s="151">
        <f t="shared" si="0"/>
        <v>2038</v>
      </c>
      <c r="Z43" s="151">
        <f t="shared" si="0"/>
        <v>2039</v>
      </c>
      <c r="AA43" s="151">
        <f t="shared" si="0"/>
        <v>2040</v>
      </c>
    </row>
    <row r="44" spans="2:27" x14ac:dyDescent="0.2">
      <c r="B44" s="1" t="s">
        <v>190</v>
      </c>
      <c r="C44" s="1"/>
      <c r="D44" s="1"/>
      <c r="E44" s="1"/>
      <c r="F44" s="1"/>
      <c r="G44" s="1"/>
      <c r="H44" s="1"/>
      <c r="I44" s="1"/>
      <c r="J44" s="1"/>
      <c r="K44" s="1"/>
      <c r="L44" s="1"/>
      <c r="M44" s="1"/>
      <c r="N44" s="1"/>
      <c r="O44" s="1"/>
      <c r="P44" s="1"/>
      <c r="Q44" s="1"/>
      <c r="R44" s="1"/>
      <c r="S44" s="1"/>
      <c r="T44" s="1"/>
      <c r="U44" s="1"/>
      <c r="V44" s="1"/>
      <c r="W44" s="1"/>
      <c r="X44" s="1"/>
      <c r="Y44" s="1"/>
      <c r="Z44" s="1"/>
      <c r="AA44" s="1"/>
    </row>
    <row r="45" spans="2:27" s="12" customFormat="1" x14ac:dyDescent="0.2">
      <c r="B45" s="12" t="s">
        <v>386</v>
      </c>
      <c r="C45" t="s">
        <v>90</v>
      </c>
      <c r="D45" s="153">
        <f>1000*$D$33*D8/$D$25</f>
        <v>3627.8238007620866</v>
      </c>
      <c r="E45" s="153">
        <f t="shared" ref="E45:AA45" si="1">1000*$D$33*E8/$D$25</f>
        <v>3650.0596854120213</v>
      </c>
      <c r="F45" s="153">
        <f t="shared" si="1"/>
        <v>3676.510825986531</v>
      </c>
      <c r="G45" s="153">
        <f t="shared" si="1"/>
        <v>3677.3759524857815</v>
      </c>
      <c r="H45" s="153">
        <f t="shared" si="1"/>
        <v>3671.0854633350145</v>
      </c>
      <c r="I45" s="153">
        <f t="shared" si="1"/>
        <v>3678.2412944706425</v>
      </c>
      <c r="J45" s="153">
        <f t="shared" si="1"/>
        <v>3681.8825968816623</v>
      </c>
      <c r="K45" s="153">
        <f t="shared" si="1"/>
        <v>3685.9448757142727</v>
      </c>
      <c r="L45" s="153">
        <f t="shared" si="1"/>
        <v>3688.6710811815615</v>
      </c>
      <c r="M45" s="153">
        <f t="shared" si="1"/>
        <v>3688.0030386082894</v>
      </c>
      <c r="N45" s="153">
        <f t="shared" si="1"/>
        <v>3689.7140072693305</v>
      </c>
      <c r="O45" s="153">
        <f t="shared" si="1"/>
        <v>3687.2930123782066</v>
      </c>
      <c r="P45" s="153">
        <f t="shared" si="1"/>
        <v>3685.7226853092488</v>
      </c>
      <c r="Q45" s="153">
        <f t="shared" si="1"/>
        <v>3691.9336913038596</v>
      </c>
      <c r="R45" s="153">
        <f t="shared" si="1"/>
        <v>3689.547804812612</v>
      </c>
      <c r="S45" s="153">
        <f t="shared" si="1"/>
        <v>3688.3324758602184</v>
      </c>
      <c r="T45" s="153">
        <f t="shared" si="1"/>
        <v>3682.072002703243</v>
      </c>
      <c r="U45" s="153">
        <f t="shared" si="1"/>
        <v>3674.786764483048</v>
      </c>
      <c r="V45" s="153">
        <f t="shared" si="1"/>
        <v>3678.2973185903538</v>
      </c>
      <c r="W45" s="153">
        <f t="shared" si="1"/>
        <v>3673.6086347896967</v>
      </c>
      <c r="X45" s="153">
        <f t="shared" si="1"/>
        <v>3672.4949441910535</v>
      </c>
      <c r="Y45" s="153">
        <f t="shared" si="1"/>
        <v>3670.4751144013876</v>
      </c>
      <c r="Z45" s="153">
        <f t="shared" si="1"/>
        <v>3668.8174961958048</v>
      </c>
      <c r="AA45" s="153">
        <f t="shared" si="1"/>
        <v>3677.2530483050073</v>
      </c>
    </row>
    <row r="46" spans="2:27" x14ac:dyDescent="0.2">
      <c r="B46" s="12" t="s">
        <v>220</v>
      </c>
      <c r="C46" s="12" t="s">
        <v>90</v>
      </c>
      <c r="D46" s="153">
        <f>1000*$D$33*D9/$D$25*$D$35</f>
        <v>60.661258751475827</v>
      </c>
      <c r="E46" s="153">
        <f t="shared" ref="E46:AA46" si="2">1000*$D$33*E9/$D$25*$D$35</f>
        <v>64.445787555695162</v>
      </c>
      <c r="F46" s="153">
        <f t="shared" si="2"/>
        <v>68.456705325387517</v>
      </c>
      <c r="G46" s="153">
        <f t="shared" si="2"/>
        <v>72.78170721446827</v>
      </c>
      <c r="H46" s="153">
        <f t="shared" si="2"/>
        <v>79.616305870653349</v>
      </c>
      <c r="I46" s="153">
        <f t="shared" si="2"/>
        <v>87.036266029805731</v>
      </c>
      <c r="J46" s="153">
        <f t="shared" si="2"/>
        <v>95.213919445979045</v>
      </c>
      <c r="K46" s="153">
        <f t="shared" si="2"/>
        <v>103.73359557649158</v>
      </c>
      <c r="L46" s="153">
        <f t="shared" si="2"/>
        <v>112.60714447699452</v>
      </c>
      <c r="M46" s="153">
        <f t="shared" si="2"/>
        <v>121.83254106551871</v>
      </c>
      <c r="N46" s="153">
        <f t="shared" si="2"/>
        <v>131.32450620906766</v>
      </c>
      <c r="O46" s="153">
        <f t="shared" si="2"/>
        <v>141.12710918798049</v>
      </c>
      <c r="P46" s="153">
        <f t="shared" si="2"/>
        <v>151.16272279175078</v>
      </c>
      <c r="Q46" s="153">
        <f t="shared" si="2"/>
        <v>161.10948592047797</v>
      </c>
      <c r="R46" s="153">
        <f t="shared" si="2"/>
        <v>171.44867904000989</v>
      </c>
      <c r="S46" s="153">
        <f t="shared" si="2"/>
        <v>182.63269159186393</v>
      </c>
      <c r="T46" s="153">
        <f t="shared" si="2"/>
        <v>193.96157172185616</v>
      </c>
      <c r="U46" s="153">
        <f t="shared" si="2"/>
        <v>201.25723063042818</v>
      </c>
      <c r="V46" s="153">
        <f t="shared" si="2"/>
        <v>208.2454721804001</v>
      </c>
      <c r="W46" s="153">
        <f t="shared" si="2"/>
        <v>215.24494594540147</v>
      </c>
      <c r="X46" s="153">
        <f t="shared" si="2"/>
        <v>222.13710337335377</v>
      </c>
      <c r="Y46" s="153">
        <f t="shared" si="2"/>
        <v>228.91224455568315</v>
      </c>
      <c r="Z46" s="153">
        <f t="shared" si="2"/>
        <v>235.56027946017542</v>
      </c>
      <c r="AA46" s="153">
        <f t="shared" si="2"/>
        <v>242.07071499501404</v>
      </c>
    </row>
    <row r="47" spans="2:27" x14ac:dyDescent="0.2">
      <c r="B47" s="12" t="s">
        <v>275</v>
      </c>
      <c r="C47" s="12" t="s">
        <v>90</v>
      </c>
      <c r="D47" s="153">
        <f>1000*$D$33*D10/$D$25*$D$36</f>
        <v>0</v>
      </c>
      <c r="E47" s="153">
        <f t="shared" ref="E47:AA47" si="3">1000*$D$33*E10/$D$25*$D$36</f>
        <v>0</v>
      </c>
      <c r="F47" s="153">
        <f t="shared" si="3"/>
        <v>0</v>
      </c>
      <c r="G47" s="153">
        <f t="shared" si="3"/>
        <v>0</v>
      </c>
      <c r="H47" s="153">
        <f t="shared" si="3"/>
        <v>0</v>
      </c>
      <c r="I47" s="153">
        <f t="shared" si="3"/>
        <v>0</v>
      </c>
      <c r="J47" s="153">
        <f t="shared" si="3"/>
        <v>0</v>
      </c>
      <c r="K47" s="153">
        <f t="shared" si="3"/>
        <v>0</v>
      </c>
      <c r="L47" s="153">
        <f t="shared" si="3"/>
        <v>0</v>
      </c>
      <c r="M47" s="153">
        <f t="shared" si="3"/>
        <v>0</v>
      </c>
      <c r="N47" s="153">
        <f t="shared" si="3"/>
        <v>0</v>
      </c>
      <c r="O47" s="153">
        <f t="shared" si="3"/>
        <v>0</v>
      </c>
      <c r="P47" s="153">
        <f t="shared" si="3"/>
        <v>0</v>
      </c>
      <c r="Q47" s="153">
        <f t="shared" si="3"/>
        <v>0</v>
      </c>
      <c r="R47" s="153">
        <f t="shared" si="3"/>
        <v>0</v>
      </c>
      <c r="S47" s="153">
        <f t="shared" si="3"/>
        <v>0</v>
      </c>
      <c r="T47" s="153">
        <f t="shared" si="3"/>
        <v>0</v>
      </c>
      <c r="U47" s="153">
        <f t="shared" si="3"/>
        <v>0</v>
      </c>
      <c r="V47" s="153">
        <f t="shared" si="3"/>
        <v>0</v>
      </c>
      <c r="W47" s="153">
        <f t="shared" si="3"/>
        <v>0</v>
      </c>
      <c r="X47" s="153">
        <f t="shared" si="3"/>
        <v>0</v>
      </c>
      <c r="Y47" s="153">
        <f t="shared" si="3"/>
        <v>0</v>
      </c>
      <c r="Z47" s="153">
        <f t="shared" si="3"/>
        <v>0</v>
      </c>
      <c r="AA47" s="153">
        <f t="shared" si="3"/>
        <v>0</v>
      </c>
    </row>
    <row r="48" spans="2:27" x14ac:dyDescent="0.2">
      <c r="B48" s="12" t="s">
        <v>223</v>
      </c>
      <c r="C48" s="12" t="s">
        <v>90</v>
      </c>
      <c r="D48" s="153">
        <f>1000*$D$33*D11/$D$25*$D$37</f>
        <v>0.57703063140458999</v>
      </c>
      <c r="E48" s="153">
        <f t="shared" ref="E48:AA48" si="4">1000*$D$33*E11/$D$25*$D$37</f>
        <v>0.65395335206897798</v>
      </c>
      <c r="F48" s="153">
        <f t="shared" si="4"/>
        <v>0.96467617485613932</v>
      </c>
      <c r="G48" s="153">
        <f t="shared" si="4"/>
        <v>2.1061619568090419</v>
      </c>
      <c r="H48" s="153">
        <f t="shared" si="4"/>
        <v>4.6453495148432653</v>
      </c>
      <c r="I48" s="153">
        <f t="shared" si="4"/>
        <v>8.8396522339081738</v>
      </c>
      <c r="J48" s="153">
        <f t="shared" si="4"/>
        <v>14.321151925414803</v>
      </c>
      <c r="K48" s="153">
        <f t="shared" si="4"/>
        <v>20.568486126302261</v>
      </c>
      <c r="L48" s="153">
        <f t="shared" si="4"/>
        <v>27.344177494464166</v>
      </c>
      <c r="M48" s="153">
        <f t="shared" si="4"/>
        <v>35.634925003544055</v>
      </c>
      <c r="N48" s="153">
        <f t="shared" si="4"/>
        <v>45.21527084854101</v>
      </c>
      <c r="O48" s="153">
        <f t="shared" si="4"/>
        <v>56.105810069307744</v>
      </c>
      <c r="P48" s="153">
        <f t="shared" si="4"/>
        <v>68.454541083019947</v>
      </c>
      <c r="Q48" s="153">
        <f t="shared" si="4"/>
        <v>82.055795993161738</v>
      </c>
      <c r="R48" s="153">
        <f t="shared" si="4"/>
        <v>97.022286893370861</v>
      </c>
      <c r="S48" s="153">
        <f t="shared" si="4"/>
        <v>113.10468415922013</v>
      </c>
      <c r="T48" s="153">
        <f t="shared" si="4"/>
        <v>131.75638756892181</v>
      </c>
      <c r="U48" s="153">
        <f t="shared" si="4"/>
        <v>151.35005547090654</v>
      </c>
      <c r="V48" s="153">
        <f t="shared" si="4"/>
        <v>171.11597873276938</v>
      </c>
      <c r="W48" s="153">
        <f t="shared" si="4"/>
        <v>190.65452670156608</v>
      </c>
      <c r="X48" s="153">
        <f t="shared" si="4"/>
        <v>208.85585302045507</v>
      </c>
      <c r="Y48" s="153">
        <f t="shared" si="4"/>
        <v>225.33637247201611</v>
      </c>
      <c r="Z48" s="153">
        <f t="shared" si="4"/>
        <v>240.48620484326884</v>
      </c>
      <c r="AA48" s="153">
        <f t="shared" si="4"/>
        <v>254.42423402899163</v>
      </c>
    </row>
    <row r="49" spans="2:27" x14ac:dyDescent="0.2">
      <c r="B49" s="12" t="s">
        <v>224</v>
      </c>
      <c r="C49" s="12" t="s">
        <v>90</v>
      </c>
      <c r="D49" s="153">
        <f>1000*D12/$D$30</f>
        <v>39.590000000000003</v>
      </c>
      <c r="E49" s="153">
        <f t="shared" ref="E49:AA49" si="5">1000*E12/$D$30</f>
        <v>45.646407580000002</v>
      </c>
      <c r="F49" s="153">
        <f t="shared" si="5"/>
        <v>51.702815160000007</v>
      </c>
      <c r="G49" s="153">
        <f t="shared" si="5"/>
        <v>62.273967900000002</v>
      </c>
      <c r="H49" s="153">
        <f t="shared" si="5"/>
        <v>88.58900220000001</v>
      </c>
      <c r="I49" s="153">
        <f t="shared" si="5"/>
        <v>130.72650742000002</v>
      </c>
      <c r="J49" s="153">
        <f t="shared" si="5"/>
        <v>174.89464366000004</v>
      </c>
      <c r="K49" s="153">
        <f t="shared" si="5"/>
        <v>219.06277989999998</v>
      </c>
      <c r="L49" s="153">
        <f t="shared" si="5"/>
        <v>260.59006198000009</v>
      </c>
      <c r="M49" s="153">
        <f t="shared" si="5"/>
        <v>288.17275310000002</v>
      </c>
      <c r="N49" s="153">
        <f t="shared" si="5"/>
        <v>299.93297330000007</v>
      </c>
      <c r="O49" s="153">
        <f t="shared" si="5"/>
        <v>303.60615490000009</v>
      </c>
      <c r="P49" s="153">
        <f t="shared" si="5"/>
        <v>307.2793365</v>
      </c>
      <c r="Q49" s="153">
        <f t="shared" si="5"/>
        <v>309.07862709999995</v>
      </c>
      <c r="R49" s="153">
        <f t="shared" si="5"/>
        <v>309.07862709999995</v>
      </c>
      <c r="S49" s="153">
        <f t="shared" si="5"/>
        <v>309.07862709999995</v>
      </c>
      <c r="T49" s="153">
        <f t="shared" si="5"/>
        <v>309.07862709999995</v>
      </c>
      <c r="U49" s="153">
        <f t="shared" si="5"/>
        <v>309.07862709999995</v>
      </c>
      <c r="V49" s="153">
        <f t="shared" si="5"/>
        <v>309.07862709999995</v>
      </c>
      <c r="W49" s="153">
        <f t="shared" si="5"/>
        <v>309.07862709999995</v>
      </c>
      <c r="X49" s="153">
        <f t="shared" si="5"/>
        <v>309.07862709999995</v>
      </c>
      <c r="Y49" s="153">
        <f t="shared" si="5"/>
        <v>309.07862709999995</v>
      </c>
      <c r="Z49" s="153">
        <f t="shared" si="5"/>
        <v>309.07862709999995</v>
      </c>
      <c r="AA49" s="153">
        <f t="shared" si="5"/>
        <v>309.07862709999995</v>
      </c>
    </row>
    <row r="50" spans="2:27" s="12" customFormat="1" x14ac:dyDescent="0.2">
      <c r="B50" s="12" t="s">
        <v>225</v>
      </c>
      <c r="C50" s="12" t="s">
        <v>90</v>
      </c>
      <c r="D50" s="153">
        <f>1000*D13/$D$31</f>
        <v>0</v>
      </c>
      <c r="E50" s="153">
        <f t="shared" ref="E50:AA50" si="6">1000*E13/$D$31</f>
        <v>51.716666666666676</v>
      </c>
      <c r="F50" s="153">
        <f t="shared" si="6"/>
        <v>103.43333333333335</v>
      </c>
      <c r="G50" s="153">
        <f t="shared" si="6"/>
        <v>176.55000000000004</v>
      </c>
      <c r="H50" s="153">
        <f t="shared" si="6"/>
        <v>249.66666666666671</v>
      </c>
      <c r="I50" s="153">
        <f t="shared" si="6"/>
        <v>322.78333333333336</v>
      </c>
      <c r="J50" s="153">
        <f t="shared" si="6"/>
        <v>395.9</v>
      </c>
      <c r="K50" s="153">
        <f t="shared" si="6"/>
        <v>417.3</v>
      </c>
      <c r="L50" s="153">
        <f t="shared" si="6"/>
        <v>438.70000000000005</v>
      </c>
      <c r="M50" s="153">
        <f t="shared" si="6"/>
        <v>438.70000000000005</v>
      </c>
      <c r="N50" s="153">
        <f t="shared" si="6"/>
        <v>438.70000000000005</v>
      </c>
      <c r="O50" s="153">
        <f t="shared" si="6"/>
        <v>438.70000000000005</v>
      </c>
      <c r="P50" s="153">
        <f t="shared" si="6"/>
        <v>438.70000000000005</v>
      </c>
      <c r="Q50" s="153">
        <f t="shared" si="6"/>
        <v>438.70000000000005</v>
      </c>
      <c r="R50" s="153">
        <f t="shared" si="6"/>
        <v>438.70000000000005</v>
      </c>
      <c r="S50" s="153">
        <f t="shared" si="6"/>
        <v>438.70000000000005</v>
      </c>
      <c r="T50" s="153">
        <f t="shared" si="6"/>
        <v>438.70000000000005</v>
      </c>
      <c r="U50" s="153">
        <f t="shared" si="6"/>
        <v>438.70000000000005</v>
      </c>
      <c r="V50" s="153">
        <f t="shared" si="6"/>
        <v>438.70000000000005</v>
      </c>
      <c r="W50" s="153">
        <f t="shared" si="6"/>
        <v>438.70000000000005</v>
      </c>
      <c r="X50" s="153">
        <f t="shared" si="6"/>
        <v>438.70000000000005</v>
      </c>
      <c r="Y50" s="153">
        <f t="shared" si="6"/>
        <v>438.70000000000005</v>
      </c>
      <c r="Z50" s="153">
        <f t="shared" si="6"/>
        <v>438.70000000000005</v>
      </c>
      <c r="AA50" s="153">
        <f t="shared" si="6"/>
        <v>438.70000000000005</v>
      </c>
    </row>
    <row r="51" spans="2:27" s="12" customFormat="1" x14ac:dyDescent="0.2">
      <c r="B51" s="91" t="str">
        <f>"Total, "&amp;B44</f>
        <v>Total, Western Denmark (DK1)</v>
      </c>
      <c r="C51" s="91" t="s">
        <v>90</v>
      </c>
      <c r="D51" s="92">
        <f>SUM(D45:D50)</f>
        <v>3728.6520901449676</v>
      </c>
      <c r="E51" s="92">
        <f t="shared" ref="E51:AA51" si="7">SUM(E45:E50)</f>
        <v>3812.522500566452</v>
      </c>
      <c r="F51" s="92">
        <f t="shared" si="7"/>
        <v>3901.0683559801087</v>
      </c>
      <c r="G51" s="92">
        <f t="shared" si="7"/>
        <v>3991.0877895570588</v>
      </c>
      <c r="H51" s="92">
        <f t="shared" si="7"/>
        <v>4093.6027875871778</v>
      </c>
      <c r="I51" s="92">
        <f t="shared" si="7"/>
        <v>4227.6270534876894</v>
      </c>
      <c r="J51" s="92">
        <f t="shared" si="7"/>
        <v>4362.2123119130556</v>
      </c>
      <c r="K51" s="92">
        <f t="shared" si="7"/>
        <v>4446.609737317066</v>
      </c>
      <c r="L51" s="92">
        <f t="shared" si="7"/>
        <v>4527.9124651330203</v>
      </c>
      <c r="M51" s="92">
        <f t="shared" si="7"/>
        <v>4572.3432577773519</v>
      </c>
      <c r="N51" s="92">
        <f t="shared" si="7"/>
        <v>4604.8867576269395</v>
      </c>
      <c r="O51" s="92">
        <f t="shared" si="7"/>
        <v>4626.8320865354945</v>
      </c>
      <c r="P51" s="92">
        <f t="shared" si="7"/>
        <v>4651.3192856840196</v>
      </c>
      <c r="Q51" s="92">
        <f t="shared" si="7"/>
        <v>4682.8776003174989</v>
      </c>
      <c r="R51" s="92">
        <f t="shared" si="7"/>
        <v>4705.7973978459931</v>
      </c>
      <c r="S51" s="92">
        <f t="shared" si="7"/>
        <v>4731.8484787113021</v>
      </c>
      <c r="T51" s="92">
        <f t="shared" si="7"/>
        <v>4755.5685890940204</v>
      </c>
      <c r="U51" s="92">
        <f t="shared" si="7"/>
        <v>4775.1726776843825</v>
      </c>
      <c r="V51" s="92">
        <f t="shared" si="7"/>
        <v>4805.4373966035228</v>
      </c>
      <c r="W51" s="92">
        <f t="shared" si="7"/>
        <v>4827.286734536664</v>
      </c>
      <c r="X51" s="92">
        <f t="shared" si="7"/>
        <v>4851.266527684862</v>
      </c>
      <c r="Y51" s="92">
        <f t="shared" si="7"/>
        <v>4872.5023585290865</v>
      </c>
      <c r="Z51" s="92">
        <f t="shared" si="7"/>
        <v>4892.6426075992485</v>
      </c>
      <c r="AA51" s="92">
        <f t="shared" si="7"/>
        <v>4921.5266244290124</v>
      </c>
    </row>
    <row r="52" spans="2:27" s="12" customFormat="1" x14ac:dyDescent="0.2">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row>
    <row r="53" spans="2:27" x14ac:dyDescent="0.2">
      <c r="B53" s="1" t="s">
        <v>192</v>
      </c>
      <c r="C53" s="1"/>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row>
    <row r="54" spans="2:27" x14ac:dyDescent="0.2">
      <c r="B54" s="12" t="s">
        <v>386</v>
      </c>
      <c r="C54" t="s">
        <v>90</v>
      </c>
      <c r="D54" s="153">
        <f>1000*$D$33*D16/$D$26</f>
        <v>2579.834611343872</v>
      </c>
      <c r="E54" s="153">
        <f t="shared" ref="E54:AA54" si="8">1000*$D$33*E16/$D$26</f>
        <v>2596.6920567921661</v>
      </c>
      <c r="F54" s="153">
        <f t="shared" si="8"/>
        <v>2617.0449365544805</v>
      </c>
      <c r="G54" s="153">
        <f t="shared" si="8"/>
        <v>2617.44032713976</v>
      </c>
      <c r="H54" s="153">
        <f t="shared" si="8"/>
        <v>2612.2174240433633</v>
      </c>
      <c r="I54" s="153">
        <f t="shared" si="8"/>
        <v>2616.6811764566423</v>
      </c>
      <c r="J54" s="153">
        <f t="shared" si="8"/>
        <v>2616.7000298284238</v>
      </c>
      <c r="K54" s="153">
        <f t="shared" si="8"/>
        <v>2619.9625670792034</v>
      </c>
      <c r="L54" s="153">
        <f t="shared" si="8"/>
        <v>2622.5991135657587</v>
      </c>
      <c r="M54" s="153">
        <f t="shared" si="8"/>
        <v>2622.1241436316209</v>
      </c>
      <c r="N54" s="153">
        <f t="shared" si="8"/>
        <v>2623.3406210011203</v>
      </c>
      <c r="O54" s="153">
        <f t="shared" si="8"/>
        <v>2621.619323841338</v>
      </c>
      <c r="P54" s="153">
        <f t="shared" si="8"/>
        <v>2620.5028408889634</v>
      </c>
      <c r="Q54" s="153">
        <f t="shared" si="8"/>
        <v>2624.9187886537065</v>
      </c>
      <c r="R54" s="153">
        <f t="shared" si="8"/>
        <v>2623.2224531281736</v>
      </c>
      <c r="S54" s="153">
        <f t="shared" si="8"/>
        <v>2622.3583694072099</v>
      </c>
      <c r="T54" s="153">
        <f t="shared" si="8"/>
        <v>2617.9072511072486</v>
      </c>
      <c r="U54" s="153">
        <f t="shared" si="8"/>
        <v>2612.727537633778</v>
      </c>
      <c r="V54" s="153">
        <f t="shared" si="8"/>
        <v>2615.2234978013607</v>
      </c>
      <c r="W54" s="153">
        <f t="shared" si="8"/>
        <v>2611.8899021218422</v>
      </c>
      <c r="X54" s="153">
        <f t="shared" si="8"/>
        <v>2611.0980820022087</v>
      </c>
      <c r="Y54" s="153">
        <f t="shared" si="8"/>
        <v>2609.6620082240515</v>
      </c>
      <c r="Z54" s="153">
        <f t="shared" si="8"/>
        <v>2608.4834623627057</v>
      </c>
      <c r="AA54" s="153">
        <f t="shared" si="8"/>
        <v>2614.481034658294</v>
      </c>
    </row>
    <row r="55" spans="2:27" s="12" customFormat="1" x14ac:dyDescent="0.2">
      <c r="B55" s="12" t="s">
        <v>220</v>
      </c>
      <c r="C55" s="12" t="s">
        <v>90</v>
      </c>
      <c r="D55" s="153">
        <f>1000*$D$33*D17/$D$26*$D$35</f>
        <v>43.137711060241955</v>
      </c>
      <c r="E55" s="153">
        <f t="shared" ref="E55:AA55" si="9">1000*$D$33*E17/$D$26*$D$35</f>
        <v>45.84743238813612</v>
      </c>
      <c r="F55" s="153">
        <f t="shared" si="9"/>
        <v>48.729429212801108</v>
      </c>
      <c r="G55" s="153">
        <f t="shared" si="9"/>
        <v>51.803725809555957</v>
      </c>
      <c r="H55" s="153">
        <f t="shared" si="9"/>
        <v>56.652209138261448</v>
      </c>
      <c r="I55" s="153">
        <f t="shared" si="9"/>
        <v>61.917133966068874</v>
      </c>
      <c r="J55" s="153">
        <f t="shared" si="9"/>
        <v>67.668172272898303</v>
      </c>
      <c r="K55" s="153">
        <f t="shared" si="9"/>
        <v>73.733641311245819</v>
      </c>
      <c r="L55" s="153">
        <f t="shared" si="9"/>
        <v>80.062274674796626</v>
      </c>
      <c r="M55" s="153">
        <f t="shared" si="9"/>
        <v>86.621416539949337</v>
      </c>
      <c r="N55" s="153">
        <f t="shared" si="9"/>
        <v>93.370085321632786</v>
      </c>
      <c r="O55" s="153">
        <f t="shared" si="9"/>
        <v>100.33961372829651</v>
      </c>
      <c r="P55" s="153">
        <f t="shared" si="9"/>
        <v>107.47480978185891</v>
      </c>
      <c r="Q55" s="153">
        <f t="shared" si="9"/>
        <v>114.54683425629172</v>
      </c>
      <c r="R55" s="153">
        <f t="shared" si="9"/>
        <v>121.89787155766692</v>
      </c>
      <c r="S55" s="153">
        <f t="shared" si="9"/>
        <v>129.8495649342434</v>
      </c>
      <c r="T55" s="153">
        <f t="shared" si="9"/>
        <v>137.90425735130037</v>
      </c>
      <c r="U55" s="153">
        <f t="shared" si="9"/>
        <v>143.0913798041839</v>
      </c>
      <c r="V55" s="153">
        <f t="shared" si="9"/>
        <v>148.05993235088295</v>
      </c>
      <c r="W55" s="153">
        <f t="shared" si="9"/>
        <v>153.03647086231868</v>
      </c>
      <c r="X55" s="153">
        <f t="shared" si="9"/>
        <v>157.93670879714517</v>
      </c>
      <c r="Y55" s="153">
        <f t="shared" si="9"/>
        <v>162.75374964139638</v>
      </c>
      <c r="Z55" s="153">
        <f t="shared" si="9"/>
        <v>167.48041950806578</v>
      </c>
      <c r="AA55" s="153">
        <f t="shared" si="9"/>
        <v>172.10925793979865</v>
      </c>
    </row>
    <row r="56" spans="2:27" s="12" customFormat="1" x14ac:dyDescent="0.2">
      <c r="B56" s="12" t="s">
        <v>275</v>
      </c>
      <c r="C56" s="12" t="s">
        <v>90</v>
      </c>
      <c r="D56" s="153">
        <f>1000*$D$33*D18/$D$26*$D$36</f>
        <v>0</v>
      </c>
      <c r="E56" s="153">
        <f t="shared" ref="E56:AA56" si="10">1000*$D$33*E18/$D$26*$D$36</f>
        <v>0</v>
      </c>
      <c r="F56" s="153">
        <f t="shared" si="10"/>
        <v>0</v>
      </c>
      <c r="G56" s="153">
        <f t="shared" si="10"/>
        <v>0</v>
      </c>
      <c r="H56" s="153">
        <f t="shared" si="10"/>
        <v>0</v>
      </c>
      <c r="I56" s="153">
        <f t="shared" si="10"/>
        <v>0</v>
      </c>
      <c r="J56" s="153">
        <f t="shared" si="10"/>
        <v>0</v>
      </c>
      <c r="K56" s="153">
        <f t="shared" si="10"/>
        <v>0</v>
      </c>
      <c r="L56" s="153">
        <f t="shared" si="10"/>
        <v>0</v>
      </c>
      <c r="M56" s="153">
        <f t="shared" si="10"/>
        <v>0</v>
      </c>
      <c r="N56" s="153">
        <f t="shared" si="10"/>
        <v>0</v>
      </c>
      <c r="O56" s="153">
        <f t="shared" si="10"/>
        <v>0</v>
      </c>
      <c r="P56" s="153">
        <f t="shared" si="10"/>
        <v>0</v>
      </c>
      <c r="Q56" s="153">
        <f t="shared" si="10"/>
        <v>0</v>
      </c>
      <c r="R56" s="153">
        <f t="shared" si="10"/>
        <v>0</v>
      </c>
      <c r="S56" s="153">
        <f t="shared" si="10"/>
        <v>0</v>
      </c>
      <c r="T56" s="153">
        <f t="shared" si="10"/>
        <v>0</v>
      </c>
      <c r="U56" s="153">
        <f t="shared" si="10"/>
        <v>0</v>
      </c>
      <c r="V56" s="153">
        <f t="shared" si="10"/>
        <v>0</v>
      </c>
      <c r="W56" s="153">
        <f t="shared" si="10"/>
        <v>0</v>
      </c>
      <c r="X56" s="153">
        <f t="shared" si="10"/>
        <v>0</v>
      </c>
      <c r="Y56" s="153">
        <f t="shared" si="10"/>
        <v>0</v>
      </c>
      <c r="Z56" s="153">
        <f t="shared" si="10"/>
        <v>0</v>
      </c>
      <c r="AA56" s="153">
        <f t="shared" si="10"/>
        <v>0</v>
      </c>
    </row>
    <row r="57" spans="2:27" s="12" customFormat="1" x14ac:dyDescent="0.2">
      <c r="B57" s="12" t="s">
        <v>223</v>
      </c>
      <c r="C57" s="12" t="s">
        <v>90</v>
      </c>
      <c r="D57" s="153">
        <f>1000*$D$33*D19/$D$26*$D$37</f>
        <v>6.8993888495311477</v>
      </c>
      <c r="E57" s="153">
        <f t="shared" ref="E57:AA57" si="11">1000*$D$33*E19/$D$26*$D$37</f>
        <v>7.0814367890446812</v>
      </c>
      <c r="F57" s="153">
        <f t="shared" si="11"/>
        <v>7.569569824818343</v>
      </c>
      <c r="G57" s="153">
        <f t="shared" si="11"/>
        <v>8.4479061999385117</v>
      </c>
      <c r="H57" s="153">
        <f t="shared" si="11"/>
        <v>10.838938420623141</v>
      </c>
      <c r="I57" s="153">
        <f t="shared" si="11"/>
        <v>14.508298633820687</v>
      </c>
      <c r="J57" s="153">
        <f t="shared" si="11"/>
        <v>18.989229371205788</v>
      </c>
      <c r="K57" s="153">
        <f t="shared" si="11"/>
        <v>23.949595375810986</v>
      </c>
      <c r="L57" s="153">
        <f t="shared" si="11"/>
        <v>29.346678729769369</v>
      </c>
      <c r="M57" s="153">
        <f t="shared" si="11"/>
        <v>35.855820440040553</v>
      </c>
      <c r="N57" s="153">
        <f t="shared" si="11"/>
        <v>43.177338404813675</v>
      </c>
      <c r="O57" s="153">
        <f t="shared" si="11"/>
        <v>51.442727256745862</v>
      </c>
      <c r="P57" s="153">
        <f t="shared" si="11"/>
        <v>60.847221331974673</v>
      </c>
      <c r="Q57" s="153">
        <f t="shared" si="11"/>
        <v>71.259911583254421</v>
      </c>
      <c r="R57" s="153">
        <f t="shared" si="11"/>
        <v>82.80612799898789</v>
      </c>
      <c r="S57" s="153">
        <f t="shared" si="11"/>
        <v>95.315372419711096</v>
      </c>
      <c r="T57" s="153">
        <f t="shared" si="11"/>
        <v>109.90870208667549</v>
      </c>
      <c r="U57" s="153">
        <f t="shared" si="11"/>
        <v>125.25158590173214</v>
      </c>
      <c r="V57" s="153">
        <f t="shared" si="11"/>
        <v>140.67359511327382</v>
      </c>
      <c r="W57" s="153">
        <f t="shared" si="11"/>
        <v>156.01195622701377</v>
      </c>
      <c r="X57" s="153">
        <f t="shared" si="11"/>
        <v>170.19729586229678</v>
      </c>
      <c r="Y57" s="153">
        <f t="shared" si="11"/>
        <v>182.99915633445687</v>
      </c>
      <c r="Z57" s="153">
        <f t="shared" si="11"/>
        <v>194.90937433776239</v>
      </c>
      <c r="AA57" s="153">
        <f t="shared" si="11"/>
        <v>205.91975636969428</v>
      </c>
    </row>
    <row r="58" spans="2:27" s="12" customFormat="1" x14ac:dyDescent="0.2">
      <c r="B58" s="12" t="s">
        <v>224</v>
      </c>
      <c r="C58" s="12" t="s">
        <v>90</v>
      </c>
      <c r="D58" s="153">
        <f>1000*D20/$D$30</f>
        <v>63.494000000000007</v>
      </c>
      <c r="E58" s="153">
        <f t="shared" ref="E58:AA58" si="12">1000*E20/$D$30</f>
        <v>74.159639440000007</v>
      </c>
      <c r="F58" s="153">
        <f t="shared" si="12"/>
        <v>84.825278880000013</v>
      </c>
      <c r="G58" s="153">
        <f t="shared" si="12"/>
        <v>106.05907592000001</v>
      </c>
      <c r="H58" s="153">
        <f t="shared" si="12"/>
        <v>165.88354036000001</v>
      </c>
      <c r="I58" s="153">
        <f t="shared" si="12"/>
        <v>225.70800480000003</v>
      </c>
      <c r="J58" s="153">
        <f t="shared" si="12"/>
        <v>274.8668298</v>
      </c>
      <c r="K58" s="153">
        <f t="shared" si="12"/>
        <v>344.80090007999991</v>
      </c>
      <c r="L58" s="153">
        <f t="shared" si="12"/>
        <v>404.16681276000008</v>
      </c>
      <c r="M58" s="153">
        <f t="shared" si="12"/>
        <v>434.79581804000003</v>
      </c>
      <c r="N58" s="153">
        <f t="shared" si="12"/>
        <v>465.42482331999997</v>
      </c>
      <c r="O58" s="153">
        <f t="shared" si="12"/>
        <v>496.05382860000003</v>
      </c>
      <c r="P58" s="153">
        <f t="shared" si="12"/>
        <v>505.90758860000005</v>
      </c>
      <c r="Q58" s="153">
        <f t="shared" si="12"/>
        <v>515.76134860000002</v>
      </c>
      <c r="R58" s="153">
        <f t="shared" si="12"/>
        <v>515.76134860000002</v>
      </c>
      <c r="S58" s="153">
        <f t="shared" si="12"/>
        <v>515.76134860000002</v>
      </c>
      <c r="T58" s="153">
        <f t="shared" si="12"/>
        <v>515.76134860000002</v>
      </c>
      <c r="U58" s="153">
        <f t="shared" si="12"/>
        <v>515.76134860000002</v>
      </c>
      <c r="V58" s="153">
        <f t="shared" si="12"/>
        <v>515.76134860000002</v>
      </c>
      <c r="W58" s="153">
        <f t="shared" si="12"/>
        <v>515.76134860000002</v>
      </c>
      <c r="X58" s="153">
        <f t="shared" si="12"/>
        <v>515.76134860000002</v>
      </c>
      <c r="Y58" s="153">
        <f t="shared" si="12"/>
        <v>515.76134860000002</v>
      </c>
      <c r="Z58" s="153">
        <f t="shared" si="12"/>
        <v>515.76134860000002</v>
      </c>
      <c r="AA58" s="153">
        <f t="shared" si="12"/>
        <v>515.76134860000002</v>
      </c>
    </row>
    <row r="59" spans="2:27" s="12" customFormat="1" x14ac:dyDescent="0.2">
      <c r="B59" s="12" t="s">
        <v>225</v>
      </c>
      <c r="C59" s="12" t="s">
        <v>90</v>
      </c>
      <c r="D59" s="153">
        <f>1000*D21/$D$31</f>
        <v>0</v>
      </c>
      <c r="E59" s="153">
        <f t="shared" ref="E59:AA59" si="13">1000*E21/$D$31</f>
        <v>0</v>
      </c>
      <c r="F59" s="153">
        <f t="shared" si="13"/>
        <v>0</v>
      </c>
      <c r="G59" s="153">
        <f t="shared" si="13"/>
        <v>0</v>
      </c>
      <c r="H59" s="153">
        <f t="shared" si="13"/>
        <v>0</v>
      </c>
      <c r="I59" s="153">
        <f t="shared" si="13"/>
        <v>0</v>
      </c>
      <c r="J59" s="153">
        <f t="shared" si="13"/>
        <v>0</v>
      </c>
      <c r="K59" s="153">
        <f t="shared" si="13"/>
        <v>0</v>
      </c>
      <c r="L59" s="153">
        <f t="shared" si="13"/>
        <v>0</v>
      </c>
      <c r="M59" s="153">
        <f t="shared" si="13"/>
        <v>0</v>
      </c>
      <c r="N59" s="153">
        <f t="shared" si="13"/>
        <v>0</v>
      </c>
      <c r="O59" s="153">
        <f t="shared" si="13"/>
        <v>0</v>
      </c>
      <c r="P59" s="153">
        <f t="shared" si="13"/>
        <v>0</v>
      </c>
      <c r="Q59" s="153">
        <f t="shared" si="13"/>
        <v>0</v>
      </c>
      <c r="R59" s="153">
        <f t="shared" si="13"/>
        <v>0</v>
      </c>
      <c r="S59" s="153">
        <f t="shared" si="13"/>
        <v>0</v>
      </c>
      <c r="T59" s="153">
        <f t="shared" si="13"/>
        <v>0</v>
      </c>
      <c r="U59" s="153">
        <f t="shared" si="13"/>
        <v>0</v>
      </c>
      <c r="V59" s="153">
        <f t="shared" si="13"/>
        <v>0</v>
      </c>
      <c r="W59" s="153">
        <f t="shared" si="13"/>
        <v>0</v>
      </c>
      <c r="X59" s="153">
        <f t="shared" si="13"/>
        <v>0</v>
      </c>
      <c r="Y59" s="153">
        <f t="shared" si="13"/>
        <v>0</v>
      </c>
      <c r="Z59" s="153">
        <f t="shared" si="13"/>
        <v>0</v>
      </c>
      <c r="AA59" s="153">
        <f t="shared" si="13"/>
        <v>0</v>
      </c>
    </row>
    <row r="60" spans="2:27" s="12" customFormat="1" x14ac:dyDescent="0.2">
      <c r="B60" s="91" t="str">
        <f>"Total, "&amp;B53</f>
        <v>Total, Eastern Denmark (DK2)</v>
      </c>
      <c r="C60" s="91" t="s">
        <v>90</v>
      </c>
      <c r="D60" s="92">
        <f>SUM(D54:D59)</f>
        <v>2693.3657112536453</v>
      </c>
      <c r="E60" s="92">
        <f t="shared" ref="E60:AA60" si="14">SUM(E54:E59)</f>
        <v>2723.7805654093468</v>
      </c>
      <c r="F60" s="92">
        <f t="shared" si="14"/>
        <v>2758.1692144721001</v>
      </c>
      <c r="G60" s="92">
        <f t="shared" si="14"/>
        <v>2783.7510350692546</v>
      </c>
      <c r="H60" s="92">
        <f t="shared" si="14"/>
        <v>2845.5921119622476</v>
      </c>
      <c r="I60" s="92">
        <f t="shared" si="14"/>
        <v>2918.8146138565317</v>
      </c>
      <c r="J60" s="92">
        <f t="shared" si="14"/>
        <v>2978.2242612725277</v>
      </c>
      <c r="K60" s="92">
        <f t="shared" si="14"/>
        <v>3062.4467038462599</v>
      </c>
      <c r="L60" s="92">
        <f t="shared" si="14"/>
        <v>3136.1748797303248</v>
      </c>
      <c r="M60" s="92">
        <f t="shared" si="14"/>
        <v>3179.3971986516108</v>
      </c>
      <c r="N60" s="92">
        <f t="shared" si="14"/>
        <v>3225.312868047567</v>
      </c>
      <c r="O60" s="92">
        <f t="shared" si="14"/>
        <v>3269.4554934263806</v>
      </c>
      <c r="P60" s="92">
        <f t="shared" si="14"/>
        <v>3294.7324606027969</v>
      </c>
      <c r="Q60" s="92">
        <f t="shared" si="14"/>
        <v>3326.4868830932528</v>
      </c>
      <c r="R60" s="92">
        <f t="shared" si="14"/>
        <v>3343.6878012848283</v>
      </c>
      <c r="S60" s="92">
        <f t="shared" si="14"/>
        <v>3363.2846553611644</v>
      </c>
      <c r="T60" s="92">
        <f t="shared" si="14"/>
        <v>3381.4815591452243</v>
      </c>
      <c r="U60" s="92">
        <f t="shared" si="14"/>
        <v>3396.8318519396939</v>
      </c>
      <c r="V60" s="92">
        <f t="shared" si="14"/>
        <v>3419.7183738655172</v>
      </c>
      <c r="W60" s="92">
        <f t="shared" si="14"/>
        <v>3436.6996778111748</v>
      </c>
      <c r="X60" s="92">
        <f t="shared" si="14"/>
        <v>3454.9934352616506</v>
      </c>
      <c r="Y60" s="92">
        <f t="shared" si="14"/>
        <v>3471.1762627999051</v>
      </c>
      <c r="Z60" s="92">
        <f t="shared" si="14"/>
        <v>3486.6346048085343</v>
      </c>
      <c r="AA60" s="92">
        <f t="shared" si="14"/>
        <v>3508.2713975677871</v>
      </c>
    </row>
    <row r="61" spans="2:27" s="12" customFormat="1" x14ac:dyDescent="0.2"/>
    <row r="62" spans="2:27" s="12" customFormat="1" x14ac:dyDescent="0.2"/>
    <row r="63" spans="2:27" s="70" customFormat="1" x14ac:dyDescent="0.2">
      <c r="B63" s="70" t="s">
        <v>412</v>
      </c>
    </row>
    <row r="64" spans="2:27" s="12" customFormat="1" x14ac:dyDescent="0.2"/>
    <row r="65" spans="2:27" s="12" customFormat="1" x14ac:dyDescent="0.2">
      <c r="B65" s="1" t="s">
        <v>414</v>
      </c>
      <c r="C65" s="1" t="s">
        <v>141</v>
      </c>
      <c r="D65" s="151">
        <f>D$6</f>
        <v>2017</v>
      </c>
      <c r="E65" s="151">
        <f t="shared" ref="E65:AA65" si="15">E$6</f>
        <v>2018</v>
      </c>
      <c r="F65" s="151">
        <f t="shared" si="15"/>
        <v>2019</v>
      </c>
      <c r="G65" s="151">
        <f t="shared" si="15"/>
        <v>2020</v>
      </c>
      <c r="H65" s="151">
        <f t="shared" si="15"/>
        <v>2021</v>
      </c>
      <c r="I65" s="151">
        <f t="shared" si="15"/>
        <v>2022</v>
      </c>
      <c r="J65" s="151">
        <f t="shared" si="15"/>
        <v>2023</v>
      </c>
      <c r="K65" s="151">
        <f t="shared" si="15"/>
        <v>2024</v>
      </c>
      <c r="L65" s="151">
        <f t="shared" si="15"/>
        <v>2025</v>
      </c>
      <c r="M65" s="151">
        <f t="shared" si="15"/>
        <v>2026</v>
      </c>
      <c r="N65" s="151">
        <f t="shared" si="15"/>
        <v>2027</v>
      </c>
      <c r="O65" s="151">
        <f t="shared" si="15"/>
        <v>2028</v>
      </c>
      <c r="P65" s="151">
        <f t="shared" si="15"/>
        <v>2029</v>
      </c>
      <c r="Q65" s="151">
        <f t="shared" si="15"/>
        <v>2030</v>
      </c>
      <c r="R65" s="151">
        <f t="shared" si="15"/>
        <v>2031</v>
      </c>
      <c r="S65" s="151">
        <f t="shared" si="15"/>
        <v>2032</v>
      </c>
      <c r="T65" s="151">
        <f t="shared" si="15"/>
        <v>2033</v>
      </c>
      <c r="U65" s="151">
        <f t="shared" si="15"/>
        <v>2034</v>
      </c>
      <c r="V65" s="151">
        <f t="shared" si="15"/>
        <v>2035</v>
      </c>
      <c r="W65" s="151">
        <f t="shared" si="15"/>
        <v>2036</v>
      </c>
      <c r="X65" s="151">
        <f t="shared" si="15"/>
        <v>2037</v>
      </c>
      <c r="Y65" s="151">
        <f t="shared" si="15"/>
        <v>2038</v>
      </c>
      <c r="Z65" s="151">
        <f t="shared" si="15"/>
        <v>2039</v>
      </c>
      <c r="AA65" s="151">
        <f t="shared" si="15"/>
        <v>2040</v>
      </c>
    </row>
    <row r="66" spans="2:27" s="12" customFormat="1" x14ac:dyDescent="0.2">
      <c r="B66" s="1" t="s">
        <v>190</v>
      </c>
      <c r="C66" s="1"/>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row>
    <row r="67" spans="2:27" s="12" customFormat="1" x14ac:dyDescent="0.2">
      <c r="B67" s="12" t="s">
        <v>386</v>
      </c>
      <c r="C67" s="12" t="s">
        <v>90</v>
      </c>
      <c r="D67" s="153">
        <f>1000*(2-$D$33)*D8/$D$27</f>
        <v>1145.9814603554514</v>
      </c>
      <c r="E67" s="153">
        <f t="shared" ref="E67:AA67" si="16">1000*(2-$D$33)*E8/$D$27</f>
        <v>1153.0054816318082</v>
      </c>
      <c r="F67" s="153">
        <f t="shared" si="16"/>
        <v>1161.3610463913967</v>
      </c>
      <c r="G67" s="153">
        <f t="shared" si="16"/>
        <v>1161.6343283872852</v>
      </c>
      <c r="H67" s="153">
        <f t="shared" si="16"/>
        <v>1159.6472462302543</v>
      </c>
      <c r="I67" s="153">
        <f t="shared" si="16"/>
        <v>1161.9076784522219</v>
      </c>
      <c r="J67" s="153">
        <f t="shared" si="16"/>
        <v>1163.0579176269302</v>
      </c>
      <c r="K67" s="153">
        <f t="shared" si="16"/>
        <v>1164.3411376741631</v>
      </c>
      <c r="L67" s="153">
        <f t="shared" si="16"/>
        <v>1165.2023098518132</v>
      </c>
      <c r="M67" s="153">
        <f t="shared" si="16"/>
        <v>1164.9912840562558</v>
      </c>
      <c r="N67" s="153">
        <f t="shared" si="16"/>
        <v>1165.5317563813976</v>
      </c>
      <c r="O67" s="153">
        <f t="shared" si="16"/>
        <v>1164.7669961799068</v>
      </c>
      <c r="P67" s="153">
        <f t="shared" si="16"/>
        <v>1164.2709506698295</v>
      </c>
      <c r="Q67" s="153">
        <f t="shared" si="16"/>
        <v>1166.2329251511935</v>
      </c>
      <c r="R67" s="153">
        <f t="shared" si="16"/>
        <v>1165.4792552279443</v>
      </c>
      <c r="S67" s="153">
        <f t="shared" si="16"/>
        <v>1165.0953489182214</v>
      </c>
      <c r="T67" s="153">
        <f t="shared" si="16"/>
        <v>1163.1177484158375</v>
      </c>
      <c r="U67" s="153">
        <f t="shared" si="16"/>
        <v>1160.8164382108428</v>
      </c>
      <c r="V67" s="153">
        <f t="shared" si="16"/>
        <v>1161.9253757291704</v>
      </c>
      <c r="W67" s="153">
        <f t="shared" si="16"/>
        <v>1160.4442826540619</v>
      </c>
      <c r="X67" s="153">
        <f t="shared" si="16"/>
        <v>1160.0924825533104</v>
      </c>
      <c r="Y67" s="153">
        <f t="shared" si="16"/>
        <v>1159.4544450908668</v>
      </c>
      <c r="Z67" s="153">
        <f t="shared" si="16"/>
        <v>1158.9308254675691</v>
      </c>
      <c r="AA67" s="153">
        <f t="shared" si="16"/>
        <v>1161.5955045853855</v>
      </c>
    </row>
    <row r="68" spans="2:27" s="12" customFormat="1" x14ac:dyDescent="0.2">
      <c r="B68" s="12" t="s">
        <v>220</v>
      </c>
      <c r="C68" s="12" t="s">
        <v>90</v>
      </c>
      <c r="D68" s="153">
        <f>1000*(2-$D$33)*D9/$D$27*$D$35</f>
        <v>19.16208771672235</v>
      </c>
      <c r="E68" s="153">
        <f t="shared" ref="E68:AA68" si="17">1000*(2-$D$33)*E9/$D$27*$D$35</f>
        <v>20.35757021091225</v>
      </c>
      <c r="F68" s="153">
        <f t="shared" si="17"/>
        <v>21.624565979039719</v>
      </c>
      <c r="G68" s="153">
        <f t="shared" si="17"/>
        <v>22.990776758032808</v>
      </c>
      <c r="H68" s="153">
        <f t="shared" si="17"/>
        <v>25.149735896928441</v>
      </c>
      <c r="I68" s="153">
        <f t="shared" si="17"/>
        <v>27.493602977016089</v>
      </c>
      <c r="J68" s="153">
        <f t="shared" si="17"/>
        <v>30.076815315547634</v>
      </c>
      <c r="K68" s="153">
        <f t="shared" si="17"/>
        <v>32.768068096829154</v>
      </c>
      <c r="L68" s="153">
        <f t="shared" si="17"/>
        <v>35.571104596396111</v>
      </c>
      <c r="M68" s="153">
        <f t="shared" si="17"/>
        <v>38.485285117692186</v>
      </c>
      <c r="N68" s="153">
        <f t="shared" si="17"/>
        <v>41.483671112778893</v>
      </c>
      <c r="O68" s="153">
        <f t="shared" si="17"/>
        <v>44.580183483280294</v>
      </c>
      <c r="P68" s="153">
        <f t="shared" si="17"/>
        <v>47.750300822164228</v>
      </c>
      <c r="Q68" s="153">
        <f t="shared" si="17"/>
        <v>50.89235147348694</v>
      </c>
      <c r="R68" s="153">
        <f t="shared" si="17"/>
        <v>54.158365558164718</v>
      </c>
      <c r="S68" s="153">
        <f t="shared" si="17"/>
        <v>57.691246905410686</v>
      </c>
      <c r="T68" s="153">
        <f t="shared" si="17"/>
        <v>61.26989000071017</v>
      </c>
      <c r="U68" s="153">
        <f t="shared" si="17"/>
        <v>63.574491963061348</v>
      </c>
      <c r="V68" s="153">
        <f t="shared" si="17"/>
        <v>65.781984855927632</v>
      </c>
      <c r="W68" s="153">
        <f t="shared" si="17"/>
        <v>67.993025856665014</v>
      </c>
      <c r="X68" s="153">
        <f t="shared" si="17"/>
        <v>70.17016704875526</v>
      </c>
      <c r="Y68" s="153">
        <f t="shared" si="17"/>
        <v>72.310344359629383</v>
      </c>
      <c r="Z68" s="153">
        <f t="shared" si="17"/>
        <v>74.410370481830711</v>
      </c>
      <c r="AA68" s="153">
        <f t="shared" si="17"/>
        <v>76.466930786715722</v>
      </c>
    </row>
    <row r="69" spans="2:27" s="12" customFormat="1" x14ac:dyDescent="0.2">
      <c r="B69" s="12" t="s">
        <v>275</v>
      </c>
      <c r="C69" s="12" t="s">
        <v>90</v>
      </c>
      <c r="D69" s="153">
        <f>1000*(2-$D$33)*D10/$D$27*$D$36</f>
        <v>0</v>
      </c>
      <c r="E69" s="153">
        <f t="shared" ref="E69:AA69" si="18">1000*(2-$D$33)*E10/$D$27*$D$36</f>
        <v>0</v>
      </c>
      <c r="F69" s="153">
        <f t="shared" si="18"/>
        <v>0</v>
      </c>
      <c r="G69" s="153">
        <f t="shared" si="18"/>
        <v>0</v>
      </c>
      <c r="H69" s="153">
        <f t="shared" si="18"/>
        <v>0</v>
      </c>
      <c r="I69" s="153">
        <f t="shared" si="18"/>
        <v>0</v>
      </c>
      <c r="J69" s="153">
        <f t="shared" si="18"/>
        <v>0</v>
      </c>
      <c r="K69" s="153">
        <f t="shared" si="18"/>
        <v>0</v>
      </c>
      <c r="L69" s="153">
        <f t="shared" si="18"/>
        <v>0</v>
      </c>
      <c r="M69" s="153">
        <f t="shared" si="18"/>
        <v>0</v>
      </c>
      <c r="N69" s="153">
        <f t="shared" si="18"/>
        <v>0</v>
      </c>
      <c r="O69" s="153">
        <f t="shared" si="18"/>
        <v>0</v>
      </c>
      <c r="P69" s="153">
        <f t="shared" si="18"/>
        <v>0</v>
      </c>
      <c r="Q69" s="153">
        <f t="shared" si="18"/>
        <v>0</v>
      </c>
      <c r="R69" s="153">
        <f t="shared" si="18"/>
        <v>0</v>
      </c>
      <c r="S69" s="153">
        <f t="shared" si="18"/>
        <v>0</v>
      </c>
      <c r="T69" s="153">
        <f t="shared" si="18"/>
        <v>0</v>
      </c>
      <c r="U69" s="153">
        <f t="shared" si="18"/>
        <v>0</v>
      </c>
      <c r="V69" s="153">
        <f t="shared" si="18"/>
        <v>0</v>
      </c>
      <c r="W69" s="153">
        <f t="shared" si="18"/>
        <v>0</v>
      </c>
      <c r="X69" s="153">
        <f t="shared" si="18"/>
        <v>0</v>
      </c>
      <c r="Y69" s="153">
        <f t="shared" si="18"/>
        <v>0</v>
      </c>
      <c r="Z69" s="153">
        <f t="shared" si="18"/>
        <v>0</v>
      </c>
      <c r="AA69" s="153">
        <f t="shared" si="18"/>
        <v>0</v>
      </c>
    </row>
    <row r="70" spans="2:27" s="12" customFormat="1" x14ac:dyDescent="0.2">
      <c r="B70" s="12" t="s">
        <v>223</v>
      </c>
      <c r="C70" s="12" t="s">
        <v>90</v>
      </c>
      <c r="D70" s="153">
        <f>1000*(2-$D$33)*D11/$D$27*$D$37</f>
        <v>0.18227632927154563</v>
      </c>
      <c r="E70" s="153">
        <f t="shared" ref="E70:AA70" si="19">1000*(2-$D$33)*E11/$D$27*$D$37</f>
        <v>0.20657519729897625</v>
      </c>
      <c r="F70" s="153">
        <f t="shared" si="19"/>
        <v>0.3047284191143792</v>
      </c>
      <c r="G70" s="153">
        <f t="shared" si="19"/>
        <v>0.66530864991350969</v>
      </c>
      <c r="H70" s="153">
        <f t="shared" si="19"/>
        <v>1.4674043485141928</v>
      </c>
      <c r="I70" s="153">
        <f t="shared" si="19"/>
        <v>2.7923289918105776</v>
      </c>
      <c r="J70" s="153">
        <f t="shared" si="19"/>
        <v>4.5238620999210504</v>
      </c>
      <c r="K70" s="153">
        <f t="shared" si="19"/>
        <v>6.4973121802026848</v>
      </c>
      <c r="L70" s="153">
        <f t="shared" si="19"/>
        <v>8.6376632874898878</v>
      </c>
      <c r="M70" s="153">
        <f t="shared" si="19"/>
        <v>11.256600551173376</v>
      </c>
      <c r="N70" s="153">
        <f t="shared" si="19"/>
        <v>14.282904838568367</v>
      </c>
      <c r="O70" s="153">
        <f t="shared" si="19"/>
        <v>17.723081849825324</v>
      </c>
      <c r="P70" s="153">
        <f t="shared" si="19"/>
        <v>21.623882323557769</v>
      </c>
      <c r="Q70" s="153">
        <f t="shared" si="19"/>
        <v>25.920338496902449</v>
      </c>
      <c r="R70" s="153">
        <f t="shared" si="19"/>
        <v>30.648054626504798</v>
      </c>
      <c r="S70" s="153">
        <f t="shared" si="19"/>
        <v>35.72827078828832</v>
      </c>
      <c r="T70" s="153">
        <f t="shared" si="19"/>
        <v>41.620096710781198</v>
      </c>
      <c r="U70" s="153">
        <f t="shared" si="19"/>
        <v>47.809476732853746</v>
      </c>
      <c r="V70" s="153">
        <f t="shared" si="19"/>
        <v>54.05326994027056</v>
      </c>
      <c r="W70" s="153">
        <f t="shared" si="19"/>
        <v>60.225238305934596</v>
      </c>
      <c r="X70" s="153">
        <f t="shared" si="19"/>
        <v>65.974796074132968</v>
      </c>
      <c r="Y70" s="153">
        <f t="shared" si="19"/>
        <v>71.180773758205959</v>
      </c>
      <c r="Z70" s="153">
        <f t="shared" si="19"/>
        <v>75.966405028749307</v>
      </c>
      <c r="AA70" s="153">
        <f t="shared" si="19"/>
        <v>80.369243732596004</v>
      </c>
    </row>
    <row r="71" spans="2:27" s="12" customFormat="1" x14ac:dyDescent="0.2">
      <c r="B71" s="12" t="s">
        <v>224</v>
      </c>
      <c r="C71" s="12" t="s">
        <v>90</v>
      </c>
      <c r="D71" s="153">
        <f>0*1000*D12/$D$30</f>
        <v>0</v>
      </c>
      <c r="E71" s="153">
        <f t="shared" ref="E71:AA71" si="20">0*1000*E12/$D$30</f>
        <v>0</v>
      </c>
      <c r="F71" s="153">
        <f t="shared" si="20"/>
        <v>0</v>
      </c>
      <c r="G71" s="153">
        <f t="shared" si="20"/>
        <v>0</v>
      </c>
      <c r="H71" s="153">
        <f t="shared" si="20"/>
        <v>0</v>
      </c>
      <c r="I71" s="153">
        <f t="shared" si="20"/>
        <v>0</v>
      </c>
      <c r="J71" s="153">
        <f t="shared" si="20"/>
        <v>0</v>
      </c>
      <c r="K71" s="153">
        <f t="shared" si="20"/>
        <v>0</v>
      </c>
      <c r="L71" s="153">
        <f t="shared" si="20"/>
        <v>0</v>
      </c>
      <c r="M71" s="153">
        <f t="shared" si="20"/>
        <v>0</v>
      </c>
      <c r="N71" s="153">
        <f t="shared" si="20"/>
        <v>0</v>
      </c>
      <c r="O71" s="153">
        <f t="shared" si="20"/>
        <v>0</v>
      </c>
      <c r="P71" s="153">
        <f t="shared" si="20"/>
        <v>0</v>
      </c>
      <c r="Q71" s="153">
        <f t="shared" si="20"/>
        <v>0</v>
      </c>
      <c r="R71" s="153">
        <f t="shared" si="20"/>
        <v>0</v>
      </c>
      <c r="S71" s="153">
        <f t="shared" si="20"/>
        <v>0</v>
      </c>
      <c r="T71" s="153">
        <f t="shared" si="20"/>
        <v>0</v>
      </c>
      <c r="U71" s="153">
        <f t="shared" si="20"/>
        <v>0</v>
      </c>
      <c r="V71" s="153">
        <f t="shared" si="20"/>
        <v>0</v>
      </c>
      <c r="W71" s="153">
        <f t="shared" si="20"/>
        <v>0</v>
      </c>
      <c r="X71" s="153">
        <f t="shared" si="20"/>
        <v>0</v>
      </c>
      <c r="Y71" s="153">
        <f t="shared" si="20"/>
        <v>0</v>
      </c>
      <c r="Z71" s="153">
        <f t="shared" si="20"/>
        <v>0</v>
      </c>
      <c r="AA71" s="153">
        <f t="shared" si="20"/>
        <v>0</v>
      </c>
    </row>
    <row r="72" spans="2:27" s="12" customFormat="1" x14ac:dyDescent="0.2">
      <c r="B72" s="12" t="s">
        <v>225</v>
      </c>
      <c r="C72" s="12" t="s">
        <v>90</v>
      </c>
      <c r="D72" s="153">
        <f>1000*D13/$D$31</f>
        <v>0</v>
      </c>
      <c r="E72" s="153">
        <f t="shared" ref="E72:AA72" si="21">1000*E13/$D$31</f>
        <v>51.716666666666676</v>
      </c>
      <c r="F72" s="153">
        <f t="shared" si="21"/>
        <v>103.43333333333335</v>
      </c>
      <c r="G72" s="153">
        <f t="shared" si="21"/>
        <v>176.55000000000004</v>
      </c>
      <c r="H72" s="153">
        <f t="shared" si="21"/>
        <v>249.66666666666671</v>
      </c>
      <c r="I72" s="153">
        <f t="shared" si="21"/>
        <v>322.78333333333336</v>
      </c>
      <c r="J72" s="153">
        <f t="shared" si="21"/>
        <v>395.9</v>
      </c>
      <c r="K72" s="153">
        <f t="shared" si="21"/>
        <v>417.3</v>
      </c>
      <c r="L72" s="153">
        <f t="shared" si="21"/>
        <v>438.70000000000005</v>
      </c>
      <c r="M72" s="153">
        <f t="shared" si="21"/>
        <v>438.70000000000005</v>
      </c>
      <c r="N72" s="153">
        <f t="shared" si="21"/>
        <v>438.70000000000005</v>
      </c>
      <c r="O72" s="153">
        <f t="shared" si="21"/>
        <v>438.70000000000005</v>
      </c>
      <c r="P72" s="153">
        <f t="shared" si="21"/>
        <v>438.70000000000005</v>
      </c>
      <c r="Q72" s="153">
        <f t="shared" si="21"/>
        <v>438.70000000000005</v>
      </c>
      <c r="R72" s="153">
        <f t="shared" si="21"/>
        <v>438.70000000000005</v>
      </c>
      <c r="S72" s="153">
        <f t="shared" si="21"/>
        <v>438.70000000000005</v>
      </c>
      <c r="T72" s="153">
        <f t="shared" si="21"/>
        <v>438.70000000000005</v>
      </c>
      <c r="U72" s="153">
        <f t="shared" si="21"/>
        <v>438.70000000000005</v>
      </c>
      <c r="V72" s="153">
        <f t="shared" si="21"/>
        <v>438.70000000000005</v>
      </c>
      <c r="W72" s="153">
        <f t="shared" si="21"/>
        <v>438.70000000000005</v>
      </c>
      <c r="X72" s="153">
        <f t="shared" si="21"/>
        <v>438.70000000000005</v>
      </c>
      <c r="Y72" s="153">
        <f t="shared" si="21"/>
        <v>438.70000000000005</v>
      </c>
      <c r="Z72" s="153">
        <f t="shared" si="21"/>
        <v>438.70000000000005</v>
      </c>
      <c r="AA72" s="153">
        <f t="shared" si="21"/>
        <v>438.70000000000005</v>
      </c>
    </row>
    <row r="73" spans="2:27" s="12" customFormat="1" x14ac:dyDescent="0.2">
      <c r="B73" s="91" t="str">
        <f>"Total, "&amp;B66</f>
        <v>Total, Western Denmark (DK1)</v>
      </c>
      <c r="C73" s="91" t="s">
        <v>90</v>
      </c>
      <c r="D73" s="92">
        <f>SUM(D67:D72)</f>
        <v>1165.3258244014455</v>
      </c>
      <c r="E73" s="92">
        <f t="shared" ref="E73:AA73" si="22">SUM(E67:E72)</f>
        <v>1225.2862937066859</v>
      </c>
      <c r="F73" s="92">
        <f t="shared" si="22"/>
        <v>1286.7236741228842</v>
      </c>
      <c r="G73" s="92">
        <f t="shared" si="22"/>
        <v>1361.8404137952314</v>
      </c>
      <c r="H73" s="92">
        <f t="shared" si="22"/>
        <v>1435.9310531423637</v>
      </c>
      <c r="I73" s="92">
        <f t="shared" si="22"/>
        <v>1514.9769437543819</v>
      </c>
      <c r="J73" s="92">
        <f t="shared" si="22"/>
        <v>1593.5585950423988</v>
      </c>
      <c r="K73" s="92">
        <f t="shared" si="22"/>
        <v>1620.9065179511949</v>
      </c>
      <c r="L73" s="92">
        <f t="shared" si="22"/>
        <v>1648.1110777356992</v>
      </c>
      <c r="M73" s="92">
        <f t="shared" si="22"/>
        <v>1653.4331697251214</v>
      </c>
      <c r="N73" s="92">
        <f t="shared" si="22"/>
        <v>1659.9983323327449</v>
      </c>
      <c r="O73" s="92">
        <f t="shared" si="22"/>
        <v>1665.7702615130124</v>
      </c>
      <c r="P73" s="92">
        <f t="shared" si="22"/>
        <v>1672.3451338155517</v>
      </c>
      <c r="Q73" s="92">
        <f t="shared" si="22"/>
        <v>1681.7456151215831</v>
      </c>
      <c r="R73" s="92">
        <f t="shared" si="22"/>
        <v>1688.9856754126138</v>
      </c>
      <c r="S73" s="92">
        <f t="shared" si="22"/>
        <v>1697.2148666119203</v>
      </c>
      <c r="T73" s="92">
        <f t="shared" si="22"/>
        <v>1704.7077351273288</v>
      </c>
      <c r="U73" s="92">
        <f t="shared" si="22"/>
        <v>1710.9004069067578</v>
      </c>
      <c r="V73" s="92">
        <f t="shared" si="22"/>
        <v>1720.4606305253687</v>
      </c>
      <c r="W73" s="92">
        <f t="shared" si="22"/>
        <v>1727.3625468166617</v>
      </c>
      <c r="X73" s="92">
        <f t="shared" si="22"/>
        <v>1734.9374456761986</v>
      </c>
      <c r="Y73" s="92">
        <f t="shared" si="22"/>
        <v>1741.6455632087022</v>
      </c>
      <c r="Z73" s="92">
        <f t="shared" si="22"/>
        <v>1748.0076009781492</v>
      </c>
      <c r="AA73" s="92">
        <f t="shared" si="22"/>
        <v>1757.1316791046972</v>
      </c>
    </row>
    <row r="74" spans="2:27" s="12" customFormat="1" x14ac:dyDescent="0.2">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row>
    <row r="75" spans="2:27" s="12" customFormat="1" x14ac:dyDescent="0.2">
      <c r="B75" s="1" t="s">
        <v>192</v>
      </c>
      <c r="C75" s="1"/>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row>
    <row r="76" spans="2:27" s="12" customFormat="1" x14ac:dyDescent="0.2">
      <c r="B76" s="12" t="s">
        <v>386</v>
      </c>
      <c r="C76" s="12" t="s">
        <v>90</v>
      </c>
      <c r="D76" s="153">
        <f>1000*(2-$D$33)*D16/$D$28</f>
        <v>832.42002684528018</v>
      </c>
      <c r="E76" s="153">
        <f t="shared" ref="E76:AA76" si="23">1000*(2-$D$33)*E16/$D$28</f>
        <v>837.8593193995041</v>
      </c>
      <c r="F76" s="153">
        <f t="shared" si="23"/>
        <v>844.4264631395049</v>
      </c>
      <c r="G76" s="153">
        <f t="shared" si="23"/>
        <v>844.55404148897173</v>
      </c>
      <c r="H76" s="153">
        <f t="shared" si="23"/>
        <v>842.86879813399253</v>
      </c>
      <c r="I76" s="153">
        <f t="shared" si="23"/>
        <v>844.30909081297045</v>
      </c>
      <c r="J76" s="153">
        <f t="shared" si="23"/>
        <v>844.31517411930929</v>
      </c>
      <c r="K76" s="153">
        <f t="shared" si="23"/>
        <v>845.36787778253472</v>
      </c>
      <c r="L76" s="153">
        <f t="shared" si="23"/>
        <v>846.21859669585842</v>
      </c>
      <c r="M76" s="153">
        <f t="shared" si="23"/>
        <v>846.06534094698713</v>
      </c>
      <c r="N76" s="153">
        <f t="shared" si="23"/>
        <v>846.45785452910695</v>
      </c>
      <c r="O76" s="153">
        <f t="shared" si="23"/>
        <v>845.90245372098752</v>
      </c>
      <c r="P76" s="153">
        <f t="shared" si="23"/>
        <v>845.54220474801025</v>
      </c>
      <c r="Q76" s="153">
        <f t="shared" si="23"/>
        <v>846.96707258283629</v>
      </c>
      <c r="R76" s="153">
        <f t="shared" si="23"/>
        <v>846.41972599810026</v>
      </c>
      <c r="S76" s="153">
        <f t="shared" si="23"/>
        <v>846.14091719731971</v>
      </c>
      <c r="T76" s="153">
        <f t="shared" si="23"/>
        <v>844.70470109321241</v>
      </c>
      <c r="U76" s="153">
        <f t="shared" si="23"/>
        <v>843.03339347927556</v>
      </c>
      <c r="V76" s="153">
        <f t="shared" si="23"/>
        <v>843.83875023376208</v>
      </c>
      <c r="W76" s="153">
        <f t="shared" si="23"/>
        <v>842.76311856619918</v>
      </c>
      <c r="X76" s="153">
        <f t="shared" si="23"/>
        <v>842.50762663569185</v>
      </c>
      <c r="Y76" s="153">
        <f t="shared" si="23"/>
        <v>842.04425717483207</v>
      </c>
      <c r="Z76" s="153">
        <f t="shared" si="23"/>
        <v>841.66398272885567</v>
      </c>
      <c r="AA76" s="153">
        <f t="shared" si="23"/>
        <v>843.59918402794176</v>
      </c>
    </row>
    <row r="77" spans="2:27" s="12" customFormat="1" x14ac:dyDescent="0.2">
      <c r="B77" s="12" t="s">
        <v>220</v>
      </c>
      <c r="C77" s="12" t="s">
        <v>90</v>
      </c>
      <c r="D77" s="153">
        <f>1000*(2-$D$33)*D17/$D$28*$D$35</f>
        <v>13.918990946518546</v>
      </c>
      <c r="E77" s="153">
        <f t="shared" ref="E77:AA77" si="24">1000*(2-$D$33)*E17/$D$28*$D$35</f>
        <v>14.793320754557636</v>
      </c>
      <c r="F77" s="153">
        <f t="shared" si="24"/>
        <v>15.723237681637682</v>
      </c>
      <c r="G77" s="153">
        <f t="shared" si="24"/>
        <v>16.715202842639982</v>
      </c>
      <c r="H77" s="153">
        <f t="shared" si="24"/>
        <v>18.279634378248197</v>
      </c>
      <c r="I77" s="153">
        <f t="shared" si="24"/>
        <v>19.978436637598794</v>
      </c>
      <c r="J77" s="153">
        <f t="shared" si="24"/>
        <v>21.834090267761322</v>
      </c>
      <c r="K77" s="153">
        <f t="shared" si="24"/>
        <v>23.79119940860673</v>
      </c>
      <c r="L77" s="153">
        <f t="shared" si="24"/>
        <v>25.833222231006449</v>
      </c>
      <c r="M77" s="153">
        <f t="shared" si="24"/>
        <v>27.949621872853353</v>
      </c>
      <c r="N77" s="153">
        <f t="shared" si="24"/>
        <v>30.127175047664238</v>
      </c>
      <c r="O77" s="153">
        <f t="shared" si="24"/>
        <v>32.375991695779454</v>
      </c>
      <c r="P77" s="153">
        <f t="shared" si="24"/>
        <v>34.678263346968286</v>
      </c>
      <c r="Q77" s="153">
        <f t="shared" si="24"/>
        <v>36.960151797093104</v>
      </c>
      <c r="R77" s="153">
        <f t="shared" si="24"/>
        <v>39.332067671407174</v>
      </c>
      <c r="S77" s="153">
        <f t="shared" si="24"/>
        <v>41.897793700854947</v>
      </c>
      <c r="T77" s="153">
        <f t="shared" si="24"/>
        <v>44.496753823552254</v>
      </c>
      <c r="U77" s="153">
        <f t="shared" si="24"/>
        <v>46.17045204920317</v>
      </c>
      <c r="V77" s="153">
        <f t="shared" si="24"/>
        <v>47.773625611616517</v>
      </c>
      <c r="W77" s="153">
        <f t="shared" si="24"/>
        <v>49.379375958197052</v>
      </c>
      <c r="X77" s="153">
        <f t="shared" si="24"/>
        <v>50.960506847487551</v>
      </c>
      <c r="Y77" s="153">
        <f t="shared" si="24"/>
        <v>52.514793021979045</v>
      </c>
      <c r="Z77" s="153">
        <f t="shared" si="24"/>
        <v>54.039919725838615</v>
      </c>
      <c r="AA77" s="153">
        <f t="shared" si="24"/>
        <v>55.53347973726833</v>
      </c>
    </row>
    <row r="78" spans="2:27" s="12" customFormat="1" x14ac:dyDescent="0.2">
      <c r="B78" s="12" t="s">
        <v>275</v>
      </c>
      <c r="C78" s="12" t="s">
        <v>90</v>
      </c>
      <c r="D78" s="153">
        <f>1000*(2-$D$33)*D18/$D$28*$D$36</f>
        <v>0</v>
      </c>
      <c r="E78" s="153">
        <f t="shared" ref="E78:AA78" si="25">1000*(2-$D$33)*E18/$D$28*$D$36</f>
        <v>0</v>
      </c>
      <c r="F78" s="153">
        <f t="shared" si="25"/>
        <v>0</v>
      </c>
      <c r="G78" s="153">
        <f t="shared" si="25"/>
        <v>0</v>
      </c>
      <c r="H78" s="153">
        <f t="shared" si="25"/>
        <v>0</v>
      </c>
      <c r="I78" s="153">
        <f t="shared" si="25"/>
        <v>0</v>
      </c>
      <c r="J78" s="153">
        <f t="shared" si="25"/>
        <v>0</v>
      </c>
      <c r="K78" s="153">
        <f t="shared" si="25"/>
        <v>0</v>
      </c>
      <c r="L78" s="153">
        <f t="shared" si="25"/>
        <v>0</v>
      </c>
      <c r="M78" s="153">
        <f t="shared" si="25"/>
        <v>0</v>
      </c>
      <c r="N78" s="153">
        <f t="shared" si="25"/>
        <v>0</v>
      </c>
      <c r="O78" s="153">
        <f t="shared" si="25"/>
        <v>0</v>
      </c>
      <c r="P78" s="153">
        <f t="shared" si="25"/>
        <v>0</v>
      </c>
      <c r="Q78" s="153">
        <f t="shared" si="25"/>
        <v>0</v>
      </c>
      <c r="R78" s="153">
        <f t="shared" si="25"/>
        <v>0</v>
      </c>
      <c r="S78" s="153">
        <f t="shared" si="25"/>
        <v>0</v>
      </c>
      <c r="T78" s="153">
        <f t="shared" si="25"/>
        <v>0</v>
      </c>
      <c r="U78" s="153">
        <f t="shared" si="25"/>
        <v>0</v>
      </c>
      <c r="V78" s="153">
        <f t="shared" si="25"/>
        <v>0</v>
      </c>
      <c r="W78" s="153">
        <f t="shared" si="25"/>
        <v>0</v>
      </c>
      <c r="X78" s="153">
        <f t="shared" si="25"/>
        <v>0</v>
      </c>
      <c r="Y78" s="153">
        <f t="shared" si="25"/>
        <v>0</v>
      </c>
      <c r="Z78" s="153">
        <f t="shared" si="25"/>
        <v>0</v>
      </c>
      <c r="AA78" s="153">
        <f t="shared" si="25"/>
        <v>0</v>
      </c>
    </row>
    <row r="79" spans="2:27" s="12" customFormat="1" x14ac:dyDescent="0.2">
      <c r="B79" s="12" t="s">
        <v>223</v>
      </c>
      <c r="C79" s="12" t="s">
        <v>90</v>
      </c>
      <c r="D79" s="153">
        <f>1000*(2-$D$33)*D19/$D$28*$D$37</f>
        <v>2.2261851306627118</v>
      </c>
      <c r="E79" s="153">
        <f t="shared" ref="E79:AA79" si="26">1000*(2-$D$33)*E19/$D$28*$D$37</f>
        <v>2.2849254661984246</v>
      </c>
      <c r="F79" s="153">
        <f t="shared" si="26"/>
        <v>2.4424284754828509</v>
      </c>
      <c r="G79" s="153">
        <f t="shared" si="26"/>
        <v>2.7258360961658892</v>
      </c>
      <c r="H79" s="153">
        <f t="shared" si="26"/>
        <v>3.4973363685393308</v>
      </c>
      <c r="I79" s="153">
        <f t="shared" si="26"/>
        <v>4.681307198973224</v>
      </c>
      <c r="J79" s="153">
        <f t="shared" si="26"/>
        <v>6.127142706530404</v>
      </c>
      <c r="K79" s="153">
        <f t="shared" si="26"/>
        <v>7.7276747656630489</v>
      </c>
      <c r="L79" s="153">
        <f t="shared" si="26"/>
        <v>9.4691198376198003</v>
      </c>
      <c r="M79" s="153">
        <f t="shared" si="26"/>
        <v>11.569386224224012</v>
      </c>
      <c r="N79" s="153">
        <f t="shared" si="26"/>
        <v>13.931777268202561</v>
      </c>
      <c r="O79" s="153">
        <f t="shared" si="26"/>
        <v>16.598721567561359</v>
      </c>
      <c r="P79" s="153">
        <f t="shared" si="26"/>
        <v>19.63321423470574</v>
      </c>
      <c r="Q79" s="153">
        <f t="shared" si="26"/>
        <v>22.993015619022675</v>
      </c>
      <c r="R79" s="153">
        <f t="shared" si="26"/>
        <v>26.718565209094884</v>
      </c>
      <c r="S79" s="153">
        <f t="shared" si="26"/>
        <v>30.754849368833455</v>
      </c>
      <c r="T79" s="153">
        <f t="shared" si="26"/>
        <v>35.463593030043803</v>
      </c>
      <c r="U79" s="153">
        <f t="shared" si="26"/>
        <v>40.414190909867003</v>
      </c>
      <c r="V79" s="153">
        <f t="shared" si="26"/>
        <v>45.390319714958274</v>
      </c>
      <c r="W79" s="153">
        <f t="shared" si="26"/>
        <v>50.339458281407303</v>
      </c>
      <c r="X79" s="153">
        <f t="shared" si="26"/>
        <v>54.916558204049508</v>
      </c>
      <c r="Y79" s="153">
        <f t="shared" si="26"/>
        <v>59.047259060238851</v>
      </c>
      <c r="Z79" s="153">
        <f t="shared" si="26"/>
        <v>62.890258896914503</v>
      </c>
      <c r="AA79" s="153">
        <f t="shared" si="26"/>
        <v>66.4429139649164</v>
      </c>
    </row>
    <row r="80" spans="2:27" s="12" customFormat="1" x14ac:dyDescent="0.2">
      <c r="B80" s="12" t="s">
        <v>224</v>
      </c>
      <c r="C80" s="12" t="s">
        <v>90</v>
      </c>
      <c r="D80" s="153">
        <f>0*1000*D20/$D$30</f>
        <v>0</v>
      </c>
      <c r="E80" s="153">
        <f t="shared" ref="E80:AA80" si="27">0*1000*E20/$D$30</f>
        <v>0</v>
      </c>
      <c r="F80" s="153">
        <f t="shared" si="27"/>
        <v>0</v>
      </c>
      <c r="G80" s="153">
        <f t="shared" si="27"/>
        <v>0</v>
      </c>
      <c r="H80" s="153">
        <f t="shared" si="27"/>
        <v>0</v>
      </c>
      <c r="I80" s="153">
        <f t="shared" si="27"/>
        <v>0</v>
      </c>
      <c r="J80" s="153">
        <f t="shared" si="27"/>
        <v>0</v>
      </c>
      <c r="K80" s="153">
        <f t="shared" si="27"/>
        <v>0</v>
      </c>
      <c r="L80" s="153">
        <f t="shared" si="27"/>
        <v>0</v>
      </c>
      <c r="M80" s="153">
        <f t="shared" si="27"/>
        <v>0</v>
      </c>
      <c r="N80" s="153">
        <f t="shared" si="27"/>
        <v>0</v>
      </c>
      <c r="O80" s="153">
        <f t="shared" si="27"/>
        <v>0</v>
      </c>
      <c r="P80" s="153">
        <f t="shared" si="27"/>
        <v>0</v>
      </c>
      <c r="Q80" s="153">
        <f t="shared" si="27"/>
        <v>0</v>
      </c>
      <c r="R80" s="153">
        <f t="shared" si="27"/>
        <v>0</v>
      </c>
      <c r="S80" s="153">
        <f t="shared" si="27"/>
        <v>0</v>
      </c>
      <c r="T80" s="153">
        <f t="shared" si="27"/>
        <v>0</v>
      </c>
      <c r="U80" s="153">
        <f t="shared" si="27"/>
        <v>0</v>
      </c>
      <c r="V80" s="153">
        <f t="shared" si="27"/>
        <v>0</v>
      </c>
      <c r="W80" s="153">
        <f t="shared" si="27"/>
        <v>0</v>
      </c>
      <c r="X80" s="153">
        <f t="shared" si="27"/>
        <v>0</v>
      </c>
      <c r="Y80" s="153">
        <f t="shared" si="27"/>
        <v>0</v>
      </c>
      <c r="Z80" s="153">
        <f t="shared" si="27"/>
        <v>0</v>
      </c>
      <c r="AA80" s="153">
        <f t="shared" si="27"/>
        <v>0</v>
      </c>
    </row>
    <row r="81" spans="2:27" s="12" customFormat="1" x14ac:dyDescent="0.2">
      <c r="B81" s="12" t="s">
        <v>225</v>
      </c>
      <c r="C81" s="12" t="s">
        <v>90</v>
      </c>
      <c r="D81" s="153">
        <f>1000*D21/$D$31</f>
        <v>0</v>
      </c>
      <c r="E81" s="153">
        <f t="shared" ref="E81:AA81" si="28">1000*E21/$D$31</f>
        <v>0</v>
      </c>
      <c r="F81" s="153">
        <f t="shared" si="28"/>
        <v>0</v>
      </c>
      <c r="G81" s="153">
        <f t="shared" si="28"/>
        <v>0</v>
      </c>
      <c r="H81" s="153">
        <f t="shared" si="28"/>
        <v>0</v>
      </c>
      <c r="I81" s="153">
        <f t="shared" si="28"/>
        <v>0</v>
      </c>
      <c r="J81" s="153">
        <f t="shared" si="28"/>
        <v>0</v>
      </c>
      <c r="K81" s="153">
        <f t="shared" si="28"/>
        <v>0</v>
      </c>
      <c r="L81" s="153">
        <f t="shared" si="28"/>
        <v>0</v>
      </c>
      <c r="M81" s="153">
        <f t="shared" si="28"/>
        <v>0</v>
      </c>
      <c r="N81" s="153">
        <f t="shared" si="28"/>
        <v>0</v>
      </c>
      <c r="O81" s="153">
        <f t="shared" si="28"/>
        <v>0</v>
      </c>
      <c r="P81" s="153">
        <f t="shared" si="28"/>
        <v>0</v>
      </c>
      <c r="Q81" s="153">
        <f t="shared" si="28"/>
        <v>0</v>
      </c>
      <c r="R81" s="153">
        <f t="shared" si="28"/>
        <v>0</v>
      </c>
      <c r="S81" s="153">
        <f t="shared" si="28"/>
        <v>0</v>
      </c>
      <c r="T81" s="153">
        <f t="shared" si="28"/>
        <v>0</v>
      </c>
      <c r="U81" s="153">
        <f t="shared" si="28"/>
        <v>0</v>
      </c>
      <c r="V81" s="153">
        <f t="shared" si="28"/>
        <v>0</v>
      </c>
      <c r="W81" s="153">
        <f t="shared" si="28"/>
        <v>0</v>
      </c>
      <c r="X81" s="153">
        <f t="shared" si="28"/>
        <v>0</v>
      </c>
      <c r="Y81" s="153">
        <f t="shared" si="28"/>
        <v>0</v>
      </c>
      <c r="Z81" s="153">
        <f t="shared" si="28"/>
        <v>0</v>
      </c>
      <c r="AA81" s="153">
        <f t="shared" si="28"/>
        <v>0</v>
      </c>
    </row>
    <row r="82" spans="2:27" s="12" customFormat="1" x14ac:dyDescent="0.2">
      <c r="B82" s="91" t="str">
        <f>"Total, "&amp;B75</f>
        <v>Total, Eastern Denmark (DK2)</v>
      </c>
      <c r="C82" s="91" t="s">
        <v>90</v>
      </c>
      <c r="D82" s="92">
        <f>SUM(D76:D81)</f>
        <v>848.56520292246137</v>
      </c>
      <c r="E82" s="92">
        <f t="shared" ref="E82:AA82" si="29">SUM(E76:E81)</f>
        <v>854.9375656202601</v>
      </c>
      <c r="F82" s="92">
        <f t="shared" si="29"/>
        <v>862.59212929662544</v>
      </c>
      <c r="G82" s="92">
        <f t="shared" si="29"/>
        <v>863.99508042777757</v>
      </c>
      <c r="H82" s="92">
        <f t="shared" si="29"/>
        <v>864.64576888078</v>
      </c>
      <c r="I82" s="92">
        <f t="shared" si="29"/>
        <v>868.96883464954237</v>
      </c>
      <c r="J82" s="92">
        <f t="shared" si="29"/>
        <v>872.27640709360105</v>
      </c>
      <c r="K82" s="92">
        <f t="shared" si="29"/>
        <v>876.88675195680457</v>
      </c>
      <c r="L82" s="92">
        <f t="shared" si="29"/>
        <v>881.52093876448464</v>
      </c>
      <c r="M82" s="92">
        <f t="shared" si="29"/>
        <v>885.58434904406442</v>
      </c>
      <c r="N82" s="92">
        <f t="shared" si="29"/>
        <v>890.51680684497376</v>
      </c>
      <c r="O82" s="92">
        <f t="shared" si="29"/>
        <v>894.87716698432837</v>
      </c>
      <c r="P82" s="92">
        <f t="shared" si="29"/>
        <v>899.85368232968426</v>
      </c>
      <c r="Q82" s="92">
        <f t="shared" si="29"/>
        <v>906.92023999895207</v>
      </c>
      <c r="R82" s="92">
        <f t="shared" si="29"/>
        <v>912.47035887860227</v>
      </c>
      <c r="S82" s="92">
        <f t="shared" si="29"/>
        <v>918.79356026700816</v>
      </c>
      <c r="T82" s="92">
        <f t="shared" si="29"/>
        <v>924.6650479468085</v>
      </c>
      <c r="U82" s="92">
        <f t="shared" si="29"/>
        <v>929.61803643834571</v>
      </c>
      <c r="V82" s="92">
        <f t="shared" si="29"/>
        <v>937.00269556033686</v>
      </c>
      <c r="W82" s="92">
        <f t="shared" si="29"/>
        <v>942.48195280580353</v>
      </c>
      <c r="X82" s="92">
        <f t="shared" si="29"/>
        <v>948.38469168722884</v>
      </c>
      <c r="Y82" s="92">
        <f t="shared" si="29"/>
        <v>953.60630925704993</v>
      </c>
      <c r="Z82" s="92">
        <f t="shared" si="29"/>
        <v>958.59416135160882</v>
      </c>
      <c r="AA82" s="92">
        <f t="shared" si="29"/>
        <v>965.5755777301265</v>
      </c>
    </row>
    <row r="85" spans="2:27" s="70" customFormat="1" x14ac:dyDescent="0.2">
      <c r="B85" s="70" t="s">
        <v>315</v>
      </c>
    </row>
    <row r="87" spans="2:27" x14ac:dyDescent="0.2">
      <c r="C87" t="s">
        <v>71</v>
      </c>
    </row>
    <row r="88" spans="2:27" x14ac:dyDescent="0.2">
      <c r="C88" t="s">
        <v>91</v>
      </c>
    </row>
    <row r="89" spans="2:27" x14ac:dyDescent="0.2">
      <c r="C89" t="s">
        <v>92</v>
      </c>
    </row>
    <row r="90" spans="2:27" x14ac:dyDescent="0.2">
      <c r="C90" t="s">
        <v>93</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Ark7">
    <tabColor theme="6"/>
  </sheetPr>
  <dimension ref="A1:P71"/>
  <sheetViews>
    <sheetView showGridLines="0" topLeftCell="A63" zoomScale="110" zoomScaleNormal="110" workbookViewId="0"/>
  </sheetViews>
  <sheetFormatPr baseColWidth="10" defaultColWidth="8.83203125" defaultRowHeight="15" x14ac:dyDescent="0.2"/>
  <cols>
    <col min="1" max="1" width="5.6640625" style="12" customWidth="1"/>
    <col min="2" max="2" width="30.6640625" customWidth="1"/>
    <col min="3" max="4" width="10.6640625" customWidth="1"/>
    <col min="5" max="5" width="18.6640625" customWidth="1"/>
    <col min="6" max="6" width="40.5" customWidth="1"/>
    <col min="7" max="7" width="13.1640625" customWidth="1"/>
    <col min="8" max="8" width="17.6640625" customWidth="1"/>
    <col min="9" max="9" width="19.33203125" customWidth="1"/>
  </cols>
  <sheetData>
    <row r="1" spans="2:16" s="68" customFormat="1" ht="21" x14ac:dyDescent="0.25">
      <c r="B1" s="68" t="s">
        <v>458</v>
      </c>
    </row>
    <row r="3" spans="2:16" s="12" customFormat="1" x14ac:dyDescent="0.2"/>
    <row r="4" spans="2:16" s="70" customFormat="1" x14ac:dyDescent="0.2">
      <c r="B4" s="70" t="s">
        <v>123</v>
      </c>
    </row>
    <row r="6" spans="2:16" ht="30" x14ac:dyDescent="0.2">
      <c r="B6" s="250" t="s">
        <v>121</v>
      </c>
      <c r="C6" s="250" t="s">
        <v>141</v>
      </c>
      <c r="D6" s="252" t="s">
        <v>142</v>
      </c>
      <c r="E6" s="250" t="s">
        <v>0</v>
      </c>
      <c r="F6" s="250" t="s">
        <v>143</v>
      </c>
      <c r="G6" s="251" t="s">
        <v>457</v>
      </c>
      <c r="H6" s="251" t="s">
        <v>162</v>
      </c>
      <c r="I6" s="251" t="s">
        <v>163</v>
      </c>
      <c r="J6" s="251" t="s">
        <v>164</v>
      </c>
      <c r="K6" s="251" t="s">
        <v>165</v>
      </c>
      <c r="L6" s="251" t="s">
        <v>166</v>
      </c>
      <c r="M6" s="251" t="s">
        <v>167</v>
      </c>
      <c r="N6" s="251" t="s">
        <v>168</v>
      </c>
      <c r="O6" s="251" t="s">
        <v>169</v>
      </c>
      <c r="P6" s="251" t="s">
        <v>170</v>
      </c>
    </row>
    <row r="7" spans="2:16" s="12" customFormat="1" x14ac:dyDescent="0.2">
      <c r="B7" s="97" t="s">
        <v>190</v>
      </c>
      <c r="C7" s="98"/>
      <c r="D7" s="98"/>
      <c r="E7" s="98"/>
      <c r="F7" s="98"/>
      <c r="G7" s="99"/>
      <c r="H7" s="99"/>
      <c r="I7" s="99"/>
      <c r="J7" s="99"/>
      <c r="K7" s="99"/>
      <c r="L7" s="99"/>
      <c r="M7" s="99"/>
      <c r="N7" s="99"/>
      <c r="O7" s="99"/>
      <c r="P7" s="99"/>
    </row>
    <row r="8" spans="2:16" x14ac:dyDescent="0.2">
      <c r="B8" s="100" t="s">
        <v>16</v>
      </c>
      <c r="C8" s="100" t="s">
        <v>125</v>
      </c>
      <c r="D8" s="100" t="s">
        <v>17</v>
      </c>
      <c r="E8" s="100" t="s">
        <v>148</v>
      </c>
      <c r="F8" s="100" t="s">
        <v>144</v>
      </c>
      <c r="G8" s="101">
        <v>1979</v>
      </c>
      <c r="H8" s="102">
        <v>665</v>
      </c>
      <c r="I8" s="102">
        <v>665</v>
      </c>
      <c r="J8" s="103" t="s">
        <v>171</v>
      </c>
      <c r="K8" s="101"/>
      <c r="L8" s="101"/>
      <c r="M8" s="101"/>
      <c r="N8" s="101"/>
      <c r="O8" s="101"/>
      <c r="P8" s="101"/>
    </row>
    <row r="9" spans="2:16" x14ac:dyDescent="0.2">
      <c r="B9" s="59" t="s">
        <v>12</v>
      </c>
      <c r="C9" s="59" t="s">
        <v>125</v>
      </c>
      <c r="D9" s="59" t="s">
        <v>7</v>
      </c>
      <c r="E9" s="59" t="s">
        <v>149</v>
      </c>
      <c r="F9" s="59" t="s">
        <v>145</v>
      </c>
      <c r="G9" s="61">
        <v>1992</v>
      </c>
      <c r="H9" s="81">
        <v>370</v>
      </c>
      <c r="I9" s="81">
        <v>400</v>
      </c>
      <c r="J9" s="105" t="s">
        <v>171</v>
      </c>
      <c r="K9" s="105" t="s">
        <v>171</v>
      </c>
      <c r="L9" s="61"/>
      <c r="M9" s="61"/>
      <c r="N9" s="61"/>
      <c r="O9" s="61"/>
      <c r="P9" s="61"/>
    </row>
    <row r="10" spans="2:16" x14ac:dyDescent="0.2">
      <c r="B10" s="59" t="s">
        <v>8</v>
      </c>
      <c r="C10" s="59" t="s">
        <v>126</v>
      </c>
      <c r="D10" s="59" t="s">
        <v>2</v>
      </c>
      <c r="E10" s="59" t="s">
        <v>149</v>
      </c>
      <c r="F10" s="59" t="s">
        <v>146</v>
      </c>
      <c r="G10" s="61">
        <v>1991</v>
      </c>
      <c r="H10" s="81">
        <v>380</v>
      </c>
      <c r="I10" s="81">
        <v>410</v>
      </c>
      <c r="J10" s="105" t="s">
        <v>171</v>
      </c>
      <c r="K10" s="105" t="s">
        <v>171</v>
      </c>
      <c r="L10" s="61"/>
      <c r="M10" s="61"/>
      <c r="N10" s="61"/>
      <c r="O10" s="61"/>
      <c r="P10" s="61"/>
    </row>
    <row r="11" spans="2:16" x14ac:dyDescent="0.2">
      <c r="B11" s="106" t="s">
        <v>8</v>
      </c>
      <c r="C11" s="106" t="s">
        <v>127</v>
      </c>
      <c r="D11" s="106" t="s">
        <v>3</v>
      </c>
      <c r="E11" s="106" t="s">
        <v>149</v>
      </c>
      <c r="F11" s="106"/>
      <c r="G11" s="107">
        <v>2009</v>
      </c>
      <c r="H11" s="108">
        <v>35</v>
      </c>
      <c r="I11" s="108">
        <v>35</v>
      </c>
      <c r="J11" s="107"/>
      <c r="K11" s="107"/>
      <c r="L11" s="107"/>
      <c r="M11" s="107"/>
      <c r="N11" s="109" t="s">
        <v>171</v>
      </c>
      <c r="O11" s="107"/>
      <c r="P11" s="107"/>
    </row>
    <row r="12" spans="2:16" x14ac:dyDescent="0.2">
      <c r="B12" s="110" t="s">
        <v>1</v>
      </c>
      <c r="C12" s="110"/>
      <c r="D12" s="110" t="s">
        <v>13</v>
      </c>
      <c r="E12" s="110" t="s">
        <v>149</v>
      </c>
      <c r="F12" s="110"/>
      <c r="G12" s="111">
        <v>1982</v>
      </c>
      <c r="H12" s="112">
        <v>90</v>
      </c>
      <c r="I12" s="112">
        <v>90</v>
      </c>
      <c r="J12" s="111"/>
      <c r="K12" s="111"/>
      <c r="L12" s="113"/>
      <c r="M12" s="113" t="s">
        <v>171</v>
      </c>
      <c r="N12" s="111"/>
      <c r="O12" s="140" t="s">
        <v>171</v>
      </c>
      <c r="P12" s="140" t="s">
        <v>171</v>
      </c>
    </row>
    <row r="13" spans="2:16" s="12" customFormat="1" x14ac:dyDescent="0.2">
      <c r="B13" s="114" t="s">
        <v>9</v>
      </c>
      <c r="C13" s="114" t="s">
        <v>128</v>
      </c>
      <c r="D13" s="114" t="s">
        <v>15</v>
      </c>
      <c r="E13" s="114" t="s">
        <v>154</v>
      </c>
      <c r="F13" s="114"/>
      <c r="G13" s="115">
        <v>1977</v>
      </c>
      <c r="H13" s="116">
        <v>220</v>
      </c>
      <c r="I13" s="116">
        <v>220</v>
      </c>
      <c r="J13" s="117" t="s">
        <v>171</v>
      </c>
      <c r="K13" s="115"/>
      <c r="L13" s="117"/>
      <c r="M13" s="117"/>
      <c r="N13" s="115"/>
      <c r="O13" s="117"/>
      <c r="P13" s="117"/>
    </row>
    <row r="14" spans="2:16" x14ac:dyDescent="0.2">
      <c r="B14" s="59" t="s">
        <v>9</v>
      </c>
      <c r="C14" s="59" t="s">
        <v>125</v>
      </c>
      <c r="D14" s="59" t="s">
        <v>4</v>
      </c>
      <c r="E14" s="65" t="s">
        <v>149</v>
      </c>
      <c r="F14" s="59"/>
      <c r="G14" s="61">
        <v>1998</v>
      </c>
      <c r="H14" s="81">
        <v>380</v>
      </c>
      <c r="I14" s="81">
        <v>410</v>
      </c>
      <c r="J14" s="105" t="s">
        <v>171</v>
      </c>
      <c r="K14" s="105" t="s">
        <v>171</v>
      </c>
      <c r="L14" s="61"/>
      <c r="M14" s="61"/>
      <c r="N14" s="61"/>
      <c r="O14" s="61"/>
      <c r="P14" s="61"/>
    </row>
    <row r="15" spans="2:16" x14ac:dyDescent="0.2">
      <c r="B15" s="110" t="s">
        <v>10</v>
      </c>
      <c r="C15" s="110" t="s">
        <v>125</v>
      </c>
      <c r="D15" s="110" t="s">
        <v>5</v>
      </c>
      <c r="E15" s="118" t="s">
        <v>149</v>
      </c>
      <c r="F15" s="118" t="s">
        <v>147</v>
      </c>
      <c r="G15" s="111">
        <v>1997</v>
      </c>
      <c r="H15" s="112">
        <v>390</v>
      </c>
      <c r="I15" s="112">
        <v>430</v>
      </c>
      <c r="J15" s="111"/>
      <c r="K15" s="111"/>
      <c r="L15" s="113" t="s">
        <v>171</v>
      </c>
      <c r="M15" s="113" t="s">
        <v>171</v>
      </c>
      <c r="N15" s="111"/>
      <c r="O15" s="111"/>
      <c r="P15" s="111"/>
    </row>
    <row r="16" spans="2:16" x14ac:dyDescent="0.2">
      <c r="B16" s="59" t="s">
        <v>11</v>
      </c>
      <c r="C16" s="59" t="s">
        <v>125</v>
      </c>
      <c r="D16" s="59" t="s">
        <v>6</v>
      </c>
      <c r="E16" s="119" t="s">
        <v>149</v>
      </c>
      <c r="F16" s="120" t="s">
        <v>155</v>
      </c>
      <c r="G16" s="61">
        <v>1984</v>
      </c>
      <c r="H16" s="81">
        <v>360</v>
      </c>
      <c r="I16" s="81">
        <v>380</v>
      </c>
      <c r="J16" s="105" t="s">
        <v>171</v>
      </c>
      <c r="K16" s="105" t="s">
        <v>171</v>
      </c>
      <c r="L16" s="61"/>
      <c r="M16" s="61"/>
      <c r="N16" s="105" t="s">
        <v>171</v>
      </c>
      <c r="O16" s="61"/>
      <c r="P16" s="105" t="s">
        <v>171</v>
      </c>
    </row>
    <row r="17" spans="2:16" x14ac:dyDescent="0.2">
      <c r="B17" s="114" t="s">
        <v>11</v>
      </c>
      <c r="C17" s="114" t="s">
        <v>129</v>
      </c>
      <c r="D17" s="114" t="s">
        <v>14</v>
      </c>
      <c r="E17" s="114" t="s">
        <v>153</v>
      </c>
      <c r="F17" s="114" t="s">
        <v>397</v>
      </c>
      <c r="G17" s="115">
        <v>1985</v>
      </c>
      <c r="H17" s="116">
        <v>360</v>
      </c>
      <c r="I17" s="116">
        <v>380</v>
      </c>
      <c r="J17" s="117" t="s">
        <v>171</v>
      </c>
      <c r="K17" s="117" t="s">
        <v>171</v>
      </c>
      <c r="L17" s="115"/>
      <c r="M17" s="115"/>
      <c r="N17" s="117" t="s">
        <v>171</v>
      </c>
      <c r="O17" s="115"/>
      <c r="P17" s="117"/>
    </row>
    <row r="18" spans="2:16" x14ac:dyDescent="0.2">
      <c r="B18" s="62" t="s">
        <v>152</v>
      </c>
      <c r="C18" s="62"/>
      <c r="D18" s="62"/>
      <c r="E18" s="62" t="str">
        <f>"Number = "&amp;COUNTIF($E8:$E17,"Ready state")</f>
        <v>Number = 7</v>
      </c>
      <c r="F18" s="62"/>
      <c r="G18" s="62"/>
      <c r="H18" s="121">
        <f>SUMIF($E8:$E17,"Ready state",H8:H17)</f>
        <v>2005</v>
      </c>
      <c r="I18" s="121">
        <f>SUMIF($E8:$E17,"Ready state",I8:I17)</f>
        <v>2155</v>
      </c>
      <c r="J18" s="74"/>
      <c r="K18" s="74"/>
      <c r="L18" s="74"/>
      <c r="M18" s="74"/>
      <c r="N18" s="74"/>
      <c r="O18" s="74"/>
      <c r="P18" s="74"/>
    </row>
    <row r="19" spans="2:16" x14ac:dyDescent="0.2">
      <c r="B19" s="59"/>
      <c r="C19" s="59"/>
      <c r="D19" s="59"/>
      <c r="E19" s="59"/>
      <c r="F19" s="59"/>
      <c r="G19" s="61"/>
      <c r="H19" s="81"/>
      <c r="I19" s="81"/>
      <c r="J19" s="61"/>
      <c r="K19" s="61"/>
      <c r="L19" s="61"/>
      <c r="M19" s="61"/>
      <c r="N19" s="61"/>
      <c r="O19" s="61"/>
      <c r="P19" s="61"/>
    </row>
    <row r="20" spans="2:16" x14ac:dyDescent="0.2">
      <c r="B20" s="97" t="s">
        <v>192</v>
      </c>
      <c r="C20" s="65"/>
      <c r="D20" s="65"/>
      <c r="E20" s="65"/>
      <c r="F20" s="65"/>
      <c r="G20" s="66"/>
      <c r="H20" s="89"/>
      <c r="I20" s="89"/>
      <c r="J20" s="66"/>
      <c r="K20" s="66"/>
      <c r="L20" s="66"/>
      <c r="M20" s="66"/>
      <c r="N20" s="66"/>
      <c r="O20" s="66"/>
      <c r="P20" s="66"/>
    </row>
    <row r="21" spans="2:16" x14ac:dyDescent="0.2">
      <c r="B21" s="59" t="s">
        <v>19</v>
      </c>
      <c r="C21" s="59" t="s">
        <v>130</v>
      </c>
      <c r="D21" s="59" t="s">
        <v>26</v>
      </c>
      <c r="E21" s="59" t="s">
        <v>149</v>
      </c>
      <c r="F21" s="59"/>
      <c r="G21" s="61">
        <v>2009</v>
      </c>
      <c r="H21" s="81">
        <v>70</v>
      </c>
      <c r="I21" s="81">
        <v>70</v>
      </c>
      <c r="J21" s="105" t="s">
        <v>171</v>
      </c>
      <c r="K21" s="105" t="s">
        <v>171</v>
      </c>
      <c r="L21" s="61"/>
      <c r="M21" s="61"/>
      <c r="N21" s="61"/>
      <c r="O21" s="61"/>
      <c r="P21" s="105" t="s">
        <v>171</v>
      </c>
    </row>
    <row r="22" spans="2:16" x14ac:dyDescent="0.2">
      <c r="B22" s="59" t="s">
        <v>19</v>
      </c>
      <c r="C22" s="59" t="s">
        <v>125</v>
      </c>
      <c r="D22" s="59" t="s">
        <v>27</v>
      </c>
      <c r="E22" s="59" t="s">
        <v>149</v>
      </c>
      <c r="F22" s="59"/>
      <c r="G22" s="61">
        <v>1989</v>
      </c>
      <c r="H22" s="81">
        <v>250</v>
      </c>
      <c r="I22" s="81">
        <v>265</v>
      </c>
      <c r="J22" s="105" t="s">
        <v>171</v>
      </c>
      <c r="K22" s="105" t="s">
        <v>171</v>
      </c>
      <c r="L22" s="61"/>
      <c r="M22" s="61"/>
      <c r="N22" s="61"/>
      <c r="O22" s="61"/>
      <c r="P22" s="61"/>
    </row>
    <row r="23" spans="2:16" x14ac:dyDescent="0.2">
      <c r="B23" s="59" t="s">
        <v>20</v>
      </c>
      <c r="C23" s="59" t="s">
        <v>128</v>
      </c>
      <c r="D23" s="59" t="s">
        <v>28</v>
      </c>
      <c r="E23" s="59" t="s">
        <v>149</v>
      </c>
      <c r="F23" s="120" t="s">
        <v>156</v>
      </c>
      <c r="G23" s="61">
        <v>1961</v>
      </c>
      <c r="H23" s="81">
        <v>140</v>
      </c>
      <c r="I23" s="81">
        <v>140</v>
      </c>
      <c r="J23" s="105" t="s">
        <v>171</v>
      </c>
      <c r="K23" s="105" t="s">
        <v>171</v>
      </c>
      <c r="L23" s="61"/>
      <c r="M23" s="61"/>
      <c r="N23" s="61"/>
      <c r="O23" s="61"/>
      <c r="P23" s="61"/>
    </row>
    <row r="24" spans="2:16" s="12" customFormat="1" x14ac:dyDescent="0.2">
      <c r="B24" s="73" t="s">
        <v>20</v>
      </c>
      <c r="C24" s="73" t="s">
        <v>129</v>
      </c>
      <c r="D24" s="73" t="s">
        <v>101</v>
      </c>
      <c r="E24" s="73" t="s">
        <v>148</v>
      </c>
      <c r="F24" s="122"/>
      <c r="G24" s="123">
        <v>1968</v>
      </c>
      <c r="H24" s="124">
        <v>270</v>
      </c>
      <c r="I24" s="124">
        <v>270</v>
      </c>
      <c r="J24" s="125" t="s">
        <v>171</v>
      </c>
      <c r="K24" s="125"/>
      <c r="L24" s="123"/>
      <c r="M24" s="123"/>
      <c r="N24" s="123"/>
      <c r="O24" s="123"/>
      <c r="P24" s="123"/>
    </row>
    <row r="25" spans="2:16" x14ac:dyDescent="0.2">
      <c r="B25" s="73" t="s">
        <v>20</v>
      </c>
      <c r="C25" s="73" t="s">
        <v>131</v>
      </c>
      <c r="D25" s="73" t="s">
        <v>33</v>
      </c>
      <c r="E25" s="73" t="s">
        <v>153</v>
      </c>
      <c r="F25" s="122" t="s">
        <v>157</v>
      </c>
      <c r="G25" s="123">
        <v>1981</v>
      </c>
      <c r="H25" s="124">
        <v>640</v>
      </c>
      <c r="I25" s="124">
        <v>665</v>
      </c>
      <c r="J25" s="125" t="s">
        <v>171</v>
      </c>
      <c r="K25" s="125" t="s">
        <v>171</v>
      </c>
      <c r="L25" s="123"/>
      <c r="M25" s="123"/>
      <c r="N25" s="123"/>
      <c r="O25" s="123"/>
      <c r="P25" s="123"/>
    </row>
    <row r="26" spans="2:16" x14ac:dyDescent="0.2">
      <c r="B26" s="59" t="s">
        <v>21</v>
      </c>
      <c r="C26" s="59" t="s">
        <v>130</v>
      </c>
      <c r="D26" s="59" t="s">
        <v>29</v>
      </c>
      <c r="E26" s="59" t="s">
        <v>149</v>
      </c>
      <c r="F26" s="86"/>
      <c r="G26" s="61">
        <v>1990</v>
      </c>
      <c r="H26" s="81">
        <v>255</v>
      </c>
      <c r="I26" s="81">
        <v>265</v>
      </c>
      <c r="J26" s="105" t="s">
        <v>171</v>
      </c>
      <c r="K26" s="105" t="s">
        <v>171</v>
      </c>
      <c r="L26" s="61"/>
      <c r="M26" s="61"/>
      <c r="N26" s="61"/>
      <c r="O26" s="61"/>
      <c r="P26" s="105" t="s">
        <v>171</v>
      </c>
    </row>
    <row r="27" spans="2:16" x14ac:dyDescent="0.2">
      <c r="B27" s="106" t="s">
        <v>21</v>
      </c>
      <c r="C27" s="106" t="s">
        <v>128</v>
      </c>
      <c r="D27" s="106" t="s">
        <v>30</v>
      </c>
      <c r="E27" s="106" t="s">
        <v>149</v>
      </c>
      <c r="F27" s="106"/>
      <c r="G27" s="107">
        <v>2002</v>
      </c>
      <c r="H27" s="108">
        <v>545</v>
      </c>
      <c r="I27" s="108">
        <v>545</v>
      </c>
      <c r="J27" s="107"/>
      <c r="K27" s="109" t="s">
        <v>171</v>
      </c>
      <c r="L27" s="107"/>
      <c r="M27" s="109" t="s">
        <v>171</v>
      </c>
      <c r="N27" s="138" t="s">
        <v>171</v>
      </c>
      <c r="O27" s="107"/>
      <c r="P27" s="109" t="s">
        <v>171</v>
      </c>
    </row>
    <row r="28" spans="2:16" x14ac:dyDescent="0.2">
      <c r="B28" s="73" t="s">
        <v>22</v>
      </c>
      <c r="C28" s="73" t="s">
        <v>132</v>
      </c>
      <c r="D28" s="73" t="s">
        <v>42</v>
      </c>
      <c r="E28" s="73" t="s">
        <v>148</v>
      </c>
      <c r="F28" s="73" t="s">
        <v>158</v>
      </c>
      <c r="G28" s="123">
        <v>1954</v>
      </c>
      <c r="H28" s="124">
        <v>10</v>
      </c>
      <c r="I28" s="124">
        <v>10</v>
      </c>
      <c r="J28" s="123"/>
      <c r="K28" s="123"/>
      <c r="L28" s="123"/>
      <c r="M28" s="125" t="s">
        <v>171</v>
      </c>
      <c r="N28" s="123"/>
      <c r="O28" s="123"/>
      <c r="P28" s="123"/>
    </row>
    <row r="29" spans="2:16" x14ac:dyDescent="0.2">
      <c r="B29" s="59" t="s">
        <v>22</v>
      </c>
      <c r="C29" s="59" t="s">
        <v>126</v>
      </c>
      <c r="D29" s="59" t="s">
        <v>31</v>
      </c>
      <c r="E29" s="59" t="s">
        <v>149</v>
      </c>
      <c r="F29" s="59"/>
      <c r="G29" s="61">
        <v>1985</v>
      </c>
      <c r="H29" s="81">
        <v>75</v>
      </c>
      <c r="I29" s="81">
        <v>75</v>
      </c>
      <c r="J29" s="61"/>
      <c r="K29" s="61"/>
      <c r="L29" s="61"/>
      <c r="M29" s="105" t="s">
        <v>171</v>
      </c>
      <c r="N29" s="61"/>
      <c r="O29" s="61"/>
      <c r="P29" s="61"/>
    </row>
    <row r="30" spans="2:16" x14ac:dyDescent="0.2">
      <c r="B30" s="106" t="s">
        <v>22</v>
      </c>
      <c r="C30" s="106" t="s">
        <v>127</v>
      </c>
      <c r="D30" s="106" t="s">
        <v>32</v>
      </c>
      <c r="E30" s="106" t="s">
        <v>149</v>
      </c>
      <c r="F30" s="106"/>
      <c r="G30" s="107">
        <v>2004</v>
      </c>
      <c r="H30" s="108">
        <v>25</v>
      </c>
      <c r="I30" s="108">
        <v>25</v>
      </c>
      <c r="J30" s="107"/>
      <c r="K30" s="107"/>
      <c r="L30" s="107"/>
      <c r="M30" s="109" t="s">
        <v>171</v>
      </c>
      <c r="N30" s="107"/>
      <c r="O30" s="107"/>
      <c r="P30" s="107"/>
    </row>
    <row r="31" spans="2:16" x14ac:dyDescent="0.2">
      <c r="B31" s="126" t="s">
        <v>23</v>
      </c>
      <c r="C31" s="126" t="s">
        <v>133</v>
      </c>
      <c r="D31" s="126" t="s">
        <v>34</v>
      </c>
      <c r="E31" s="126" t="s">
        <v>153</v>
      </c>
      <c r="F31" s="126" t="s">
        <v>159</v>
      </c>
      <c r="G31" s="127">
        <v>1974</v>
      </c>
      <c r="H31" s="128">
        <v>260</v>
      </c>
      <c r="I31" s="128">
        <v>260</v>
      </c>
      <c r="J31" s="127"/>
      <c r="K31" s="127"/>
      <c r="L31" s="129" t="s">
        <v>171</v>
      </c>
      <c r="M31" s="127"/>
      <c r="N31" s="127"/>
      <c r="O31" s="127"/>
      <c r="P31" s="127"/>
    </row>
    <row r="32" spans="2:16" s="12" customFormat="1" x14ac:dyDescent="0.2">
      <c r="B32" s="238" t="s">
        <v>25</v>
      </c>
      <c r="C32" s="238" t="s">
        <v>130</v>
      </c>
      <c r="D32" s="238" t="s">
        <v>102</v>
      </c>
      <c r="E32" s="238" t="s">
        <v>148</v>
      </c>
      <c r="F32" s="238"/>
      <c r="G32" s="239">
        <v>1966</v>
      </c>
      <c r="H32" s="240">
        <v>143</v>
      </c>
      <c r="I32" s="240">
        <v>143</v>
      </c>
      <c r="J32" s="241" t="s">
        <v>171</v>
      </c>
      <c r="K32" s="239"/>
      <c r="L32" s="241"/>
      <c r="M32" s="239"/>
      <c r="N32" s="239"/>
      <c r="O32" s="239"/>
      <c r="P32" s="239"/>
    </row>
    <row r="33" spans="2:16" x14ac:dyDescent="0.2">
      <c r="B33" s="100" t="s">
        <v>25</v>
      </c>
      <c r="C33" s="100" t="s">
        <v>128</v>
      </c>
      <c r="D33" s="100" t="s">
        <v>43</v>
      </c>
      <c r="E33" s="100" t="s">
        <v>148</v>
      </c>
      <c r="F33" s="100"/>
      <c r="G33" s="101">
        <v>1970</v>
      </c>
      <c r="H33" s="102">
        <v>264</v>
      </c>
      <c r="I33" s="102">
        <v>264</v>
      </c>
      <c r="J33" s="103" t="s">
        <v>171</v>
      </c>
      <c r="K33" s="103" t="s">
        <v>171</v>
      </c>
      <c r="L33" s="101"/>
      <c r="M33" s="101"/>
      <c r="N33" s="101"/>
      <c r="O33" s="101"/>
      <c r="P33" s="101"/>
    </row>
    <row r="34" spans="2:16" x14ac:dyDescent="0.2">
      <c r="B34" s="73" t="s">
        <v>24</v>
      </c>
      <c r="C34" s="73" t="s">
        <v>134</v>
      </c>
      <c r="D34" s="73" t="s">
        <v>45</v>
      </c>
      <c r="E34" s="73" t="s">
        <v>148</v>
      </c>
      <c r="F34" s="73" t="s">
        <v>160</v>
      </c>
      <c r="G34" s="123">
        <v>1953</v>
      </c>
      <c r="H34" s="124">
        <v>10</v>
      </c>
      <c r="I34" s="124">
        <v>10</v>
      </c>
      <c r="J34" s="123"/>
      <c r="K34" s="123"/>
      <c r="L34" s="125" t="s">
        <v>171</v>
      </c>
      <c r="M34" s="125" t="s">
        <v>171</v>
      </c>
      <c r="N34" s="123"/>
      <c r="O34" s="123"/>
      <c r="P34" s="123"/>
    </row>
    <row r="35" spans="2:16" x14ac:dyDescent="0.2">
      <c r="B35" s="100" t="s">
        <v>24</v>
      </c>
      <c r="C35" s="100" t="s">
        <v>126</v>
      </c>
      <c r="D35" s="100" t="s">
        <v>44</v>
      </c>
      <c r="E35" s="100" t="s">
        <v>148</v>
      </c>
      <c r="F35" s="100"/>
      <c r="G35" s="101">
        <v>1995</v>
      </c>
      <c r="H35" s="102">
        <v>60</v>
      </c>
      <c r="I35" s="102">
        <v>60</v>
      </c>
      <c r="J35" s="101"/>
      <c r="K35" s="101"/>
      <c r="L35" s="103" t="s">
        <v>171</v>
      </c>
      <c r="M35" s="103" t="s">
        <v>171</v>
      </c>
      <c r="N35" s="101"/>
      <c r="O35" s="101"/>
      <c r="P35" s="101"/>
    </row>
    <row r="36" spans="2:16" x14ac:dyDescent="0.2">
      <c r="B36" s="65" t="s">
        <v>41</v>
      </c>
      <c r="C36" s="65" t="s">
        <v>135</v>
      </c>
      <c r="D36" s="65" t="s">
        <v>47</v>
      </c>
      <c r="E36" s="65" t="s">
        <v>149</v>
      </c>
      <c r="F36" s="130" t="s">
        <v>452</v>
      </c>
      <c r="G36" s="66">
        <v>1995</v>
      </c>
      <c r="H36" s="89">
        <v>37</v>
      </c>
      <c r="I36" s="89">
        <v>37</v>
      </c>
      <c r="J36" s="143" t="s">
        <v>171</v>
      </c>
      <c r="K36" s="143" t="s">
        <v>171</v>
      </c>
      <c r="L36" s="141"/>
      <c r="M36" s="141"/>
      <c r="N36" s="141"/>
      <c r="O36" s="143" t="s">
        <v>171</v>
      </c>
      <c r="P36" s="66"/>
    </row>
    <row r="37" spans="2:16" x14ac:dyDescent="0.2">
      <c r="B37" s="62" t="s">
        <v>151</v>
      </c>
      <c r="C37" s="62"/>
      <c r="D37" s="62"/>
      <c r="E37" s="62" t="str">
        <f>"Number = "&amp;COUNTIF($E21:$E36,"Ready state")</f>
        <v>Number = 8</v>
      </c>
      <c r="F37" s="62"/>
      <c r="G37" s="62"/>
      <c r="H37" s="121">
        <f>SUMIF($E21:$E36,"Ready state",H21:H36)</f>
        <v>1397</v>
      </c>
      <c r="I37" s="121">
        <f>SUMIF($E21:$E36,"Ready state",I21:I36)</f>
        <v>1422</v>
      </c>
      <c r="J37" s="74"/>
      <c r="K37" s="74"/>
      <c r="L37" s="74"/>
      <c r="M37" s="74"/>
      <c r="N37" s="74"/>
      <c r="O37" s="74"/>
      <c r="P37" s="74"/>
    </row>
    <row r="38" spans="2:16" s="12" customFormat="1" x14ac:dyDescent="0.2">
      <c r="B38" s="59"/>
      <c r="C38" s="59"/>
      <c r="D38" s="59"/>
      <c r="E38" s="59"/>
      <c r="F38" s="59"/>
      <c r="G38" s="59"/>
      <c r="H38" s="59"/>
      <c r="I38" s="59"/>
      <c r="J38" s="61"/>
      <c r="K38" s="61"/>
      <c r="L38" s="61"/>
      <c r="M38" s="61"/>
      <c r="N38" s="61"/>
      <c r="O38" s="61"/>
      <c r="P38" s="61"/>
    </row>
    <row r="39" spans="2:16" s="12" customFormat="1" x14ac:dyDescent="0.2">
      <c r="B39" s="91" t="s">
        <v>150</v>
      </c>
      <c r="C39" s="91"/>
      <c r="D39" s="91"/>
      <c r="E39" s="91" t="str">
        <f>"Number = "&amp;COUNTIF($E$8:$E$17,"Ready state")+COUNTIF($E$21:$E$36,"Ready state")</f>
        <v>Number = 15</v>
      </c>
      <c r="F39" s="91"/>
      <c r="G39" s="91"/>
      <c r="H39" s="96">
        <f>H18+H37</f>
        <v>3402</v>
      </c>
      <c r="I39" s="96">
        <f>I18+I37</f>
        <v>3577</v>
      </c>
      <c r="J39" s="149"/>
      <c r="K39" s="149"/>
      <c r="L39" s="149"/>
      <c r="M39" s="149"/>
      <c r="N39" s="149"/>
      <c r="O39" s="149"/>
      <c r="P39" s="149"/>
    </row>
    <row r="40" spans="2:16" x14ac:dyDescent="0.2">
      <c r="B40" s="2" t="s">
        <v>463</v>
      </c>
    </row>
    <row r="42" spans="2:16" s="12" customFormat="1" x14ac:dyDescent="0.2"/>
    <row r="43" spans="2:16" s="70" customFormat="1" x14ac:dyDescent="0.2">
      <c r="B43" s="70" t="s">
        <v>124</v>
      </c>
    </row>
    <row r="45" spans="2:16" ht="30" x14ac:dyDescent="0.2">
      <c r="B45" s="255" t="str">
        <f>B$6</f>
        <v>Power plant</v>
      </c>
      <c r="C45" s="255" t="str">
        <f t="shared" ref="C45:P45" si="0">C$6</f>
        <v>Unit</v>
      </c>
      <c r="D45" s="253" t="str">
        <f t="shared" si="0"/>
        <v>Short name</v>
      </c>
      <c r="E45" s="255" t="str">
        <f t="shared" si="0"/>
        <v>Status</v>
      </c>
      <c r="F45" s="255" t="str">
        <f t="shared" si="0"/>
        <v>Notes</v>
      </c>
      <c r="G45" s="254" t="str">
        <f t="shared" si="0"/>
        <v>Commissioned 
(year)</v>
      </c>
      <c r="H45" s="254" t="str">
        <f t="shared" si="0"/>
        <v>Electricity capacity (MW)</v>
      </c>
      <c r="I45" s="254" t="str">
        <f t="shared" si="0"/>
        <v>Electricity overload capacity (MW)</v>
      </c>
      <c r="J45" s="254" t="str">
        <f t="shared" si="0"/>
        <v>Coal</v>
      </c>
      <c r="K45" s="254" t="str">
        <f t="shared" si="0"/>
        <v>Fuel oil</v>
      </c>
      <c r="L45" s="254" t="str">
        <f t="shared" si="0"/>
        <v>Gas oil</v>
      </c>
      <c r="M45" s="254" t="str">
        <f t="shared" si="0"/>
        <v>Natural gas</v>
      </c>
      <c r="N45" s="254" t="str">
        <f t="shared" si="0"/>
        <v>Straw</v>
      </c>
      <c r="O45" s="254" t="str">
        <f t="shared" si="0"/>
        <v>Wood chips</v>
      </c>
      <c r="P45" s="254" t="str">
        <f t="shared" si="0"/>
        <v>Wood pellets</v>
      </c>
    </row>
    <row r="46" spans="2:16" s="12" customFormat="1" x14ac:dyDescent="0.2">
      <c r="B46" s="97" t="s">
        <v>190</v>
      </c>
      <c r="C46" s="97"/>
      <c r="D46" s="97"/>
      <c r="E46" s="97"/>
      <c r="F46" s="97"/>
      <c r="G46" s="63"/>
      <c r="H46" s="90"/>
      <c r="I46" s="90"/>
      <c r="J46" s="63"/>
      <c r="K46" s="63"/>
      <c r="L46" s="63"/>
      <c r="M46" s="63"/>
      <c r="N46" s="63"/>
      <c r="O46" s="63"/>
      <c r="P46" s="63"/>
    </row>
    <row r="47" spans="2:16" x14ac:dyDescent="0.2">
      <c r="B47" s="65" t="s">
        <v>11</v>
      </c>
      <c r="C47" s="65" t="s">
        <v>131</v>
      </c>
      <c r="D47" s="65" t="s">
        <v>18</v>
      </c>
      <c r="E47" s="65" t="s">
        <v>149</v>
      </c>
      <c r="F47" s="65"/>
      <c r="G47" s="66">
        <v>1986</v>
      </c>
      <c r="H47" s="89">
        <v>15</v>
      </c>
      <c r="I47" s="89">
        <v>15</v>
      </c>
      <c r="J47" s="66"/>
      <c r="K47" s="66"/>
      <c r="L47" s="132" t="s">
        <v>171</v>
      </c>
      <c r="M47" s="66"/>
      <c r="N47" s="66"/>
      <c r="O47" s="66"/>
      <c r="P47" s="66"/>
    </row>
    <row r="48" spans="2:16" x14ac:dyDescent="0.2">
      <c r="B48" s="62" t="s">
        <v>152</v>
      </c>
      <c r="C48" s="62"/>
      <c r="D48" s="62"/>
      <c r="E48" s="62" t="str">
        <f>"Number = "&amp;COUNTIF($E47,"Ready state")</f>
        <v>Number = 1</v>
      </c>
      <c r="F48" s="62"/>
      <c r="G48" s="62"/>
      <c r="H48" s="121">
        <f>SUMIF($E47,"Ready state",H47)</f>
        <v>15</v>
      </c>
      <c r="I48" s="121">
        <f>SUMIF($E47,"Ready state",I47)</f>
        <v>15</v>
      </c>
      <c r="J48" s="74"/>
      <c r="K48" s="74"/>
      <c r="L48" s="74"/>
      <c r="M48" s="74"/>
      <c r="N48" s="74"/>
      <c r="O48" s="74"/>
      <c r="P48" s="74"/>
    </row>
    <row r="49" spans="2:16" x14ac:dyDescent="0.2">
      <c r="B49" s="59"/>
      <c r="C49" s="59"/>
      <c r="D49" s="59"/>
      <c r="E49" s="59"/>
      <c r="F49" s="59"/>
      <c r="G49" s="61"/>
      <c r="H49" s="81"/>
      <c r="I49" s="81"/>
      <c r="J49" s="61"/>
      <c r="K49" s="61"/>
      <c r="L49" s="61"/>
      <c r="M49" s="61"/>
      <c r="N49" s="61"/>
      <c r="O49" s="61"/>
      <c r="P49" s="61"/>
    </row>
    <row r="50" spans="2:16" x14ac:dyDescent="0.2">
      <c r="B50" s="62" t="s">
        <v>192</v>
      </c>
      <c r="C50" s="59"/>
      <c r="D50" s="59"/>
      <c r="E50" s="59"/>
      <c r="F50" s="59"/>
      <c r="G50" s="61"/>
      <c r="H50" s="81"/>
      <c r="I50" s="81"/>
      <c r="J50" s="61"/>
      <c r="K50" s="61"/>
      <c r="L50" s="61"/>
      <c r="M50" s="61"/>
      <c r="N50" s="61"/>
      <c r="O50" s="61"/>
      <c r="P50" s="61"/>
    </row>
    <row r="51" spans="2:16" x14ac:dyDescent="0.2">
      <c r="B51" s="86" t="s">
        <v>23</v>
      </c>
      <c r="C51" s="86" t="s">
        <v>136</v>
      </c>
      <c r="D51" s="86" t="s">
        <v>36</v>
      </c>
      <c r="E51" s="86" t="s">
        <v>149</v>
      </c>
      <c r="F51" s="86"/>
      <c r="G51" s="133">
        <v>1976</v>
      </c>
      <c r="H51" s="82">
        <v>260</v>
      </c>
      <c r="I51" s="82">
        <v>260</v>
      </c>
      <c r="J51" s="133"/>
      <c r="K51" s="133"/>
      <c r="L51" s="134" t="s">
        <v>171</v>
      </c>
      <c r="M51" s="133"/>
      <c r="N51" s="133"/>
      <c r="O51" s="133"/>
      <c r="P51" s="133"/>
    </row>
    <row r="52" spans="2:16" x14ac:dyDescent="0.2">
      <c r="B52" s="86" t="s">
        <v>23</v>
      </c>
      <c r="C52" s="86" t="s">
        <v>137</v>
      </c>
      <c r="D52" s="86" t="s">
        <v>37</v>
      </c>
      <c r="E52" s="86" t="s">
        <v>149</v>
      </c>
      <c r="F52" s="86"/>
      <c r="G52" s="133">
        <v>1973</v>
      </c>
      <c r="H52" s="82">
        <v>20</v>
      </c>
      <c r="I52" s="82">
        <v>20</v>
      </c>
      <c r="J52" s="133"/>
      <c r="K52" s="133"/>
      <c r="L52" s="134" t="s">
        <v>171</v>
      </c>
      <c r="M52" s="133"/>
      <c r="N52" s="133"/>
      <c r="O52" s="133"/>
      <c r="P52" s="133"/>
    </row>
    <row r="53" spans="2:16" x14ac:dyDescent="0.2">
      <c r="B53" s="86" t="s">
        <v>23</v>
      </c>
      <c r="C53" s="86" t="s">
        <v>138</v>
      </c>
      <c r="D53" s="86" t="s">
        <v>38</v>
      </c>
      <c r="E53" s="86" t="s">
        <v>149</v>
      </c>
      <c r="F53" s="86"/>
      <c r="G53" s="133">
        <v>1973</v>
      </c>
      <c r="H53" s="82">
        <v>65</v>
      </c>
      <c r="I53" s="82">
        <v>65</v>
      </c>
      <c r="J53" s="133"/>
      <c r="K53" s="133"/>
      <c r="L53" s="134" t="s">
        <v>171</v>
      </c>
      <c r="M53" s="133"/>
      <c r="N53" s="133"/>
      <c r="O53" s="133"/>
      <c r="P53" s="133"/>
    </row>
    <row r="54" spans="2:16" x14ac:dyDescent="0.2">
      <c r="B54" s="135" t="s">
        <v>23</v>
      </c>
      <c r="C54" s="135" t="s">
        <v>139</v>
      </c>
      <c r="D54" s="135" t="s">
        <v>39</v>
      </c>
      <c r="E54" s="135" t="s">
        <v>149</v>
      </c>
      <c r="F54" s="135"/>
      <c r="G54" s="136">
        <v>1973</v>
      </c>
      <c r="H54" s="137">
        <v>65</v>
      </c>
      <c r="I54" s="137">
        <v>65</v>
      </c>
      <c r="J54" s="136"/>
      <c r="K54" s="136"/>
      <c r="L54" s="138" t="s">
        <v>171</v>
      </c>
      <c r="M54" s="136"/>
      <c r="N54" s="136"/>
      <c r="O54" s="136"/>
      <c r="P54" s="136"/>
    </row>
    <row r="55" spans="2:16" x14ac:dyDescent="0.2">
      <c r="B55" s="110" t="s">
        <v>35</v>
      </c>
      <c r="C55" s="110" t="s">
        <v>140</v>
      </c>
      <c r="D55" s="139" t="s">
        <v>40</v>
      </c>
      <c r="E55" s="139" t="s">
        <v>149</v>
      </c>
      <c r="F55" s="110"/>
      <c r="G55" s="111">
        <v>1975</v>
      </c>
      <c r="H55" s="112">
        <v>70</v>
      </c>
      <c r="I55" s="112">
        <v>70</v>
      </c>
      <c r="J55" s="111"/>
      <c r="K55" s="111"/>
      <c r="L55" s="140" t="s">
        <v>171</v>
      </c>
      <c r="M55" s="111"/>
      <c r="N55" s="111"/>
      <c r="O55" s="111"/>
      <c r="P55" s="111"/>
    </row>
    <row r="56" spans="2:16" x14ac:dyDescent="0.2">
      <c r="B56" s="131" t="s">
        <v>41</v>
      </c>
      <c r="C56" s="131" t="s">
        <v>161</v>
      </c>
      <c r="D56" s="131" t="s">
        <v>84</v>
      </c>
      <c r="E56" s="131" t="s">
        <v>149</v>
      </c>
      <c r="F56" s="131"/>
      <c r="G56" s="141">
        <v>1972</v>
      </c>
      <c r="H56" s="142">
        <v>19.600000000000001</v>
      </c>
      <c r="I56" s="142">
        <v>19.600000000000001</v>
      </c>
      <c r="J56" s="141"/>
      <c r="K56" s="141"/>
      <c r="L56" s="143" t="s">
        <v>171</v>
      </c>
      <c r="M56" s="143"/>
      <c r="N56" s="141"/>
      <c r="O56" s="141"/>
      <c r="P56" s="141"/>
    </row>
    <row r="57" spans="2:16" s="12" customFormat="1" x14ac:dyDescent="0.2">
      <c r="B57" s="131" t="s">
        <v>41</v>
      </c>
      <c r="C57" s="131" t="s">
        <v>131</v>
      </c>
      <c r="D57" s="131" t="s">
        <v>46</v>
      </c>
      <c r="E57" s="131" t="s">
        <v>149</v>
      </c>
      <c r="F57" s="131"/>
      <c r="G57" s="141">
        <v>1974</v>
      </c>
      <c r="H57" s="142">
        <v>27.5</v>
      </c>
      <c r="I57" s="142">
        <v>27.5</v>
      </c>
      <c r="J57" s="141"/>
      <c r="K57" s="143" t="s">
        <v>171</v>
      </c>
      <c r="L57" s="143"/>
      <c r="M57" s="143"/>
      <c r="N57" s="141"/>
      <c r="O57" s="141"/>
      <c r="P57" s="141"/>
    </row>
    <row r="58" spans="2:16" x14ac:dyDescent="0.2">
      <c r="B58" s="131" t="s">
        <v>41</v>
      </c>
      <c r="C58" s="131" t="s">
        <v>126</v>
      </c>
      <c r="D58" s="131" t="s">
        <v>83</v>
      </c>
      <c r="E58" s="131" t="s">
        <v>149</v>
      </c>
      <c r="F58" s="131"/>
      <c r="G58" s="141">
        <v>1974</v>
      </c>
      <c r="H58" s="142">
        <v>15</v>
      </c>
      <c r="I58" s="142">
        <v>15</v>
      </c>
      <c r="J58" s="141"/>
      <c r="K58" s="143"/>
      <c r="L58" s="143" t="s">
        <v>171</v>
      </c>
      <c r="M58" s="143"/>
      <c r="N58" s="141"/>
      <c r="O58" s="141"/>
      <c r="P58" s="141"/>
    </row>
    <row r="59" spans="2:16" x14ac:dyDescent="0.2">
      <c r="B59" s="62" t="s">
        <v>151</v>
      </c>
      <c r="C59" s="62"/>
      <c r="D59" s="62"/>
      <c r="E59" s="62" t="str">
        <f>"Number = "&amp;COUNTIF($E51:$E58,"Ready state")</f>
        <v>Number = 8</v>
      </c>
      <c r="F59" s="62"/>
      <c r="G59" s="62"/>
      <c r="H59" s="121">
        <f>SUMIF($E51:$E58,"Ready state",H51:H58)</f>
        <v>542.1</v>
      </c>
      <c r="I59" s="121">
        <f>SUMIF($E51:$E58,"Ready state",I51:I58)</f>
        <v>542.1</v>
      </c>
      <c r="J59" s="74"/>
      <c r="K59" s="74"/>
      <c r="L59" s="74"/>
      <c r="M59" s="74"/>
      <c r="N59" s="74"/>
      <c r="O59" s="74"/>
      <c r="P59" s="74"/>
    </row>
    <row r="60" spans="2:16" s="12" customFormat="1" x14ac:dyDescent="0.2">
      <c r="B60" s="59"/>
      <c r="C60" s="59"/>
      <c r="D60" s="59"/>
      <c r="E60" s="59"/>
      <c r="F60" s="59"/>
      <c r="G60" s="61"/>
      <c r="H60" s="81"/>
      <c r="I60" s="81"/>
      <c r="J60" s="61"/>
      <c r="K60" s="61"/>
      <c r="L60" s="61"/>
      <c r="M60" s="61"/>
      <c r="N60" s="61"/>
      <c r="O60" s="61"/>
      <c r="P60" s="61"/>
    </row>
    <row r="61" spans="2:16" s="12" customFormat="1" x14ac:dyDescent="0.2">
      <c r="B61" s="91" t="s">
        <v>150</v>
      </c>
      <c r="C61" s="91"/>
      <c r="D61" s="91"/>
      <c r="E61" s="91"/>
      <c r="F61" s="91"/>
      <c r="G61" s="91"/>
      <c r="H61" s="96">
        <f>H48+H59</f>
        <v>557.1</v>
      </c>
      <c r="I61" s="96">
        <f>I48+I59</f>
        <v>557.1</v>
      </c>
      <c r="J61" s="149"/>
      <c r="K61" s="149"/>
      <c r="L61" s="149"/>
      <c r="M61" s="149"/>
      <c r="N61" s="149"/>
      <c r="O61" s="149"/>
      <c r="P61" s="149"/>
    </row>
    <row r="62" spans="2:16" x14ac:dyDescent="0.2">
      <c r="B62" s="2" t="s">
        <v>464</v>
      </c>
    </row>
    <row r="63" spans="2:16" s="12" customFormat="1" x14ac:dyDescent="0.2"/>
    <row r="64" spans="2:16" s="12" customFormat="1" x14ac:dyDescent="0.2"/>
    <row r="65" spans="2:16" s="70" customFormat="1" x14ac:dyDescent="0.2">
      <c r="B65" s="70" t="s">
        <v>398</v>
      </c>
    </row>
    <row r="67" spans="2:16" ht="30" x14ac:dyDescent="0.2">
      <c r="B67" s="256" t="str">
        <f>B$6</f>
        <v>Power plant</v>
      </c>
      <c r="C67" s="256" t="str">
        <f t="shared" ref="C67:P67" si="1">C$6</f>
        <v>Unit</v>
      </c>
      <c r="D67" s="256" t="str">
        <f t="shared" si="1"/>
        <v>Short name</v>
      </c>
      <c r="E67" s="256" t="str">
        <f t="shared" si="1"/>
        <v>Status</v>
      </c>
      <c r="F67" s="256" t="str">
        <f t="shared" si="1"/>
        <v>Notes</v>
      </c>
      <c r="G67" s="254" t="str">
        <f t="shared" si="1"/>
        <v>Commissioned 
(year)</v>
      </c>
      <c r="H67" s="254" t="str">
        <f t="shared" si="1"/>
        <v>Electricity capacity (MW)</v>
      </c>
      <c r="I67" s="254" t="str">
        <f t="shared" si="1"/>
        <v>Electricity overload capacity (MW)</v>
      </c>
      <c r="J67" s="254" t="str">
        <f t="shared" si="1"/>
        <v>Coal</v>
      </c>
      <c r="K67" s="254" t="str">
        <f t="shared" si="1"/>
        <v>Fuel oil</v>
      </c>
      <c r="L67" s="254" t="str">
        <f t="shared" si="1"/>
        <v>Gas oil</v>
      </c>
      <c r="M67" s="254" t="str">
        <f t="shared" si="1"/>
        <v>Natural gas</v>
      </c>
      <c r="N67" s="254" t="str">
        <f t="shared" si="1"/>
        <v>Straw</v>
      </c>
      <c r="O67" s="254" t="str">
        <f t="shared" si="1"/>
        <v>Wood chips</v>
      </c>
      <c r="P67" s="254" t="str">
        <f t="shared" si="1"/>
        <v>Wood pellets</v>
      </c>
    </row>
    <row r="68" spans="2:16" x14ac:dyDescent="0.2">
      <c r="B68" s="86" t="s">
        <v>190</v>
      </c>
      <c r="C68" s="144"/>
      <c r="D68" s="144"/>
      <c r="E68" s="144"/>
      <c r="F68" s="144"/>
      <c r="G68" s="144"/>
      <c r="H68" s="82">
        <v>1847.8229999999999</v>
      </c>
      <c r="I68" s="82">
        <v>1847.8229999999999</v>
      </c>
      <c r="J68" s="133"/>
      <c r="K68" s="133"/>
      <c r="L68" s="133"/>
      <c r="M68" s="133"/>
      <c r="N68" s="133"/>
      <c r="O68" s="133"/>
      <c r="P68" s="133"/>
    </row>
    <row r="69" spans="2:16" x14ac:dyDescent="0.2">
      <c r="B69" s="86" t="s">
        <v>192</v>
      </c>
      <c r="C69" s="86"/>
      <c r="D69" s="86"/>
      <c r="E69" s="86"/>
      <c r="F69" s="144"/>
      <c r="G69" s="133"/>
      <c r="H69" s="82">
        <v>675.64869999999996</v>
      </c>
      <c r="I69" s="82">
        <v>675.64869999999996</v>
      </c>
      <c r="J69" s="133"/>
      <c r="K69" s="133"/>
      <c r="L69" s="134"/>
      <c r="M69" s="133"/>
      <c r="N69" s="133"/>
      <c r="O69" s="133"/>
      <c r="P69" s="133"/>
    </row>
    <row r="70" spans="2:16" s="12" customFormat="1" x14ac:dyDescent="0.2">
      <c r="B70" s="91" t="s">
        <v>122</v>
      </c>
      <c r="C70" s="93"/>
      <c r="D70" s="93"/>
      <c r="E70" s="93"/>
      <c r="F70" s="146"/>
      <c r="G70" s="147"/>
      <c r="H70" s="94">
        <f>H68+H69</f>
        <v>2523.4717000000001</v>
      </c>
      <c r="I70" s="94">
        <f>I68+I69</f>
        <v>2523.4717000000001</v>
      </c>
      <c r="J70" s="147"/>
      <c r="K70" s="147"/>
      <c r="L70" s="148"/>
      <c r="M70" s="147"/>
      <c r="N70" s="147"/>
      <c r="O70" s="147"/>
      <c r="P70" s="147"/>
    </row>
    <row r="71" spans="2:16" x14ac:dyDescent="0.2">
      <c r="B71" s="2" t="s">
        <v>465</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8">
    <tabColor theme="6"/>
  </sheetPr>
  <dimension ref="A1:AA18"/>
  <sheetViews>
    <sheetView showGridLines="0" zoomScale="110" zoomScaleNormal="110" workbookViewId="0"/>
  </sheetViews>
  <sheetFormatPr baseColWidth="10" defaultColWidth="8.83203125" defaultRowHeight="15" outlineLevelRow="1" x14ac:dyDescent="0.2"/>
  <cols>
    <col min="1" max="1" width="5.6640625" style="12" customWidth="1"/>
    <col min="2" max="2" width="40.6640625" customWidth="1"/>
    <col min="4" max="27" width="9.1640625" customWidth="1"/>
  </cols>
  <sheetData>
    <row r="1" spans="1:27" s="68" customFormat="1" ht="21" x14ac:dyDescent="0.25">
      <c r="B1" s="68" t="s">
        <v>459</v>
      </c>
    </row>
    <row r="3" spans="1:27" s="12" customFormat="1" x14ac:dyDescent="0.2"/>
    <row r="4" spans="1:27" s="70" customFormat="1" x14ac:dyDescent="0.2">
      <c r="B4" s="70" t="s">
        <v>460</v>
      </c>
    </row>
    <row r="5" spans="1:27" s="221" customFormat="1" x14ac:dyDescent="0.2"/>
    <row r="6" spans="1:27" s="221" customFormat="1" x14ac:dyDescent="0.2">
      <c r="B6" s="242" t="s">
        <v>119</v>
      </c>
      <c r="C6" s="242"/>
      <c r="D6" s="151">
        <v>2017</v>
      </c>
      <c r="E6" s="151">
        <v>2018</v>
      </c>
      <c r="F6" s="151">
        <v>2019</v>
      </c>
      <c r="G6" s="151">
        <v>2020</v>
      </c>
      <c r="H6" s="151">
        <v>2021</v>
      </c>
      <c r="I6" s="151">
        <v>2022</v>
      </c>
      <c r="J6" s="151">
        <v>2023</v>
      </c>
      <c r="K6" s="151">
        <v>2024</v>
      </c>
      <c r="L6" s="151">
        <v>2025</v>
      </c>
      <c r="M6" s="151">
        <v>2026</v>
      </c>
      <c r="N6" s="151">
        <v>2027</v>
      </c>
      <c r="O6" s="151">
        <v>2028</v>
      </c>
      <c r="P6" s="151">
        <v>2029</v>
      </c>
      <c r="Q6" s="151">
        <v>2030</v>
      </c>
      <c r="R6" s="151">
        <v>2031</v>
      </c>
      <c r="S6" s="151">
        <v>2032</v>
      </c>
      <c r="T6" s="151">
        <v>2033</v>
      </c>
      <c r="U6" s="151">
        <v>2034</v>
      </c>
      <c r="V6" s="151">
        <v>2035</v>
      </c>
      <c r="W6" s="151">
        <v>2036</v>
      </c>
      <c r="X6" s="151">
        <v>2037</v>
      </c>
      <c r="Y6" s="151">
        <v>2038</v>
      </c>
      <c r="Z6" s="151">
        <v>2039</v>
      </c>
      <c r="AA6" s="151">
        <v>2040</v>
      </c>
    </row>
    <row r="7" spans="1:27" s="221" customFormat="1" x14ac:dyDescent="0.2">
      <c r="B7" s="221" t="s">
        <v>226</v>
      </c>
      <c r="D7" s="247">
        <v>3959.1</v>
      </c>
      <c r="E7" s="247">
        <v>3959.1</v>
      </c>
      <c r="F7" s="247">
        <v>3959.1</v>
      </c>
      <c r="G7" s="247">
        <v>3669.1</v>
      </c>
      <c r="H7" s="247">
        <v>3619.1</v>
      </c>
      <c r="I7" s="247">
        <v>3619.1</v>
      </c>
      <c r="J7" s="247">
        <v>3309.1</v>
      </c>
      <c r="K7" s="247">
        <v>3309.1</v>
      </c>
      <c r="L7" s="247">
        <v>3219.1</v>
      </c>
      <c r="M7" s="247">
        <v>3219.1</v>
      </c>
      <c r="N7" s="247">
        <v>2989.1</v>
      </c>
      <c r="O7" s="247">
        <v>2634.1</v>
      </c>
      <c r="P7" s="247">
        <v>2634.1</v>
      </c>
      <c r="Q7" s="247">
        <v>2179.1</v>
      </c>
      <c r="R7" s="247">
        <v>2179.1</v>
      </c>
      <c r="S7" s="247">
        <v>2179.1</v>
      </c>
      <c r="T7" s="247">
        <v>2179.1</v>
      </c>
      <c r="U7" s="247">
        <v>2154.1</v>
      </c>
      <c r="V7" s="247">
        <v>2154.1</v>
      </c>
      <c r="W7" s="247">
        <v>2154.1</v>
      </c>
      <c r="X7" s="247">
        <v>2154.1</v>
      </c>
      <c r="Y7" s="247">
        <v>2154.1</v>
      </c>
      <c r="Z7" s="247">
        <v>2154.1</v>
      </c>
      <c r="AA7" s="247">
        <v>2154.1</v>
      </c>
    </row>
    <row r="8" spans="1:27" s="221" customFormat="1" x14ac:dyDescent="0.2">
      <c r="B8" s="221" t="s">
        <v>227</v>
      </c>
      <c r="D8" s="247">
        <v>2523.4717000000001</v>
      </c>
      <c r="E8" s="247">
        <v>2254.6477999999997</v>
      </c>
      <c r="F8" s="247">
        <v>1985.8239000000001</v>
      </c>
      <c r="G8" s="247">
        <v>1717</v>
      </c>
      <c r="H8" s="247">
        <v>1643.52</v>
      </c>
      <c r="I8" s="247">
        <v>1570.04</v>
      </c>
      <c r="J8" s="247">
        <v>1496.56</v>
      </c>
      <c r="K8" s="247">
        <v>1423.08</v>
      </c>
      <c r="L8" s="247">
        <v>1349.6</v>
      </c>
      <c r="M8" s="247">
        <v>1349.6</v>
      </c>
      <c r="N8" s="247">
        <v>1349.6</v>
      </c>
      <c r="O8" s="247">
        <v>1349.6</v>
      </c>
      <c r="P8" s="247">
        <v>1349.6</v>
      </c>
      <c r="Q8" s="247">
        <v>1349.6</v>
      </c>
      <c r="R8" s="247">
        <v>1349.6</v>
      </c>
      <c r="S8" s="247">
        <v>1349.6</v>
      </c>
      <c r="T8" s="247">
        <v>1349.6</v>
      </c>
      <c r="U8" s="247">
        <v>1349.6</v>
      </c>
      <c r="V8" s="247">
        <v>1349.6</v>
      </c>
      <c r="W8" s="247">
        <v>1349.6</v>
      </c>
      <c r="X8" s="247">
        <v>1349.6</v>
      </c>
      <c r="Y8" s="247">
        <v>1349.6</v>
      </c>
      <c r="Z8" s="247">
        <v>1349.6</v>
      </c>
      <c r="AA8" s="247">
        <v>1349.6</v>
      </c>
    </row>
    <row r="9" spans="1:27" s="221" customFormat="1" x14ac:dyDescent="0.2">
      <c r="B9" s="93" t="str">
        <f>"Total, "&amp;B6</f>
        <v>Total, Denmark</v>
      </c>
      <c r="C9" s="93"/>
      <c r="D9" s="94">
        <f t="shared" ref="D9:AA9" si="0">D7+D8</f>
        <v>6482.5717000000004</v>
      </c>
      <c r="E9" s="94">
        <f t="shared" si="0"/>
        <v>6213.7477999999992</v>
      </c>
      <c r="F9" s="94">
        <f t="shared" si="0"/>
        <v>5944.9238999999998</v>
      </c>
      <c r="G9" s="94">
        <f t="shared" si="0"/>
        <v>5386.1</v>
      </c>
      <c r="H9" s="94">
        <f t="shared" si="0"/>
        <v>5262.62</v>
      </c>
      <c r="I9" s="94">
        <f t="shared" si="0"/>
        <v>5189.1399999999994</v>
      </c>
      <c r="J9" s="94">
        <f t="shared" si="0"/>
        <v>4805.66</v>
      </c>
      <c r="K9" s="94">
        <f t="shared" si="0"/>
        <v>4732.18</v>
      </c>
      <c r="L9" s="94">
        <f t="shared" si="0"/>
        <v>4568.7</v>
      </c>
      <c r="M9" s="94">
        <f t="shared" si="0"/>
        <v>4568.7</v>
      </c>
      <c r="N9" s="94">
        <f t="shared" si="0"/>
        <v>4338.7</v>
      </c>
      <c r="O9" s="94">
        <f t="shared" si="0"/>
        <v>3983.7</v>
      </c>
      <c r="P9" s="94">
        <f t="shared" si="0"/>
        <v>3983.7</v>
      </c>
      <c r="Q9" s="94">
        <f t="shared" si="0"/>
        <v>3528.7</v>
      </c>
      <c r="R9" s="94">
        <f t="shared" si="0"/>
        <v>3528.7</v>
      </c>
      <c r="S9" s="94">
        <f t="shared" si="0"/>
        <v>3528.7</v>
      </c>
      <c r="T9" s="94">
        <f t="shared" si="0"/>
        <v>3528.7</v>
      </c>
      <c r="U9" s="94">
        <f t="shared" si="0"/>
        <v>3503.7</v>
      </c>
      <c r="V9" s="94">
        <f t="shared" si="0"/>
        <v>3503.7</v>
      </c>
      <c r="W9" s="94">
        <f t="shared" si="0"/>
        <v>3503.7</v>
      </c>
      <c r="X9" s="94">
        <f t="shared" si="0"/>
        <v>3503.7</v>
      </c>
      <c r="Y9" s="94">
        <f t="shared" si="0"/>
        <v>3503.7</v>
      </c>
      <c r="Z9" s="94">
        <f t="shared" si="0"/>
        <v>3503.7</v>
      </c>
      <c r="AA9" s="94">
        <f t="shared" si="0"/>
        <v>3503.7</v>
      </c>
    </row>
    <row r="10" spans="1:27" s="221" customFormat="1" x14ac:dyDescent="0.2">
      <c r="B10" s="2" t="s">
        <v>466</v>
      </c>
    </row>
    <row r="12" spans="1:27" outlineLevel="1" x14ac:dyDescent="0.2">
      <c r="A12"/>
      <c r="B12" s="1" t="s">
        <v>310</v>
      </c>
    </row>
    <row r="13" spans="1:27" outlineLevel="1" x14ac:dyDescent="0.2">
      <c r="A13"/>
    </row>
    <row r="14" spans="1:27" outlineLevel="1" x14ac:dyDescent="0.2">
      <c r="B14" s="183" t="s">
        <v>228</v>
      </c>
      <c r="C14" s="183" t="s">
        <v>141</v>
      </c>
      <c r="D14" s="184">
        <v>2017</v>
      </c>
      <c r="E14" s="184">
        <v>2018</v>
      </c>
      <c r="F14" s="184">
        <v>2019</v>
      </c>
      <c r="G14" s="184">
        <v>2020</v>
      </c>
      <c r="H14" s="184">
        <v>2021</v>
      </c>
      <c r="I14" s="184">
        <v>2022</v>
      </c>
      <c r="J14" s="184">
        <v>2023</v>
      </c>
      <c r="K14" s="184">
        <v>2024</v>
      </c>
      <c r="L14" s="184">
        <v>2025</v>
      </c>
      <c r="M14" s="184">
        <v>2026</v>
      </c>
      <c r="N14" s="184">
        <v>2027</v>
      </c>
      <c r="O14" s="184">
        <v>2028</v>
      </c>
      <c r="P14" s="184">
        <v>2029</v>
      </c>
      <c r="Q14" s="184">
        <v>2030</v>
      </c>
      <c r="R14" s="184">
        <v>2031</v>
      </c>
      <c r="S14" s="184">
        <v>2032</v>
      </c>
      <c r="T14" s="184">
        <v>2033</v>
      </c>
      <c r="U14" s="184">
        <v>2034</v>
      </c>
      <c r="V14" s="184">
        <v>2035</v>
      </c>
      <c r="W14" s="184">
        <v>2036</v>
      </c>
      <c r="X14" s="184">
        <v>2037</v>
      </c>
      <c r="Y14" s="184">
        <v>2038</v>
      </c>
      <c r="Z14" s="184">
        <v>2039</v>
      </c>
      <c r="AA14" s="184">
        <v>2040</v>
      </c>
    </row>
    <row r="15" spans="1:27" s="12" customFormat="1" outlineLevel="1" x14ac:dyDescent="0.2">
      <c r="B15" s="3" t="s">
        <v>119</v>
      </c>
      <c r="C15" s="3" t="s">
        <v>68</v>
      </c>
      <c r="D15" s="185">
        <v>6445</v>
      </c>
      <c r="E15" s="185">
        <v>6070.6666666666661</v>
      </c>
      <c r="F15" s="185">
        <v>5811.333333333333</v>
      </c>
      <c r="G15" s="185">
        <v>5147</v>
      </c>
      <c r="H15" s="185">
        <v>5073.6000000000004</v>
      </c>
      <c r="I15" s="185">
        <v>5000.2</v>
      </c>
      <c r="J15" s="185">
        <v>4616.7999999999993</v>
      </c>
      <c r="K15" s="185">
        <v>4543.3999999999996</v>
      </c>
      <c r="L15" s="185">
        <v>4380</v>
      </c>
      <c r="M15" s="185">
        <v>4380</v>
      </c>
      <c r="N15" s="185">
        <v>4380</v>
      </c>
      <c r="O15" s="185">
        <v>4380</v>
      </c>
      <c r="P15" s="185">
        <v>4380</v>
      </c>
      <c r="Q15" s="185">
        <v>3960</v>
      </c>
      <c r="R15" s="185">
        <v>3960</v>
      </c>
      <c r="S15" s="185">
        <v>3960</v>
      </c>
      <c r="T15" s="185">
        <v>3960</v>
      </c>
      <c r="U15" s="185">
        <v>3935</v>
      </c>
      <c r="V15" s="185">
        <v>3935</v>
      </c>
      <c r="W15" s="185">
        <v>3935</v>
      </c>
      <c r="X15" s="185">
        <v>3545</v>
      </c>
      <c r="Y15" s="185">
        <v>3545</v>
      </c>
      <c r="Z15" s="185">
        <v>3440</v>
      </c>
      <c r="AA15" s="185">
        <v>3160</v>
      </c>
    </row>
    <row r="16" spans="1:27" outlineLevel="1" x14ac:dyDescent="0.2">
      <c r="A16"/>
    </row>
    <row r="17" spans="1:2" x14ac:dyDescent="0.2">
      <c r="A17"/>
      <c r="B17" s="1" t="s">
        <v>310</v>
      </c>
    </row>
    <row r="18" spans="1:2" s="12" customFormat="1" x14ac:dyDescent="0.2">
      <c r="B18" s="183"/>
    </row>
  </sheetData>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Ark9">
    <tabColor theme="6"/>
  </sheetPr>
  <dimension ref="A1:AA89"/>
  <sheetViews>
    <sheetView showGridLines="0" topLeftCell="A42" zoomScale="110" zoomScaleNormal="110" workbookViewId="0"/>
  </sheetViews>
  <sheetFormatPr baseColWidth="10" defaultColWidth="8.83203125" defaultRowHeight="15" outlineLevelRow="1" x14ac:dyDescent="0.2"/>
  <cols>
    <col min="1" max="1" width="5.6640625" style="12" customWidth="1"/>
    <col min="2" max="2" width="35.6640625" customWidth="1"/>
  </cols>
  <sheetData>
    <row r="1" spans="2:27" s="68" customFormat="1" ht="21" x14ac:dyDescent="0.25">
      <c r="B1" s="68" t="s">
        <v>461</v>
      </c>
    </row>
    <row r="4" spans="2:27" s="70" customFormat="1" x14ac:dyDescent="0.2">
      <c r="B4" s="70" t="s">
        <v>244</v>
      </c>
    </row>
    <row r="5" spans="2:27" s="12" customFormat="1" x14ac:dyDescent="0.2"/>
    <row r="6" spans="2:27" s="12" customFormat="1" x14ac:dyDescent="0.2">
      <c r="B6" s="1" t="s">
        <v>391</v>
      </c>
      <c r="C6" s="1" t="s">
        <v>141</v>
      </c>
      <c r="D6" s="151">
        <v>2017</v>
      </c>
      <c r="E6" s="151">
        <v>2018</v>
      </c>
      <c r="F6" s="151">
        <v>2019</v>
      </c>
      <c r="G6" s="151">
        <v>2020</v>
      </c>
      <c r="H6" s="151">
        <v>2021</v>
      </c>
      <c r="I6" s="151">
        <v>2022</v>
      </c>
      <c r="J6" s="151">
        <v>2023</v>
      </c>
      <c r="K6" s="151">
        <v>2024</v>
      </c>
      <c r="L6" s="151">
        <v>2025</v>
      </c>
      <c r="M6" s="151">
        <v>2026</v>
      </c>
      <c r="N6" s="151">
        <v>2027</v>
      </c>
      <c r="O6" s="151">
        <v>2028</v>
      </c>
      <c r="P6" s="151">
        <v>2029</v>
      </c>
      <c r="Q6" s="151">
        <v>2030</v>
      </c>
      <c r="R6" s="151">
        <v>2031</v>
      </c>
      <c r="S6" s="151">
        <v>2032</v>
      </c>
      <c r="T6" s="151">
        <v>2033</v>
      </c>
      <c r="U6" s="151">
        <v>2034</v>
      </c>
      <c r="V6" s="151">
        <v>2035</v>
      </c>
      <c r="W6" s="151">
        <v>2036</v>
      </c>
      <c r="X6" s="151">
        <v>2037</v>
      </c>
      <c r="Y6" s="151">
        <v>2038</v>
      </c>
      <c r="Z6" s="151">
        <v>2039</v>
      </c>
      <c r="AA6" s="151">
        <v>2040</v>
      </c>
    </row>
    <row r="7" spans="2:27" s="12" customFormat="1" x14ac:dyDescent="0.2">
      <c r="B7" s="12" t="s">
        <v>190</v>
      </c>
      <c r="C7" s="12" t="s">
        <v>441</v>
      </c>
      <c r="D7" s="156">
        <v>0.7</v>
      </c>
      <c r="E7" s="156">
        <v>0.7</v>
      </c>
      <c r="F7" s="156">
        <v>0.7</v>
      </c>
      <c r="G7" s="156">
        <v>0.7</v>
      </c>
      <c r="H7" s="156">
        <v>0.7</v>
      </c>
      <c r="I7" s="156">
        <v>0.7</v>
      </c>
      <c r="J7" s="156">
        <v>0.7</v>
      </c>
      <c r="K7" s="156">
        <v>0.7</v>
      </c>
      <c r="L7" s="156">
        <v>0.7</v>
      </c>
      <c r="M7" s="156">
        <v>0.7</v>
      </c>
      <c r="N7" s="156">
        <v>0.7</v>
      </c>
      <c r="O7" s="156">
        <v>0.7</v>
      </c>
      <c r="P7" s="156">
        <v>0.7</v>
      </c>
      <c r="Q7" s="156">
        <v>0.7</v>
      </c>
      <c r="R7" s="156">
        <v>0.7</v>
      </c>
      <c r="S7" s="156">
        <v>0.7</v>
      </c>
      <c r="T7" s="156">
        <v>0.7</v>
      </c>
      <c r="U7" s="156">
        <v>0.7</v>
      </c>
      <c r="V7" s="156">
        <v>0.7</v>
      </c>
      <c r="W7" s="156">
        <v>0.7</v>
      </c>
      <c r="X7" s="156">
        <v>0.7</v>
      </c>
      <c r="Y7" s="156">
        <v>0.7</v>
      </c>
      <c r="Z7" s="156">
        <v>0.7</v>
      </c>
      <c r="AA7" s="156">
        <v>0.7</v>
      </c>
    </row>
    <row r="8" spans="2:27" s="12" customFormat="1" x14ac:dyDescent="0.2">
      <c r="B8" s="12" t="s">
        <v>192</v>
      </c>
      <c r="C8" s="12" t="s">
        <v>441</v>
      </c>
      <c r="D8" s="156">
        <v>0.3</v>
      </c>
      <c r="E8" s="156">
        <v>0.3</v>
      </c>
      <c r="F8" s="156">
        <v>0.3</v>
      </c>
      <c r="G8" s="156">
        <v>0.3</v>
      </c>
      <c r="H8" s="156">
        <v>0.3</v>
      </c>
      <c r="I8" s="156">
        <v>0.3</v>
      </c>
      <c r="J8" s="156">
        <v>0.3</v>
      </c>
      <c r="K8" s="156">
        <v>0.3</v>
      </c>
      <c r="L8" s="156">
        <v>0.3</v>
      </c>
      <c r="M8" s="156">
        <v>0.3</v>
      </c>
      <c r="N8" s="156">
        <v>0.3</v>
      </c>
      <c r="O8" s="156">
        <v>0.3</v>
      </c>
      <c r="P8" s="156">
        <v>0.3</v>
      </c>
      <c r="Q8" s="156">
        <v>0.3</v>
      </c>
      <c r="R8" s="156">
        <v>0.3</v>
      </c>
      <c r="S8" s="156">
        <v>0.3</v>
      </c>
      <c r="T8" s="156">
        <v>0.3</v>
      </c>
      <c r="U8" s="156">
        <v>0.3</v>
      </c>
      <c r="V8" s="156">
        <v>0.3</v>
      </c>
      <c r="W8" s="156">
        <v>0.3</v>
      </c>
      <c r="X8" s="156">
        <v>0.3</v>
      </c>
      <c r="Y8" s="156">
        <v>0.3</v>
      </c>
      <c r="Z8" s="156">
        <v>0.3</v>
      </c>
      <c r="AA8" s="156">
        <v>0.3</v>
      </c>
    </row>
    <row r="9" spans="2:27" s="12" customFormat="1" x14ac:dyDescent="0.2"/>
    <row r="10" spans="2:27" s="12" customFormat="1" x14ac:dyDescent="0.2"/>
    <row r="11" spans="2:27" x14ac:dyDescent="0.2">
      <c r="B11" s="1" t="s">
        <v>266</v>
      </c>
      <c r="C11" s="1" t="s">
        <v>141</v>
      </c>
      <c r="D11" s="151">
        <f>D$6</f>
        <v>2017</v>
      </c>
      <c r="E11" s="151">
        <f t="shared" ref="E11:AA11" si="0">E$6</f>
        <v>2018</v>
      </c>
      <c r="F11" s="151">
        <f t="shared" si="0"/>
        <v>2019</v>
      </c>
      <c r="G11" s="151">
        <f t="shared" si="0"/>
        <v>2020</v>
      </c>
      <c r="H11" s="151">
        <f t="shared" si="0"/>
        <v>2021</v>
      </c>
      <c r="I11" s="151">
        <f t="shared" si="0"/>
        <v>2022</v>
      </c>
      <c r="J11" s="151">
        <f t="shared" si="0"/>
        <v>2023</v>
      </c>
      <c r="K11" s="151">
        <f t="shared" si="0"/>
        <v>2024</v>
      </c>
      <c r="L11" s="151">
        <f t="shared" si="0"/>
        <v>2025</v>
      </c>
      <c r="M11" s="151">
        <f t="shared" si="0"/>
        <v>2026</v>
      </c>
      <c r="N11" s="151">
        <f t="shared" si="0"/>
        <v>2027</v>
      </c>
      <c r="O11" s="151">
        <f t="shared" si="0"/>
        <v>2028</v>
      </c>
      <c r="P11" s="151">
        <f t="shared" si="0"/>
        <v>2029</v>
      </c>
      <c r="Q11" s="151">
        <f t="shared" si="0"/>
        <v>2030</v>
      </c>
      <c r="R11" s="151">
        <f t="shared" si="0"/>
        <v>2031</v>
      </c>
      <c r="S11" s="151">
        <f t="shared" si="0"/>
        <v>2032</v>
      </c>
      <c r="T11" s="151">
        <f t="shared" si="0"/>
        <v>2033</v>
      </c>
      <c r="U11" s="151">
        <f t="shared" si="0"/>
        <v>2034</v>
      </c>
      <c r="V11" s="151">
        <f t="shared" si="0"/>
        <v>2035</v>
      </c>
      <c r="W11" s="151">
        <f t="shared" si="0"/>
        <v>2036</v>
      </c>
      <c r="X11" s="151">
        <f t="shared" si="0"/>
        <v>2037</v>
      </c>
      <c r="Y11" s="151">
        <f t="shared" si="0"/>
        <v>2038</v>
      </c>
      <c r="Z11" s="151">
        <f t="shared" si="0"/>
        <v>2039</v>
      </c>
      <c r="AA11" s="151">
        <f t="shared" si="0"/>
        <v>2040</v>
      </c>
    </row>
    <row r="12" spans="2:27" x14ac:dyDescent="0.2">
      <c r="B12" s="1" t="s">
        <v>190</v>
      </c>
      <c r="C12" s="1"/>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row>
    <row r="13" spans="2:27" x14ac:dyDescent="0.2">
      <c r="B13" s="12" t="s">
        <v>242</v>
      </c>
      <c r="C13" s="12" t="s">
        <v>68</v>
      </c>
      <c r="D13" s="153">
        <f>D29*D$7</f>
        <v>322.3664844645354</v>
      </c>
      <c r="E13" s="153">
        <f t="shared" ref="E13:AA17" si="1">E29*E$7</f>
        <v>324.75073306304961</v>
      </c>
      <c r="F13" s="153">
        <f t="shared" si="1"/>
        <v>328.59416473040557</v>
      </c>
      <c r="G13" s="153">
        <f t="shared" si="1"/>
        <v>329.01008443908046</v>
      </c>
      <c r="H13" s="153">
        <f t="shared" si="1"/>
        <v>329.36390222021373</v>
      </c>
      <c r="I13" s="153">
        <f t="shared" si="1"/>
        <v>329.82027095735924</v>
      </c>
      <c r="J13" s="153">
        <f t="shared" si="1"/>
        <v>330.44289768098253</v>
      </c>
      <c r="K13" s="153">
        <f t="shared" si="1"/>
        <v>331.2413260672152</v>
      </c>
      <c r="L13" s="153">
        <f t="shared" si="1"/>
        <v>332.4017798213834</v>
      </c>
      <c r="M13" s="153">
        <f t="shared" si="1"/>
        <v>333.97119955401473</v>
      </c>
      <c r="N13" s="153">
        <f t="shared" si="1"/>
        <v>336.10790850982119</v>
      </c>
      <c r="O13" s="153">
        <f t="shared" si="1"/>
        <v>339.06119257753681</v>
      </c>
      <c r="P13" s="153">
        <f t="shared" si="1"/>
        <v>342.71722495682695</v>
      </c>
      <c r="Q13" s="153">
        <f t="shared" si="1"/>
        <v>348.734199155645</v>
      </c>
      <c r="R13" s="153">
        <f t="shared" si="1"/>
        <v>357.87505280819408</v>
      </c>
      <c r="S13" s="153">
        <f t="shared" si="1"/>
        <v>368.99855496019484</v>
      </c>
      <c r="T13" s="153">
        <f t="shared" si="1"/>
        <v>383.56869516219064</v>
      </c>
      <c r="U13" s="153">
        <f t="shared" si="1"/>
        <v>403.11674997902549</v>
      </c>
      <c r="V13" s="153">
        <f t="shared" si="1"/>
        <v>428.21565979129832</v>
      </c>
      <c r="W13" s="153">
        <f t="shared" si="1"/>
        <v>458.12607220965333</v>
      </c>
      <c r="X13" s="153">
        <f t="shared" si="1"/>
        <v>494.51062529100432</v>
      </c>
      <c r="Y13" s="153">
        <f t="shared" si="1"/>
        <v>536.94660549332548</v>
      </c>
      <c r="Z13" s="153">
        <f t="shared" si="1"/>
        <v>586.42120726457574</v>
      </c>
      <c r="AA13" s="153">
        <f t="shared" si="1"/>
        <v>643.8565372648934</v>
      </c>
    </row>
    <row r="14" spans="2:27" x14ac:dyDescent="0.2">
      <c r="B14" s="12" t="s">
        <v>243</v>
      </c>
      <c r="C14" s="12" t="s">
        <v>68</v>
      </c>
      <c r="D14" s="153">
        <f>D30*D$7</f>
        <v>2.8348955350315324</v>
      </c>
      <c r="E14" s="153">
        <f t="shared" ref="E14:S14" si="2">E30*E$7</f>
        <v>3.6408242676812037</v>
      </c>
      <c r="F14" s="153">
        <f t="shared" si="2"/>
        <v>5.0693376342092638</v>
      </c>
      <c r="G14" s="153">
        <f t="shared" si="2"/>
        <v>7.2084201957950871</v>
      </c>
      <c r="H14" s="153">
        <f t="shared" si="2"/>
        <v>10.575390613719904</v>
      </c>
      <c r="I14" s="153">
        <f t="shared" si="2"/>
        <v>15.406479239036161</v>
      </c>
      <c r="J14" s="153">
        <f t="shared" si="2"/>
        <v>21.882173298747446</v>
      </c>
      <c r="K14" s="153">
        <f t="shared" si="2"/>
        <v>30.555874813705024</v>
      </c>
      <c r="L14" s="153">
        <f t="shared" si="2"/>
        <v>43.593231085579674</v>
      </c>
      <c r="M14" s="153">
        <f t="shared" si="2"/>
        <v>61.040085819249342</v>
      </c>
      <c r="N14" s="153">
        <f t="shared" si="2"/>
        <v>83.777511004844044</v>
      </c>
      <c r="O14" s="153">
        <f t="shared" si="2"/>
        <v>112.65771349014976</v>
      </c>
      <c r="P14" s="153">
        <f t="shared" si="2"/>
        <v>147.75096638309134</v>
      </c>
      <c r="Q14" s="153">
        <f t="shared" si="2"/>
        <v>188.73371167515535</v>
      </c>
      <c r="R14" s="153">
        <f t="shared" si="2"/>
        <v>235.99408149094714</v>
      </c>
      <c r="S14" s="153">
        <f t="shared" si="2"/>
        <v>279.90608522192156</v>
      </c>
      <c r="T14" s="153">
        <f t="shared" si="1"/>
        <v>319.97300246628828</v>
      </c>
      <c r="U14" s="153">
        <f t="shared" si="1"/>
        <v>355.69718409831722</v>
      </c>
      <c r="V14" s="153">
        <f t="shared" si="1"/>
        <v>386.67260259778885</v>
      </c>
      <c r="W14" s="153">
        <f t="shared" si="1"/>
        <v>412.69427752590565</v>
      </c>
      <c r="X14" s="153">
        <f t="shared" si="1"/>
        <v>433.07032654713686</v>
      </c>
      <c r="Y14" s="153">
        <f t="shared" si="1"/>
        <v>447.13091610799017</v>
      </c>
      <c r="Z14" s="153">
        <f t="shared" si="1"/>
        <v>454.9507310758367</v>
      </c>
      <c r="AA14" s="153">
        <f t="shared" si="1"/>
        <v>456.41646884810592</v>
      </c>
    </row>
    <row r="15" spans="2:27" x14ac:dyDescent="0.2">
      <c r="B15" s="12" t="s">
        <v>253</v>
      </c>
      <c r="C15" s="12" t="s">
        <v>68</v>
      </c>
      <c r="D15" s="153">
        <f>D31*D$7</f>
        <v>92.807348798763329</v>
      </c>
      <c r="E15" s="153">
        <f t="shared" si="1"/>
        <v>96.577870634864894</v>
      </c>
      <c r="F15" s="153">
        <f t="shared" si="1"/>
        <v>102.05713361185575</v>
      </c>
      <c r="G15" s="153">
        <f t="shared" si="1"/>
        <v>109.6661653564522</v>
      </c>
      <c r="H15" s="153">
        <f t="shared" si="1"/>
        <v>120.38841446712249</v>
      </c>
      <c r="I15" s="153">
        <f t="shared" si="1"/>
        <v>132.9316171784219</v>
      </c>
      <c r="J15" s="153">
        <f t="shared" si="1"/>
        <v>147.1101192488251</v>
      </c>
      <c r="K15" s="153">
        <f t="shared" si="1"/>
        <v>162.66468422095957</v>
      </c>
      <c r="L15" s="153">
        <f t="shared" si="1"/>
        <v>179.74283086462083</v>
      </c>
      <c r="M15" s="153">
        <f t="shared" si="1"/>
        <v>200.47007762435993</v>
      </c>
      <c r="N15" s="153">
        <f t="shared" si="1"/>
        <v>223.48836263292171</v>
      </c>
      <c r="O15" s="153">
        <f t="shared" si="1"/>
        <v>247.3162604220588</v>
      </c>
      <c r="P15" s="153">
        <f t="shared" si="1"/>
        <v>269.72916722017715</v>
      </c>
      <c r="Q15" s="153">
        <f t="shared" si="1"/>
        <v>291.64650474476639</v>
      </c>
      <c r="R15" s="153">
        <f t="shared" si="1"/>
        <v>312.52237513151198</v>
      </c>
      <c r="S15" s="153">
        <f t="shared" si="1"/>
        <v>331.58599514180867</v>
      </c>
      <c r="T15" s="153">
        <f t="shared" si="1"/>
        <v>348.56915561679097</v>
      </c>
      <c r="U15" s="153">
        <f t="shared" si="1"/>
        <v>363.92500766606747</v>
      </c>
      <c r="V15" s="153">
        <f t="shared" si="1"/>
        <v>377.94166127917333</v>
      </c>
      <c r="W15" s="153">
        <f t="shared" si="1"/>
        <v>390.30021144337246</v>
      </c>
      <c r="X15" s="153">
        <f t="shared" si="1"/>
        <v>401.8908707502024</v>
      </c>
      <c r="Y15" s="153">
        <f t="shared" si="1"/>
        <v>412.66832804291425</v>
      </c>
      <c r="Z15" s="153">
        <f t="shared" si="1"/>
        <v>423.36653961704081</v>
      </c>
      <c r="AA15" s="153">
        <f t="shared" si="1"/>
        <v>433.75114978197263</v>
      </c>
    </row>
    <row r="16" spans="2:27" x14ac:dyDescent="0.2">
      <c r="B16" s="12" t="s">
        <v>254</v>
      </c>
      <c r="C16" s="12" t="s">
        <v>68</v>
      </c>
      <c r="D16" s="153">
        <f>D32*D$7</f>
        <v>2.1854512012374032</v>
      </c>
      <c r="E16" s="153">
        <f t="shared" si="1"/>
        <v>3.2801188310733402</v>
      </c>
      <c r="F16" s="153">
        <f t="shared" si="1"/>
        <v>4.8708725985868133</v>
      </c>
      <c r="G16" s="153">
        <f t="shared" si="1"/>
        <v>7.0799463308890065</v>
      </c>
      <c r="H16" s="153">
        <f t="shared" si="1"/>
        <v>10.774053583654345</v>
      </c>
      <c r="I16" s="153">
        <f t="shared" si="1"/>
        <v>15.095133775803948</v>
      </c>
      <c r="J16" s="153">
        <f t="shared" si="1"/>
        <v>19.976824710724383</v>
      </c>
      <c r="K16" s="153">
        <f t="shared" si="1"/>
        <v>25.321434512757854</v>
      </c>
      <c r="L16" s="153">
        <f t="shared" si="1"/>
        <v>31.171557560251482</v>
      </c>
      <c r="M16" s="153">
        <f t="shared" si="1"/>
        <v>37.144721834330753</v>
      </c>
      <c r="N16" s="153">
        <f t="shared" si="1"/>
        <v>43.766745478369998</v>
      </c>
      <c r="O16" s="153">
        <f t="shared" si="1"/>
        <v>50.597710360960818</v>
      </c>
      <c r="P16" s="153">
        <f t="shared" si="1"/>
        <v>58.177559056979277</v>
      </c>
      <c r="Q16" s="153">
        <f t="shared" si="1"/>
        <v>65.513710082336758</v>
      </c>
      <c r="R16" s="153">
        <f t="shared" si="1"/>
        <v>72.381399085752221</v>
      </c>
      <c r="S16" s="153">
        <f t="shared" si="1"/>
        <v>78.542534901495657</v>
      </c>
      <c r="T16" s="153">
        <f t="shared" si="1"/>
        <v>83.905054279888915</v>
      </c>
      <c r="U16" s="153">
        <f t="shared" si="1"/>
        <v>88.469885983507737</v>
      </c>
      <c r="V16" s="153">
        <f t="shared" si="1"/>
        <v>92.254322305039025</v>
      </c>
      <c r="W16" s="153">
        <f t="shared" si="1"/>
        <v>95.587601631471188</v>
      </c>
      <c r="X16" s="153">
        <f t="shared" si="1"/>
        <v>98.122979760711019</v>
      </c>
      <c r="Y16" s="153">
        <f t="shared" si="1"/>
        <v>99.841015250348107</v>
      </c>
      <c r="Z16" s="153">
        <f t="shared" si="1"/>
        <v>100.76479227543967</v>
      </c>
      <c r="AA16" s="153">
        <f t="shared" si="1"/>
        <v>100.95215298053493</v>
      </c>
    </row>
    <row r="17" spans="2:27" x14ac:dyDescent="0.2">
      <c r="B17" s="12" t="s">
        <v>252</v>
      </c>
      <c r="C17" s="12" t="s">
        <v>68</v>
      </c>
      <c r="D17" s="153">
        <f>D33*D$7</f>
        <v>176.34925000000072</v>
      </c>
      <c r="E17" s="153">
        <f t="shared" si="1"/>
        <v>211.55925000000073</v>
      </c>
      <c r="F17" s="153">
        <f t="shared" si="1"/>
        <v>212.25925000000072</v>
      </c>
      <c r="G17" s="153">
        <f t="shared" si="1"/>
        <v>213.37925000000072</v>
      </c>
      <c r="H17" s="153">
        <f t="shared" si="1"/>
        <v>214.99975000000074</v>
      </c>
      <c r="I17" s="153">
        <f t="shared" si="1"/>
        <v>216.92475000000073</v>
      </c>
      <c r="J17" s="153">
        <f t="shared" si="1"/>
        <v>219.2277500000007</v>
      </c>
      <c r="K17" s="153">
        <f t="shared" si="1"/>
        <v>222.13975000000073</v>
      </c>
      <c r="L17" s="153">
        <f t="shared" si="1"/>
        <v>226.23475000000073</v>
      </c>
      <c r="M17" s="153">
        <f t="shared" si="1"/>
        <v>235.19475000000074</v>
      </c>
      <c r="N17" s="153">
        <f t="shared" si="1"/>
        <v>249.05475000000075</v>
      </c>
      <c r="O17" s="153">
        <f t="shared" si="1"/>
        <v>278.10475000000071</v>
      </c>
      <c r="P17" s="153">
        <f t="shared" si="1"/>
        <v>320.80475000000069</v>
      </c>
      <c r="Q17" s="153">
        <f t="shared" si="1"/>
        <v>388.17975000000069</v>
      </c>
      <c r="R17" s="153">
        <f t="shared" si="1"/>
        <v>491.77975000000077</v>
      </c>
      <c r="S17" s="153">
        <f t="shared" si="1"/>
        <v>618.47975000000076</v>
      </c>
      <c r="T17" s="153">
        <f t="shared" si="1"/>
        <v>768.27975000000094</v>
      </c>
      <c r="U17" s="153">
        <f t="shared" si="1"/>
        <v>933.8297500000009</v>
      </c>
      <c r="V17" s="153">
        <f t="shared" si="1"/>
        <v>1129.8297500000008</v>
      </c>
      <c r="W17" s="153">
        <f t="shared" si="1"/>
        <v>1360.8297500000008</v>
      </c>
      <c r="X17" s="153">
        <f t="shared" si="1"/>
        <v>1630.3297500000008</v>
      </c>
      <c r="Y17" s="153">
        <f t="shared" si="1"/>
        <v>1920.8297500000008</v>
      </c>
      <c r="Z17" s="153">
        <f t="shared" si="1"/>
        <v>2249.8297500000008</v>
      </c>
      <c r="AA17" s="153">
        <f t="shared" si="1"/>
        <v>2599.8297500000008</v>
      </c>
    </row>
    <row r="18" spans="2:27" x14ac:dyDescent="0.2">
      <c r="B18" s="1" t="str">
        <f>"Total, "&amp;B12</f>
        <v>Total, Western Denmark (DK1)</v>
      </c>
      <c r="C18" s="1" t="s">
        <v>68</v>
      </c>
      <c r="D18" s="154">
        <f>SUM(D13:D17)</f>
        <v>596.54342999956839</v>
      </c>
      <c r="E18" s="154">
        <f t="shared" ref="E18:AA18" si="3">SUM(E13:E17)</f>
        <v>639.80879679666975</v>
      </c>
      <c r="F18" s="154">
        <f t="shared" si="3"/>
        <v>652.85075857505808</v>
      </c>
      <c r="G18" s="154">
        <f t="shared" si="3"/>
        <v>666.34386632221754</v>
      </c>
      <c r="H18" s="154">
        <f t="shared" si="3"/>
        <v>686.10151088471116</v>
      </c>
      <c r="I18" s="154">
        <f t="shared" si="3"/>
        <v>710.17825115062203</v>
      </c>
      <c r="J18" s="154">
        <f t="shared" si="3"/>
        <v>738.6397649392801</v>
      </c>
      <c r="K18" s="154">
        <f t="shared" si="3"/>
        <v>771.92306961463839</v>
      </c>
      <c r="L18" s="154">
        <f t="shared" si="3"/>
        <v>813.14414933183616</v>
      </c>
      <c r="M18" s="154">
        <f t="shared" si="3"/>
        <v>867.82083483195561</v>
      </c>
      <c r="N18" s="154">
        <f t="shared" si="3"/>
        <v>936.19527762595771</v>
      </c>
      <c r="O18" s="154">
        <f t="shared" si="3"/>
        <v>1027.7376268507069</v>
      </c>
      <c r="P18" s="154">
        <f t="shared" si="3"/>
        <v>1139.1796676170752</v>
      </c>
      <c r="Q18" s="154">
        <f t="shared" si="3"/>
        <v>1282.8078756579041</v>
      </c>
      <c r="R18" s="154">
        <f t="shared" si="3"/>
        <v>1470.5526585164064</v>
      </c>
      <c r="S18" s="154">
        <f t="shared" si="3"/>
        <v>1677.5129202254216</v>
      </c>
      <c r="T18" s="154">
        <f t="shared" si="3"/>
        <v>1904.2956575251596</v>
      </c>
      <c r="U18" s="154">
        <f t="shared" si="3"/>
        <v>2145.0385777269189</v>
      </c>
      <c r="V18" s="154">
        <f t="shared" si="3"/>
        <v>2414.9139959733002</v>
      </c>
      <c r="W18" s="154">
        <f t="shared" si="3"/>
        <v>2717.5379128104032</v>
      </c>
      <c r="X18" s="154">
        <f t="shared" si="3"/>
        <v>3057.9245523490554</v>
      </c>
      <c r="Y18" s="154">
        <f t="shared" si="3"/>
        <v>3417.4166148945787</v>
      </c>
      <c r="Z18" s="154">
        <f t="shared" si="3"/>
        <v>3815.3330202328939</v>
      </c>
      <c r="AA18" s="154">
        <f t="shared" si="3"/>
        <v>4234.8060588755079</v>
      </c>
    </row>
    <row r="19" spans="2:27" x14ac:dyDescent="0.2">
      <c r="B19" s="12"/>
      <c r="C19" s="12"/>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row>
    <row r="20" spans="2:27" x14ac:dyDescent="0.2">
      <c r="B20" s="1" t="s">
        <v>192</v>
      </c>
      <c r="C20" s="1"/>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row>
    <row r="21" spans="2:27" x14ac:dyDescent="0.2">
      <c r="B21" s="12" t="s">
        <v>242</v>
      </c>
      <c r="C21" s="12" t="s">
        <v>68</v>
      </c>
      <c r="D21" s="153">
        <f>D29*D$8</f>
        <v>138.15706477051518</v>
      </c>
      <c r="E21" s="153">
        <f t="shared" ref="E21:AA25" si="4">E29*E$8</f>
        <v>139.17888559844982</v>
      </c>
      <c r="F21" s="153">
        <f t="shared" si="4"/>
        <v>140.82607059874525</v>
      </c>
      <c r="G21" s="153">
        <f t="shared" si="4"/>
        <v>141.00432190246306</v>
      </c>
      <c r="H21" s="153">
        <f t="shared" si="4"/>
        <v>141.15595809437733</v>
      </c>
      <c r="I21" s="153">
        <f t="shared" si="4"/>
        <v>141.3515446960111</v>
      </c>
      <c r="J21" s="153">
        <f t="shared" si="4"/>
        <v>141.61838472042109</v>
      </c>
      <c r="K21" s="153">
        <f t="shared" si="4"/>
        <v>141.9605683145208</v>
      </c>
      <c r="L21" s="153">
        <f t="shared" si="4"/>
        <v>142.45790563773573</v>
      </c>
      <c r="M21" s="153">
        <f t="shared" si="4"/>
        <v>143.13051409457776</v>
      </c>
      <c r="N21" s="153">
        <f t="shared" si="4"/>
        <v>144.04624650420908</v>
      </c>
      <c r="O21" s="153">
        <f t="shared" si="4"/>
        <v>145.31193967608721</v>
      </c>
      <c r="P21" s="153">
        <f t="shared" si="4"/>
        <v>146.87881069578299</v>
      </c>
      <c r="Q21" s="153">
        <f t="shared" si="4"/>
        <v>149.45751392384787</v>
      </c>
      <c r="R21" s="153">
        <f t="shared" si="4"/>
        <v>153.37502263208319</v>
      </c>
      <c r="S21" s="153">
        <f t="shared" si="4"/>
        <v>158.14223784008351</v>
      </c>
      <c r="T21" s="153">
        <f t="shared" si="4"/>
        <v>164.38658364093885</v>
      </c>
      <c r="U21" s="153">
        <f t="shared" si="4"/>
        <v>172.76432141958236</v>
      </c>
      <c r="V21" s="153">
        <f t="shared" si="4"/>
        <v>183.52099705341357</v>
      </c>
      <c r="W21" s="153">
        <f t="shared" si="4"/>
        <v>196.33974523270859</v>
      </c>
      <c r="X21" s="153">
        <f t="shared" si="4"/>
        <v>211.93312512471616</v>
      </c>
      <c r="Y21" s="153">
        <f t="shared" si="4"/>
        <v>230.11997378285378</v>
      </c>
      <c r="Z21" s="153">
        <f t="shared" si="4"/>
        <v>251.32337454196102</v>
      </c>
      <c r="AA21" s="153">
        <f t="shared" si="4"/>
        <v>275.93851597066862</v>
      </c>
    </row>
    <row r="22" spans="2:27" x14ac:dyDescent="0.2">
      <c r="B22" s="12" t="s">
        <v>243</v>
      </c>
      <c r="C22" s="150" t="s">
        <v>68</v>
      </c>
      <c r="D22" s="153">
        <f>D30*D$8</f>
        <v>1.2149552292992281</v>
      </c>
      <c r="E22" s="153">
        <f t="shared" ref="E22:S22" si="5">E30*E$8</f>
        <v>1.5603532575776586</v>
      </c>
      <c r="F22" s="153">
        <f t="shared" si="5"/>
        <v>2.1725732718039703</v>
      </c>
      <c r="G22" s="153">
        <f t="shared" si="5"/>
        <v>3.0893229410550371</v>
      </c>
      <c r="H22" s="153">
        <f t="shared" si="5"/>
        <v>4.5323102630228158</v>
      </c>
      <c r="I22" s="153">
        <f t="shared" si="5"/>
        <v>6.6027768167297838</v>
      </c>
      <c r="J22" s="153">
        <f t="shared" si="5"/>
        <v>9.3780742708917622</v>
      </c>
      <c r="K22" s="153">
        <f t="shared" si="5"/>
        <v>13.095374920159298</v>
      </c>
      <c r="L22" s="153">
        <f t="shared" si="5"/>
        <v>18.68281332239129</v>
      </c>
      <c r="M22" s="153">
        <f t="shared" si="5"/>
        <v>26.16003677967829</v>
      </c>
      <c r="N22" s="153">
        <f t="shared" si="5"/>
        <v>35.90464757350459</v>
      </c>
      <c r="O22" s="153">
        <f t="shared" si="5"/>
        <v>48.281877210064188</v>
      </c>
      <c r="P22" s="153">
        <f t="shared" si="5"/>
        <v>63.321842735610581</v>
      </c>
      <c r="Q22" s="153">
        <f t="shared" si="5"/>
        <v>80.885876432209429</v>
      </c>
      <c r="R22" s="153">
        <f t="shared" si="5"/>
        <v>101.14032063897736</v>
      </c>
      <c r="S22" s="153">
        <f t="shared" si="5"/>
        <v>119.95975080939495</v>
      </c>
      <c r="T22" s="153">
        <f t="shared" si="4"/>
        <v>137.13128677126642</v>
      </c>
      <c r="U22" s="153">
        <f t="shared" si="4"/>
        <v>152.44165032785023</v>
      </c>
      <c r="V22" s="153">
        <f t="shared" si="4"/>
        <v>165.71682968476665</v>
      </c>
      <c r="W22" s="153">
        <f t="shared" si="4"/>
        <v>176.86897608253099</v>
      </c>
      <c r="X22" s="153">
        <f t="shared" si="4"/>
        <v>185.60156852020151</v>
      </c>
      <c r="Y22" s="153">
        <f t="shared" si="4"/>
        <v>191.62753547485292</v>
      </c>
      <c r="Z22" s="153">
        <f t="shared" si="4"/>
        <v>194.97888474678714</v>
      </c>
      <c r="AA22" s="153">
        <f t="shared" si="4"/>
        <v>195.60705807775969</v>
      </c>
    </row>
    <row r="23" spans="2:27" x14ac:dyDescent="0.2">
      <c r="B23" s="12" t="s">
        <v>253</v>
      </c>
      <c r="C23" s="12" t="s">
        <v>68</v>
      </c>
      <c r="D23" s="153">
        <f>D31*D$8</f>
        <v>39.77457805661286</v>
      </c>
      <c r="E23" s="153">
        <f t="shared" si="4"/>
        <v>41.390515986370666</v>
      </c>
      <c r="F23" s="153">
        <f t="shared" si="4"/>
        <v>43.738771547938178</v>
      </c>
      <c r="G23" s="153">
        <f t="shared" si="4"/>
        <v>46.999785152765227</v>
      </c>
      <c r="H23" s="153">
        <f t="shared" si="4"/>
        <v>51.595034771623929</v>
      </c>
      <c r="I23" s="153">
        <f t="shared" si="4"/>
        <v>56.970693076466532</v>
      </c>
      <c r="J23" s="153">
        <f t="shared" si="4"/>
        <v>63.047193963782192</v>
      </c>
      <c r="K23" s="153">
        <f t="shared" si="4"/>
        <v>69.713436094696959</v>
      </c>
      <c r="L23" s="153">
        <f t="shared" si="4"/>
        <v>77.032641799123212</v>
      </c>
      <c r="M23" s="153">
        <f t="shared" si="4"/>
        <v>85.915747553297123</v>
      </c>
      <c r="N23" s="153">
        <f t="shared" si="4"/>
        <v>95.780726842680735</v>
      </c>
      <c r="O23" s="153">
        <f t="shared" si="4"/>
        <v>105.99268303802521</v>
      </c>
      <c r="P23" s="153">
        <f t="shared" si="4"/>
        <v>115.59821452293308</v>
      </c>
      <c r="Q23" s="153">
        <f t="shared" si="4"/>
        <v>124.99135917632844</v>
      </c>
      <c r="R23" s="153">
        <f t="shared" si="4"/>
        <v>133.93816077064801</v>
      </c>
      <c r="S23" s="153">
        <f t="shared" si="4"/>
        <v>142.10828363220372</v>
      </c>
      <c r="T23" s="153">
        <f t="shared" si="4"/>
        <v>149.3867809786247</v>
      </c>
      <c r="U23" s="153">
        <f t="shared" si="4"/>
        <v>155.96786042831465</v>
      </c>
      <c r="V23" s="153">
        <f t="shared" si="4"/>
        <v>161.97499769107429</v>
      </c>
      <c r="W23" s="153">
        <f t="shared" si="4"/>
        <v>167.27151919001679</v>
      </c>
      <c r="X23" s="153">
        <f t="shared" si="4"/>
        <v>172.2389446072296</v>
      </c>
      <c r="Y23" s="153">
        <f t="shared" si="4"/>
        <v>176.85785487553468</v>
      </c>
      <c r="Z23" s="153">
        <f t="shared" si="4"/>
        <v>181.44280269301751</v>
      </c>
      <c r="AA23" s="153">
        <f t="shared" si="4"/>
        <v>185.89334990655971</v>
      </c>
    </row>
    <row r="24" spans="2:27" x14ac:dyDescent="0.2">
      <c r="B24" s="12" t="s">
        <v>254</v>
      </c>
      <c r="C24" s="150" t="s">
        <v>68</v>
      </c>
      <c r="D24" s="153">
        <f>D32*D$8</f>
        <v>0.93662194338745863</v>
      </c>
      <c r="E24" s="153">
        <f t="shared" si="4"/>
        <v>1.4057652133171459</v>
      </c>
      <c r="F24" s="153">
        <f t="shared" si="4"/>
        <v>2.0875168279657772</v>
      </c>
      <c r="G24" s="153">
        <f t="shared" si="4"/>
        <v>3.0342627132381454</v>
      </c>
      <c r="H24" s="153">
        <f t="shared" si="4"/>
        <v>4.6174515358518624</v>
      </c>
      <c r="I24" s="153">
        <f t="shared" si="4"/>
        <v>6.4693430467731208</v>
      </c>
      <c r="J24" s="153">
        <f t="shared" si="4"/>
        <v>8.5614963045961634</v>
      </c>
      <c r="K24" s="153">
        <f t="shared" si="4"/>
        <v>10.852043362610509</v>
      </c>
      <c r="L24" s="153">
        <f t="shared" si="4"/>
        <v>13.359238954393492</v>
      </c>
      <c r="M24" s="153">
        <f t="shared" si="4"/>
        <v>15.919166500427467</v>
      </c>
      <c r="N24" s="153">
        <f t="shared" si="4"/>
        <v>18.757176633587143</v>
      </c>
      <c r="O24" s="153">
        <f t="shared" si="4"/>
        <v>21.684733011840351</v>
      </c>
      <c r="P24" s="153">
        <f t="shared" si="4"/>
        <v>24.93323959584826</v>
      </c>
      <c r="Q24" s="153">
        <f t="shared" si="4"/>
        <v>28.077304321001467</v>
      </c>
      <c r="R24" s="153">
        <f t="shared" si="4"/>
        <v>31.020599608179527</v>
      </c>
      <c r="S24" s="153">
        <f t="shared" si="4"/>
        <v>33.661086386355286</v>
      </c>
      <c r="T24" s="153">
        <f t="shared" si="4"/>
        <v>35.959308977095255</v>
      </c>
      <c r="U24" s="153">
        <f t="shared" si="4"/>
        <v>37.915665421503313</v>
      </c>
      <c r="V24" s="153">
        <f t="shared" si="4"/>
        <v>39.537566702159587</v>
      </c>
      <c r="W24" s="153">
        <f t="shared" si="4"/>
        <v>40.966114984916224</v>
      </c>
      <c r="X24" s="153">
        <f t="shared" si="4"/>
        <v>42.052705611733295</v>
      </c>
      <c r="Y24" s="153">
        <f t="shared" si="4"/>
        <v>42.789006535863471</v>
      </c>
      <c r="Z24" s="153">
        <f t="shared" si="4"/>
        <v>43.184910975188437</v>
      </c>
      <c r="AA24" s="153">
        <f t="shared" si="4"/>
        <v>43.265208420229257</v>
      </c>
    </row>
    <row r="25" spans="2:27" x14ac:dyDescent="0.2">
      <c r="B25" s="12" t="s">
        <v>252</v>
      </c>
      <c r="C25" s="12" t="s">
        <v>68</v>
      </c>
      <c r="D25" s="153">
        <f>D33*D$8</f>
        <v>75.57825000000031</v>
      </c>
      <c r="E25" s="153">
        <f t="shared" si="4"/>
        <v>90.668250000000313</v>
      </c>
      <c r="F25" s="153">
        <f t="shared" si="4"/>
        <v>90.96825000000031</v>
      </c>
      <c r="G25" s="153">
        <f t="shared" si="4"/>
        <v>91.448250000000314</v>
      </c>
      <c r="H25" s="153">
        <f t="shared" si="4"/>
        <v>92.142750000000319</v>
      </c>
      <c r="I25" s="153">
        <f t="shared" si="4"/>
        <v>92.967750000000322</v>
      </c>
      <c r="J25" s="153">
        <f t="shared" si="4"/>
        <v>93.954750000000303</v>
      </c>
      <c r="K25" s="153">
        <f t="shared" si="4"/>
        <v>95.202750000000307</v>
      </c>
      <c r="L25" s="153">
        <f t="shared" si="4"/>
        <v>96.957750000000317</v>
      </c>
      <c r="M25" s="153">
        <f t="shared" si="4"/>
        <v>100.79775000000032</v>
      </c>
      <c r="N25" s="153">
        <f t="shared" si="4"/>
        <v>106.73775000000033</v>
      </c>
      <c r="O25" s="153">
        <f t="shared" si="4"/>
        <v>119.18775000000031</v>
      </c>
      <c r="P25" s="153">
        <f t="shared" si="4"/>
        <v>137.48775000000029</v>
      </c>
      <c r="Q25" s="153">
        <f t="shared" si="4"/>
        <v>166.36275000000032</v>
      </c>
      <c r="R25" s="153">
        <f t="shared" si="4"/>
        <v>210.76275000000035</v>
      </c>
      <c r="S25" s="153">
        <f t="shared" si="4"/>
        <v>265.06275000000034</v>
      </c>
      <c r="T25" s="153">
        <f t="shared" si="4"/>
        <v>329.26275000000038</v>
      </c>
      <c r="U25" s="153">
        <f t="shared" si="4"/>
        <v>400.21275000000043</v>
      </c>
      <c r="V25" s="153">
        <f t="shared" si="4"/>
        <v>484.21275000000037</v>
      </c>
      <c r="W25" s="153">
        <f t="shared" si="4"/>
        <v>583.21275000000037</v>
      </c>
      <c r="X25" s="153">
        <f t="shared" si="4"/>
        <v>698.71275000000037</v>
      </c>
      <c r="Y25" s="153">
        <f t="shared" si="4"/>
        <v>823.21275000000037</v>
      </c>
      <c r="Z25" s="153">
        <f t="shared" si="4"/>
        <v>964.21275000000037</v>
      </c>
      <c r="AA25" s="153">
        <f t="shared" si="4"/>
        <v>1114.2127500000004</v>
      </c>
    </row>
    <row r="26" spans="2:27" x14ac:dyDescent="0.2">
      <c r="B26" s="1" t="str">
        <f>"Total, "&amp;B20</f>
        <v>Total, Eastern Denmark (DK2)</v>
      </c>
      <c r="C26" s="1" t="s">
        <v>68</v>
      </c>
      <c r="D26" s="154">
        <f>SUM(D21:D25)</f>
        <v>255.66146999981501</v>
      </c>
      <c r="E26" s="154">
        <f t="shared" ref="E26:AA26" si="6">SUM(E21:E25)</f>
        <v>274.20377005571561</v>
      </c>
      <c r="F26" s="154">
        <f t="shared" si="6"/>
        <v>279.79318224645345</v>
      </c>
      <c r="G26" s="154">
        <f t="shared" si="6"/>
        <v>285.57594270952177</v>
      </c>
      <c r="H26" s="154">
        <f t="shared" si="6"/>
        <v>294.04350466487631</v>
      </c>
      <c r="I26" s="154">
        <f t="shared" si="6"/>
        <v>304.36210763598086</v>
      </c>
      <c r="J26" s="154">
        <f t="shared" si="6"/>
        <v>316.55989925969152</v>
      </c>
      <c r="K26" s="154">
        <f t="shared" si="6"/>
        <v>330.82417269198788</v>
      </c>
      <c r="L26" s="154">
        <f t="shared" si="6"/>
        <v>348.49034971364404</v>
      </c>
      <c r="M26" s="154">
        <f t="shared" si="6"/>
        <v>371.92321492798101</v>
      </c>
      <c r="N26" s="154">
        <f t="shared" si="6"/>
        <v>401.2265475539819</v>
      </c>
      <c r="O26" s="154">
        <f t="shared" si="6"/>
        <v>440.45898293601726</v>
      </c>
      <c r="P26" s="154">
        <f t="shared" si="6"/>
        <v>488.21985755017516</v>
      </c>
      <c r="Q26" s="154">
        <f t="shared" si="6"/>
        <v>549.77480385338754</v>
      </c>
      <c r="R26" s="154">
        <f t="shared" si="6"/>
        <v>630.23685364988842</v>
      </c>
      <c r="S26" s="154">
        <f t="shared" si="6"/>
        <v>718.93410866803788</v>
      </c>
      <c r="T26" s="154">
        <f t="shared" si="6"/>
        <v>816.12671036792563</v>
      </c>
      <c r="U26" s="154">
        <f t="shared" si="6"/>
        <v>919.30224759725093</v>
      </c>
      <c r="V26" s="154">
        <f t="shared" si="6"/>
        <v>1034.9631411314144</v>
      </c>
      <c r="W26" s="154">
        <f t="shared" si="6"/>
        <v>1164.6591054901728</v>
      </c>
      <c r="X26" s="154">
        <f t="shared" si="6"/>
        <v>1310.5390938638809</v>
      </c>
      <c r="Y26" s="154">
        <f t="shared" si="6"/>
        <v>1464.6071206691054</v>
      </c>
      <c r="Z26" s="154">
        <f t="shared" si="6"/>
        <v>1635.1427229569545</v>
      </c>
      <c r="AA26" s="154">
        <f t="shared" si="6"/>
        <v>1814.9168823752175</v>
      </c>
    </row>
    <row r="27" spans="2:27" x14ac:dyDescent="0.2">
      <c r="B27" s="12"/>
      <c r="C27" s="12"/>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row>
    <row r="28" spans="2:27" x14ac:dyDescent="0.2">
      <c r="B28" s="1" t="s">
        <v>119</v>
      </c>
      <c r="C28" s="1"/>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row>
    <row r="29" spans="2:27" x14ac:dyDescent="0.2">
      <c r="B29" s="12" t="s">
        <v>242</v>
      </c>
      <c r="C29" s="12" t="s">
        <v>68</v>
      </c>
      <c r="D29" s="155">
        <v>460.52354923505061</v>
      </c>
      <c r="E29" s="155">
        <v>463.92961866149943</v>
      </c>
      <c r="F29" s="155">
        <v>469.42023532915084</v>
      </c>
      <c r="G29" s="155">
        <v>470.01440634154358</v>
      </c>
      <c r="H29" s="155">
        <v>470.51986031459109</v>
      </c>
      <c r="I29" s="155">
        <v>471.1718156533704</v>
      </c>
      <c r="J29" s="155">
        <v>472.06128240140362</v>
      </c>
      <c r="K29" s="155">
        <v>473.20189438173605</v>
      </c>
      <c r="L29" s="155">
        <v>474.85968545911913</v>
      </c>
      <c r="M29" s="155">
        <v>477.10171364859252</v>
      </c>
      <c r="N29" s="155">
        <v>480.15415501403032</v>
      </c>
      <c r="O29" s="155">
        <v>484.37313225362408</v>
      </c>
      <c r="P29" s="155">
        <v>489.59603565260994</v>
      </c>
      <c r="Q29" s="155">
        <v>498.1917130794929</v>
      </c>
      <c r="R29" s="155">
        <v>511.25007544027727</v>
      </c>
      <c r="S29" s="155">
        <v>527.1407928002784</v>
      </c>
      <c r="T29" s="155">
        <v>547.95527880312954</v>
      </c>
      <c r="U29" s="155">
        <v>575.8810713986079</v>
      </c>
      <c r="V29" s="155">
        <v>611.73665684471189</v>
      </c>
      <c r="W29" s="155">
        <v>654.46581744236198</v>
      </c>
      <c r="X29" s="155">
        <v>706.4437504157205</v>
      </c>
      <c r="Y29" s="155">
        <v>767.06657927617925</v>
      </c>
      <c r="Z29" s="155">
        <v>837.74458180653676</v>
      </c>
      <c r="AA29" s="155">
        <v>919.79505323556202</v>
      </c>
    </row>
    <row r="30" spans="2:27" x14ac:dyDescent="0.2">
      <c r="B30" s="12" t="s">
        <v>243</v>
      </c>
      <c r="C30" s="150" t="s">
        <v>68</v>
      </c>
      <c r="D30" s="155">
        <v>4.0498507643307606</v>
      </c>
      <c r="E30" s="155">
        <v>5.2011775252588626</v>
      </c>
      <c r="F30" s="155">
        <v>7.2419109060132349</v>
      </c>
      <c r="G30" s="155">
        <v>10.297743136850125</v>
      </c>
      <c r="H30" s="155">
        <v>15.107700876742721</v>
      </c>
      <c r="I30" s="155">
        <v>22.009256055765945</v>
      </c>
      <c r="J30" s="155">
        <v>31.260247569639208</v>
      </c>
      <c r="K30" s="155">
        <v>43.651249733864326</v>
      </c>
      <c r="L30" s="155">
        <v>62.276044407970964</v>
      </c>
      <c r="M30" s="155">
        <v>87.200122598927635</v>
      </c>
      <c r="N30" s="155">
        <v>119.68215857834863</v>
      </c>
      <c r="O30" s="155">
        <v>160.93959070021396</v>
      </c>
      <c r="P30" s="155">
        <v>211.07280911870194</v>
      </c>
      <c r="Q30" s="155">
        <v>269.61958810736479</v>
      </c>
      <c r="R30" s="155">
        <v>337.13440212992452</v>
      </c>
      <c r="S30" s="155">
        <v>399.86583603131652</v>
      </c>
      <c r="T30" s="155">
        <v>457.10428923755472</v>
      </c>
      <c r="U30" s="155">
        <v>508.13883442616748</v>
      </c>
      <c r="V30" s="155">
        <v>552.3894322825555</v>
      </c>
      <c r="W30" s="155">
        <v>589.56325360843664</v>
      </c>
      <c r="X30" s="155">
        <v>618.67189506733837</v>
      </c>
      <c r="Y30" s="155">
        <v>638.75845158284312</v>
      </c>
      <c r="Z30" s="155">
        <v>649.92961582262387</v>
      </c>
      <c r="AA30" s="155">
        <v>652.02352692586567</v>
      </c>
    </row>
    <row r="31" spans="2:27" x14ac:dyDescent="0.2">
      <c r="B31" s="12" t="s">
        <v>253</v>
      </c>
      <c r="C31" s="12" t="s">
        <v>68</v>
      </c>
      <c r="D31" s="155">
        <v>132.5819268553762</v>
      </c>
      <c r="E31" s="155">
        <v>137.96838662123557</v>
      </c>
      <c r="F31" s="155">
        <v>145.79590515979393</v>
      </c>
      <c r="G31" s="155">
        <v>156.66595050921742</v>
      </c>
      <c r="H31" s="155">
        <v>171.98344923874643</v>
      </c>
      <c r="I31" s="155">
        <v>189.90231025488845</v>
      </c>
      <c r="J31" s="155">
        <v>210.15731321260731</v>
      </c>
      <c r="K31" s="155">
        <v>232.37812031565656</v>
      </c>
      <c r="L31" s="155">
        <v>256.77547266374404</v>
      </c>
      <c r="M31" s="155">
        <v>286.38582517765707</v>
      </c>
      <c r="N31" s="155">
        <v>319.26908947560247</v>
      </c>
      <c r="O31" s="155">
        <v>353.30894346008404</v>
      </c>
      <c r="P31" s="155">
        <v>385.32738174311027</v>
      </c>
      <c r="Q31" s="155">
        <v>416.63786392109483</v>
      </c>
      <c r="R31" s="155">
        <v>446.46053590216002</v>
      </c>
      <c r="S31" s="155">
        <v>473.69427877401245</v>
      </c>
      <c r="T31" s="155">
        <v>497.95593659541572</v>
      </c>
      <c r="U31" s="155">
        <v>519.89286809438215</v>
      </c>
      <c r="V31" s="155">
        <v>539.91665897024768</v>
      </c>
      <c r="W31" s="155">
        <v>557.57173063338928</v>
      </c>
      <c r="X31" s="155">
        <v>574.12981535743199</v>
      </c>
      <c r="Y31" s="155">
        <v>589.52618291844897</v>
      </c>
      <c r="Z31" s="155">
        <v>604.80934231005835</v>
      </c>
      <c r="AA31" s="155">
        <v>619.64449968853239</v>
      </c>
    </row>
    <row r="32" spans="2:27" x14ac:dyDescent="0.2">
      <c r="B32" s="12" t="s">
        <v>254</v>
      </c>
      <c r="C32" s="150" t="s">
        <v>68</v>
      </c>
      <c r="D32" s="155">
        <v>3.1220731446248622</v>
      </c>
      <c r="E32" s="155">
        <v>4.6858840443904866</v>
      </c>
      <c r="F32" s="155">
        <v>6.958389426552591</v>
      </c>
      <c r="G32" s="155">
        <v>10.114209044127152</v>
      </c>
      <c r="H32" s="155">
        <v>15.391505119506208</v>
      </c>
      <c r="I32" s="155">
        <v>21.56447682257707</v>
      </c>
      <c r="J32" s="155">
        <v>28.538321015320548</v>
      </c>
      <c r="K32" s="155">
        <v>36.173477875368363</v>
      </c>
      <c r="L32" s="155">
        <v>44.530796514644976</v>
      </c>
      <c r="M32" s="155">
        <v>53.063888334758225</v>
      </c>
      <c r="N32" s="155">
        <v>62.523922111957148</v>
      </c>
      <c r="O32" s="155">
        <v>72.282443372801168</v>
      </c>
      <c r="P32" s="155">
        <v>83.11079865282754</v>
      </c>
      <c r="Q32" s="155">
        <v>93.591014403338221</v>
      </c>
      <c r="R32" s="155">
        <v>103.40199869393176</v>
      </c>
      <c r="S32" s="155">
        <v>112.20362128785095</v>
      </c>
      <c r="T32" s="155">
        <v>119.86436325698418</v>
      </c>
      <c r="U32" s="155">
        <v>126.38555140501106</v>
      </c>
      <c r="V32" s="155">
        <v>131.79188900719862</v>
      </c>
      <c r="W32" s="155">
        <v>136.55371661638742</v>
      </c>
      <c r="X32" s="155">
        <v>140.17568537244432</v>
      </c>
      <c r="Y32" s="155">
        <v>142.63002178621159</v>
      </c>
      <c r="Z32" s="155">
        <v>143.94970325062812</v>
      </c>
      <c r="AA32" s="155">
        <v>144.21736140076419</v>
      </c>
    </row>
    <row r="33" spans="2:27" x14ac:dyDescent="0.2">
      <c r="B33" s="12" t="s">
        <v>252</v>
      </c>
      <c r="C33" s="12" t="s">
        <v>68</v>
      </c>
      <c r="D33" s="155">
        <v>251.92750000000103</v>
      </c>
      <c r="E33" s="155">
        <v>302.22750000000104</v>
      </c>
      <c r="F33" s="155">
        <v>303.22750000000104</v>
      </c>
      <c r="G33" s="155">
        <v>304.82750000000107</v>
      </c>
      <c r="H33" s="155">
        <v>307.14250000000106</v>
      </c>
      <c r="I33" s="155">
        <v>309.89250000000106</v>
      </c>
      <c r="J33" s="155">
        <v>313.18250000000103</v>
      </c>
      <c r="K33" s="155">
        <v>317.34250000000105</v>
      </c>
      <c r="L33" s="155">
        <v>323.19250000000108</v>
      </c>
      <c r="M33" s="155">
        <v>335.99250000000109</v>
      </c>
      <c r="N33" s="155">
        <v>355.7925000000011</v>
      </c>
      <c r="O33" s="155">
        <v>397.29250000000104</v>
      </c>
      <c r="P33" s="155">
        <v>458.29250000000098</v>
      </c>
      <c r="Q33" s="155">
        <v>554.54250000000104</v>
      </c>
      <c r="R33" s="155">
        <v>702.54250000000116</v>
      </c>
      <c r="S33" s="155">
        <v>883.54250000000116</v>
      </c>
      <c r="T33" s="155">
        <v>1097.5425000000014</v>
      </c>
      <c r="U33" s="155">
        <v>1334.0425000000014</v>
      </c>
      <c r="V33" s="155">
        <v>1614.0425000000014</v>
      </c>
      <c r="W33" s="155">
        <v>1944.0425000000012</v>
      </c>
      <c r="X33" s="155">
        <v>2329.0425000000014</v>
      </c>
      <c r="Y33" s="155">
        <v>2744.0425000000014</v>
      </c>
      <c r="Z33" s="155">
        <v>3214.0425000000014</v>
      </c>
      <c r="AA33" s="155">
        <v>3714.0425000000014</v>
      </c>
    </row>
    <row r="34" spans="2:27" x14ac:dyDescent="0.2">
      <c r="B34" s="91" t="s">
        <v>198</v>
      </c>
      <c r="C34" s="91" t="s">
        <v>68</v>
      </c>
      <c r="D34" s="92">
        <f>SUM(D29:D33)</f>
        <v>852.20489999938343</v>
      </c>
      <c r="E34" s="92">
        <f t="shared" ref="E34:AA34" si="7">SUM(E29:E33)</f>
        <v>914.01256685238536</v>
      </c>
      <c r="F34" s="92">
        <f t="shared" si="7"/>
        <v>932.64394082151171</v>
      </c>
      <c r="G34" s="92">
        <f t="shared" si="7"/>
        <v>951.91980903173931</v>
      </c>
      <c r="H34" s="92">
        <f t="shared" si="7"/>
        <v>980.14501554958747</v>
      </c>
      <c r="I34" s="92">
        <f t="shared" si="7"/>
        <v>1014.5403587866028</v>
      </c>
      <c r="J34" s="92">
        <f t="shared" si="7"/>
        <v>1055.1996641989717</v>
      </c>
      <c r="K34" s="92">
        <f t="shared" si="7"/>
        <v>1102.7472423066263</v>
      </c>
      <c r="L34" s="92">
        <f t="shared" si="7"/>
        <v>1161.6344990454802</v>
      </c>
      <c r="M34" s="92">
        <f t="shared" si="7"/>
        <v>1239.7440497599366</v>
      </c>
      <c r="N34" s="92">
        <f t="shared" si="7"/>
        <v>1337.4218251799396</v>
      </c>
      <c r="O34" s="92">
        <f t="shared" si="7"/>
        <v>1468.1966097867244</v>
      </c>
      <c r="P34" s="92">
        <f t="shared" si="7"/>
        <v>1627.3995251672507</v>
      </c>
      <c r="Q34" s="92">
        <f t="shared" si="7"/>
        <v>1832.5826795112916</v>
      </c>
      <c r="R34" s="92">
        <f t="shared" si="7"/>
        <v>2100.789512166295</v>
      </c>
      <c r="S34" s="92">
        <f t="shared" si="7"/>
        <v>2396.4470288934594</v>
      </c>
      <c r="T34" s="92">
        <f t="shared" si="7"/>
        <v>2720.4223678930857</v>
      </c>
      <c r="U34" s="92">
        <f t="shared" si="7"/>
        <v>3064.3408253241701</v>
      </c>
      <c r="V34" s="92">
        <f t="shared" si="7"/>
        <v>3449.8771371047151</v>
      </c>
      <c r="W34" s="92">
        <f t="shared" si="7"/>
        <v>3882.1970183005765</v>
      </c>
      <c r="X34" s="92">
        <f t="shared" si="7"/>
        <v>4368.4636462129365</v>
      </c>
      <c r="Y34" s="92">
        <f t="shared" si="7"/>
        <v>4882.0237355636837</v>
      </c>
      <c r="Z34" s="92">
        <f t="shared" si="7"/>
        <v>5450.4757431898488</v>
      </c>
      <c r="AA34" s="92">
        <f t="shared" si="7"/>
        <v>6049.7229412507259</v>
      </c>
    </row>
    <row r="35" spans="2:27" x14ac:dyDescent="0.2">
      <c r="B35" s="2" t="s">
        <v>462</v>
      </c>
    </row>
    <row r="36" spans="2:27" s="12" customFormat="1" x14ac:dyDescent="0.2"/>
    <row r="38" spans="2:27" s="70" customFormat="1" x14ac:dyDescent="0.2">
      <c r="B38" s="70" t="s">
        <v>392</v>
      </c>
    </row>
    <row r="40" spans="2:27" x14ac:dyDescent="0.2">
      <c r="B40" s="1" t="s">
        <v>395</v>
      </c>
      <c r="C40" s="1" t="s">
        <v>141</v>
      </c>
      <c r="D40" s="151">
        <f>D$6</f>
        <v>2017</v>
      </c>
      <c r="E40" s="151">
        <f t="shared" ref="E40:AA40" si="8">E$6</f>
        <v>2018</v>
      </c>
      <c r="F40" s="151">
        <f t="shared" si="8"/>
        <v>2019</v>
      </c>
      <c r="G40" s="151">
        <f t="shared" si="8"/>
        <v>2020</v>
      </c>
      <c r="H40" s="151">
        <f t="shared" si="8"/>
        <v>2021</v>
      </c>
      <c r="I40" s="151">
        <f t="shared" si="8"/>
        <v>2022</v>
      </c>
      <c r="J40" s="151">
        <f t="shared" si="8"/>
        <v>2023</v>
      </c>
      <c r="K40" s="151">
        <f t="shared" si="8"/>
        <v>2024</v>
      </c>
      <c r="L40" s="151">
        <f t="shared" si="8"/>
        <v>2025</v>
      </c>
      <c r="M40" s="151">
        <f t="shared" si="8"/>
        <v>2026</v>
      </c>
      <c r="N40" s="151">
        <f t="shared" si="8"/>
        <v>2027</v>
      </c>
      <c r="O40" s="151">
        <f t="shared" si="8"/>
        <v>2028</v>
      </c>
      <c r="P40" s="151">
        <f t="shared" si="8"/>
        <v>2029</v>
      </c>
      <c r="Q40" s="151">
        <f t="shared" si="8"/>
        <v>2030</v>
      </c>
      <c r="R40" s="151">
        <f t="shared" si="8"/>
        <v>2031</v>
      </c>
      <c r="S40" s="151">
        <f t="shared" si="8"/>
        <v>2032</v>
      </c>
      <c r="T40" s="151">
        <f t="shared" si="8"/>
        <v>2033</v>
      </c>
      <c r="U40" s="151">
        <f t="shared" si="8"/>
        <v>2034</v>
      </c>
      <c r="V40" s="151">
        <f t="shared" si="8"/>
        <v>2035</v>
      </c>
      <c r="W40" s="151">
        <f t="shared" si="8"/>
        <v>2036</v>
      </c>
      <c r="X40" s="151">
        <f t="shared" si="8"/>
        <v>2037</v>
      </c>
      <c r="Y40" s="151">
        <f t="shared" si="8"/>
        <v>2038</v>
      </c>
      <c r="Z40" s="151">
        <f t="shared" si="8"/>
        <v>2039</v>
      </c>
      <c r="AA40" s="151">
        <f t="shared" si="8"/>
        <v>2040</v>
      </c>
    </row>
    <row r="41" spans="2:27" x14ac:dyDescent="0.2">
      <c r="B41" s="12" t="s">
        <v>241</v>
      </c>
      <c r="C41" s="12" t="s">
        <v>69</v>
      </c>
      <c r="D41" s="155">
        <v>806.84860562507265</v>
      </c>
      <c r="E41" s="155">
        <v>813.75045744817271</v>
      </c>
      <c r="F41" s="155">
        <v>825.30237214582291</v>
      </c>
      <c r="G41" s="155">
        <v>828.90719365645703</v>
      </c>
      <c r="H41" s="155">
        <v>834.64388170505151</v>
      </c>
      <c r="I41" s="155">
        <v>843.7628306849997</v>
      </c>
      <c r="J41" s="155">
        <v>856.00152839561827</v>
      </c>
      <c r="K41" s="155">
        <v>872.16243330703082</v>
      </c>
      <c r="L41" s="155">
        <v>895.74706717673678</v>
      </c>
      <c r="M41" s="155">
        <v>925.5688256532676</v>
      </c>
      <c r="N41" s="155">
        <v>961.72765869160526</v>
      </c>
      <c r="O41" s="155">
        <v>1003.791010243858</v>
      </c>
      <c r="P41" s="155">
        <v>1049.517500643517</v>
      </c>
      <c r="Q41" s="155">
        <v>1097.2253307870897</v>
      </c>
      <c r="R41" s="155">
        <v>1145.7342003650945</v>
      </c>
      <c r="S41" s="155">
        <v>1186.1823953717878</v>
      </c>
      <c r="T41" s="155">
        <v>1220.4331945069466</v>
      </c>
      <c r="U41" s="155">
        <v>1249.7269450105507</v>
      </c>
      <c r="V41" s="155">
        <v>1275.3427963585632</v>
      </c>
      <c r="W41" s="155">
        <v>1298.0368269585711</v>
      </c>
      <c r="X41" s="155">
        <v>1318.1025750998042</v>
      </c>
      <c r="Y41" s="155">
        <v>1335.6432383713063</v>
      </c>
      <c r="Z41" s="155">
        <v>1351.3279063580103</v>
      </c>
      <c r="AA41" s="155">
        <v>1365.4051276017794</v>
      </c>
    </row>
    <row r="42" spans="2:27" x14ac:dyDescent="0.2">
      <c r="B42" s="12" t="s">
        <v>255</v>
      </c>
      <c r="C42" s="12" t="s">
        <v>69</v>
      </c>
      <c r="D42" s="155">
        <v>1041.3200023580725</v>
      </c>
      <c r="E42" s="155">
        <v>1042.0742046193341</v>
      </c>
      <c r="F42" s="155">
        <v>1044.1322238635555</v>
      </c>
      <c r="G42" s="155">
        <v>1047.9559693866881</v>
      </c>
      <c r="H42" s="155">
        <v>1054.3357169053743</v>
      </c>
      <c r="I42" s="155">
        <v>1060.6318255381464</v>
      </c>
      <c r="J42" s="155">
        <v>1066.6284613460464</v>
      </c>
      <c r="K42" s="155">
        <v>1072.206233588385</v>
      </c>
      <c r="L42" s="155">
        <v>1077.4453245862553</v>
      </c>
      <c r="M42" s="155">
        <v>1082.6766021494573</v>
      </c>
      <c r="N42" s="155">
        <v>1087.6588956121484</v>
      </c>
      <c r="O42" s="155">
        <v>1092.1397889938651</v>
      </c>
      <c r="P42" s="155">
        <v>1096.0418049499322</v>
      </c>
      <c r="Q42" s="155">
        <v>1099.5111862596434</v>
      </c>
      <c r="R42" s="155">
        <v>1102.5737463237015</v>
      </c>
      <c r="S42" s="155">
        <v>1105.1093470108744</v>
      </c>
      <c r="T42" s="155">
        <v>1107.2014744673654</v>
      </c>
      <c r="U42" s="155">
        <v>1108.9715698546236</v>
      </c>
      <c r="V42" s="155">
        <v>1110.4945728745313</v>
      </c>
      <c r="W42" s="155">
        <v>1111.802702526674</v>
      </c>
      <c r="X42" s="155">
        <v>1112.9609291603845</v>
      </c>
      <c r="Y42" s="155">
        <v>1113.9761315482995</v>
      </c>
      <c r="Z42" s="155">
        <v>1114.9168303493045</v>
      </c>
      <c r="AA42" s="155">
        <v>1115.7726103797354</v>
      </c>
    </row>
    <row r="43" spans="2:27" x14ac:dyDescent="0.2">
      <c r="B43" s="12" t="s">
        <v>252</v>
      </c>
      <c r="C43" s="12" t="s">
        <v>69</v>
      </c>
      <c r="D43" s="155">
        <v>1140.5999166426793</v>
      </c>
      <c r="E43" s="155">
        <v>1142.0154866780772</v>
      </c>
      <c r="F43" s="155">
        <v>1142.104477661157</v>
      </c>
      <c r="G43" s="155">
        <v>1142.3138840819761</v>
      </c>
      <c r="H43" s="155">
        <v>1142.6526302937514</v>
      </c>
      <c r="I43" s="155">
        <v>1142.9574626685012</v>
      </c>
      <c r="J43" s="155">
        <v>1143.3536149050428</v>
      </c>
      <c r="K43" s="155">
        <v>1143.8759557890876</v>
      </c>
      <c r="L43" s="155">
        <v>1143.5037678782726</v>
      </c>
      <c r="M43" s="155">
        <v>1144.0214930392747</v>
      </c>
      <c r="N43" s="155">
        <v>1145.389072282295</v>
      </c>
      <c r="O43" s="155">
        <v>1146.4315120471654</v>
      </c>
      <c r="P43" s="155">
        <v>1148.9209216821102</v>
      </c>
      <c r="Q43" s="155">
        <v>1154.5424228079876</v>
      </c>
      <c r="R43" s="155">
        <v>1160.5402399143088</v>
      </c>
      <c r="S43" s="155">
        <v>1167.4071609458495</v>
      </c>
      <c r="T43" s="155">
        <v>1174.2140659701088</v>
      </c>
      <c r="U43" s="155">
        <v>1181.519960196169</v>
      </c>
      <c r="V43" s="155">
        <v>1185.6873914410544</v>
      </c>
      <c r="W43" s="155">
        <v>1189.0222778051398</v>
      </c>
      <c r="X43" s="155">
        <v>1192.9300738393558</v>
      </c>
      <c r="Y43" s="155">
        <v>1196.5630421176049</v>
      </c>
      <c r="Z43" s="155">
        <v>1200.3449990160361</v>
      </c>
      <c r="AA43" s="155">
        <v>1203.796090513234</v>
      </c>
    </row>
    <row r="46" spans="2:27" s="70" customFormat="1" x14ac:dyDescent="0.2">
      <c r="B46" s="70" t="s">
        <v>393</v>
      </c>
    </row>
    <row r="48" spans="2:27" x14ac:dyDescent="0.2">
      <c r="B48" s="1" t="s">
        <v>394</v>
      </c>
      <c r="C48" s="1" t="s">
        <v>141</v>
      </c>
      <c r="D48" s="151">
        <f>D$6</f>
        <v>2017</v>
      </c>
      <c r="E48" s="151">
        <f t="shared" ref="E48:AA48" si="9">E$6</f>
        <v>2018</v>
      </c>
      <c r="F48" s="151">
        <f t="shared" si="9"/>
        <v>2019</v>
      </c>
      <c r="G48" s="151">
        <f t="shared" si="9"/>
        <v>2020</v>
      </c>
      <c r="H48" s="151">
        <f t="shared" si="9"/>
        <v>2021</v>
      </c>
      <c r="I48" s="151">
        <f t="shared" si="9"/>
        <v>2022</v>
      </c>
      <c r="J48" s="151">
        <f t="shared" si="9"/>
        <v>2023</v>
      </c>
      <c r="K48" s="151">
        <f t="shared" si="9"/>
        <v>2024</v>
      </c>
      <c r="L48" s="151">
        <f t="shared" si="9"/>
        <v>2025</v>
      </c>
      <c r="M48" s="151">
        <f t="shared" si="9"/>
        <v>2026</v>
      </c>
      <c r="N48" s="151">
        <f t="shared" si="9"/>
        <v>2027</v>
      </c>
      <c r="O48" s="151">
        <f t="shared" si="9"/>
        <v>2028</v>
      </c>
      <c r="P48" s="151">
        <f t="shared" si="9"/>
        <v>2029</v>
      </c>
      <c r="Q48" s="151">
        <f t="shared" si="9"/>
        <v>2030</v>
      </c>
      <c r="R48" s="151">
        <f t="shared" si="9"/>
        <v>2031</v>
      </c>
      <c r="S48" s="151">
        <f t="shared" si="9"/>
        <v>2032</v>
      </c>
      <c r="T48" s="151">
        <f t="shared" si="9"/>
        <v>2033</v>
      </c>
      <c r="U48" s="151">
        <f t="shared" si="9"/>
        <v>2034</v>
      </c>
      <c r="V48" s="151">
        <f t="shared" si="9"/>
        <v>2035</v>
      </c>
      <c r="W48" s="151">
        <f t="shared" si="9"/>
        <v>2036</v>
      </c>
      <c r="X48" s="151">
        <f t="shared" si="9"/>
        <v>2037</v>
      </c>
      <c r="Y48" s="151">
        <f t="shared" si="9"/>
        <v>2038</v>
      </c>
      <c r="Z48" s="151">
        <f t="shared" si="9"/>
        <v>2039</v>
      </c>
      <c r="AA48" s="151">
        <f t="shared" si="9"/>
        <v>2040</v>
      </c>
    </row>
    <row r="49" spans="2:27" x14ac:dyDescent="0.2">
      <c r="B49" s="1" t="s">
        <v>190</v>
      </c>
      <c r="C49" s="1"/>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row>
    <row r="50" spans="2:27" x14ac:dyDescent="0.2">
      <c r="B50" s="12" t="s">
        <v>242</v>
      </c>
      <c r="C50" s="12" t="s">
        <v>70</v>
      </c>
      <c r="D50" s="153">
        <f t="shared" ref="D50:AA50" si="10">D13*D$41/1000</f>
        <v>260.10094849046703</v>
      </c>
      <c r="E50" s="153">
        <f t="shared" si="10"/>
        <v>264.26605758668603</v>
      </c>
      <c r="F50" s="153">
        <f t="shared" si="10"/>
        <v>271.18954362527904</v>
      </c>
      <c r="G50" s="153">
        <f t="shared" si="10"/>
        <v>272.71882577707214</v>
      </c>
      <c r="H50" s="153">
        <f t="shared" si="10"/>
        <v>274.90156584260222</v>
      </c>
      <c r="I50" s="153">
        <f t="shared" si="10"/>
        <v>278.29008544027505</v>
      </c>
      <c r="J50" s="153">
        <f t="shared" si="10"/>
        <v>282.85962546239796</v>
      </c>
      <c r="K50" s="153">
        <f t="shared" si="10"/>
        <v>288.89624095463</v>
      </c>
      <c r="L50" s="153">
        <f t="shared" si="10"/>
        <v>297.74791939933158</v>
      </c>
      <c r="M50" s="153">
        <f t="shared" si="10"/>
        <v>309.1133309732225</v>
      </c>
      <c r="N50" s="153">
        <f t="shared" si="10"/>
        <v>323.24427191888259</v>
      </c>
      <c r="O50" s="153">
        <f t="shared" si="10"/>
        <v>340.34657703189293</v>
      </c>
      <c r="P50" s="153">
        <f t="shared" si="10"/>
        <v>359.68772536417094</v>
      </c>
      <c r="Q50" s="153">
        <f t="shared" si="10"/>
        <v>382.6399970253234</v>
      </c>
      <c r="R50" s="153">
        <f t="shared" si="10"/>
        <v>410.02968745981218</v>
      </c>
      <c r="S50" s="153">
        <f t="shared" si="10"/>
        <v>437.69958981141224</v>
      </c>
      <c r="T50" s="153">
        <f t="shared" si="10"/>
        <v>468.11996794965353</v>
      </c>
      <c r="U50" s="153">
        <f t="shared" si="10"/>
        <v>503.78586443386951</v>
      </c>
      <c r="V50" s="153">
        <f t="shared" si="10"/>
        <v>546.12175700276157</v>
      </c>
      <c r="W50" s="153">
        <f t="shared" si="10"/>
        <v>594.66451311801166</v>
      </c>
      <c r="X50" s="153">
        <f t="shared" si="10"/>
        <v>651.81572861028724</v>
      </c>
      <c r="Y50" s="153">
        <f t="shared" si="10"/>
        <v>717.16910299358551</v>
      </c>
      <c r="Z50" s="153">
        <f t="shared" si="10"/>
        <v>792.44734225677598</v>
      </c>
      <c r="AA50" s="153">
        <f t="shared" si="10"/>
        <v>879.1250174214116</v>
      </c>
    </row>
    <row r="51" spans="2:27" x14ac:dyDescent="0.2">
      <c r="B51" s="12" t="s">
        <v>243</v>
      </c>
      <c r="C51" s="12" t="s">
        <v>70</v>
      </c>
      <c r="D51" s="153">
        <f t="shared" ref="D51:AA51" si="11">D14*D$41/1000</f>
        <v>2.2873315095329363</v>
      </c>
      <c r="E51" s="153">
        <f t="shared" si="11"/>
        <v>2.9627224133139878</v>
      </c>
      <c r="F51" s="153">
        <f t="shared" si="11"/>
        <v>4.1837363747209997</v>
      </c>
      <c r="G51" s="153">
        <f t="shared" si="11"/>
        <v>5.9751113551930342</v>
      </c>
      <c r="H51" s="153">
        <f t="shared" si="11"/>
        <v>8.8266850723823485</v>
      </c>
      <c r="I51" s="153">
        <f t="shared" si="11"/>
        <v>12.999414533618831</v>
      </c>
      <c r="J51" s="153">
        <f t="shared" si="11"/>
        <v>18.7311737883456</v>
      </c>
      <c r="K51" s="153">
        <f t="shared" si="11"/>
        <v>26.649686129345991</v>
      </c>
      <c r="L51" s="153">
        <f t="shared" si="11"/>
        <v>39.048508893665748</v>
      </c>
      <c r="M51" s="153">
        <f t="shared" si="11"/>
        <v>56.49680054949728</v>
      </c>
      <c r="N51" s="153">
        <f t="shared" si="11"/>
        <v>80.571149509698856</v>
      </c>
      <c r="O51" s="153">
        <f t="shared" si="11"/>
        <v>113.08480003604053</v>
      </c>
      <c r="P51" s="153">
        <f t="shared" si="11"/>
        <v>155.06722495604632</v>
      </c>
      <c r="Q51" s="153">
        <f t="shared" si="11"/>
        <v>207.08340922344752</v>
      </c>
      <c r="R51" s="153">
        <f t="shared" si="11"/>
        <v>270.38649024792528</v>
      </c>
      <c r="S51" s="153">
        <f t="shared" si="11"/>
        <v>332.01967064767871</v>
      </c>
      <c r="T51" s="153">
        <f t="shared" si="11"/>
        <v>390.5056735559113</v>
      </c>
      <c r="U51" s="153">
        <f t="shared" si="11"/>
        <v>444.52435523204542</v>
      </c>
      <c r="V51" s="153">
        <f t="shared" si="11"/>
        <v>493.14011827230746</v>
      </c>
      <c r="W51" s="153">
        <f t="shared" si="11"/>
        <v>535.69237050368645</v>
      </c>
      <c r="X51" s="153">
        <f t="shared" si="11"/>
        <v>570.83111262109423</v>
      </c>
      <c r="Y51" s="153">
        <f t="shared" si="11"/>
        <v>597.20738476640486</v>
      </c>
      <c r="Z51" s="153">
        <f t="shared" si="11"/>
        <v>614.78761892075659</v>
      </c>
      <c r="AA51" s="153">
        <f t="shared" si="11"/>
        <v>623.19338688710172</v>
      </c>
    </row>
    <row r="52" spans="2:27" x14ac:dyDescent="0.2">
      <c r="B52" s="12" t="s">
        <v>253</v>
      </c>
      <c r="C52" s="12" t="s">
        <v>70</v>
      </c>
      <c r="D52" s="153">
        <f t="shared" ref="D52:AA52" si="12">D15*D$42/1000</f>
        <v>96.642148669974688</v>
      </c>
      <c r="E52" s="153">
        <f t="shared" si="12"/>
        <v>100.64130772565578</v>
      </c>
      <c r="F52" s="153">
        <f t="shared" si="12"/>
        <v>106.56114187928696</v>
      </c>
      <c r="G52" s="153">
        <f t="shared" si="12"/>
        <v>114.9253126250417</v>
      </c>
      <c r="H52" s="153">
        <f t="shared" si="12"/>
        <v>126.92980527429492</v>
      </c>
      <c r="I52" s="153">
        <f t="shared" si="12"/>
        <v>140.99150379968762</v>
      </c>
      <c r="J52" s="153">
        <f t="shared" si="12"/>
        <v>156.91184014280773</v>
      </c>
      <c r="K52" s="153">
        <f t="shared" si="12"/>
        <v>174.41008840639907</v>
      </c>
      <c r="L52" s="153">
        <f t="shared" si="12"/>
        <v>193.66307274298379</v>
      </c>
      <c r="M52" s="153">
        <f t="shared" si="12"/>
        <v>217.04426247497994</v>
      </c>
      <c r="N52" s="153">
        <f t="shared" si="12"/>
        <v>243.07910568349095</v>
      </c>
      <c r="O52" s="153">
        <f t="shared" si="12"/>
        <v>270.10392847209908</v>
      </c>
      <c r="P52" s="153">
        <f t="shared" si="12"/>
        <v>295.63444328764507</v>
      </c>
      <c r="Q52" s="153">
        <f t="shared" si="12"/>
        <v>320.66859440039678</v>
      </c>
      <c r="R52" s="153">
        <f t="shared" si="12"/>
        <v>344.57896595873234</v>
      </c>
      <c r="S52" s="153">
        <f t="shared" si="12"/>
        <v>366.43878256911518</v>
      </c>
      <c r="T52" s="153">
        <f t="shared" si="12"/>
        <v>385.93628305275553</v>
      </c>
      <c r="U52" s="153">
        <f t="shared" si="12"/>
        <v>403.58248706079479</v>
      </c>
      <c r="V52" s="153">
        <f t="shared" si="12"/>
        <v>419.70216371370634</v>
      </c>
      <c r="W52" s="153">
        <f t="shared" si="12"/>
        <v>433.93682987947381</v>
      </c>
      <c r="X52" s="153">
        <f t="shared" si="12"/>
        <v>447.28883693122123</v>
      </c>
      <c r="Y52" s="153">
        <f t="shared" si="12"/>
        <v>459.70266768575021</v>
      </c>
      <c r="Z52" s="153">
        <f t="shared" si="12"/>
        <v>472.01848042578445</v>
      </c>
      <c r="AA52" s="153">
        <f t="shared" si="12"/>
        <v>483.96765264744317</v>
      </c>
    </row>
    <row r="53" spans="2:27" x14ac:dyDescent="0.2">
      <c r="B53" s="12" t="s">
        <v>254</v>
      </c>
      <c r="C53" s="12" t="s">
        <v>70</v>
      </c>
      <c r="D53" s="153">
        <f t="shared" ref="D53:AA53" si="13">D16*D$42/1000</f>
        <v>2.2757540500259852</v>
      </c>
      <c r="E53" s="153">
        <f t="shared" si="13"/>
        <v>3.4181272219476511</v>
      </c>
      <c r="F53" s="153">
        <f t="shared" si="13"/>
        <v>5.0858350385185052</v>
      </c>
      <c r="G53" s="153">
        <f t="shared" si="13"/>
        <v>7.4194720203925142</v>
      </c>
      <c r="H53" s="153">
        <f t="shared" si="13"/>
        <v>11.359469509099121</v>
      </c>
      <c r="I53" s="153">
        <f t="shared" si="13"/>
        <v>16.010379293373472</v>
      </c>
      <c r="J53" s="153">
        <f t="shared" si="13"/>
        <v>21.307849803779629</v>
      </c>
      <c r="K53" s="153">
        <f t="shared" si="13"/>
        <v>27.149799927979043</v>
      </c>
      <c r="L53" s="153">
        <f t="shared" si="13"/>
        <v>33.585648953364299</v>
      </c>
      <c r="M53" s="153">
        <f t="shared" si="13"/>
        <v>40.215721223379973</v>
      </c>
      <c r="N53" s="153">
        <f t="shared" si="13"/>
        <v>47.603290051541904</v>
      </c>
      <c r="O53" s="153">
        <f t="shared" si="13"/>
        <v>55.259772717192448</v>
      </c>
      <c r="P53" s="153">
        <f t="shared" si="13"/>
        <v>63.765036836392845</v>
      </c>
      <c r="Q53" s="153">
        <f t="shared" si="13"/>
        <v>72.033057088900449</v>
      </c>
      <c r="R53" s="153">
        <f t="shared" si="13"/>
        <v>79.805830354128759</v>
      </c>
      <c r="S53" s="153">
        <f t="shared" si="13"/>
        <v>86.798089457570683</v>
      </c>
      <c r="T53" s="153">
        <f t="shared" si="13"/>
        <v>92.89979981395733</v>
      </c>
      <c r="U53" s="153">
        <f t="shared" si="13"/>
        <v>98.110588343990131</v>
      </c>
      <c r="V53" s="153">
        <f t="shared" si="13"/>
        <v>102.44792424396366</v>
      </c>
      <c r="W53" s="153">
        <f t="shared" si="13"/>
        <v>106.27455382191278</v>
      </c>
      <c r="X53" s="153">
        <f t="shared" si="13"/>
        <v>109.20704272646654</v>
      </c>
      <c r="Y53" s="153">
        <f t="shared" si="13"/>
        <v>111.22050793843756</v>
      </c>
      <c r="Z53" s="153">
        <f t="shared" si="13"/>
        <v>112.34436281453928</v>
      </c>
      <c r="AA53" s="153">
        <f t="shared" si="13"/>
        <v>112.63964725454585</v>
      </c>
    </row>
    <row r="54" spans="2:27" x14ac:dyDescent="0.2">
      <c r="B54" s="12" t="s">
        <v>252</v>
      </c>
      <c r="C54" s="12" t="s">
        <v>70</v>
      </c>
      <c r="D54" s="153">
        <f t="shared" ref="D54:AA54" si="14">D17*D$43/1000</f>
        <v>201.14393984999984</v>
      </c>
      <c r="E54" s="153">
        <f t="shared" si="14"/>
        <v>241.60393984999985</v>
      </c>
      <c r="F54" s="153">
        <f t="shared" si="14"/>
        <v>242.42223984999978</v>
      </c>
      <c r="G54" s="153">
        <f t="shared" si="14"/>
        <v>243.74607984999983</v>
      </c>
      <c r="H54" s="153">
        <f t="shared" si="14"/>
        <v>245.67002984999982</v>
      </c>
      <c r="I54" s="153">
        <f t="shared" si="14"/>
        <v>247.93576184999978</v>
      </c>
      <c r="J54" s="153">
        <f t="shared" si="14"/>
        <v>250.65484044999982</v>
      </c>
      <c r="K54" s="153">
        <f t="shared" si="14"/>
        <v>254.10031884999981</v>
      </c>
      <c r="L54" s="153">
        <f t="shared" si="14"/>
        <v>258.70028904999987</v>
      </c>
      <c r="M54" s="153">
        <f t="shared" si="14"/>
        <v>269.06784904999978</v>
      </c>
      <c r="N54" s="153">
        <f t="shared" si="14"/>
        <v>285.26458904999976</v>
      </c>
      <c r="O54" s="153">
        <f t="shared" si="14"/>
        <v>318.82804904999972</v>
      </c>
      <c r="P54" s="153">
        <f t="shared" si="14"/>
        <v>368.57928904999972</v>
      </c>
      <c r="Q54" s="153">
        <f t="shared" si="14"/>
        <v>448.16998904999974</v>
      </c>
      <c r="R54" s="153">
        <f t="shared" si="14"/>
        <v>570.73018904999969</v>
      </c>
      <c r="S54" s="153">
        <f t="shared" si="14"/>
        <v>722.0176890499996</v>
      </c>
      <c r="T54" s="153">
        <f t="shared" si="14"/>
        <v>902.12488904999975</v>
      </c>
      <c r="U54" s="153">
        <f t="shared" si="14"/>
        <v>1103.3384890499995</v>
      </c>
      <c r="V54" s="153">
        <f t="shared" si="14"/>
        <v>1339.6248890499996</v>
      </c>
      <c r="W54" s="153">
        <f t="shared" si="14"/>
        <v>1618.0568890499999</v>
      </c>
      <c r="X54" s="153">
        <f t="shared" si="14"/>
        <v>1944.8693890499994</v>
      </c>
      <c r="Y54" s="153">
        <f t="shared" si="14"/>
        <v>2298.3938890499994</v>
      </c>
      <c r="Z54" s="153">
        <f t="shared" si="14"/>
        <v>2700.5718890499998</v>
      </c>
      <c r="AA54" s="153">
        <f t="shared" si="14"/>
        <v>3129.6648890499996</v>
      </c>
    </row>
    <row r="55" spans="2:27" x14ac:dyDescent="0.2">
      <c r="B55" s="1" t="str">
        <f>"Total, "&amp;B49</f>
        <v>Total, Western Denmark (DK1)</v>
      </c>
      <c r="C55" s="1" t="s">
        <v>70</v>
      </c>
      <c r="D55" s="154">
        <f>SUM(D50:D54)</f>
        <v>562.45012257000042</v>
      </c>
      <c r="E55" s="154">
        <f t="shared" ref="E55:AA55" si="15">SUM(E50:E54)</f>
        <v>612.89215479760333</v>
      </c>
      <c r="F55" s="154">
        <f t="shared" si="15"/>
        <v>629.44249676780532</v>
      </c>
      <c r="G55" s="154">
        <f t="shared" si="15"/>
        <v>644.78480162769915</v>
      </c>
      <c r="H55" s="154">
        <f t="shared" si="15"/>
        <v>667.68755554837844</v>
      </c>
      <c r="I55" s="154">
        <f t="shared" si="15"/>
        <v>696.22714491695479</v>
      </c>
      <c r="J55" s="154">
        <f t="shared" si="15"/>
        <v>730.46532964733069</v>
      </c>
      <c r="K55" s="154">
        <f t="shared" si="15"/>
        <v>771.20613426835394</v>
      </c>
      <c r="L55" s="154">
        <f t="shared" si="15"/>
        <v>822.74543903934523</v>
      </c>
      <c r="M55" s="154">
        <f t="shared" si="15"/>
        <v>891.93796427107941</v>
      </c>
      <c r="N55" s="154">
        <f t="shared" si="15"/>
        <v>979.76240621361399</v>
      </c>
      <c r="O55" s="154">
        <f t="shared" si="15"/>
        <v>1097.6231273072246</v>
      </c>
      <c r="P55" s="154">
        <f t="shared" si="15"/>
        <v>1242.7337194942547</v>
      </c>
      <c r="Q55" s="154">
        <f t="shared" si="15"/>
        <v>1430.595046788068</v>
      </c>
      <c r="R55" s="154">
        <f t="shared" si="15"/>
        <v>1675.5311630705983</v>
      </c>
      <c r="S55" s="154">
        <f t="shared" si="15"/>
        <v>1944.9738215357766</v>
      </c>
      <c r="T55" s="154">
        <f t="shared" si="15"/>
        <v>2239.5866134222774</v>
      </c>
      <c r="U55" s="154">
        <f t="shared" si="15"/>
        <v>2553.3417841206992</v>
      </c>
      <c r="V55" s="154">
        <f t="shared" si="15"/>
        <v>2901.0368522827384</v>
      </c>
      <c r="W55" s="154">
        <f t="shared" si="15"/>
        <v>3288.6251563730848</v>
      </c>
      <c r="X55" s="154">
        <f t="shared" si="15"/>
        <v>3724.012109939069</v>
      </c>
      <c r="Y55" s="154">
        <f t="shared" si="15"/>
        <v>4183.693552434177</v>
      </c>
      <c r="Z55" s="154">
        <f t="shared" si="15"/>
        <v>4692.1696934678557</v>
      </c>
      <c r="AA55" s="154">
        <f t="shared" si="15"/>
        <v>5228.5905932605019</v>
      </c>
    </row>
    <row r="56" spans="2:27" x14ac:dyDescent="0.2">
      <c r="B56" s="12"/>
      <c r="C56" s="12"/>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row>
    <row r="57" spans="2:27" x14ac:dyDescent="0.2">
      <c r="B57" s="1" t="s">
        <v>192</v>
      </c>
      <c r="C57" s="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row>
    <row r="58" spans="2:27" x14ac:dyDescent="0.2">
      <c r="B58" s="12" t="s">
        <v>242</v>
      </c>
      <c r="C58" s="12" t="s">
        <v>70</v>
      </c>
      <c r="D58" s="153">
        <f t="shared" ref="D58:AA58" si="16">D21*D$41/1000</f>
        <v>111.47183506734302</v>
      </c>
      <c r="E58" s="153">
        <f t="shared" si="16"/>
        <v>113.25688182286544</v>
      </c>
      <c r="F58" s="153">
        <f t="shared" si="16"/>
        <v>116.22409012511957</v>
      </c>
      <c r="G58" s="153">
        <f t="shared" si="16"/>
        <v>116.87949676160235</v>
      </c>
      <c r="H58" s="153">
        <f t="shared" si="16"/>
        <v>117.81495678968668</v>
      </c>
      <c r="I58" s="153">
        <f t="shared" si="16"/>
        <v>119.26717947440359</v>
      </c>
      <c r="J58" s="153">
        <f t="shared" si="16"/>
        <v>121.22555376959912</v>
      </c>
      <c r="K58" s="153">
        <f t="shared" si="16"/>
        <v>123.81267469484143</v>
      </c>
      <c r="L58" s="153">
        <f t="shared" si="16"/>
        <v>127.60625117114209</v>
      </c>
      <c r="M58" s="153">
        <f t="shared" si="16"/>
        <v>132.47714184566681</v>
      </c>
      <c r="N58" s="153">
        <f t="shared" si="16"/>
        <v>138.53325939380684</v>
      </c>
      <c r="O58" s="153">
        <f t="shared" si="16"/>
        <v>145.86281872795411</v>
      </c>
      <c r="P58" s="153">
        <f t="shared" si="16"/>
        <v>154.15188229893045</v>
      </c>
      <c r="Q58" s="153">
        <f t="shared" si="16"/>
        <v>163.98857015371001</v>
      </c>
      <c r="R58" s="153">
        <f t="shared" si="16"/>
        <v>175.72700891134809</v>
      </c>
      <c r="S58" s="153">
        <f t="shared" si="16"/>
        <v>187.58553849060524</v>
      </c>
      <c r="T58" s="153">
        <f t="shared" si="16"/>
        <v>200.62284340699435</v>
      </c>
      <c r="U58" s="153">
        <f t="shared" si="16"/>
        <v>215.90822761451551</v>
      </c>
      <c r="V58" s="153">
        <f t="shared" si="16"/>
        <v>234.05218157261208</v>
      </c>
      <c r="W58" s="153">
        <f t="shared" si="16"/>
        <v>254.85621990771929</v>
      </c>
      <c r="X58" s="153">
        <f t="shared" si="16"/>
        <v>279.34959797583736</v>
      </c>
      <c r="Y58" s="153">
        <f t="shared" si="16"/>
        <v>307.35818699725093</v>
      </c>
      <c r="Z58" s="153">
        <f t="shared" si="16"/>
        <v>339.62028953861824</v>
      </c>
      <c r="AA58" s="153">
        <f t="shared" si="16"/>
        <v>376.76786460917646</v>
      </c>
    </row>
    <row r="59" spans="2:27" x14ac:dyDescent="0.2">
      <c r="B59" s="12" t="s">
        <v>243</v>
      </c>
      <c r="C59" s="12" t="s">
        <v>70</v>
      </c>
      <c r="D59" s="153">
        <f t="shared" ref="D59:AA59" si="17">D22*D$41/1000</f>
        <v>0.98028493265697259</v>
      </c>
      <c r="E59" s="153">
        <f t="shared" si="17"/>
        <v>1.2697381771345664</v>
      </c>
      <c r="F59" s="153">
        <f t="shared" si="17"/>
        <v>1.7930298748804285</v>
      </c>
      <c r="G59" s="153">
        <f t="shared" si="17"/>
        <v>2.5607620093684433</v>
      </c>
      <c r="H59" s="153">
        <f t="shared" si="17"/>
        <v>3.7828650310210059</v>
      </c>
      <c r="I59" s="153">
        <f t="shared" si="17"/>
        <v>5.5711776572652143</v>
      </c>
      <c r="J59" s="153">
        <f t="shared" si="17"/>
        <v>8.0276459092909711</v>
      </c>
      <c r="K59" s="153">
        <f t="shared" si="17"/>
        <v>11.421294055433998</v>
      </c>
      <c r="L59" s="153">
        <f t="shared" si="17"/>
        <v>16.735075240142464</v>
      </c>
      <c r="M59" s="153">
        <f t="shared" si="17"/>
        <v>24.212914521213122</v>
      </c>
      <c r="N59" s="153">
        <f t="shared" si="17"/>
        <v>34.530492647013794</v>
      </c>
      <c r="O59" s="153">
        <f t="shared" si="17"/>
        <v>48.464914301160235</v>
      </c>
      <c r="P59" s="153">
        <f t="shared" si="17"/>
        <v>66.457382124019858</v>
      </c>
      <c r="Q59" s="153">
        <f t="shared" si="17"/>
        <v>88.750032524334642</v>
      </c>
      <c r="R59" s="153">
        <f t="shared" si="17"/>
        <v>115.87992439196799</v>
      </c>
      <c r="S59" s="153">
        <f t="shared" si="17"/>
        <v>142.29414456329087</v>
      </c>
      <c r="T59" s="153">
        <f t="shared" si="17"/>
        <v>167.35957438110486</v>
      </c>
      <c r="U59" s="153">
        <f t="shared" si="17"/>
        <v>190.51043795659086</v>
      </c>
      <c r="V59" s="153">
        <f t="shared" si="17"/>
        <v>211.34576497384606</v>
      </c>
      <c r="W59" s="153">
        <f t="shared" si="17"/>
        <v>229.58244450157991</v>
      </c>
      <c r="X59" s="153">
        <f t="shared" si="17"/>
        <v>244.64190540904036</v>
      </c>
      <c r="Y59" s="153">
        <f t="shared" si="17"/>
        <v>255.94602204274494</v>
      </c>
      <c r="Z59" s="153">
        <f t="shared" si="17"/>
        <v>263.48040810889563</v>
      </c>
      <c r="AA59" s="153">
        <f t="shared" si="17"/>
        <v>267.08288009447216</v>
      </c>
    </row>
    <row r="60" spans="2:27" x14ac:dyDescent="0.2">
      <c r="B60" s="12" t="s">
        <v>253</v>
      </c>
      <c r="C60" s="12" t="s">
        <v>70</v>
      </c>
      <c r="D60" s="153">
        <f t="shared" ref="D60:AA60" si="18">D23*D$42/1000</f>
        <v>41.418063715703447</v>
      </c>
      <c r="E60" s="153">
        <f t="shared" si="18"/>
        <v>43.131989025281044</v>
      </c>
      <c r="F60" s="153">
        <f t="shared" si="18"/>
        <v>45.669060805408698</v>
      </c>
      <c r="G60" s="153">
        <f t="shared" si="18"/>
        <v>49.253705410732152</v>
      </c>
      <c r="H60" s="153">
        <f t="shared" si="18"/>
        <v>54.398487974697836</v>
      </c>
      <c r="I60" s="153">
        <f t="shared" si="18"/>
        <v>60.424930199866132</v>
      </c>
      <c r="J60" s="153">
        <f t="shared" si="18"/>
        <v>67.247931489774743</v>
      </c>
      <c r="K60" s="153">
        <f t="shared" si="18"/>
        <v>74.747180745599607</v>
      </c>
      <c r="L60" s="153">
        <f t="shared" si="18"/>
        <v>82.998459746993049</v>
      </c>
      <c r="M60" s="153">
        <f t="shared" si="18"/>
        <v>93.018969632134272</v>
      </c>
      <c r="N60" s="153">
        <f t="shared" si="18"/>
        <v>104.17675957863899</v>
      </c>
      <c r="O60" s="153">
        <f t="shared" si="18"/>
        <v>115.75882648804247</v>
      </c>
      <c r="P60" s="153">
        <f t="shared" si="18"/>
        <v>126.70047569470503</v>
      </c>
      <c r="Q60" s="153">
        <f t="shared" si="18"/>
        <v>137.42939760017006</v>
      </c>
      <c r="R60" s="153">
        <f t="shared" si="18"/>
        <v>147.6766996965996</v>
      </c>
      <c r="S60" s="153">
        <f t="shared" si="18"/>
        <v>157.04519252962081</v>
      </c>
      <c r="T60" s="153">
        <f t="shared" si="18"/>
        <v>165.40126416546664</v>
      </c>
      <c r="U60" s="153">
        <f t="shared" si="18"/>
        <v>172.96392302605491</v>
      </c>
      <c r="V60" s="153">
        <f t="shared" si="18"/>
        <v>179.87235587730274</v>
      </c>
      <c r="W60" s="153">
        <f t="shared" si="18"/>
        <v>185.97292709120308</v>
      </c>
      <c r="X60" s="153">
        <f t="shared" si="18"/>
        <v>191.69521582766626</v>
      </c>
      <c r="Y60" s="153">
        <f t="shared" si="18"/>
        <v>197.01542900817867</v>
      </c>
      <c r="Z60" s="153">
        <f t="shared" si="18"/>
        <v>202.29363446819335</v>
      </c>
      <c r="AA60" s="153">
        <f t="shared" si="18"/>
        <v>207.41470827747568</v>
      </c>
    </row>
    <row r="61" spans="2:27" x14ac:dyDescent="0.2">
      <c r="B61" s="12" t="s">
        <v>254</v>
      </c>
      <c r="C61" s="12" t="s">
        <v>70</v>
      </c>
      <c r="D61" s="153">
        <f t="shared" ref="D61:AA61" si="19">D24*D$42/1000</f>
        <v>0.97532316429685095</v>
      </c>
      <c r="E61" s="153">
        <f t="shared" si="19"/>
        <v>1.4649116665489932</v>
      </c>
      <c r="F61" s="153">
        <f t="shared" si="19"/>
        <v>2.1796435879365021</v>
      </c>
      <c r="G61" s="153">
        <f t="shared" si="19"/>
        <v>3.1797737230253635</v>
      </c>
      <c r="H61" s="153">
        <f t="shared" si="19"/>
        <v>4.8683440753281948</v>
      </c>
      <c r="I61" s="153">
        <f t="shared" si="19"/>
        <v>6.861591125731489</v>
      </c>
      <c r="J61" s="153">
        <f t="shared" si="19"/>
        <v>9.1319356301912684</v>
      </c>
      <c r="K61" s="153">
        <f t="shared" si="19"/>
        <v>11.635628540562445</v>
      </c>
      <c r="L61" s="153">
        <f t="shared" si="19"/>
        <v>14.393849551441841</v>
      </c>
      <c r="M61" s="153">
        <f t="shared" si="19"/>
        <v>17.235309095734276</v>
      </c>
      <c r="N61" s="153">
        <f t="shared" si="19"/>
        <v>20.40141002208939</v>
      </c>
      <c r="O61" s="153">
        <f t="shared" si="19"/>
        <v>23.682759735939619</v>
      </c>
      <c r="P61" s="153">
        <f t="shared" si="19"/>
        <v>27.327872929882645</v>
      </c>
      <c r="Q61" s="153">
        <f t="shared" si="19"/>
        <v>30.871310180957334</v>
      </c>
      <c r="R61" s="153">
        <f t="shared" si="19"/>
        <v>34.202498723198048</v>
      </c>
      <c r="S61" s="153">
        <f t="shared" si="19"/>
        <v>37.199181196101726</v>
      </c>
      <c r="T61" s="153">
        <f t="shared" si="19"/>
        <v>39.814199920267434</v>
      </c>
      <c r="U61" s="153">
        <f t="shared" si="19"/>
        <v>42.047395004567193</v>
      </c>
      <c r="V61" s="153">
        <f t="shared" si="19"/>
        <v>43.906253247412998</v>
      </c>
      <c r="W61" s="153">
        <f t="shared" si="19"/>
        <v>45.546237352248333</v>
      </c>
      <c r="X61" s="153">
        <f t="shared" si="19"/>
        <v>46.803018311342797</v>
      </c>
      <c r="Y61" s="153">
        <f t="shared" si="19"/>
        <v>47.66593197361609</v>
      </c>
      <c r="Z61" s="153">
        <f t="shared" si="19"/>
        <v>48.147584063373984</v>
      </c>
      <c r="AA61" s="153">
        <f t="shared" si="19"/>
        <v>48.274134537662505</v>
      </c>
    </row>
    <row r="62" spans="2:27" x14ac:dyDescent="0.2">
      <c r="B62" s="12" t="s">
        <v>252</v>
      </c>
      <c r="C62" s="12" t="s">
        <v>70</v>
      </c>
      <c r="D62" s="153">
        <f t="shared" ref="D62:AA62" si="20">D25*D$43/1000</f>
        <v>86.204545649999929</v>
      </c>
      <c r="E62" s="153">
        <f t="shared" si="20"/>
        <v>103.54454564999993</v>
      </c>
      <c r="F62" s="153">
        <f t="shared" si="20"/>
        <v>103.89524564999991</v>
      </c>
      <c r="G62" s="153">
        <f t="shared" si="20"/>
        <v>104.46260564999993</v>
      </c>
      <c r="H62" s="153">
        <f t="shared" si="20"/>
        <v>105.28715564999993</v>
      </c>
      <c r="I62" s="153">
        <f t="shared" si="20"/>
        <v>106.25818364999992</v>
      </c>
      <c r="J62" s="153">
        <f t="shared" si="20"/>
        <v>107.42350304999991</v>
      </c>
      <c r="K62" s="153">
        <f t="shared" si="20"/>
        <v>108.90013664999991</v>
      </c>
      <c r="L62" s="153">
        <f t="shared" si="20"/>
        <v>110.87155244999994</v>
      </c>
      <c r="M62" s="153">
        <f t="shared" si="20"/>
        <v>115.31479244999993</v>
      </c>
      <c r="N62" s="153">
        <f t="shared" si="20"/>
        <v>122.25625244999991</v>
      </c>
      <c r="O62" s="153">
        <f t="shared" si="20"/>
        <v>136.64059244999987</v>
      </c>
      <c r="P62" s="153">
        <f t="shared" si="20"/>
        <v>157.96255244999986</v>
      </c>
      <c r="Q62" s="153">
        <f t="shared" si="20"/>
        <v>192.07285244999989</v>
      </c>
      <c r="R62" s="153">
        <f t="shared" si="20"/>
        <v>244.59865244999992</v>
      </c>
      <c r="S62" s="153">
        <f t="shared" si="20"/>
        <v>309.43615244999989</v>
      </c>
      <c r="T62" s="153">
        <f t="shared" si="20"/>
        <v>386.62495244999985</v>
      </c>
      <c r="U62" s="153">
        <f t="shared" si="20"/>
        <v>472.85935244999985</v>
      </c>
      <c r="V62" s="153">
        <f t="shared" si="20"/>
        <v>574.12495244999991</v>
      </c>
      <c r="W62" s="153">
        <f t="shared" si="20"/>
        <v>693.45295245</v>
      </c>
      <c r="X62" s="153">
        <f t="shared" si="20"/>
        <v>833.51545244999988</v>
      </c>
      <c r="Y62" s="153">
        <f t="shared" si="20"/>
        <v>985.02595244999986</v>
      </c>
      <c r="Z62" s="153">
        <f t="shared" si="20"/>
        <v>1157.3879524500001</v>
      </c>
      <c r="AA62" s="153">
        <f t="shared" si="20"/>
        <v>1341.2849524499998</v>
      </c>
    </row>
    <row r="63" spans="2:27" x14ac:dyDescent="0.2">
      <c r="B63" s="1" t="str">
        <f>"Total, "&amp;B57</f>
        <v>Total, Eastern Denmark (DK2)</v>
      </c>
      <c r="C63" s="1" t="s">
        <v>70</v>
      </c>
      <c r="D63" s="154">
        <f t="shared" ref="D63:AA63" si="21">SUM(D58:D62)</f>
        <v>241.05005253000019</v>
      </c>
      <c r="E63" s="154">
        <f t="shared" si="21"/>
        <v>262.66806634183001</v>
      </c>
      <c r="F63" s="154">
        <f t="shared" si="21"/>
        <v>269.76107004334511</v>
      </c>
      <c r="G63" s="154">
        <f t="shared" si="21"/>
        <v>276.33634355472822</v>
      </c>
      <c r="H63" s="154">
        <f t="shared" si="21"/>
        <v>286.15180952073365</v>
      </c>
      <c r="I63" s="154">
        <f t="shared" si="21"/>
        <v>298.38306210726637</v>
      </c>
      <c r="J63" s="154">
        <f t="shared" si="21"/>
        <v>313.05656984885604</v>
      </c>
      <c r="K63" s="154">
        <f t="shared" si="21"/>
        <v>330.51691468643742</v>
      </c>
      <c r="L63" s="154">
        <f t="shared" si="21"/>
        <v>352.60518815971938</v>
      </c>
      <c r="M63" s="154">
        <f t="shared" si="21"/>
        <v>382.25912754474842</v>
      </c>
      <c r="N63" s="154">
        <f t="shared" si="21"/>
        <v>419.89817409154898</v>
      </c>
      <c r="O63" s="154">
        <f t="shared" si="21"/>
        <v>470.40991170309633</v>
      </c>
      <c r="P63" s="154">
        <f t="shared" si="21"/>
        <v>532.60016549753777</v>
      </c>
      <c r="Q63" s="154">
        <f t="shared" si="21"/>
        <v>613.11216290917196</v>
      </c>
      <c r="R63" s="154">
        <f t="shared" si="21"/>
        <v>718.08478417311358</v>
      </c>
      <c r="S63" s="154">
        <f t="shared" si="21"/>
        <v>833.56020922961852</v>
      </c>
      <c r="T63" s="154">
        <f t="shared" si="21"/>
        <v>959.82283432383315</v>
      </c>
      <c r="U63" s="154">
        <f t="shared" si="21"/>
        <v>1094.2893360517282</v>
      </c>
      <c r="V63" s="154">
        <f t="shared" si="21"/>
        <v>1243.3015081211738</v>
      </c>
      <c r="W63" s="154">
        <f t="shared" si="21"/>
        <v>1409.4107813027506</v>
      </c>
      <c r="X63" s="154">
        <f t="shared" si="21"/>
        <v>1596.0051899738867</v>
      </c>
      <c r="Y63" s="154">
        <f t="shared" si="21"/>
        <v>1793.0115224717906</v>
      </c>
      <c r="Z63" s="154">
        <f t="shared" si="21"/>
        <v>2010.9298686290813</v>
      </c>
      <c r="AA63" s="154">
        <f t="shared" si="21"/>
        <v>2240.8245399687867</v>
      </c>
    </row>
    <row r="64" spans="2:27" x14ac:dyDescent="0.2">
      <c r="B64" s="12"/>
      <c r="C64" s="12"/>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row>
    <row r="65" spans="1:27" x14ac:dyDescent="0.2">
      <c r="B65" s="1" t="s">
        <v>119</v>
      </c>
      <c r="C65" s="1"/>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row>
    <row r="66" spans="1:27" x14ac:dyDescent="0.2">
      <c r="B66" s="12" t="s">
        <v>242</v>
      </c>
      <c r="C66" s="12" t="s">
        <v>70</v>
      </c>
      <c r="D66" s="153">
        <f>D50+D58</f>
        <v>371.57278355781006</v>
      </c>
      <c r="E66" s="153">
        <f t="shared" ref="E66:AA70" si="22">E50+E58</f>
        <v>377.52293940955144</v>
      </c>
      <c r="F66" s="153">
        <f t="shared" si="22"/>
        <v>387.41363375039862</v>
      </c>
      <c r="G66" s="153">
        <f t="shared" si="22"/>
        <v>389.59832253867449</v>
      </c>
      <c r="H66" s="153">
        <f t="shared" si="22"/>
        <v>392.7165226322889</v>
      </c>
      <c r="I66" s="153">
        <f t="shared" si="22"/>
        <v>397.55726491467863</v>
      </c>
      <c r="J66" s="153">
        <f t="shared" si="22"/>
        <v>404.08517923199707</v>
      </c>
      <c r="K66" s="153">
        <f t="shared" si="22"/>
        <v>412.70891564947146</v>
      </c>
      <c r="L66" s="153">
        <f t="shared" si="22"/>
        <v>425.35417057047368</v>
      </c>
      <c r="M66" s="153">
        <f t="shared" si="22"/>
        <v>441.59047281888934</v>
      </c>
      <c r="N66" s="153">
        <f t="shared" si="22"/>
        <v>461.77753131268946</v>
      </c>
      <c r="O66" s="153">
        <f t="shared" si="22"/>
        <v>486.20939575984704</v>
      </c>
      <c r="P66" s="153">
        <f t="shared" si="22"/>
        <v>513.83960766310133</v>
      </c>
      <c r="Q66" s="153">
        <f t="shared" si="22"/>
        <v>546.62856717903344</v>
      </c>
      <c r="R66" s="153">
        <f t="shared" si="22"/>
        <v>585.75669637116027</v>
      </c>
      <c r="S66" s="153">
        <f t="shared" si="22"/>
        <v>625.28512830201748</v>
      </c>
      <c r="T66" s="153">
        <f t="shared" si="22"/>
        <v>668.74281135664785</v>
      </c>
      <c r="U66" s="153">
        <f t="shared" si="22"/>
        <v>719.69409204838507</v>
      </c>
      <c r="V66" s="153">
        <f t="shared" si="22"/>
        <v>780.17393857537365</v>
      </c>
      <c r="W66" s="153">
        <f t="shared" si="22"/>
        <v>849.52073302573092</v>
      </c>
      <c r="X66" s="153">
        <f t="shared" si="22"/>
        <v>931.16532658612459</v>
      </c>
      <c r="Y66" s="153">
        <f t="shared" si="22"/>
        <v>1024.5272899908364</v>
      </c>
      <c r="Z66" s="153">
        <f t="shared" si="22"/>
        <v>1132.0676317953942</v>
      </c>
      <c r="AA66" s="153">
        <f t="shared" si="22"/>
        <v>1255.892882030588</v>
      </c>
    </row>
    <row r="67" spans="1:27" x14ac:dyDescent="0.2">
      <c r="B67" s="12" t="s">
        <v>243</v>
      </c>
      <c r="C67" s="12" t="s">
        <v>70</v>
      </c>
      <c r="D67" s="153">
        <f>D51+D59</f>
        <v>3.267616442189909</v>
      </c>
      <c r="E67" s="153">
        <f t="shared" ref="E67:S67" si="23">E51+E59</f>
        <v>4.2324605904485537</v>
      </c>
      <c r="F67" s="153">
        <f t="shared" si="23"/>
        <v>5.976766249601428</v>
      </c>
      <c r="G67" s="153">
        <f t="shared" si="23"/>
        <v>8.5358733645614784</v>
      </c>
      <c r="H67" s="153">
        <f t="shared" si="23"/>
        <v>12.609550103403354</v>
      </c>
      <c r="I67" s="153">
        <f t="shared" si="23"/>
        <v>18.570592190884046</v>
      </c>
      <c r="J67" s="153">
        <f t="shared" si="23"/>
        <v>26.758819697636572</v>
      </c>
      <c r="K67" s="153">
        <f t="shared" si="23"/>
        <v>38.070980184779991</v>
      </c>
      <c r="L67" s="153">
        <f t="shared" si="23"/>
        <v>55.783584133808212</v>
      </c>
      <c r="M67" s="153">
        <f t="shared" si="23"/>
        <v>80.709715070710402</v>
      </c>
      <c r="N67" s="153">
        <f t="shared" si="23"/>
        <v>115.10164215671264</v>
      </c>
      <c r="O67" s="153">
        <f t="shared" si="23"/>
        <v>161.54971433720078</v>
      </c>
      <c r="P67" s="153">
        <f t="shared" si="23"/>
        <v>221.52460708006618</v>
      </c>
      <c r="Q67" s="153">
        <f t="shared" si="23"/>
        <v>295.83344174778216</v>
      </c>
      <c r="R67" s="153">
        <f t="shared" si="23"/>
        <v>386.26641463989324</v>
      </c>
      <c r="S67" s="153">
        <f t="shared" si="23"/>
        <v>474.31381521096955</v>
      </c>
      <c r="T67" s="153">
        <f t="shared" si="22"/>
        <v>557.86524793701619</v>
      </c>
      <c r="U67" s="153">
        <f t="shared" si="22"/>
        <v>635.03479318863629</v>
      </c>
      <c r="V67" s="153">
        <f t="shared" si="22"/>
        <v>704.48588324615355</v>
      </c>
      <c r="W67" s="153">
        <f t="shared" si="22"/>
        <v>765.27481500526642</v>
      </c>
      <c r="X67" s="153">
        <f t="shared" si="22"/>
        <v>815.47301803013465</v>
      </c>
      <c r="Y67" s="153">
        <f t="shared" si="22"/>
        <v>853.15340680914983</v>
      </c>
      <c r="Z67" s="153">
        <f t="shared" si="22"/>
        <v>878.26802702965222</v>
      </c>
      <c r="AA67" s="153">
        <f t="shared" si="22"/>
        <v>890.27626698157383</v>
      </c>
    </row>
    <row r="68" spans="1:27" x14ac:dyDescent="0.2">
      <c r="B68" s="12" t="s">
        <v>253</v>
      </c>
      <c r="C68" s="12" t="s">
        <v>70</v>
      </c>
      <c r="D68" s="153">
        <f>D52+D60</f>
        <v>138.06021238567814</v>
      </c>
      <c r="E68" s="153">
        <f t="shared" si="22"/>
        <v>143.77329675093682</v>
      </c>
      <c r="F68" s="153">
        <f t="shared" si="22"/>
        <v>152.23020268469566</v>
      </c>
      <c r="G68" s="153">
        <f t="shared" si="22"/>
        <v>164.17901803577385</v>
      </c>
      <c r="H68" s="153">
        <f t="shared" si="22"/>
        <v>181.32829324899276</v>
      </c>
      <c r="I68" s="153">
        <f t="shared" si="22"/>
        <v>201.41643399955376</v>
      </c>
      <c r="J68" s="153">
        <f t="shared" si="22"/>
        <v>224.15977163258248</v>
      </c>
      <c r="K68" s="153">
        <f t="shared" si="22"/>
        <v>249.15726915199866</v>
      </c>
      <c r="L68" s="153">
        <f t="shared" si="22"/>
        <v>276.66153248997682</v>
      </c>
      <c r="M68" s="153">
        <f t="shared" si="22"/>
        <v>310.06323210711423</v>
      </c>
      <c r="N68" s="153">
        <f t="shared" si="22"/>
        <v>347.25586526212993</v>
      </c>
      <c r="O68" s="153">
        <f t="shared" si="22"/>
        <v>385.86275496014156</v>
      </c>
      <c r="P68" s="153">
        <f t="shared" si="22"/>
        <v>422.33491898235013</v>
      </c>
      <c r="Q68" s="153">
        <f t="shared" si="22"/>
        <v>458.09799200056682</v>
      </c>
      <c r="R68" s="153">
        <f t="shared" si="22"/>
        <v>492.25566565533194</v>
      </c>
      <c r="S68" s="153">
        <f t="shared" si="22"/>
        <v>523.48397509873598</v>
      </c>
      <c r="T68" s="153">
        <f t="shared" si="22"/>
        <v>551.3375472182222</v>
      </c>
      <c r="U68" s="153">
        <f t="shared" si="22"/>
        <v>576.54641008684973</v>
      </c>
      <c r="V68" s="153">
        <f t="shared" si="22"/>
        <v>599.57451959100911</v>
      </c>
      <c r="W68" s="153">
        <f t="shared" si="22"/>
        <v>619.90975697067688</v>
      </c>
      <c r="X68" s="153">
        <f t="shared" si="22"/>
        <v>638.98405275888751</v>
      </c>
      <c r="Y68" s="153">
        <f t="shared" si="22"/>
        <v>656.71809669392883</v>
      </c>
      <c r="Z68" s="153">
        <f t="shared" si="22"/>
        <v>674.31211489397776</v>
      </c>
      <c r="AA68" s="153">
        <f t="shared" si="22"/>
        <v>691.38236092491888</v>
      </c>
    </row>
    <row r="69" spans="1:27" x14ac:dyDescent="0.2">
      <c r="B69" s="12" t="s">
        <v>254</v>
      </c>
      <c r="C69" s="12" t="s">
        <v>70</v>
      </c>
      <c r="D69" s="153">
        <f>D53+D61</f>
        <v>3.2510772143228364</v>
      </c>
      <c r="E69" s="153">
        <f t="shared" si="22"/>
        <v>4.8830388884966442</v>
      </c>
      <c r="F69" s="153">
        <f t="shared" si="22"/>
        <v>7.2654786264550069</v>
      </c>
      <c r="G69" s="153">
        <f t="shared" si="22"/>
        <v>10.599245743417878</v>
      </c>
      <c r="H69" s="153">
        <f t="shared" si="22"/>
        <v>16.227813584427317</v>
      </c>
      <c r="I69" s="153">
        <f t="shared" si="22"/>
        <v>22.871970419104962</v>
      </c>
      <c r="J69" s="153">
        <f t="shared" si="22"/>
        <v>30.439785433970897</v>
      </c>
      <c r="K69" s="153">
        <f t="shared" si="22"/>
        <v>38.78542846854149</v>
      </c>
      <c r="L69" s="153">
        <f t="shared" si="22"/>
        <v>47.979498504806138</v>
      </c>
      <c r="M69" s="153">
        <f t="shared" si="22"/>
        <v>57.451030319114253</v>
      </c>
      <c r="N69" s="153">
        <f t="shared" si="22"/>
        <v>68.004700073631298</v>
      </c>
      <c r="O69" s="153">
        <f t="shared" si="22"/>
        <v>78.94253245313206</v>
      </c>
      <c r="P69" s="153">
        <f t="shared" si="22"/>
        <v>91.092909766275483</v>
      </c>
      <c r="Q69" s="153">
        <f t="shared" si="22"/>
        <v>102.90436726985779</v>
      </c>
      <c r="R69" s="153">
        <f t="shared" si="22"/>
        <v>114.00832907732681</v>
      </c>
      <c r="S69" s="153">
        <f t="shared" si="22"/>
        <v>123.99727065367242</v>
      </c>
      <c r="T69" s="153">
        <f t="shared" si="22"/>
        <v>132.71399973422476</v>
      </c>
      <c r="U69" s="153">
        <f t="shared" si="22"/>
        <v>140.15798334855731</v>
      </c>
      <c r="V69" s="153">
        <f t="shared" si="22"/>
        <v>146.35417749137665</v>
      </c>
      <c r="W69" s="153">
        <f t="shared" si="22"/>
        <v>151.82079117416112</v>
      </c>
      <c r="X69" s="153">
        <f t="shared" si="22"/>
        <v>156.01006103780935</v>
      </c>
      <c r="Y69" s="153">
        <f t="shared" si="22"/>
        <v>158.88643991205365</v>
      </c>
      <c r="Z69" s="153">
        <f t="shared" si="22"/>
        <v>160.49194687791328</v>
      </c>
      <c r="AA69" s="153">
        <f t="shared" si="22"/>
        <v>160.91378179220834</v>
      </c>
    </row>
    <row r="70" spans="1:27" x14ac:dyDescent="0.2">
      <c r="B70" s="12" t="s">
        <v>252</v>
      </c>
      <c r="C70" s="12" t="s">
        <v>70</v>
      </c>
      <c r="D70" s="153">
        <f>D54+D62</f>
        <v>287.34848549999975</v>
      </c>
      <c r="E70" s="153">
        <f t="shared" si="22"/>
        <v>345.14848549999977</v>
      </c>
      <c r="F70" s="153">
        <f t="shared" si="22"/>
        <v>346.31748549999969</v>
      </c>
      <c r="G70" s="153">
        <f t="shared" si="22"/>
        <v>348.20868549999977</v>
      </c>
      <c r="H70" s="153">
        <f t="shared" si="22"/>
        <v>350.95718549999975</v>
      </c>
      <c r="I70" s="153">
        <f t="shared" si="22"/>
        <v>354.1939454999997</v>
      </c>
      <c r="J70" s="153">
        <f t="shared" si="22"/>
        <v>358.07834349999973</v>
      </c>
      <c r="K70" s="153">
        <f t="shared" si="22"/>
        <v>363.0004554999997</v>
      </c>
      <c r="L70" s="153">
        <f t="shared" si="22"/>
        <v>369.57184149999978</v>
      </c>
      <c r="M70" s="153">
        <f t="shared" si="22"/>
        <v>384.38264149999969</v>
      </c>
      <c r="N70" s="153">
        <f t="shared" si="22"/>
        <v>407.52084149999968</v>
      </c>
      <c r="O70" s="153">
        <f t="shared" si="22"/>
        <v>455.46864149999959</v>
      </c>
      <c r="P70" s="153">
        <f t="shared" si="22"/>
        <v>526.54184149999958</v>
      </c>
      <c r="Q70" s="153">
        <f t="shared" si="22"/>
        <v>640.2428414999996</v>
      </c>
      <c r="R70" s="153">
        <f t="shared" si="22"/>
        <v>815.32884149999961</v>
      </c>
      <c r="S70" s="153">
        <f t="shared" si="22"/>
        <v>1031.4538414999995</v>
      </c>
      <c r="T70" s="153">
        <f t="shared" si="22"/>
        <v>1288.7498414999995</v>
      </c>
      <c r="U70" s="153">
        <f t="shared" si="22"/>
        <v>1576.1978414999994</v>
      </c>
      <c r="V70" s="153">
        <f t="shared" si="22"/>
        <v>1913.7498414999995</v>
      </c>
      <c r="W70" s="153">
        <f t="shared" si="22"/>
        <v>2311.5098414999998</v>
      </c>
      <c r="X70" s="153">
        <f t="shared" si="22"/>
        <v>2778.3848414999993</v>
      </c>
      <c r="Y70" s="153">
        <f t="shared" si="22"/>
        <v>3283.4198414999992</v>
      </c>
      <c r="Z70" s="153">
        <f t="shared" si="22"/>
        <v>3857.9598415</v>
      </c>
      <c r="AA70" s="153">
        <f t="shared" si="22"/>
        <v>4470.9498414999998</v>
      </c>
    </row>
    <row r="71" spans="1:27" x14ac:dyDescent="0.2">
      <c r="B71" s="91" t="str">
        <f>"Total, "&amp;B65</f>
        <v>Total, Denmark</v>
      </c>
      <c r="C71" s="91" t="s">
        <v>70</v>
      </c>
      <c r="D71" s="92">
        <f>SUM(D66:D70)</f>
        <v>803.50017510000089</v>
      </c>
      <c r="E71" s="92">
        <f t="shared" ref="E71:AA71" si="24">SUM(E66:E70)</f>
        <v>875.56022113943334</v>
      </c>
      <c r="F71" s="92">
        <f t="shared" si="24"/>
        <v>899.20356681115049</v>
      </c>
      <c r="G71" s="92">
        <f t="shared" si="24"/>
        <v>921.12114518242754</v>
      </c>
      <c r="H71" s="92">
        <f t="shared" si="24"/>
        <v>953.83936506911209</v>
      </c>
      <c r="I71" s="92">
        <f t="shared" si="24"/>
        <v>994.61020702422104</v>
      </c>
      <c r="J71" s="92">
        <f t="shared" si="24"/>
        <v>1043.5218994961867</v>
      </c>
      <c r="K71" s="92">
        <f t="shared" si="24"/>
        <v>1101.7230489547912</v>
      </c>
      <c r="L71" s="92">
        <f t="shared" si="24"/>
        <v>1175.3506271990645</v>
      </c>
      <c r="M71" s="92">
        <f t="shared" si="24"/>
        <v>1274.1970918158279</v>
      </c>
      <c r="N71" s="92">
        <f t="shared" si="24"/>
        <v>1399.660580305163</v>
      </c>
      <c r="O71" s="92">
        <f t="shared" si="24"/>
        <v>1568.0330390103211</v>
      </c>
      <c r="P71" s="92">
        <f t="shared" si="24"/>
        <v>1775.3338849917927</v>
      </c>
      <c r="Q71" s="92">
        <f t="shared" si="24"/>
        <v>2043.7072096972397</v>
      </c>
      <c r="R71" s="92">
        <f t="shared" si="24"/>
        <v>2393.6159472437121</v>
      </c>
      <c r="S71" s="92">
        <f t="shared" si="24"/>
        <v>2778.5340307653951</v>
      </c>
      <c r="T71" s="92">
        <f t="shared" si="24"/>
        <v>3199.4094477461103</v>
      </c>
      <c r="U71" s="92">
        <f t="shared" si="24"/>
        <v>3647.6311201724275</v>
      </c>
      <c r="V71" s="92">
        <f t="shared" si="24"/>
        <v>4144.3383604039118</v>
      </c>
      <c r="W71" s="92">
        <f t="shared" si="24"/>
        <v>4698.0359376758352</v>
      </c>
      <c r="X71" s="92">
        <f t="shared" si="24"/>
        <v>5320.0172999129554</v>
      </c>
      <c r="Y71" s="92">
        <f t="shared" si="24"/>
        <v>5976.7050749059672</v>
      </c>
      <c r="Z71" s="92">
        <f t="shared" si="24"/>
        <v>6703.099562096937</v>
      </c>
      <c r="AA71" s="92">
        <f t="shared" si="24"/>
        <v>7469.4151332292895</v>
      </c>
    </row>
    <row r="74" spans="1:27" s="70" customFormat="1" x14ac:dyDescent="0.2">
      <c r="B74" s="70" t="s">
        <v>315</v>
      </c>
    </row>
    <row r="76" spans="1:27" outlineLevel="1" x14ac:dyDescent="0.2">
      <c r="A76"/>
      <c r="B76" s="1" t="s">
        <v>310</v>
      </c>
    </row>
    <row r="77" spans="1:27" s="12" customFormat="1" outlineLevel="1" x14ac:dyDescent="0.2">
      <c r="B77" s="183"/>
      <c r="C77" s="3"/>
      <c r="D77" s="3"/>
      <c r="E77" s="3"/>
      <c r="F77" s="3"/>
      <c r="G77" s="3"/>
      <c r="H77" s="3"/>
      <c r="I77" s="3"/>
      <c r="J77" s="3"/>
      <c r="K77" s="3"/>
      <c r="L77" s="3"/>
      <c r="M77" s="3"/>
      <c r="N77" s="3"/>
      <c r="O77" s="3"/>
      <c r="P77" s="3"/>
      <c r="Q77" s="3"/>
      <c r="R77" s="3"/>
      <c r="S77" s="3"/>
      <c r="T77" s="3"/>
      <c r="U77" s="3"/>
      <c r="V77" s="3"/>
      <c r="W77" s="3"/>
      <c r="X77" s="3"/>
      <c r="Y77" s="3"/>
      <c r="Z77" s="3"/>
      <c r="AA77" s="3"/>
    </row>
    <row r="78" spans="1:27" outlineLevel="1" x14ac:dyDescent="0.2">
      <c r="B78" s="183" t="s">
        <v>467</v>
      </c>
      <c r="C78" s="183" t="s">
        <v>141</v>
      </c>
      <c r="D78" s="184">
        <f>D$6</f>
        <v>2017</v>
      </c>
      <c r="E78" s="184">
        <f t="shared" ref="E78:AA78" si="25">E$6</f>
        <v>2018</v>
      </c>
      <c r="F78" s="184">
        <f t="shared" si="25"/>
        <v>2019</v>
      </c>
      <c r="G78" s="184">
        <f t="shared" si="25"/>
        <v>2020</v>
      </c>
      <c r="H78" s="184">
        <f t="shared" si="25"/>
        <v>2021</v>
      </c>
      <c r="I78" s="184">
        <f t="shared" si="25"/>
        <v>2022</v>
      </c>
      <c r="J78" s="184">
        <f t="shared" si="25"/>
        <v>2023</v>
      </c>
      <c r="K78" s="184">
        <f t="shared" si="25"/>
        <v>2024</v>
      </c>
      <c r="L78" s="184">
        <f t="shared" si="25"/>
        <v>2025</v>
      </c>
      <c r="M78" s="184">
        <f t="shared" si="25"/>
        <v>2026</v>
      </c>
      <c r="N78" s="184">
        <f t="shared" si="25"/>
        <v>2027</v>
      </c>
      <c r="O78" s="184">
        <f t="shared" si="25"/>
        <v>2028</v>
      </c>
      <c r="P78" s="184">
        <f t="shared" si="25"/>
        <v>2029</v>
      </c>
      <c r="Q78" s="184">
        <f t="shared" si="25"/>
        <v>2030</v>
      </c>
      <c r="R78" s="184">
        <f t="shared" si="25"/>
        <v>2031</v>
      </c>
      <c r="S78" s="184">
        <f t="shared" si="25"/>
        <v>2032</v>
      </c>
      <c r="T78" s="184">
        <f t="shared" si="25"/>
        <v>2033</v>
      </c>
      <c r="U78" s="184">
        <f t="shared" si="25"/>
        <v>2034</v>
      </c>
      <c r="V78" s="184">
        <f t="shared" si="25"/>
        <v>2035</v>
      </c>
      <c r="W78" s="184">
        <f t="shared" si="25"/>
        <v>2036</v>
      </c>
      <c r="X78" s="184">
        <f t="shared" si="25"/>
        <v>2037</v>
      </c>
      <c r="Y78" s="184">
        <f t="shared" si="25"/>
        <v>2038</v>
      </c>
      <c r="Z78" s="184">
        <f t="shared" si="25"/>
        <v>2039</v>
      </c>
      <c r="AA78" s="184">
        <f t="shared" si="25"/>
        <v>2040</v>
      </c>
    </row>
    <row r="79" spans="1:27" outlineLevel="1" x14ac:dyDescent="0.2">
      <c r="B79" s="73" t="s">
        <v>120</v>
      </c>
      <c r="C79" s="73" t="s">
        <v>68</v>
      </c>
      <c r="D79" s="124">
        <v>827.79525813524117</v>
      </c>
      <c r="E79" s="124">
        <v>887.48013755214367</v>
      </c>
      <c r="F79" s="124">
        <v>971.01891576095079</v>
      </c>
      <c r="G79" s="124">
        <v>1083.0379108101947</v>
      </c>
      <c r="H79" s="124">
        <v>1225.5337484011766</v>
      </c>
      <c r="I79" s="124">
        <v>1376.9704178151885</v>
      </c>
      <c r="J79" s="124">
        <v>1535.149621371846</v>
      </c>
      <c r="K79" s="124">
        <v>1703.6670145380879</v>
      </c>
      <c r="L79" s="124">
        <v>1881.1969564097108</v>
      </c>
      <c r="M79" s="124">
        <v>2069.7761839377144</v>
      </c>
      <c r="N79" s="124">
        <v>2270.0897733654137</v>
      </c>
      <c r="O79" s="124">
        <v>2483.2030816309593</v>
      </c>
      <c r="P79" s="124">
        <v>2705.6152465791993</v>
      </c>
      <c r="Q79" s="124">
        <v>2938.7731714792399</v>
      </c>
      <c r="R79" s="124">
        <v>3184.2611106492914</v>
      </c>
      <c r="S79" s="124">
        <v>3425.4611370069952</v>
      </c>
      <c r="T79" s="124">
        <v>3661.3259585173369</v>
      </c>
      <c r="U79" s="124">
        <v>3893.8199669485116</v>
      </c>
      <c r="V79" s="124">
        <v>4123.0414679467276</v>
      </c>
      <c r="W79" s="124">
        <v>4349.1514011659165</v>
      </c>
      <c r="X79" s="124">
        <v>4573.3064492535159</v>
      </c>
      <c r="Y79" s="124">
        <v>4795.296453707143</v>
      </c>
      <c r="Z79" s="124">
        <v>5014.5609789632717</v>
      </c>
      <c r="AA79" s="124">
        <v>5230.9816177959628</v>
      </c>
    </row>
    <row r="80" spans="1:27" s="12" customFormat="1" outlineLevel="1" x14ac:dyDescent="0.2">
      <c r="B80" s="73"/>
      <c r="C80" s="73"/>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row>
    <row r="81" spans="1:27" s="12" customFormat="1" outlineLevel="1" x14ac:dyDescent="0.2">
      <c r="B81" s="183" t="s">
        <v>395</v>
      </c>
      <c r="C81" s="183" t="s">
        <v>141</v>
      </c>
      <c r="D81" s="184">
        <f>D$6</f>
        <v>2017</v>
      </c>
      <c r="E81" s="184">
        <f t="shared" ref="E81:AA81" si="26">E$6</f>
        <v>2018</v>
      </c>
      <c r="F81" s="184">
        <f t="shared" si="26"/>
        <v>2019</v>
      </c>
      <c r="G81" s="184">
        <f t="shared" si="26"/>
        <v>2020</v>
      </c>
      <c r="H81" s="184">
        <f t="shared" si="26"/>
        <v>2021</v>
      </c>
      <c r="I81" s="184">
        <f t="shared" si="26"/>
        <v>2022</v>
      </c>
      <c r="J81" s="184">
        <f t="shared" si="26"/>
        <v>2023</v>
      </c>
      <c r="K81" s="184">
        <f t="shared" si="26"/>
        <v>2024</v>
      </c>
      <c r="L81" s="184">
        <f t="shared" si="26"/>
        <v>2025</v>
      </c>
      <c r="M81" s="184">
        <f t="shared" si="26"/>
        <v>2026</v>
      </c>
      <c r="N81" s="184">
        <f t="shared" si="26"/>
        <v>2027</v>
      </c>
      <c r="O81" s="184">
        <f t="shared" si="26"/>
        <v>2028</v>
      </c>
      <c r="P81" s="184">
        <f t="shared" si="26"/>
        <v>2029</v>
      </c>
      <c r="Q81" s="184">
        <f t="shared" si="26"/>
        <v>2030</v>
      </c>
      <c r="R81" s="184">
        <f t="shared" si="26"/>
        <v>2031</v>
      </c>
      <c r="S81" s="184">
        <f t="shared" si="26"/>
        <v>2032</v>
      </c>
      <c r="T81" s="184">
        <f t="shared" si="26"/>
        <v>2033</v>
      </c>
      <c r="U81" s="184">
        <f t="shared" si="26"/>
        <v>2034</v>
      </c>
      <c r="V81" s="184">
        <f t="shared" si="26"/>
        <v>2035</v>
      </c>
      <c r="W81" s="184">
        <f t="shared" si="26"/>
        <v>2036</v>
      </c>
      <c r="X81" s="184">
        <f t="shared" si="26"/>
        <v>2037</v>
      </c>
      <c r="Y81" s="184">
        <f t="shared" si="26"/>
        <v>2038</v>
      </c>
      <c r="Z81" s="184">
        <f t="shared" si="26"/>
        <v>2039</v>
      </c>
      <c r="AA81" s="184">
        <f t="shared" si="26"/>
        <v>2040</v>
      </c>
    </row>
    <row r="82" spans="1:27" s="12" customFormat="1" outlineLevel="1" x14ac:dyDescent="0.2">
      <c r="B82" s="3" t="s">
        <v>241</v>
      </c>
      <c r="C82" s="73" t="s">
        <v>69</v>
      </c>
      <c r="D82" s="124">
        <v>824.14963312807924</v>
      </c>
      <c r="E82" s="124">
        <v>837.3505048996185</v>
      </c>
      <c r="F82" s="124">
        <v>851.82827518091142</v>
      </c>
      <c r="G82" s="124">
        <v>877.03132298302717</v>
      </c>
      <c r="H82" s="124">
        <v>908.47834519008143</v>
      </c>
      <c r="I82" s="124">
        <v>942.43083280268331</v>
      </c>
      <c r="J82" s="124">
        <v>976.22015133408695</v>
      </c>
      <c r="K82" s="124">
        <v>1011.1032080438183</v>
      </c>
      <c r="L82" s="124">
        <v>1044.8667070838246</v>
      </c>
      <c r="M82" s="124">
        <v>1078.052700723855</v>
      </c>
      <c r="N82" s="124">
        <v>1110.5073284330952</v>
      </c>
      <c r="O82" s="124">
        <v>1141.1455079211999</v>
      </c>
      <c r="P82" s="124">
        <v>1169.3213328950744</v>
      </c>
      <c r="Q82" s="124">
        <v>1194.5557922164928</v>
      </c>
      <c r="R82" s="124">
        <v>1217.003384201319</v>
      </c>
      <c r="S82" s="124">
        <v>1235.5486360289487</v>
      </c>
      <c r="T82" s="124">
        <v>1251.1131466350726</v>
      </c>
      <c r="U82" s="124">
        <v>1264.5241282099182</v>
      </c>
      <c r="V82" s="124">
        <v>1276.2623679927608</v>
      </c>
      <c r="W82" s="124">
        <v>1286.7194170051171</v>
      </c>
      <c r="X82" s="124">
        <v>1296.0024197456764</v>
      </c>
      <c r="Y82" s="124">
        <v>1304.4492090908386</v>
      </c>
      <c r="Z82" s="124">
        <v>1312.0028873083031</v>
      </c>
      <c r="AA82" s="124">
        <v>1318.8912667376201</v>
      </c>
    </row>
    <row r="83" spans="1:27" s="12" customFormat="1" outlineLevel="1" x14ac:dyDescent="0.2">
      <c r="B83" s="3" t="s">
        <v>255</v>
      </c>
      <c r="C83" s="73" t="s">
        <v>69</v>
      </c>
      <c r="D83" s="124">
        <v>1042.8304987046595</v>
      </c>
      <c r="E83" s="124">
        <v>1048.3810236584691</v>
      </c>
      <c r="F83" s="124">
        <v>1056.0729493769204</v>
      </c>
      <c r="G83" s="124">
        <v>1065.9908934713003</v>
      </c>
      <c r="H83" s="124">
        <v>1085.2518558652696</v>
      </c>
      <c r="I83" s="124">
        <v>1099.3077131508503</v>
      </c>
      <c r="J83" s="124">
        <v>1110.4541918504281</v>
      </c>
      <c r="K83" s="124">
        <v>1119.6076774430094</v>
      </c>
      <c r="L83" s="124">
        <v>1127.5265502320121</v>
      </c>
      <c r="M83" s="124">
        <v>1134.4785972939733</v>
      </c>
      <c r="N83" s="124">
        <v>1140.810175759073</v>
      </c>
      <c r="O83" s="124">
        <v>1146.6960037503936</v>
      </c>
      <c r="P83" s="124">
        <v>1152.2070264956155</v>
      </c>
      <c r="Q83" s="124">
        <v>1157.5551701576235</v>
      </c>
      <c r="R83" s="124">
        <v>1162.6535101068373</v>
      </c>
      <c r="S83" s="124">
        <v>1167.3963503953885</v>
      </c>
      <c r="T83" s="124">
        <v>1171.8757968940595</v>
      </c>
      <c r="U83" s="124">
        <v>1176.1264607848273</v>
      </c>
      <c r="V83" s="124">
        <v>1180.2400767315307</v>
      </c>
      <c r="W83" s="124">
        <v>1184.2579936932232</v>
      </c>
      <c r="X83" s="124">
        <v>1188.2057554472767</v>
      </c>
      <c r="Y83" s="124">
        <v>1192.1208365520927</v>
      </c>
      <c r="Z83" s="124">
        <v>1196.0529092471741</v>
      </c>
      <c r="AA83" s="124">
        <v>1199.9621620908069</v>
      </c>
    </row>
    <row r="84" spans="1:27" s="12" customFormat="1" outlineLevel="1" x14ac:dyDescent="0.2">
      <c r="B84" s="73" t="s">
        <v>252</v>
      </c>
      <c r="C84" s="73" t="s">
        <v>69</v>
      </c>
      <c r="D84" s="124">
        <v>1151.2719400355606</v>
      </c>
      <c r="E84" s="124">
        <v>1152.8248296824379</v>
      </c>
      <c r="F84" s="124">
        <v>1155.9610434537801</v>
      </c>
      <c r="G84" s="124">
        <v>1160.4812605958316</v>
      </c>
      <c r="H84" s="124">
        <v>1167.3578013092729</v>
      </c>
      <c r="I84" s="124">
        <v>1173.1135565045493</v>
      </c>
      <c r="J84" s="124">
        <v>1177.7400829879452</v>
      </c>
      <c r="K84" s="124">
        <v>1181.8284219718553</v>
      </c>
      <c r="L84" s="124">
        <v>1185.4243911278381</v>
      </c>
      <c r="M84" s="124">
        <v>1188.6079356914076</v>
      </c>
      <c r="N84" s="124">
        <v>1191.5486005591501</v>
      </c>
      <c r="O84" s="124">
        <v>1194.3377435264561</v>
      </c>
      <c r="P84" s="124">
        <v>1196.9785302281916</v>
      </c>
      <c r="Q84" s="124">
        <v>1199.5351213475653</v>
      </c>
      <c r="R84" s="124">
        <v>1201.9387388987857</v>
      </c>
      <c r="S84" s="124">
        <v>1204.1543790668306</v>
      </c>
      <c r="T84" s="124">
        <v>1206.2217973578445</v>
      </c>
      <c r="U84" s="124">
        <v>1208.1394335338055</v>
      </c>
      <c r="V84" s="124">
        <v>1209.979918236455</v>
      </c>
      <c r="W84" s="124">
        <v>1211.7114190564459</v>
      </c>
      <c r="X84" s="124">
        <v>1213.3917986045019</v>
      </c>
      <c r="Y84" s="124">
        <v>1215.0279021964734</v>
      </c>
      <c r="Z84" s="124">
        <v>1216.6254543431091</v>
      </c>
      <c r="AA84" s="124">
        <v>1218.1892774270691</v>
      </c>
    </row>
    <row r="85" spans="1:27" s="12" customFormat="1" outlineLevel="1" x14ac:dyDescent="0.2">
      <c r="B85" s="73"/>
      <c r="C85" s="73"/>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row>
    <row r="86" spans="1:27" s="12" customFormat="1" outlineLevel="1" x14ac:dyDescent="0.2">
      <c r="B86" s="193" t="s">
        <v>396</v>
      </c>
      <c r="C86" s="193" t="s">
        <v>141</v>
      </c>
      <c r="D86" s="184">
        <f>D$6</f>
        <v>2017</v>
      </c>
      <c r="E86" s="184">
        <f t="shared" ref="E86:AA86" si="27">E$6</f>
        <v>2018</v>
      </c>
      <c r="F86" s="184">
        <f t="shared" si="27"/>
        <v>2019</v>
      </c>
      <c r="G86" s="184">
        <f t="shared" si="27"/>
        <v>2020</v>
      </c>
      <c r="H86" s="184">
        <f t="shared" si="27"/>
        <v>2021</v>
      </c>
      <c r="I86" s="184">
        <f t="shared" si="27"/>
        <v>2022</v>
      </c>
      <c r="J86" s="184">
        <f t="shared" si="27"/>
        <v>2023</v>
      </c>
      <c r="K86" s="184">
        <f t="shared" si="27"/>
        <v>2024</v>
      </c>
      <c r="L86" s="184">
        <f t="shared" si="27"/>
        <v>2025</v>
      </c>
      <c r="M86" s="184">
        <f t="shared" si="27"/>
        <v>2026</v>
      </c>
      <c r="N86" s="184">
        <f t="shared" si="27"/>
        <v>2027</v>
      </c>
      <c r="O86" s="184">
        <f t="shared" si="27"/>
        <v>2028</v>
      </c>
      <c r="P86" s="184">
        <f t="shared" si="27"/>
        <v>2029</v>
      </c>
      <c r="Q86" s="184">
        <f t="shared" si="27"/>
        <v>2030</v>
      </c>
      <c r="R86" s="184">
        <f t="shared" si="27"/>
        <v>2031</v>
      </c>
      <c r="S86" s="184">
        <f t="shared" si="27"/>
        <v>2032</v>
      </c>
      <c r="T86" s="184">
        <f t="shared" si="27"/>
        <v>2033</v>
      </c>
      <c r="U86" s="184">
        <f t="shared" si="27"/>
        <v>2034</v>
      </c>
      <c r="V86" s="184">
        <f t="shared" si="27"/>
        <v>2035</v>
      </c>
      <c r="W86" s="184">
        <f t="shared" si="27"/>
        <v>2036</v>
      </c>
      <c r="X86" s="184">
        <f t="shared" si="27"/>
        <v>2037</v>
      </c>
      <c r="Y86" s="184">
        <f t="shared" si="27"/>
        <v>2038</v>
      </c>
      <c r="Z86" s="184">
        <f t="shared" si="27"/>
        <v>2039</v>
      </c>
      <c r="AA86" s="184">
        <f t="shared" si="27"/>
        <v>2040</v>
      </c>
    </row>
    <row r="87" spans="1:27" s="12" customFormat="1" outlineLevel="1" x14ac:dyDescent="0.2">
      <c r="B87" s="73" t="s">
        <v>120</v>
      </c>
      <c r="C87" s="73" t="s">
        <v>70</v>
      </c>
      <c r="D87" s="124">
        <v>784.68097762013826</v>
      </c>
      <c r="E87" s="124">
        <v>855.6724369853946</v>
      </c>
      <c r="F87" s="124">
        <v>953.14852759468602</v>
      </c>
      <c r="G87" s="124">
        <v>1087.5172534846301</v>
      </c>
      <c r="H87" s="124">
        <v>1262.9255729699871</v>
      </c>
      <c r="I87" s="124">
        <v>1451.2390955652936</v>
      </c>
      <c r="J87" s="124">
        <v>1649.4829985454187</v>
      </c>
      <c r="K87" s="124">
        <v>1862.8664640152797</v>
      </c>
      <c r="L87" s="124">
        <v>2089.4050232827226</v>
      </c>
      <c r="M87" s="124">
        <v>2332.3908468084292</v>
      </c>
      <c r="N87" s="124">
        <v>2593.4231126915379</v>
      </c>
      <c r="O87" s="124">
        <v>2873.8045279462408</v>
      </c>
      <c r="P87" s="124">
        <v>3169.3559278115617</v>
      </c>
      <c r="Q87" s="124">
        <v>3481.4225725244587</v>
      </c>
      <c r="R87" s="124">
        <v>3811.7261120008975</v>
      </c>
      <c r="S87" s="124">
        <v>4137.6473425710265</v>
      </c>
      <c r="T87" s="124">
        <v>4457.773637562379</v>
      </c>
      <c r="U87" s="124">
        <v>4774.7024720521003</v>
      </c>
      <c r="V87" s="124">
        <v>5088.6374121737072</v>
      </c>
      <c r="W87" s="124">
        <v>5399.8372446232224</v>
      </c>
      <c r="X87" s="124">
        <v>5709.4858411525865</v>
      </c>
      <c r="Y87" s="124">
        <v>6017.6318030252114</v>
      </c>
      <c r="Z87" s="124">
        <v>6322.9864853508861</v>
      </c>
      <c r="AA87" s="124">
        <v>6625.5205209925016</v>
      </c>
    </row>
    <row r="88" spans="1:27" outlineLevel="1" x14ac:dyDescent="0.2"/>
    <row r="89" spans="1:27" x14ac:dyDescent="0.2">
      <c r="A89"/>
      <c r="B89" s="1" t="s">
        <v>310</v>
      </c>
    </row>
  </sheetData>
  <pageMargins left="0.7" right="0.7" top="0.75" bottom="0.75" header="0.3" footer="0.3"/>
  <pageSetup paperSize="9" orientation="portrait"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F068EFE29061F47866E08D633D931D9" ma:contentTypeVersion="25" ma:contentTypeDescription="Opret et nyt dokument." ma:contentTypeScope="" ma:versionID="0413679d12c59202b1349447ed460082">
  <xsd:schema xmlns:xsd="http://www.w3.org/2001/XMLSchema" xmlns:xs="http://www.w3.org/2001/XMLSchema" xmlns:p="http://schemas.microsoft.com/office/2006/metadata/properties" xmlns:ns2="1058fca6-e738-4331-90e2-7e3198c8133a" targetNamespace="http://schemas.microsoft.com/office/2006/metadata/properties" ma:root="true" ma:fieldsID="6cda00a6a0920be8219c92cddeb08b22" ns2:_="">
    <xsd:import namespace="1058fca6-e738-4331-90e2-7e3198c8133a"/>
    <xsd:element name="properties">
      <xsd:complexType>
        <xsd:sequence>
          <xsd:element name="documentManagement">
            <xsd:complexType>
              <xsd:all>
                <xsd:element ref="ns2:_x0024_Resources_x003a_SILocalization_x002c_1FF075C0_x002d_6FC7_x002d_4BC7_x002d_95E5_x002d_8748F3B91700" minOccurs="0"/>
                <xsd:element ref="ns2:_x0024_Resources_x003a_SILocalization_x002c_00ACCB6D_x002d_63E9_x002d_4C2B_x002d_ADD8_x002d_3BEB97C1EF26" minOccurs="0"/>
                <xsd:element ref="ns2:_x0024_Resources_x003a_SILocalization_x002c_2A847938_x002d_2AE0_x002d_4524_x002d_B061_x002d_23E9801152CA" minOccurs="0"/>
                <xsd:element ref="ns2:_x0024_Resources_x003a_SILocalization_x002c_04aa6f84_x002d_b651_x002d_4ed8_x002d_915d_x002d_6d6fbd0420e5" minOccurs="0"/>
                <xsd:element ref="ns2:_x0024_Resources_x003a_SILocalization_x002c_BE5601D0_x002d_D879_x002d_4DD1_x002d_A08E_x002d_5646297984B4" minOccurs="0"/>
                <xsd:element ref="ns2:_x0024_Resources_x003a_SILocalization_x002c_SI_x002e_PersonalLibrary_x002e_CheckedOutFrom360FieldId" minOccurs="0"/>
                <xsd:element ref="ns2:Checked_x0020_Out_x0020_From_x0020_360_x00b0__x0020_By" minOccurs="0"/>
                <xsd:element ref="ns2:Checked_x0020_In_x0020_From_x0020_360_x00b0__x0020_By" minOccurs="0"/>
                <xsd:element ref="ns2:FileRecNo" minOccurs="0"/>
                <xsd:element ref="ns2:_x0024_Resources_x003a_SILocalization_x002c_9FAAD48B_x002d_B0D9_x002d_4ea4_x002d_88D3_x002d_6170FF9A7B5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58fca6-e738-4331-90e2-7e3198c8133a" elementFormDefault="qualified">
    <xsd:import namespace="http://schemas.microsoft.com/office/2006/documentManagement/types"/>
    <xsd:import namespace="http://schemas.microsoft.com/office/infopath/2007/PartnerControls"/>
    <xsd:element name="_x0024_Resources_x003a_SILocalization_x002c_1FF075C0_x002d_6FC7_x002d_4BC7_x002d_95E5_x002d_8748F3B91700" ma:index="8" nillable="true" ma:displayName="Filversion" ma:internalName="_x0024_Resources_x003a_SILocalization_x002c_1FF075C0_x002d_6FC7_x002d_4BC7_x002d_95E5_x002d_8748F3B91700">
      <xsd:simpleType>
        <xsd:restriction base="dms:Text"/>
      </xsd:simpleType>
    </xsd:element>
    <xsd:element name="_x0024_Resources_x003a_SILocalization_x002c_00ACCB6D_x002d_63E9_x002d_4C2B_x002d_ADD8_x002d_3BEB97C1EF26" ma:index="9" nillable="true" ma:displayName="Filvariant" ma:internalName="_x0024_Resources_x003a_SILocalization_x002c_00ACCB6D_x002d_63E9_x002d_4C2B_x002d_ADD8_x002d_3BEB97C1EF26">
      <xsd:simpleType>
        <xsd:restriction base="dms:Text"/>
      </xsd:simpleType>
    </xsd:element>
    <xsd:element name="_x0024_Resources_x003a_SILocalization_x002c_2A847938_x002d_2AE0_x002d_4524_x002d_B061_x002d_23E9801152CA" ma:index="10" nillable="true" ma:displayName="Filstatus" ma:internalName="_x0024_Resources_x003a_SILocalization_x002c_2A847938_x002d_2AE0_x002d_4524_x002d_B061_x002d_23E9801152CA">
      <xsd:simpleType>
        <xsd:restriction base="dms:Text"/>
      </xsd:simpleType>
    </xsd:element>
    <xsd:element name="_x0024_Resources_x003a_SILocalization_x002c_04aa6f84_x002d_b651_x002d_4ed8_x002d_915d_x002d_6d6fbd0420e5" ma:index="11" nillable="true" ma:displayName="Dokumentnummer" ma:internalName="_x0024_Resources_x003a_SILocalization_x002c_04aa6f84_x002d_b651_x002d_4ed8_x002d_915d_x002d_6d6fbd0420e5">
      <xsd:simpleType>
        <xsd:restriction base="dms:Text"/>
      </xsd:simpleType>
    </xsd:element>
    <xsd:element name="_x0024_Resources_x003a_SILocalization_x002c_BE5601D0_x002d_D879_x002d_4DD1_x002d_A08E_x002d_5646297984B4" ma:index="12" nillable="true" ma:displayName="Dok.ver.id" ma:internalName="_x0024_Resources_x003a_SILocalization_x002c_BE5601D0_x002d_D879_x002d_4DD1_x002d_A08E_x002d_5646297984B4">
      <xsd:simpleType>
        <xsd:restriction base="dms:Text"/>
      </xsd:simpleType>
    </xsd:element>
    <xsd:element name="_x0024_Resources_x003a_SILocalization_x002c_SI_x002e_PersonalLibrary_x002e_CheckedOutFrom360FieldId" ma:index="13" nillable="true" ma:displayName="Checket ud af 360°" ma:default="0" ma:internalName="_x0024_Resources_x003a_SILocalization_x002c_SI_x002e_PersonalLibrary_x002e_CheckedOutFrom360FieldId">
      <xsd:simpleType>
        <xsd:restriction base="dms:Boolean"/>
      </xsd:simpleType>
    </xsd:element>
    <xsd:element name="Checked_x0020_Out_x0020_From_x0020_360_x00b0__x0020_By" ma:index="14" nillable="true" ma:displayName="Checked Out From 360° By" ma:internalName="Checked_x0020_Out_x0020_From_x0020_360_x00b0__x0020_By">
      <xsd:simpleType>
        <xsd:restriction base="dms:Text"/>
      </xsd:simpleType>
    </xsd:element>
    <xsd:element name="Checked_x0020_In_x0020_From_x0020_360_x00b0__x0020_By" ma:index="15" nillable="true" ma:displayName="Checked In From 360° By" ma:internalName="Checked_x0020_In_x0020_From_x0020_360_x00b0__x0020_By">
      <xsd:simpleType>
        <xsd:restriction base="dms:Text"/>
      </xsd:simpleType>
    </xsd:element>
    <xsd:element name="FileRecNo" ma:index="16" nillable="true" ma:displayName="FileRecNo" ma:internalName="FileRecNo">
      <xsd:simpleType>
        <xsd:restriction base="dms:Text"/>
      </xsd:simpleType>
    </xsd:element>
    <xsd:element name="_x0024_Resources_x003a_SILocalization_x002c_9FAAD48B_x002d_B0D9_x002d_4ea4_x002d_88D3_x002d_6170FF9A7B50" ma:index="17" nillable="true" ma:displayName="Dokumenttitel" ma:internalName="_x0024_Resources_x003a_SILocalization_x002c_9FAAD48B_x002d_B0D9_x002d_4ea4_x002d_88D3_x002d_6170FF9A7B50">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0024_Resources_x003a_SILocalization_x002c_2A847938_x002d_2AE0_x002d_4524_x002d_B061_x002d_23E9801152CA xmlns="1058fca6-e738-4331-90e2-7e3198c8133a" xsi:nil="true"/>
    <Checked_x0020_In_x0020_From_x0020_360_x00b0__x0020_By xmlns="1058fca6-e738-4331-90e2-7e3198c8133a" xsi:nil="true"/>
    <_x0024_Resources_x003a_SILocalization_x002c_9FAAD48B_x002d_B0D9_x002d_4ea4_x002d_88D3_x002d_6170FF9A7B50 xmlns="1058fca6-e738-4331-90e2-7e3198c8133a">
      <Url xsi:nil="true"/>
      <Description xsi:nil="true"/>
    </_x0024_Resources_x003a_SILocalization_x002c_9FAAD48B_x002d_B0D9_x002d_4ea4_x002d_88D3_x002d_6170FF9A7B50>
    <_x0024_Resources_x003a_SILocalization_x002c_BE5601D0_x002d_D879_x002d_4DD1_x002d_A08E_x002d_5646297984B4 xmlns="1058fca6-e738-4331-90e2-7e3198c8133a" xsi:nil="true"/>
    <_x0024_Resources_x003a_SILocalization_x002c_00ACCB6D_x002d_63E9_x002d_4C2B_x002d_ADD8_x002d_3BEB97C1EF26 xmlns="1058fca6-e738-4331-90e2-7e3198c8133a" xsi:nil="true"/>
    <FileRecNo xmlns="1058fca6-e738-4331-90e2-7e3198c8133a" xsi:nil="true"/>
    <_x0024_Resources_x003a_SILocalization_x002c_1FF075C0_x002d_6FC7_x002d_4BC7_x002d_95E5_x002d_8748F3B91700 xmlns="1058fca6-e738-4331-90e2-7e3198c8133a" xsi:nil="true"/>
    <_x0024_Resources_x003a_SILocalization_x002c_04aa6f84_x002d_b651_x002d_4ed8_x002d_915d_x002d_6d6fbd0420e5 xmlns="1058fca6-e738-4331-90e2-7e3198c8133a" xsi:nil="true"/>
    <_x0024_Resources_x003a_SILocalization_x002c_SI_x002e_PersonalLibrary_x002e_CheckedOutFrom360FieldId xmlns="1058fca6-e738-4331-90e2-7e3198c8133a">false</_x0024_Resources_x003a_SILocalization_x002c_SI_x002e_PersonalLibrary_x002e_CheckedOutFrom360FieldId>
    <Checked_x0020_Out_x0020_From_x0020_360_x00b0__x0020_By xmlns="1058fca6-e738-4331-90e2-7e3198c8133a" xsi:nil="true"/>
  </documentManagement>
</p:properties>
</file>

<file path=customXml/itemProps1.xml><?xml version="1.0" encoding="utf-8"?>
<ds:datastoreItem xmlns:ds="http://schemas.openxmlformats.org/officeDocument/2006/customXml" ds:itemID="{25921993-E6E8-4990-B996-6BC670F67BE1}">
  <ds:schemaRefs>
    <ds:schemaRef ds:uri="http://schemas.microsoft.com/sharepoint/v3/contenttype/forms"/>
  </ds:schemaRefs>
</ds:datastoreItem>
</file>

<file path=customXml/itemProps2.xml><?xml version="1.0" encoding="utf-8"?>
<ds:datastoreItem xmlns:ds="http://schemas.openxmlformats.org/officeDocument/2006/customXml" ds:itemID="{C467F9EF-8372-4550-B921-B32A577697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58fca6-e738-4331-90e2-7e3198c81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1CF758-DD18-4A0C-8952-FC8305F22280}">
  <ds:schemaRefs>
    <ds:schemaRef ds:uri="http://purl.org/dc/terms/"/>
    <ds:schemaRef ds:uri="1058fca6-e738-4331-90e2-7e3198c8133a"/>
    <ds:schemaRef ds:uri="http://purl.org/dc/dcmitype/"/>
    <ds:schemaRef ds:uri="http://www.w3.org/XML/1998/namespace"/>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Contents</vt:lpstr>
      <vt:lpstr>Key economic figures</vt:lpstr>
      <vt:lpstr>Fuel and CO2 emission prices</vt:lpstr>
      <vt:lpstr>Electricity prices</vt:lpstr>
      <vt:lpstr>Electricity consumption</vt:lpstr>
      <vt:lpstr>Power consumption</vt:lpstr>
      <vt:lpstr>Power plants - overview</vt:lpstr>
      <vt:lpstr>Power plants - capacity</vt:lpstr>
      <vt:lpstr>Solar cells</vt:lpstr>
      <vt:lpstr>Wind turbines</vt:lpstr>
      <vt:lpstr>International connections</vt:lpstr>
      <vt:lpstr>Gas data</vt:lpstr>
      <vt:lpstr>Gas connections</vt:lpstr>
      <vt:lpstr>District heating</vt:lpstr>
      <vt:lpstr>Elforbrug_Fordeling</vt:lpstr>
      <vt:lpstr>Elforbrug_Nettab</vt:lpstr>
    </vt:vector>
  </TitlesOfParts>
  <Company>Energinet.dk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Nyborg</dc:creator>
  <cp:lastModifiedBy>Chael Kruip</cp:lastModifiedBy>
  <dcterms:created xsi:type="dcterms:W3CDTF">2017-03-16T10:10:30Z</dcterms:created>
  <dcterms:modified xsi:type="dcterms:W3CDTF">2018-07-06T07:53:39Z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0x0101001F068EFE29061F47866E08D633D931D9</vt:lpwstr>
  </property>
</Properties>
</file>