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autoCompressPictures="0"/>
  <mc:AlternateContent xmlns:mc="http://schemas.openxmlformats.org/markup-compatibility/2006">
    <mc:Choice Requires="x15">
      <x15ac:absPath xmlns:x15ac="http://schemas.microsoft.com/office/spreadsheetml/2010/11/ac" url="/Users/martlubben/Projects/etdataset/source_analyses/dk/2015/6_residences/"/>
    </mc:Choice>
  </mc:AlternateContent>
  <xr:revisionPtr revIDLastSave="0" documentId="13_ncr:1_{0AC38A2B-ECA8-9C4A-A4E7-51FF1EB91544}" xr6:coauthVersionLast="36" xr6:coauthVersionMax="36" xr10:uidLastSave="{00000000-0000-0000-0000-000000000000}"/>
  <bookViews>
    <workbookView xWindow="28800" yWindow="-3160" windowWidth="33280" windowHeight="21160" tabRatio="710" firstSheet="1" activeTab="4" xr2:uid="{00000000-000D-0000-FFFF-FFFF00000000}"/>
  </bookViews>
  <sheets>
    <sheet name="Cover sheet" sheetId="4" r:id="rId1"/>
    <sheet name="Changelog" sheetId="5" r:id="rId2"/>
    <sheet name="Sources and assumptions" sheetId="2" r:id="rId3"/>
    <sheet name="Final demand per energy carrier" sheetId="1" r:id="rId4"/>
    <sheet name="Residential data" sheetId="13" r:id="rId5"/>
    <sheet name="Electricity" sheetId="7" r:id="rId6"/>
    <sheet name="Cooking" sheetId="6" r:id="rId7"/>
    <sheet name="Heat pumps" sheetId="8" r:id="rId8"/>
    <sheet name="Lighting" sheetId="12" r:id="rId9"/>
    <sheet name="Cooling" sheetId="9" r:id="rId10"/>
    <sheet name="Application split" sheetId="10" r:id="rId11"/>
    <sheet name="Old new houses split" sheetId="14" r:id="rId12"/>
  </sheets>
  <externalReferences>
    <externalReference r:id="rId13"/>
    <externalReference r:id="rId14"/>
    <externalReference r:id="rId15"/>
    <externalReference r:id="rId16"/>
  </externalReferences>
  <definedNames>
    <definedName name="___" hidden="1">'[1]Bil nat'!#REF!</definedName>
    <definedName name="__123Graph_E" hidden="1">'[1]Bil nat'!#REF!</definedName>
    <definedName name="__123Graph_F" hidden="1">'[1]Bil nat'!#REF!</definedName>
    <definedName name="__123Graph_X" hidden="1">'[1]Bil nat'!#REF!</definedName>
    <definedName name="a" hidden="1">'[1]Bil nat'!#REF!</definedName>
    <definedName name="Analysis_Services_TWh" hidden="1">'[1]Bil nat'!#REF!</definedName>
    <definedName name="ap_subfuel_allo">'[2]CEB allocation factors'!$F$12:$BC$12</definedName>
    <definedName name="base_year">[2]Dashboard!$E$13</definedName>
    <definedName name="country">[2]Dashboard!$E$12</definedName>
    <definedName name="CP_2012">[3]ForReport!$G$25:$AI$31</definedName>
    <definedName name="CP_2020">[3]ForReport!$G$14:$AJ$20</definedName>
    <definedName name="CP_2030">[3]ForReport!$G$5:$AI$11</definedName>
    <definedName name="Eff_cooking_biomass">[4]technical_specs!$M$50</definedName>
    <definedName name="Eff_cooking_electric">[4]technical_specs!$M$47</definedName>
    <definedName name="Eff_cooking_gas">[4]technical_specs!$M$46</definedName>
    <definedName name="Eff_cooking_halogen">[4]technical_specs!$M$48</definedName>
    <definedName name="Eff_cooking_induction">[4]technical_specs!$M$49</definedName>
    <definedName name="Eff_cooling_airco">[4]technical_specs!$M$43</definedName>
    <definedName name="Eff_cooling_pump_air">[4]technical_specs!$M$42</definedName>
    <definedName name="Eff_cooling_pump_ground">[4]technical_specs!$M$41</definedName>
    <definedName name="Eff_hot_water_coal">[4]technical_specs!$M$36</definedName>
    <definedName name="Eff_hot_water_combi_boiler">[4]technical_specs!$M$26</definedName>
    <definedName name="Eff_hot_water_district">[4]technical_specs!$M$30</definedName>
    <definedName name="Eff_hot_water_electric">[4]technical_specs!$M$33</definedName>
    <definedName name="Eff_hot_water_fuel_cell">[4]technical_specs!$M$37</definedName>
    <definedName name="Eff_hot_water_gas">[4]technical_specs!$M$34</definedName>
    <definedName name="Eff_hot_water_micro_CHP">[4]technical_specs!$M$29</definedName>
    <definedName name="Eff_hot_water_oil">[4]technical_specs!$M$35</definedName>
    <definedName name="Eff_hot_water_pump_air">[4]technical_specs!$M$31</definedName>
    <definedName name="Eff_hot_water_pump_ground">[4]technical_specs!$M$28</definedName>
    <definedName name="Eff_hot_water_solar_thermal_panel">[4]technical_specs!$M$27</definedName>
    <definedName name="Eff_hot_water_woodpellets">[4]technical_specs!$M$32</definedName>
    <definedName name="Eff_lighting_fluorescent">[4]technical_specs!$M$54</definedName>
    <definedName name="Eff_lighting_incandescent">[4]technical_specs!$M$53</definedName>
    <definedName name="Eff_lighting_led">[4]technical_specs!$M$55</definedName>
    <definedName name="Eff_space_heating_coal">[4]technical_specs!$M$21</definedName>
    <definedName name="Eff_space_heating_combi_boiler">[4]technical_specs!$M$11</definedName>
    <definedName name="Eff_space_heating_district">[4]technical_specs!$M$15</definedName>
    <definedName name="Eff_space_heating_electric">[4]technical_specs!$M$18</definedName>
    <definedName name="Eff_space_heating_gas">[4]technical_specs!$M$19</definedName>
    <definedName name="Eff_space_heating_micro_CHP">[4]technical_specs!$M$14</definedName>
    <definedName name="Eff_space_heating_oil">[4]technical_specs!$M$20</definedName>
    <definedName name="Eff_space_heating_pump_add_on">[4]technical_specs!$M$22</definedName>
    <definedName name="Eff_space_heating_pump_air">[4]technical_specs!$M$16</definedName>
    <definedName name="Eff_space_heating_pump_ground">[4]technical_specs!$M$13</definedName>
    <definedName name="Eff_space_heating_solar_thermal">[4]technical_specs!$M$12</definedName>
    <definedName name="Eff_space_heating_woodpellets">[4]technical_specs!$M$17</definedName>
    <definedName name="ei_subsector_allo">'[2]CEB allocation factors'!$D$17:$D$33</definedName>
    <definedName name="EurostatFED">#REF!</definedName>
    <definedName name="Final_demand_appliances">[4]Dashboard!$E$25</definedName>
    <definedName name="Final_demand_coal">'[4]Fuel aggregation'!$C$11</definedName>
    <definedName name="Final_demand_cooking">[4]Dashboard!$E$24</definedName>
    <definedName name="Final_demand_cooling">[4]Dashboard!$E$22</definedName>
    <definedName name="Final_demand_electricity">'[4]Fuel aggregation'!$I$11</definedName>
    <definedName name="Final_demand_gas">'[4]Fuel aggregation'!$D$11</definedName>
    <definedName name="Final_demand_heat">'[4]Fuel aggregation'!$J$11</definedName>
    <definedName name="Final_demand_hot_water">[4]Dashboard!$E$21</definedName>
    <definedName name="Final_demand_lighting">[4]Dashboard!$E$23</definedName>
    <definedName name="Final_demand_oil">'[4]Fuel aggregation'!$E$11</definedName>
    <definedName name="Final_demand_residences">'[4]Fuel aggregation'!$L$11</definedName>
    <definedName name="Final_demand_solar_thermal">'[4]Fuel aggregation'!$G$11</definedName>
    <definedName name="Final_demand_space_heating">[4]Dashboard!$E$20</definedName>
    <definedName name="Final_demand_woodpellets">'[4]Fuel aggregation'!$F$11</definedName>
    <definedName name="Graph1" hidden="1">'[1]Bil nat'!#REF!</definedName>
    <definedName name="Graph2" hidden="1">'[1]Bil nat'!#REF!</definedName>
    <definedName name="Graph3" hidden="1">'[1]Bil nat'!#REF!</definedName>
    <definedName name="i_subsector_allo">'[2]CEB allocation factors'!$D$37:$D$49</definedName>
    <definedName name="kWh_MJ_conversion">[2]Assumptions!$C$174</definedName>
    <definedName name="net_gross_conv">'[2]AP net-gross conversion'!$D$12</definedName>
    <definedName name="nonpivot" hidden="1">'[1]Bil nat'!#REF!</definedName>
    <definedName name="sdf" hidden="1">'[1]Bil nat'!#REF!</definedName>
    <definedName name="ss" hidden="1">'[1]Bil nat'!#REF!</definedName>
    <definedName name="switch_decc">'[2]Fuel allocation'!$C$130</definedName>
    <definedName name="switch_iea">'[2]Fuel allocation'!$C$89</definedName>
    <definedName name="switch_protermo">'[2]Fuel allocation'!$C$48</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34" i="14" l="1"/>
  <c r="D37" i="14" s="1"/>
  <c r="D31" i="14"/>
  <c r="D33" i="14"/>
  <c r="D36" i="14" s="1"/>
  <c r="D39" i="14" s="1"/>
  <c r="D40" i="14" s="1"/>
  <c r="W48" i="13"/>
  <c r="K19" i="1"/>
  <c r="W41" i="13"/>
  <c r="W47" i="13" s="1"/>
  <c r="U47" i="13"/>
  <c r="F48" i="1"/>
  <c r="F22" i="1"/>
  <c r="F20" i="1"/>
  <c r="U46" i="13"/>
  <c r="B17" i="1"/>
  <c r="AE30" i="13"/>
  <c r="AE31" i="13"/>
  <c r="AE32" i="13"/>
  <c r="AE33" i="13"/>
  <c r="AE34" i="13"/>
  <c r="AE35" i="13"/>
  <c r="AE36" i="13"/>
  <c r="AE37" i="13"/>
  <c r="AE38" i="13"/>
  <c r="AE39" i="13"/>
  <c r="AE40" i="13"/>
  <c r="AE41" i="13"/>
  <c r="AE42" i="13"/>
  <c r="AE43" i="13"/>
  <c r="AE29" i="13"/>
  <c r="AB29" i="13"/>
  <c r="AC29" i="13"/>
  <c r="AB30" i="13"/>
  <c r="AC30" i="13"/>
  <c r="AB32" i="13"/>
  <c r="AC32" i="13"/>
  <c r="AB33" i="13"/>
  <c r="AC33" i="13"/>
  <c r="AB36" i="13"/>
  <c r="AC36" i="13"/>
  <c r="AB37" i="13"/>
  <c r="AC37" i="13"/>
  <c r="AB38" i="13"/>
  <c r="AC38" i="13"/>
  <c r="AB39" i="13"/>
  <c r="AC39" i="13"/>
  <c r="AB40" i="13"/>
  <c r="AC40" i="13"/>
  <c r="AB41" i="13"/>
  <c r="AC41" i="13"/>
  <c r="AB42" i="13"/>
  <c r="AC42" i="13"/>
  <c r="AB43" i="13"/>
  <c r="AC43" i="13"/>
  <c r="AA30" i="13"/>
  <c r="AA32" i="13"/>
  <c r="AA33" i="13"/>
  <c r="AA36" i="13"/>
  <c r="AA37" i="13"/>
  <c r="AA38" i="13"/>
  <c r="AA39" i="13"/>
  <c r="AA40" i="13"/>
  <c r="AA41" i="13"/>
  <c r="AA42" i="13"/>
  <c r="AA43" i="13"/>
  <c r="AA29" i="13"/>
  <c r="V29" i="13"/>
  <c r="B32" i="1" s="1"/>
  <c r="W29" i="13"/>
  <c r="X29" i="13"/>
  <c r="Y29" i="13"/>
  <c r="B48" i="1" s="1"/>
  <c r="V30" i="13"/>
  <c r="V46" i="13" s="1"/>
  <c r="G31" i="1" s="1"/>
  <c r="W30" i="13"/>
  <c r="W46" i="13" s="1"/>
  <c r="G16" i="1" s="1"/>
  <c r="N16" i="1" s="1"/>
  <c r="X30" i="13"/>
  <c r="Y30" i="13"/>
  <c r="V31" i="13"/>
  <c r="W31" i="13"/>
  <c r="X31" i="13"/>
  <c r="Y31" i="13"/>
  <c r="V32" i="13"/>
  <c r="W32" i="13"/>
  <c r="X32" i="13"/>
  <c r="Y32" i="13"/>
  <c r="V33" i="13"/>
  <c r="V48" i="13" s="1"/>
  <c r="W33" i="13"/>
  <c r="X33" i="13"/>
  <c r="Y33" i="13"/>
  <c r="V34" i="13"/>
  <c r="W34" i="13"/>
  <c r="X34" i="13"/>
  <c r="Y34" i="13"/>
  <c r="V35" i="13"/>
  <c r="W35" i="13"/>
  <c r="X35" i="13"/>
  <c r="Y35" i="13"/>
  <c r="V36" i="13"/>
  <c r="F35" i="1" s="1"/>
  <c r="W36" i="13"/>
  <c r="X36" i="13"/>
  <c r="Y36" i="13"/>
  <c r="V37" i="13"/>
  <c r="W37" i="13"/>
  <c r="X37" i="13"/>
  <c r="Y37" i="13"/>
  <c r="V38" i="13"/>
  <c r="W38" i="13"/>
  <c r="X38" i="13"/>
  <c r="Y38" i="13"/>
  <c r="V39" i="13"/>
  <c r="W39" i="13"/>
  <c r="X39" i="13"/>
  <c r="Y39" i="13"/>
  <c r="V40" i="13"/>
  <c r="F37" i="1" s="1"/>
  <c r="N37" i="1" s="1"/>
  <c r="W40" i="13"/>
  <c r="X40" i="13"/>
  <c r="E10" i="6" s="1"/>
  <c r="B7" i="6" s="1"/>
  <c r="Y40" i="13"/>
  <c r="V41" i="13"/>
  <c r="V47" i="13" s="1"/>
  <c r="K34" i="1" s="1"/>
  <c r="X41" i="13"/>
  <c r="Y41" i="13"/>
  <c r="V42" i="13"/>
  <c r="W42" i="13"/>
  <c r="X42" i="13"/>
  <c r="Y42" i="13"/>
  <c r="V43" i="13"/>
  <c r="V49" i="13" s="1"/>
  <c r="J36" i="1" s="1"/>
  <c r="W43" i="13"/>
  <c r="X43" i="13"/>
  <c r="Y43" i="13"/>
  <c r="U30" i="13"/>
  <c r="U31" i="13"/>
  <c r="U32" i="13"/>
  <c r="U33" i="13"/>
  <c r="U48" i="13" s="1"/>
  <c r="U34" i="13"/>
  <c r="U35" i="13"/>
  <c r="U36" i="13"/>
  <c r="U37" i="13"/>
  <c r="U38" i="13"/>
  <c r="U39" i="13"/>
  <c r="U45" i="13" s="1"/>
  <c r="U40" i="13"/>
  <c r="U41" i="13"/>
  <c r="U42" i="13"/>
  <c r="U43" i="13"/>
  <c r="U49" i="13" s="1"/>
  <c r="U29" i="13"/>
  <c r="G29" i="13"/>
  <c r="H29" i="13"/>
  <c r="I29" i="13"/>
  <c r="J29" i="13"/>
  <c r="K29" i="13"/>
  <c r="L29" i="13"/>
  <c r="M29" i="13"/>
  <c r="N29" i="13"/>
  <c r="O29" i="13"/>
  <c r="P29" i="13"/>
  <c r="Q29" i="13"/>
  <c r="R29" i="13"/>
  <c r="S29" i="13"/>
  <c r="T29" i="13"/>
  <c r="Z29" i="13"/>
  <c r="AD29" i="13"/>
  <c r="AF29" i="13"/>
  <c r="AG29" i="13"/>
  <c r="G30" i="13"/>
  <c r="H30" i="13"/>
  <c r="I30" i="13"/>
  <c r="J30" i="13"/>
  <c r="K30" i="13"/>
  <c r="L30" i="13"/>
  <c r="M30" i="13"/>
  <c r="N30" i="13"/>
  <c r="O30" i="13"/>
  <c r="P30" i="13"/>
  <c r="Q30" i="13"/>
  <c r="R30" i="13"/>
  <c r="S30" i="13"/>
  <c r="T30" i="13"/>
  <c r="Z30" i="13"/>
  <c r="AD30" i="13"/>
  <c r="AF30" i="13"/>
  <c r="AG30" i="13"/>
  <c r="G31" i="13"/>
  <c r="H31" i="13"/>
  <c r="I31" i="13"/>
  <c r="J31" i="13"/>
  <c r="K31" i="13"/>
  <c r="L31" i="13"/>
  <c r="M31" i="13"/>
  <c r="N31" i="13"/>
  <c r="O31" i="13"/>
  <c r="P31" i="13"/>
  <c r="Q31" i="13"/>
  <c r="R31" i="13"/>
  <c r="S31" i="13"/>
  <c r="T31" i="13"/>
  <c r="Z31" i="13"/>
  <c r="AD31" i="13"/>
  <c r="AF31" i="13"/>
  <c r="AG31" i="13"/>
  <c r="G32" i="13"/>
  <c r="H32" i="13"/>
  <c r="I32" i="13"/>
  <c r="J32" i="13"/>
  <c r="K32" i="13"/>
  <c r="L32" i="13"/>
  <c r="M32" i="13"/>
  <c r="N32" i="13"/>
  <c r="O32" i="13"/>
  <c r="P32" i="13"/>
  <c r="Q32" i="13"/>
  <c r="R32" i="13"/>
  <c r="S32" i="13"/>
  <c r="T32" i="13"/>
  <c r="Z32" i="13"/>
  <c r="AD32" i="13"/>
  <c r="AF32" i="13"/>
  <c r="AG32" i="13"/>
  <c r="G33" i="13"/>
  <c r="H33" i="13"/>
  <c r="I33" i="13"/>
  <c r="J33" i="13"/>
  <c r="K33" i="13"/>
  <c r="L33" i="13"/>
  <c r="M33" i="13"/>
  <c r="N33" i="13"/>
  <c r="O33" i="13"/>
  <c r="P33" i="13"/>
  <c r="Q33" i="13"/>
  <c r="R33" i="13"/>
  <c r="S33" i="13"/>
  <c r="T33" i="13"/>
  <c r="Z33" i="13"/>
  <c r="AD33" i="13"/>
  <c r="AF33" i="13"/>
  <c r="AG33" i="13"/>
  <c r="G34" i="13"/>
  <c r="H34" i="13"/>
  <c r="I34" i="13"/>
  <c r="J34" i="13"/>
  <c r="K34" i="13"/>
  <c r="L34" i="13"/>
  <c r="M34" i="13"/>
  <c r="N34" i="13"/>
  <c r="O34" i="13"/>
  <c r="P34" i="13"/>
  <c r="Q34" i="13"/>
  <c r="R34" i="13"/>
  <c r="S34" i="13"/>
  <c r="T34" i="13"/>
  <c r="Z34" i="13"/>
  <c r="AD34" i="13"/>
  <c r="AF34" i="13"/>
  <c r="AG34" i="13"/>
  <c r="G35" i="13"/>
  <c r="H35" i="13"/>
  <c r="I35" i="13"/>
  <c r="J35" i="13"/>
  <c r="K35" i="13"/>
  <c r="L35" i="13"/>
  <c r="M35" i="13"/>
  <c r="N35" i="13"/>
  <c r="O35" i="13"/>
  <c r="P35" i="13"/>
  <c r="Q35" i="13"/>
  <c r="R35" i="13"/>
  <c r="S35" i="13"/>
  <c r="T35" i="13"/>
  <c r="Z35" i="13"/>
  <c r="AD35" i="13"/>
  <c r="AF35" i="13"/>
  <c r="AG35" i="13"/>
  <c r="G36" i="13"/>
  <c r="H36" i="13"/>
  <c r="I36" i="13"/>
  <c r="J36" i="13"/>
  <c r="K36" i="13"/>
  <c r="L36" i="13"/>
  <c r="M36" i="13"/>
  <c r="N36" i="13"/>
  <c r="O36" i="13"/>
  <c r="P36" i="13"/>
  <c r="Q36" i="13"/>
  <c r="R36" i="13"/>
  <c r="S36" i="13"/>
  <c r="T36" i="13"/>
  <c r="Z36" i="13"/>
  <c r="AD36" i="13"/>
  <c r="AF36" i="13"/>
  <c r="AG36" i="13"/>
  <c r="G37" i="13"/>
  <c r="H37" i="13"/>
  <c r="I37" i="13"/>
  <c r="J37" i="13"/>
  <c r="K37" i="13"/>
  <c r="L37" i="13"/>
  <c r="M37" i="13"/>
  <c r="N37" i="13"/>
  <c r="O37" i="13"/>
  <c r="P37" i="13"/>
  <c r="Q37" i="13"/>
  <c r="R37" i="13"/>
  <c r="S37" i="13"/>
  <c r="T37" i="13"/>
  <c r="Z37" i="13"/>
  <c r="AD37" i="13"/>
  <c r="AF37" i="13"/>
  <c r="AG37" i="13"/>
  <c r="G38" i="13"/>
  <c r="H38" i="13"/>
  <c r="I38" i="13"/>
  <c r="J38" i="13"/>
  <c r="K38" i="13"/>
  <c r="L38" i="13"/>
  <c r="M38" i="13"/>
  <c r="N38" i="13"/>
  <c r="O38" i="13"/>
  <c r="P38" i="13"/>
  <c r="Q38" i="13"/>
  <c r="R38" i="13"/>
  <c r="S38" i="13"/>
  <c r="T38" i="13"/>
  <c r="Z38" i="13"/>
  <c r="AD38" i="13"/>
  <c r="AF38" i="13"/>
  <c r="AG38" i="13"/>
  <c r="G39" i="13"/>
  <c r="H39" i="13"/>
  <c r="I39" i="13"/>
  <c r="J39" i="13"/>
  <c r="K39" i="13"/>
  <c r="L39" i="13"/>
  <c r="M39" i="13"/>
  <c r="N39" i="13"/>
  <c r="O39" i="13"/>
  <c r="P39" i="13"/>
  <c r="Q39" i="13"/>
  <c r="R39" i="13"/>
  <c r="S39" i="13"/>
  <c r="T39" i="13"/>
  <c r="Z39" i="13"/>
  <c r="AD39" i="13"/>
  <c r="AF39" i="13"/>
  <c r="AG39" i="13"/>
  <c r="G40" i="13"/>
  <c r="H40" i="13"/>
  <c r="I40" i="13"/>
  <c r="J40" i="13"/>
  <c r="K40" i="13"/>
  <c r="L40" i="13"/>
  <c r="M40" i="13"/>
  <c r="N40" i="13"/>
  <c r="O40" i="13"/>
  <c r="P40" i="13"/>
  <c r="Q40" i="13"/>
  <c r="R40" i="13"/>
  <c r="S40" i="13"/>
  <c r="T40" i="13"/>
  <c r="Z40" i="13"/>
  <c r="AD40" i="13"/>
  <c r="AF40" i="13"/>
  <c r="AG40" i="13"/>
  <c r="G41" i="13"/>
  <c r="H41" i="13"/>
  <c r="I41" i="13"/>
  <c r="J41" i="13"/>
  <c r="K41" i="13"/>
  <c r="L41" i="13"/>
  <c r="M41" i="13"/>
  <c r="N41" i="13"/>
  <c r="O41" i="13"/>
  <c r="P41" i="13"/>
  <c r="Q41" i="13"/>
  <c r="R41" i="13"/>
  <c r="S41" i="13"/>
  <c r="T41" i="13"/>
  <c r="Z41" i="13"/>
  <c r="AD41" i="13"/>
  <c r="AF41" i="13"/>
  <c r="AG41" i="13"/>
  <c r="G42" i="13"/>
  <c r="H42" i="13"/>
  <c r="I42" i="13"/>
  <c r="J42" i="13"/>
  <c r="K42" i="13"/>
  <c r="L42" i="13"/>
  <c r="M42" i="13"/>
  <c r="N42" i="13"/>
  <c r="O42" i="13"/>
  <c r="P42" i="13"/>
  <c r="Q42" i="13"/>
  <c r="R42" i="13"/>
  <c r="S42" i="13"/>
  <c r="T42" i="13"/>
  <c r="Z42" i="13"/>
  <c r="AD42" i="13"/>
  <c r="AF42" i="13"/>
  <c r="AG42" i="13"/>
  <c r="G43" i="13"/>
  <c r="H43" i="13"/>
  <c r="I43" i="13"/>
  <c r="J43" i="13"/>
  <c r="K43" i="13"/>
  <c r="L43" i="13"/>
  <c r="M43" i="13"/>
  <c r="N43" i="13"/>
  <c r="O43" i="13"/>
  <c r="P43" i="13"/>
  <c r="Q43" i="13"/>
  <c r="R43" i="13"/>
  <c r="S43" i="13"/>
  <c r="T43" i="13"/>
  <c r="Z43" i="13"/>
  <c r="AD43" i="13"/>
  <c r="AF43" i="13"/>
  <c r="AG43" i="13"/>
  <c r="F30" i="13"/>
  <c r="F31" i="13"/>
  <c r="F32" i="13"/>
  <c r="F33" i="13"/>
  <c r="F34" i="13"/>
  <c r="F35" i="13"/>
  <c r="F36" i="13"/>
  <c r="F37" i="13"/>
  <c r="F38" i="13"/>
  <c r="F39" i="13"/>
  <c r="F40" i="13"/>
  <c r="F41" i="13"/>
  <c r="F42" i="13"/>
  <c r="F43" i="13"/>
  <c r="F29" i="13"/>
  <c r="B24" i="13"/>
  <c r="A24" i="13"/>
  <c r="B23" i="13"/>
  <c r="A23" i="13"/>
  <c r="B22" i="13"/>
  <c r="A22" i="13"/>
  <c r="B21" i="13"/>
  <c r="A21" i="13"/>
  <c r="B20" i="13"/>
  <c r="A20" i="13"/>
  <c r="B19" i="13"/>
  <c r="A19" i="13"/>
  <c r="B18" i="13"/>
  <c r="A18" i="13"/>
  <c r="B17" i="13"/>
  <c r="A17" i="13"/>
  <c r="B16" i="13"/>
  <c r="A16" i="13"/>
  <c r="B15" i="13"/>
  <c r="A15" i="13"/>
  <c r="B14" i="13"/>
  <c r="A14" i="13"/>
  <c r="B13" i="13"/>
  <c r="A13" i="13"/>
  <c r="B12" i="13"/>
  <c r="A12" i="13"/>
  <c r="B11" i="13"/>
  <c r="A11" i="13"/>
  <c r="B10" i="13"/>
  <c r="A10" i="13"/>
  <c r="I16" i="6"/>
  <c r="E14" i="7"/>
  <c r="E13" i="7"/>
  <c r="F13" i="7" s="1"/>
  <c r="E12" i="7"/>
  <c r="E11" i="7"/>
  <c r="E10" i="7"/>
  <c r="F10" i="7" s="1"/>
  <c r="G10" i="7" s="1"/>
  <c r="E9" i="7"/>
  <c r="D14" i="7"/>
  <c r="D13" i="7"/>
  <c r="D12" i="7"/>
  <c r="G12" i="7" s="1"/>
  <c r="D11" i="7"/>
  <c r="G11" i="7" s="1"/>
  <c r="D10" i="7"/>
  <c r="D9" i="7"/>
  <c r="G23" i="12"/>
  <c r="G18" i="7"/>
  <c r="I37" i="10"/>
  <c r="F11" i="10"/>
  <c r="F10" i="10"/>
  <c r="K32" i="10"/>
  <c r="K33" i="10"/>
  <c r="D19" i="8"/>
  <c r="G32" i="7"/>
  <c r="G31" i="7"/>
  <c r="C14" i="9"/>
  <c r="C15" i="9" s="1"/>
  <c r="C13" i="9"/>
  <c r="F12" i="7"/>
  <c r="F11" i="7"/>
  <c r="F9" i="7"/>
  <c r="G9" i="7" s="1"/>
  <c r="O33" i="10"/>
  <c r="D10" i="12"/>
  <c r="D12" i="12" s="1"/>
  <c r="D14" i="12" s="1"/>
  <c r="H35" i="10" s="1"/>
  <c r="L35" i="10" s="1"/>
  <c r="D9" i="12"/>
  <c r="L9" i="10"/>
  <c r="L10" i="10"/>
  <c r="L11" i="10"/>
  <c r="L12" i="10"/>
  <c r="L13" i="10"/>
  <c r="G50" i="10"/>
  <c r="H24" i="10"/>
  <c r="L25" i="10"/>
  <c r="L26" i="10"/>
  <c r="L27" i="10"/>
  <c r="L24" i="10"/>
  <c r="H23" i="10"/>
  <c r="L23" i="10"/>
  <c r="L36" i="10"/>
  <c r="E17" i="7"/>
  <c r="F17" i="7" s="1"/>
  <c r="G17" i="7" s="1"/>
  <c r="L18" i="10"/>
  <c r="L17" i="10"/>
  <c r="I11" i="1"/>
  <c r="I24" i="1" s="1"/>
  <c r="F9" i="8"/>
  <c r="F4" i="8"/>
  <c r="D26" i="8"/>
  <c r="H9" i="8"/>
  <c r="H4" i="8"/>
  <c r="F18" i="8" s="1"/>
  <c r="E28" i="8"/>
  <c r="D28" i="8"/>
  <c r="C2" i="7"/>
  <c r="H12" i="8"/>
  <c r="E26" i="8"/>
  <c r="P26" i="1"/>
  <c r="P42" i="1"/>
  <c r="H25" i="1"/>
  <c r="N25" i="1"/>
  <c r="F12" i="8"/>
  <c r="N41" i="1"/>
  <c r="H12" i="1"/>
  <c r="D15" i="6"/>
  <c r="E15" i="6" s="1"/>
  <c r="F15" i="6" s="1"/>
  <c r="H15" i="6" s="1"/>
  <c r="D13" i="6"/>
  <c r="D14" i="6"/>
  <c r="E14" i="6"/>
  <c r="F14" i="6" s="1"/>
  <c r="H14" i="6" s="1"/>
  <c r="B22" i="6"/>
  <c r="B23" i="6"/>
  <c r="D16" i="6"/>
  <c r="E16" i="6" s="1"/>
  <c r="M42" i="1"/>
  <c r="N38" i="1"/>
  <c r="N40" i="1"/>
  <c r="N23" i="1"/>
  <c r="N61" i="1"/>
  <c r="N60" i="1"/>
  <c r="N62" i="1"/>
  <c r="N56" i="1"/>
  <c r="N47" i="1"/>
  <c r="H77" i="1"/>
  <c r="H78" i="1" s="1"/>
  <c r="H79" i="1" s="1"/>
  <c r="J16" i="6"/>
  <c r="F19" i="8"/>
  <c r="B24" i="6"/>
  <c r="B26" i="6" s="1"/>
  <c r="N46" i="1"/>
  <c r="E13" i="6"/>
  <c r="N35" i="1"/>
  <c r="N19" i="1"/>
  <c r="E57" i="1"/>
  <c r="G13" i="6"/>
  <c r="H34" i="10" s="1"/>
  <c r="H37" i="10" s="1"/>
  <c r="N20" i="1"/>
  <c r="G51" i="10"/>
  <c r="G34" i="10" s="1"/>
  <c r="N22" i="1"/>
  <c r="E12" i="10" l="1"/>
  <c r="B6" i="9"/>
  <c r="N36" i="1"/>
  <c r="N34" i="1"/>
  <c r="J32" i="10"/>
  <c r="F55" i="1"/>
  <c r="J15" i="6"/>
  <c r="L34" i="10"/>
  <c r="N31" i="1"/>
  <c r="G77" i="1"/>
  <c r="G78" i="1" s="1"/>
  <c r="G79" i="1" s="1"/>
  <c r="J14" i="6"/>
  <c r="F54" i="1"/>
  <c r="N24" i="1"/>
  <c r="G17" i="8"/>
  <c r="G33" i="7"/>
  <c r="G12" i="1"/>
  <c r="B47" i="1"/>
  <c r="D48" i="1"/>
  <c r="D46" i="1"/>
  <c r="D47" i="1"/>
  <c r="W49" i="13"/>
  <c r="J21" i="1" s="1"/>
  <c r="V45" i="13"/>
  <c r="E30" i="1" s="1"/>
  <c r="K77" i="1"/>
  <c r="K78" i="1" s="1"/>
  <c r="K79" i="1" s="1"/>
  <c r="K12" i="1"/>
  <c r="J33" i="10"/>
  <c r="M26" i="1"/>
  <c r="E18" i="8"/>
  <c r="G52" i="10"/>
  <c r="K37" i="10"/>
  <c r="E33" i="1"/>
  <c r="E18" i="1"/>
  <c r="X45" i="13"/>
  <c r="E52" i="1" s="1"/>
  <c r="N48" i="1"/>
  <c r="E15" i="7"/>
  <c r="F15" i="7" s="1"/>
  <c r="G15" i="7" s="1"/>
  <c r="E16" i="7"/>
  <c r="F16" i="7" s="1"/>
  <c r="G16" i="7" s="1"/>
  <c r="F13" i="6"/>
  <c r="H13" i="6" s="1"/>
  <c r="E19" i="8"/>
  <c r="F14" i="7"/>
  <c r="G14" i="7" s="1"/>
  <c r="C14" i="7" s="1"/>
  <c r="G13" i="7"/>
  <c r="B27" i="6"/>
  <c r="B28" i="6" s="1"/>
  <c r="B29" i="6" s="1"/>
  <c r="I39" i="1"/>
  <c r="W45" i="13"/>
  <c r="E15" i="1" s="1"/>
  <c r="B31" i="6" l="1"/>
  <c r="B30" i="6"/>
  <c r="J12" i="1"/>
  <c r="J77" i="1"/>
  <c r="J78" i="1" s="1"/>
  <c r="J79" i="1" s="1"/>
  <c r="N21" i="1"/>
  <c r="K14" i="6"/>
  <c r="N39" i="1"/>
  <c r="N15" i="1"/>
  <c r="C13" i="7"/>
  <c r="F53" i="1"/>
  <c r="J13" i="6"/>
  <c r="O47" i="1"/>
  <c r="O46" i="1"/>
  <c r="O48" i="1"/>
  <c r="N52" i="1"/>
  <c r="B53" i="1"/>
  <c r="D56" i="1"/>
  <c r="D52" i="1"/>
  <c r="G60" i="10"/>
  <c r="G61" i="10"/>
  <c r="C18" i="7"/>
  <c r="I12" i="1"/>
  <c r="C11" i="7"/>
  <c r="C12" i="7"/>
  <c r="D55" i="1"/>
  <c r="N55" i="1"/>
  <c r="C10" i="7"/>
  <c r="C16" i="7"/>
  <c r="N18" i="1"/>
  <c r="I77" i="1"/>
  <c r="I78" i="1" s="1"/>
  <c r="I79" i="1" s="1"/>
  <c r="C17" i="7"/>
  <c r="J37" i="10"/>
  <c r="C9" i="7"/>
  <c r="C15" i="7"/>
  <c r="N33" i="1"/>
  <c r="N30" i="1"/>
  <c r="H17" i="8"/>
  <c r="H18" i="8" s="1"/>
  <c r="N54" i="1"/>
  <c r="D54" i="1"/>
  <c r="G20" i="7"/>
  <c r="G11" i="10"/>
  <c r="G10" i="10"/>
  <c r="I17" i="8" s="1"/>
  <c r="G12" i="10"/>
  <c r="I18" i="8" l="1"/>
  <c r="I19" i="8"/>
  <c r="L19" i="8" s="1"/>
  <c r="K18" i="8"/>
  <c r="E26" i="1" s="1"/>
  <c r="J18" i="8"/>
  <c r="F26" i="1" s="1"/>
  <c r="M18" i="10"/>
  <c r="H21" i="8"/>
  <c r="J21" i="8" s="1"/>
  <c r="F17" i="1" s="1"/>
  <c r="E27" i="1"/>
  <c r="G33" i="10"/>
  <c r="L33" i="10" s="1"/>
  <c r="O54" i="1"/>
  <c r="H19" i="8"/>
  <c r="J19" i="8" s="1"/>
  <c r="O55" i="1"/>
  <c r="E44" i="1"/>
  <c r="G32" i="10"/>
  <c r="O52" i="1"/>
  <c r="K13" i="6"/>
  <c r="K16" i="6"/>
  <c r="K15" i="6"/>
  <c r="G56" i="10"/>
  <c r="I21" i="8"/>
  <c r="L21" i="8" s="1"/>
  <c r="F32" i="1" s="1"/>
  <c r="G57" i="10"/>
  <c r="M17" i="10"/>
  <c r="C20" i="7"/>
  <c r="N53" i="1"/>
  <c r="O53" i="1" s="1"/>
  <c r="D53" i="1"/>
  <c r="P27" i="1" l="1"/>
  <c r="N26" i="1"/>
  <c r="N32" i="1"/>
  <c r="Q27" i="1"/>
  <c r="D26" i="1"/>
  <c r="O56" i="1"/>
  <c r="L32" i="10"/>
  <c r="L37" i="10" s="1"/>
  <c r="G37" i="10"/>
  <c r="N17" i="1"/>
  <c r="D17" i="1"/>
  <c r="D21" i="1"/>
  <c r="D23" i="1"/>
  <c r="D20" i="1"/>
  <c r="D24" i="1"/>
  <c r="D25" i="1"/>
  <c r="B16" i="1"/>
  <c r="D15" i="1"/>
  <c r="D22" i="1"/>
  <c r="D18" i="1"/>
  <c r="D19" i="1"/>
  <c r="D16" i="1"/>
  <c r="M18" i="8"/>
  <c r="E42" i="1" s="1"/>
  <c r="L18" i="8"/>
  <c r="F42" i="1" s="1"/>
  <c r="D42" i="1" l="1"/>
  <c r="Q43" i="1"/>
  <c r="E12" i="1"/>
  <c r="D41" i="1"/>
  <c r="D43" i="1" s="1"/>
  <c r="D32" i="1"/>
  <c r="D31" i="1"/>
  <c r="O36" i="1"/>
  <c r="O37" i="1"/>
  <c r="O34" i="1"/>
  <c r="D38" i="1"/>
  <c r="B31" i="1"/>
  <c r="D33" i="1"/>
  <c r="O26" i="1"/>
  <c r="O17" i="1"/>
  <c r="O24" i="1"/>
  <c r="O18" i="1"/>
  <c r="O25" i="1"/>
  <c r="O15" i="1"/>
  <c r="O20" i="1"/>
  <c r="O21" i="1"/>
  <c r="O19" i="1"/>
  <c r="O22" i="1"/>
  <c r="O23" i="1"/>
  <c r="O16" i="1"/>
  <c r="D40" i="1"/>
  <c r="D35" i="1"/>
  <c r="D39" i="1"/>
  <c r="D30" i="1"/>
  <c r="P43" i="1"/>
  <c r="N42" i="1"/>
  <c r="O42" i="1" s="1"/>
  <c r="C3" i="7"/>
  <c r="C4" i="7" s="1"/>
  <c r="E77" i="1"/>
  <c r="E78" i="1" s="1"/>
  <c r="E79" i="1" s="1"/>
  <c r="D37" i="1"/>
  <c r="D34" i="1"/>
  <c r="D36" i="1"/>
  <c r="O35" i="1" l="1"/>
  <c r="O32" i="1"/>
  <c r="O39" i="1"/>
  <c r="O30" i="1"/>
  <c r="O31" i="1"/>
  <c r="H14" i="7"/>
  <c r="F70" i="1" s="1"/>
  <c r="H17" i="7"/>
  <c r="F73" i="1" s="1"/>
  <c r="H18" i="7"/>
  <c r="E30" i="12" s="1"/>
  <c r="B61" i="1" s="1"/>
  <c r="H15" i="7"/>
  <c r="F72" i="1" s="1"/>
  <c r="H12" i="7"/>
  <c r="F67" i="1" s="1"/>
  <c r="H10" i="7"/>
  <c r="H16" i="7"/>
  <c r="F71" i="1" s="1"/>
  <c r="H13" i="7"/>
  <c r="H11" i="7"/>
  <c r="F69" i="1" s="1"/>
  <c r="H9" i="7"/>
  <c r="O38" i="1"/>
  <c r="O41" i="1"/>
  <c r="O33" i="1"/>
  <c r="O40" i="1"/>
  <c r="F62" i="1" l="1"/>
  <c r="F60" i="1"/>
  <c r="F61" i="1"/>
  <c r="D61" i="1" s="1"/>
  <c r="H20" i="7"/>
  <c r="F66" i="1"/>
  <c r="F68" i="1"/>
  <c r="B67" i="1" l="1"/>
  <c r="D66" i="1"/>
  <c r="D71" i="1"/>
  <c r="D72" i="1"/>
  <c r="D73" i="1"/>
  <c r="D70" i="1"/>
  <c r="D69" i="1"/>
  <c r="D60" i="1"/>
  <c r="F77" i="1"/>
  <c r="F78" i="1" s="1"/>
  <c r="F79" i="1" s="1"/>
  <c r="F12" i="1"/>
  <c r="D68" i="1"/>
  <c r="D67" i="1"/>
  <c r="D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F6" authorId="0" shapeId="0" xr:uid="{A5408F66-786D-CA47-BFF0-4C3FDE4656F7}">
      <text>
        <r>
          <rPr>
            <b/>
            <sz val="9"/>
            <color indexed="81"/>
            <rFont val="Tahoma"/>
            <family val="2"/>
          </rPr>
          <t>Author:</t>
        </r>
        <r>
          <rPr>
            <sz val="9"/>
            <color indexed="81"/>
            <rFont val="Tahoma"/>
            <family val="2"/>
          </rPr>
          <t xml:space="preserve">
"Others" is not included</t>
        </r>
      </text>
    </comment>
    <comment ref="T7" authorId="0" shapeId="0" xr:uid="{CE962F2A-8CE3-6A42-BBCF-2DA3290149D1}">
      <text>
        <r>
          <rPr>
            <b/>
            <sz val="9"/>
            <color rgb="FF000000"/>
            <rFont val="Tahoma"/>
            <family val="2"/>
          </rPr>
          <t>Author:</t>
        </r>
        <r>
          <rPr>
            <sz val="9"/>
            <color rgb="FF000000"/>
            <rFont val="Tahoma"/>
            <family val="2"/>
          </rPr>
          <t xml:space="preserve">
</t>
        </r>
        <r>
          <rPr>
            <sz val="9"/>
            <color rgb="FF000000"/>
            <rFont val="Tahoma"/>
            <family val="2"/>
          </rPr>
          <t>Total number of Households is equivalent to total number of Systems</t>
        </r>
      </text>
    </comment>
    <comment ref="U8" authorId="0" shapeId="0" xr:uid="{03E242AA-F531-3D41-9BCA-E51ED1E09B5F}">
      <text>
        <r>
          <rPr>
            <b/>
            <sz val="9"/>
            <color rgb="FF000000"/>
            <rFont val="Tahoma"/>
            <family val="2"/>
          </rPr>
          <t>Author:</t>
        </r>
        <r>
          <rPr>
            <sz val="9"/>
            <color rgb="FF000000"/>
            <rFont val="Tahoma"/>
            <family val="2"/>
          </rPr>
          <t xml:space="preserve">
</t>
        </r>
        <r>
          <rPr>
            <sz val="9"/>
            <color rgb="FF000000"/>
            <rFont val="Tahoma"/>
            <family val="2"/>
          </rPr>
          <t>Heat pumps are listet as single technologies and as total, hence, to calculate total you need to avoid double-accounting of heat pump electricity demand</t>
        </r>
      </text>
    </comment>
    <comment ref="AA8" authorId="0" shapeId="0" xr:uid="{97861B3F-AC55-F247-93D6-1501DAA13C62}">
      <text>
        <r>
          <rPr>
            <b/>
            <sz val="9"/>
            <color indexed="81"/>
            <rFont val="Tahoma"/>
            <family val="2"/>
          </rPr>
          <t>Author:</t>
        </r>
        <r>
          <rPr>
            <sz val="9"/>
            <color indexed="81"/>
            <rFont val="Tahoma"/>
            <family val="2"/>
          </rPr>
          <t xml:space="preserve">
Heat pumps are listet as single technologies and as total, hence, to calculate total you need to avoid double-accounting of heat pump electricity demand</t>
        </r>
      </text>
    </comment>
    <comment ref="AG9" authorId="0" shapeId="0" xr:uid="{9C68B465-5E50-CA40-9325-1E29C0123B64}">
      <text>
        <r>
          <rPr>
            <b/>
            <sz val="9"/>
            <color indexed="81"/>
            <rFont val="Tahoma"/>
            <family val="2"/>
          </rPr>
          <t>Author:</t>
        </r>
        <r>
          <rPr>
            <sz val="9"/>
            <color indexed="81"/>
            <rFont val="Tahoma"/>
            <family val="2"/>
          </rPr>
          <t xml:space="preserve">
m² is the living area</t>
        </r>
      </text>
    </comment>
  </commentList>
</comments>
</file>

<file path=xl/sharedStrings.xml><?xml version="1.0" encoding="utf-8"?>
<sst xmlns="http://schemas.openxmlformats.org/spreadsheetml/2006/main" count="684" uniqueCount="416">
  <si>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</si>
  <si>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</si>
  <si>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</si>
  <si>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</si>
  <si>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</si>
  <si>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</si>
  <si>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</si>
  <si>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</si>
  <si>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</si>
  <si>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</si>
  <si>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</si>
  <si>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</si>
  <si>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</si>
  <si>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</si>
  <si>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</si>
  <si>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</si>
  <si>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</si>
  <si>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</si>
  <si>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</si>
  <si>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</si>
  <si>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</si>
  <si>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</si>
  <si>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</si>
  <si>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</si>
  <si>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</si>
  <si>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</si>
  <si>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</si>
  <si>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</si>
  <si>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</si>
  <si>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</si>
  <si>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</si>
  <si>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</si>
  <si>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</si>
  <si>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</si>
  <si>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</si>
  <si>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</si>
  <si>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</si>
  <si>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</si>
  <si>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</si>
  <si>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</si>
  <si>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</si>
  <si>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</si>
  <si>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</si>
  <si>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</si>
  <si>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</si>
  <si>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</si>
  <si>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</si>
  <si>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</si>
  <si>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</si>
  <si>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</si>
  <si>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</si>
  <si>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</si>
  <si>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</si>
  <si>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</si>
  <si>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</si>
  <si>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</si>
  <si>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</si>
  <si>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</si>
  <si>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</si>
  <si>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</si>
  <si>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</si>
  <si>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</si>
  <si>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</si>
  <si>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</si>
  <si>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</si>
  <si>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</si>
  <si>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</si>
  <si>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</si>
  <si>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</si>
  <si>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</si>
  <si>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</si>
  <si>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</si>
  <si>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</si>
  <si>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</si>
  <si>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</si>
  <si>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</si>
  <si>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</si>
  <si>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</si>
  <si>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</si>
  <si>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</si>
  <si>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</si>
  <si>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</si>
  <si>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</si>
  <si>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</si>
  <si>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</si>
  <si>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</si>
  <si>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</si>
  <si>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</si>
  <si>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</si>
  <si>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</si>
  <si>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</si>
  <si>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</si>
  <si>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</si>
  <si>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</si>
  <si>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</si>
  <si>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</si>
  <si>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</si>
  <si>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</si>
  <si>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</si>
  <si>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</si>
  <si>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</si>
  <si>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</si>
  <si>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Changelog</t>
  </si>
  <si>
    <t>Changes</t>
  </si>
  <si>
    <t>Version</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</si>
  <si>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</si>
  <si>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</si>
  <si>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Sources and assumptions</t>
  </si>
  <si>
    <t>Cooling</t>
  </si>
  <si>
    <t>Hot water</t>
  </si>
  <si>
    <t>Space heating</t>
  </si>
  <si>
    <t>Dishwasher</t>
  </si>
  <si>
    <t>Final electricity demand</t>
  </si>
  <si>
    <t>Technology</t>
  </si>
  <si>
    <t>Share of total</t>
  </si>
  <si>
    <t>Relative final demand</t>
  </si>
  <si>
    <t>Final electricity demand for cooking (TJ)</t>
  </si>
  <si>
    <t>Final demand (TJ)</t>
  </si>
  <si>
    <t>Source:</t>
  </si>
  <si>
    <t>Hyperlink:</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</si>
  <si>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</si>
  <si>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</si>
  <si>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Correctie elektriciteitsverbruik koken, tabel 1, page 4 (ECN, 2014)</t>
  </si>
  <si>
    <t>Technology efficiency</t>
  </si>
  <si>
    <t>TJ</t>
  </si>
  <si>
    <t>* The useful demand shares for lighting are based on expert data</t>
  </si>
  <si>
    <t>** These are the relative final demands</t>
  </si>
  <si>
    <t>This is a summary of 6_residences_source_analysis.md; see that document for more details</t>
  </si>
  <si>
    <t>IEA energy balance NL 2015</t>
  </si>
  <si>
    <t>https://refman.energytransitionmodel.com/publications/2068</t>
  </si>
  <si>
    <t xml:space="preserve">Energietrends 2016, page 9 (ECN, Energie-Nederland en Netbeheer Nederland)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</si>
  <si>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</si>
  <si>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</si>
  <si>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</si>
  <si>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</si>
  <si>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</si>
  <si>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</si>
  <si>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</si>
  <si>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</si>
  <si>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</si>
  <si>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</si>
  <si>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</si>
  <si>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</si>
  <si>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</si>
  <si>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</si>
  <si>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</si>
  <si>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</si>
  <si>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</si>
  <si>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</si>
  <si>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</si>
  <si>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</si>
  <si>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</si>
  <si>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</si>
  <si>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</si>
  <si>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Other</t>
  </si>
  <si>
    <t>Tapwater vs space heating</t>
  </si>
  <si>
    <t>hybrid heat pump (hot water)</t>
  </si>
  <si>
    <t>Share of final demand electricity</t>
  </si>
  <si>
    <t>Final demand electricity(TJ)</t>
  </si>
  <si>
    <t>Final demand gas (TJ)</t>
  </si>
  <si>
    <t>output.useable_heat.network_gas</t>
  </si>
  <si>
    <t>Final demand share space heating</t>
  </si>
  <si>
    <t>Final demand share water heating</t>
  </si>
  <si>
    <t>gas</t>
  </si>
  <si>
    <t>electricity</t>
  </si>
  <si>
    <t>m3</t>
  </si>
  <si>
    <t>gas/household</t>
  </si>
  <si>
    <t>demand for cooking/household</t>
  </si>
  <si>
    <t>average efficiency electrical devices</t>
  </si>
  <si>
    <t>%</t>
  </si>
  <si>
    <t>number of households in the Netherlands</t>
  </si>
  <si>
    <t>#</t>
  </si>
  <si>
    <t>UD with electricity</t>
  </si>
  <si>
    <t>UD with gas</t>
  </si>
  <si>
    <t>m3 gas for cooking /household</t>
  </si>
  <si>
    <t>TJ/m3</t>
  </si>
  <si>
    <t>energy content of gas</t>
  </si>
  <si>
    <t>share of gas</t>
  </si>
  <si>
    <t>FD of gas</t>
  </si>
  <si>
    <t>total UD for cooking</t>
  </si>
  <si>
    <t>FD gas</t>
  </si>
  <si>
    <t>UD shares</t>
  </si>
  <si>
    <t>UD [TJ]</t>
  </si>
  <si>
    <t>Value</t>
  </si>
  <si>
    <t>Unit</t>
  </si>
  <si>
    <t>Description</t>
  </si>
  <si>
    <t>Source</t>
  </si>
  <si>
    <t>https://forum.nuon.nl/energie-besparen-42/inductie-koken-versus-gas-koken-1906</t>
  </si>
  <si>
    <t>Area analysis</t>
  </si>
  <si>
    <t>ETM</t>
  </si>
  <si>
    <t>Alternative calculation starting with gas use per household</t>
  </si>
  <si>
    <t>HHP for space heating</t>
  </si>
  <si>
    <t>HHP for water heating</t>
  </si>
  <si>
    <t>FD share</t>
  </si>
  <si>
    <t>Final demand share</t>
  </si>
  <si>
    <t>dk</t>
  </si>
  <si>
    <t>Mart Lubben</t>
  </si>
  <si>
    <t>Jul 19, 2018</t>
  </si>
  <si>
    <t>heat pumps</t>
  </si>
  <si>
    <t>http://www.odyssee-mure.eu/publications/national-reports/energy-efficiency-denmark.pdf</t>
  </si>
  <si>
    <t>KWh/year</t>
  </si>
  <si>
    <t>Washing machine</t>
  </si>
  <si>
    <t>Dryer</t>
  </si>
  <si>
    <t>Refrigeratror</t>
  </si>
  <si>
    <t>Freezer</t>
  </si>
  <si>
    <t>TV</t>
  </si>
  <si>
    <t>vaccuum cleaner</t>
  </si>
  <si>
    <t>IT/media</t>
  </si>
  <si>
    <t>In the Netherlands the vaccuum cleaner is half the electricity demand of the TV</t>
  </si>
  <si>
    <t>In the Netherlands the IT/media cleaner has the same the electricity demand as the TV</t>
  </si>
  <si>
    <t>In the Netherlands the other category has the same electricity demand as the TV</t>
  </si>
  <si>
    <t>Gas</t>
  </si>
  <si>
    <t>Gas split</t>
  </si>
  <si>
    <t>Denmark</t>
  </si>
  <si>
    <t>The Netherlands</t>
  </si>
  <si>
    <t>Area analysis NL</t>
  </si>
  <si>
    <t>Area analysis DK</t>
  </si>
  <si>
    <t>number of residences in the Netherlands</t>
  </si>
  <si>
    <t>Fnal electricity demand space heating, hot water, cooling and cooking</t>
  </si>
  <si>
    <t>Electrical appliances</t>
  </si>
  <si>
    <t>Dutch energy split (PJ)</t>
  </si>
  <si>
    <t>biomass solar</t>
  </si>
  <si>
    <t>District heating</t>
  </si>
  <si>
    <t>oil</t>
  </si>
  <si>
    <t>total</t>
  </si>
  <si>
    <t>Dutch mix</t>
  </si>
  <si>
    <t>From source</t>
  </si>
  <si>
    <t>Total</t>
  </si>
  <si>
    <t>share of electricity</t>
  </si>
  <si>
    <t>FD electicty</t>
  </si>
  <si>
    <t>Total network gas</t>
  </si>
  <si>
    <t>hot water</t>
  </si>
  <si>
    <t>electricity*</t>
  </si>
  <si>
    <t>Network ga for space heating and hot water</t>
  </si>
  <si>
    <t>GWh</t>
  </si>
  <si>
    <t>Electric boilers</t>
  </si>
  <si>
    <t>Household heat pumps</t>
  </si>
  <si>
    <t xml:space="preserve">Source: Energinet, Analysis Assumptions 2017 </t>
  </si>
  <si>
    <t>Number of light hours in Amsterdam</t>
  </si>
  <si>
    <t>Number of light hours in Copenhagen</t>
  </si>
  <si>
    <t>Number of dark hours in Amsterdam</t>
  </si>
  <si>
    <t>Number of dark hours in Copenhagen</t>
  </si>
  <si>
    <t>source</t>
  </si>
  <si>
    <t>https://en.wikipedia.org/wiki/List_of_cities_by_sunshine_duration</t>
  </si>
  <si>
    <t>Light factor, more electricity per residence</t>
  </si>
  <si>
    <t>hours</t>
  </si>
  <si>
    <t>factor</t>
  </si>
  <si>
    <t>m2</t>
  </si>
  <si>
    <t>KWh/m2</t>
  </si>
  <si>
    <t>Cooled residential floor areas</t>
  </si>
  <si>
    <t>KJ</t>
  </si>
  <si>
    <t>2017_IEA_Energy_Policies_of_IEA_Countries_Denmark_2017_Review</t>
  </si>
  <si>
    <t>Cold demand residences in 2009</t>
  </si>
  <si>
    <t>Differences DK/NL</t>
  </si>
  <si>
    <t xml:space="preserve">Source: </t>
  </si>
  <si>
    <t>JRC: https://setis.ec.europa.eu/sites/default/files/reports/Heat-and-cooling-demand-and-market-perspective.pdf</t>
  </si>
  <si>
    <t>shares of total</t>
  </si>
  <si>
    <t>number of  residences in Denmark</t>
  </si>
  <si>
    <t>tapwater vs space heatig vs cooking</t>
  </si>
  <si>
    <t>Based on space heating</t>
  </si>
  <si>
    <t>Mtoe</t>
  </si>
  <si>
    <t>=</t>
  </si>
  <si>
    <t>% of electricity by application</t>
  </si>
  <si>
    <t>https://ec.europa.eu/energy/en/eu-buildings-database</t>
  </si>
  <si>
    <t>Electricity demand for light NL</t>
  </si>
  <si>
    <t>6_residences_source_analysis NL</t>
  </si>
  <si>
    <t>Stock of electrical appliances in households</t>
  </si>
  <si>
    <t>[1000 units]</t>
  </si>
  <si>
    <t>'15</t>
  </si>
  <si>
    <t>'16</t>
  </si>
  <si>
    <t>1980-2016</t>
  </si>
  <si>
    <t>1990-2016</t>
  </si>
  <si>
    <t>2000-2016</t>
  </si>
  <si>
    <t>2015-2016</t>
  </si>
  <si>
    <t>TV sets</t>
  </si>
  <si>
    <t>Refrigerators</t>
  </si>
  <si>
    <t>Freezers</t>
  </si>
  <si>
    <t>Microwave ovens</t>
  </si>
  <si>
    <t>N/A</t>
  </si>
  <si>
    <t>Washing machines</t>
  </si>
  <si>
    <t>[kWh/year]</t>
  </si>
  <si>
    <t>units in 2015</t>
  </si>
  <si>
    <t>Total households in DK</t>
  </si>
  <si>
    <t>MJ/year/unit (or household)</t>
  </si>
  <si>
    <t xml:space="preserve"> https://ec.europa.eu/energy/en/eu-buildings-database</t>
  </si>
  <si>
    <t xml:space="preserve">https://ec.europa.eu/energy/en/eu-buildings-database </t>
  </si>
  <si>
    <t>From: Energy statistics 2016, background Excel. Sheet households</t>
  </si>
  <si>
    <t>First version</t>
  </si>
  <si>
    <t>2012_JRC_Heat and cooling demand and market perspective</t>
  </si>
  <si>
    <t>Danish Energy Agency; denmarks_energy_and_climate_outlook_2017</t>
  </si>
  <si>
    <t>Denmark total final energy split by application</t>
  </si>
  <si>
    <t>Carriers split accros applications</t>
  </si>
  <si>
    <t>*)Electricity is calculated bottom up, see electricity sheet. Electric heating for space heating panels and electric heaters for hot water. And we have corrected fot the ambient heat of heat pumps.</t>
  </si>
  <si>
    <t xml:space="preserve">From Odyssee via EC. See screenshots and: https://ec.europa.eu/energy/en/eu-buildings-database </t>
  </si>
  <si>
    <t>TJ electricity for cooking</t>
  </si>
  <si>
    <t>TJ per Mtoe</t>
  </si>
  <si>
    <t>Residential profile - heating</t>
  </si>
  <si>
    <t>Data characteristics</t>
  </si>
  <si>
    <t>Framework data</t>
  </si>
  <si>
    <t>Stock data</t>
  </si>
  <si>
    <t>Final energy demand ("energy input to heating/cooling system")</t>
  </si>
  <si>
    <t>Average efficiency</t>
  </si>
  <si>
    <t>Delivered energy demand ("heat produced by system")</t>
  </si>
  <si>
    <t>Indicators (based on final energy demand of heating systems)</t>
  </si>
  <si>
    <t>Number of dwellings</t>
  </si>
  <si>
    <t>Living area per single-family household</t>
  </si>
  <si>
    <t>Number of heating systems</t>
  </si>
  <si>
    <t>Dwellings</t>
  </si>
  <si>
    <t>Single-family</t>
  </si>
  <si>
    <t>Mulit-family</t>
  </si>
  <si>
    <t>Living area per multi-family household</t>
  </si>
  <si>
    <t>Total living area</t>
  </si>
  <si>
    <t>Single-family living area</t>
  </si>
  <si>
    <t>Multi-family living area</t>
  </si>
  <si>
    <t>Heating</t>
  </si>
  <si>
    <t>Demand by average dwelling</t>
  </si>
  <si>
    <t>Aggregation code</t>
  </si>
  <si>
    <t>Residential ID code</t>
  </si>
  <si>
    <t>ID Scenario</t>
  </si>
  <si>
    <t>Scenario</t>
  </si>
  <si>
    <t>ID Country</t>
  </si>
  <si>
    <t>Country group</t>
  </si>
  <si>
    <t>Sector</t>
  </si>
  <si>
    <t>Year</t>
  </si>
  <si>
    <t>ID Energy carrier</t>
  </si>
  <si>
    <t>Energy carrier / technology</t>
  </si>
  <si>
    <t>Total number of dwellings (1000)</t>
  </si>
  <si>
    <t>Number of single-family (1000)</t>
  </si>
  <si>
    <t>Number of multi-family (1000)</t>
  </si>
  <si>
    <t>Living area per single-family household (m2)</t>
  </si>
  <si>
    <t>Living area per multi-family household (m2)</t>
  </si>
  <si>
    <t>Total living area m² (in 1000)</t>
  </si>
  <si>
    <t>Single-family living area m² (in 1000)</t>
  </si>
  <si>
    <t>Multi-family living area m² (in 1000)</t>
  </si>
  <si>
    <t>Total number of heating systems</t>
  </si>
  <si>
    <t>Total heating FED (TWh)</t>
  </si>
  <si>
    <t>Hot water FED (TWh)</t>
  </si>
  <si>
    <t>Space heating FED (TWh)</t>
  </si>
  <si>
    <t>Other heating FED (TWh)</t>
  </si>
  <si>
    <t>Space cooling FED (TWh)</t>
  </si>
  <si>
    <t>Average efficiency (for total in %)</t>
  </si>
  <si>
    <t>Total heating DED (TWh)</t>
  </si>
  <si>
    <t>Hot water DED (TWh)</t>
  </si>
  <si>
    <t>Space heating DED (TWh)</t>
  </si>
  <si>
    <t>Other heating DED (TWh)</t>
  </si>
  <si>
    <t>Space cooling DED (TWh)</t>
  </si>
  <si>
    <t>Final energy demand by average dwelling (kWh/dwelling)</t>
  </si>
  <si>
    <t>Final energy demand by average dwelling (kWh/m²)</t>
  </si>
  <si>
    <t>Reference</t>
  </si>
  <si>
    <t>Residential</t>
  </si>
  <si>
    <t xml:space="preserve"> -</t>
  </si>
  <si>
    <t>n/a</t>
  </si>
  <si>
    <t>Others (RES)</t>
  </si>
  <si>
    <t>Others (fossil)</t>
  </si>
  <si>
    <t>Micro CHP (natural gas)</t>
  </si>
  <si>
    <t>Micro CHP (biomass)</t>
  </si>
  <si>
    <t>Heat pumps total (electric)</t>
  </si>
  <si>
    <t>Heat pumps ground source (electric)</t>
  </si>
  <si>
    <t>Heat pumps aireal (electric)</t>
  </si>
  <si>
    <t>Electric Heating</t>
  </si>
  <si>
    <t>Biomass</t>
  </si>
  <si>
    <t>Nice to have</t>
  </si>
  <si>
    <t>DK</t>
  </si>
  <si>
    <t>TWH_to_TJ</t>
  </si>
  <si>
    <t>solar thermal split</t>
  </si>
  <si>
    <t>district heating split</t>
  </si>
  <si>
    <t>Final electricity demand appliances + lighting</t>
  </si>
  <si>
    <t xml:space="preserve">lighting </t>
  </si>
  <si>
    <t>TJ bottum up</t>
  </si>
  <si>
    <t>TJ top down</t>
  </si>
  <si>
    <t>Bottum-up</t>
  </si>
  <si>
    <t>Top-down</t>
  </si>
  <si>
    <t>lighting</t>
  </si>
  <si>
    <t>oil split</t>
  </si>
  <si>
    <t>biomass split</t>
  </si>
  <si>
    <t>old</t>
  </si>
  <si>
    <t>Dwellings by type of resident, region, year of construction and time</t>
  </si>
  <si>
    <t>Units: number</t>
  </si>
  <si>
    <t>2015</t>
  </si>
  <si>
    <t>Dwellings with registered population</t>
  </si>
  <si>
    <t>All Denmark</t>
  </si>
  <si>
    <t>Before 1900</t>
  </si>
  <si>
    <t>1900-1919</t>
  </si>
  <si>
    <t>1920-1929</t>
  </si>
  <si>
    <t>1930-1939</t>
  </si>
  <si>
    <t>1940-1949</t>
  </si>
  <si>
    <t>1950-1959</t>
  </si>
  <si>
    <t>1960-1969</t>
  </si>
  <si>
    <t>1970-1979</t>
  </si>
  <si>
    <t>1980-1989</t>
  </si>
  <si>
    <t>1990-1999</t>
  </si>
  <si>
    <t>2000-2004</t>
  </si>
  <si>
    <t>2005</t>
  </si>
  <si>
    <t>2006</t>
  </si>
  <si>
    <t>2007</t>
  </si>
  <si>
    <t>2008</t>
  </si>
  <si>
    <t>2009</t>
  </si>
  <si>
    <t>2010</t>
  </si>
  <si>
    <t>2011</t>
  </si>
  <si>
    <t>2012</t>
  </si>
  <si>
    <t>2013</t>
  </si>
  <si>
    <t>2014</t>
  </si>
  <si>
    <t>2016</t>
  </si>
  <si>
    <t>2017</t>
  </si>
  <si>
    <t>Not stated</t>
  </si>
  <si>
    <t xml:space="preserve">It is the responsibility of the homeowner to ensure that the information is updated in the BBR It is for example uncertain to what extent the citizen reports changed number of rooms or a new heat source. The categories day care institutions and colleges do not cover the number of dwellings in these categories. Particularly residential institutions will usually be located as a multi-dwelling house or terraced house. There are problems with the quality of ownership especially in 2012-2013. </t>
  </si>
  <si>
    <t>voor 1990</t>
  </si>
  <si>
    <t>na 1989</t>
  </si>
  <si>
    <t xml:space="preserve">http://www.statbank.dk/10010 </t>
  </si>
  <si>
    <t>new</t>
  </si>
  <si>
    <t>voor 1992</t>
  </si>
  <si>
    <t>na 1991</t>
  </si>
  <si>
    <t>De grens twee jaar opschuiven zodat het overeenkomt met het ETM:</t>
  </si>
  <si>
    <t>The 'Heat Roadmap Europe 2050' (Fraunhofer, 2015) is used for the heating data. See the sheets Final demand per energy carrier an Residential data.</t>
  </si>
  <si>
    <t>The split for the electricity demand, from the bottom-up approach is used to split the left-over electricity top-down.</t>
  </si>
  <si>
    <t xml:space="preserve">The electricity demand is first built bottom-up, see the electricity sheet and the sub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</si>
</sst>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0.0"/>
    <numFmt numFmtId="165" formatCode="0.0%"/>
    <numFmt numFmtId="166" formatCode="[$-409]mmmm\ d\,\ yyyy;@"/>
    <numFmt numFmtId="167" formatCode="0.000"/>
    <numFmt numFmtId="168" formatCode="0.0000"/>
    <numFmt numFmtId="169" formatCode="#,##0.00000000"/>
    <numFmt numFmtId="170" formatCode="0.00000"/>
    <numFmt numFmtId="171" formatCode="#,##0.00000000000000000"/>
    <numFmt numFmtId="172" formatCode="#,##0.0000000000000000000"/>
    <numFmt numFmtId="173" formatCode="0.0000000000000000"/>
    <numFmt numFmtId="174" formatCode="0.00000000000000000000000000000"/>
    <numFmt numFmtId="175" formatCode="0.000%"/>
    <numFmt numFmtId="176" formatCode="#\ ##0"/>
    <numFmt numFmtId="177" formatCode="#\ ###"/>
    <numFmt numFmtId="178" formatCode="#,##0.0"/>
    <numFmt numFmtId="179" formatCode="_-* #,##0.00\ _€_-;\-* #,##0.00\ _€_-;_-* &quot;-&quot;??\ _€_-;_-@_-"/>
    <numFmt numFmtId="180" formatCode="_-* #,##0.0\ _€_-;\-* #,##0.0\ _€_-;_-* &quot;-&quot;??\ _€_-;_-@_-"/>
  </numFmts>
  <fonts count="43">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u/>
      <sz val="12"/>
      <name val="Calibri"/>
      <family val="2"/>
      <scheme val="minor"/>
    </font>
    <font>
      <sz val="12"/>
      <name val="Calibri"/>
      <family val="2"/>
      <scheme val="minor"/>
    </font>
    <font>
      <i/>
      <sz val="12"/>
      <color theme="1"/>
      <name val="Calibri"/>
      <family val="2"/>
      <scheme val="minor"/>
    </font>
    <font>
      <b/>
      <u/>
      <sz val="12"/>
      <color theme="1"/>
      <name val="Calibri"/>
      <family val="2"/>
      <scheme val="minor"/>
    </font>
    <font>
      <sz val="11"/>
      <name val="Calibri"/>
      <family val="2"/>
      <scheme val="minor"/>
    </font>
    <font>
      <sz val="10"/>
      <name val="Arial"/>
      <family val="2"/>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family val="2"/>
      <scheme val="minor"/>
    </font>
    <font>
      <b/>
      <sz val="12"/>
      <color theme="0" tint="-0.34998626667073579"/>
      <name val="Calibri"/>
      <family val="2"/>
      <scheme val="minor"/>
    </font>
    <font>
      <sz val="12"/>
      <color theme="0" tint="-0.34998626667073579"/>
      <name val="Calibri"/>
      <family val="2"/>
      <scheme val="minor"/>
    </font>
    <font>
      <sz val="13"/>
      <color rgb="FF333333"/>
      <name val="Helvetica Neue"/>
      <family val="2"/>
    </font>
    <font>
      <sz val="12"/>
      <color rgb="FF222222"/>
      <name val="Arial"/>
      <family val="2"/>
    </font>
    <font>
      <b/>
      <sz val="14"/>
      <name val="Arial"/>
      <family val="2"/>
    </font>
    <font>
      <b/>
      <sz val="11"/>
      <name val="Arial"/>
      <family val="2"/>
    </font>
    <font>
      <sz val="11"/>
      <name val="Arial"/>
      <family val="2"/>
    </font>
    <font>
      <sz val="11"/>
      <color theme="1"/>
      <name val="Arial"/>
      <family val="2"/>
    </font>
    <font>
      <sz val="11"/>
      <color theme="1"/>
      <name val="Calibri"/>
      <family val="2"/>
      <scheme val="minor"/>
    </font>
    <font>
      <sz val="11"/>
      <color theme="1"/>
      <name val="Open Sans"/>
      <family val="2"/>
    </font>
    <font>
      <b/>
      <sz val="36"/>
      <color theme="1"/>
      <name val="Open Sans"/>
      <family val="2"/>
    </font>
    <font>
      <b/>
      <sz val="11"/>
      <color theme="0"/>
      <name val="Open Sans"/>
      <family val="2"/>
    </font>
    <font>
      <sz val="11"/>
      <color theme="0"/>
      <name val="Open Sans"/>
      <family val="2"/>
    </font>
    <font>
      <b/>
      <sz val="11"/>
      <color theme="1"/>
      <name val="Open Sans"/>
      <family val="2"/>
    </font>
    <font>
      <sz val="11"/>
      <name val="Open Sans"/>
      <family val="2"/>
    </font>
    <font>
      <b/>
      <sz val="9"/>
      <color indexed="81"/>
      <name val="Tahoma"/>
      <family val="2"/>
    </font>
    <font>
      <sz val="9"/>
      <color indexed="81"/>
      <name val="Tahoma"/>
      <family val="2"/>
    </font>
    <font>
      <b/>
      <sz val="9"/>
      <color rgb="FF000000"/>
      <name val="Tahoma"/>
      <family val="2"/>
    </font>
    <font>
      <sz val="9"/>
      <color rgb="FF000000"/>
      <name val="Tahoma"/>
      <family val="2"/>
    </font>
    <font>
      <b/>
      <sz val="13"/>
      <color rgb="FF000000"/>
      <name val="Calibri"/>
      <family val="2"/>
    </font>
    <font>
      <i/>
      <sz val="11"/>
      <color rgb="FF000000"/>
      <name val="Calibri"/>
      <family val="2"/>
    </font>
    <font>
      <b/>
      <sz val="11"/>
      <color rgb="FF000000"/>
      <name val="Calibri"/>
      <family val="2"/>
    </font>
    <font>
      <b/>
      <sz val="11"/>
      <color rgb="FFFF0000"/>
      <name val="Calibri"/>
      <family val="2"/>
    </font>
    <font>
      <sz val="11"/>
      <color rgb="FFFF0000"/>
      <name val="Calibri"/>
      <family val="2"/>
    </font>
  </fonts>
  <fills count="29">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indexed="42"/>
        <bgColor indexed="64"/>
      </patternFill>
    </fill>
    <fill>
      <patternFill patternType="solid">
        <fgColor rgb="FFCCFFFF"/>
        <bgColor indexed="64"/>
      </patternFill>
    </fill>
    <fill>
      <patternFill patternType="solid">
        <fgColor indexed="41"/>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4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
      <left style="medium">
        <color indexed="64"/>
      </left>
      <right style="medium">
        <color indexed="64"/>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127">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 fillId="0" borderId="0"/>
    <xf numFmtId="0" fontId="11" fillId="0" borderId="0"/>
    <xf numFmtId="0" fontId="27" fillId="0" borderId="0"/>
    <xf numFmtId="179" fontId="27" fillId="0" borderId="0" applyFont="0" applyFill="0" applyBorder="0" applyAlignment="0" applyProtection="0"/>
  </cellStyleXfs>
  <cellXfs count="428">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6"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0"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1" xfId="0" applyFill="1" applyBorder="1"/>
    <xf numFmtId="0" fontId="0" fillId="2" borderId="22" xfId="0" applyFill="1" applyBorder="1"/>
    <xf numFmtId="4" fontId="4" fillId="2" borderId="0" xfId="0" applyNumberFormat="1" applyFont="1" applyFill="1" applyBorder="1" applyAlignment="1">
      <alignment vertical="top" wrapText="1"/>
    </xf>
    <xf numFmtId="4" fontId="0" fillId="2" borderId="0"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10" fontId="16" fillId="4" borderId="0" xfId="13" applyNumberFormat="1"/>
    <xf numFmtId="10" fontId="16" fillId="4" borderId="5" xfId="13" applyNumberFormat="1" applyBorder="1"/>
    <xf numFmtId="10" fontId="16" fillId="4" borderId="6" xfId="13" applyNumberFormat="1" applyBorder="1"/>
    <xf numFmtId="10" fontId="16" fillId="4" borderId="3" xfId="13" applyNumberFormat="1" applyBorder="1"/>
    <xf numFmtId="10" fontId="16" fillId="4" borderId="20"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6" xfId="44" applyFont="1" applyFill="1" applyBorder="1" applyAlignment="1">
      <alignment vertical="center"/>
    </xf>
    <xf numFmtId="0" fontId="1" fillId="2" borderId="0" xfId="44" applyFill="1" applyBorder="1" applyAlignment="1">
      <alignment horizontal="left"/>
    </xf>
    <xf numFmtId="0" fontId="1" fillId="2" borderId="20" xfId="44" applyFill="1" applyBorder="1"/>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applyBorder="1"/>
    <xf numFmtId="0" fontId="1" fillId="2" borderId="25" xfId="44" applyFill="1" applyBorder="1"/>
    <xf numFmtId="0" fontId="1" fillId="6" borderId="0" xfId="44" applyFill="1" applyBorder="1"/>
    <xf numFmtId="0" fontId="1" fillId="7" borderId="0" xfId="44" applyFill="1" applyBorder="1"/>
    <xf numFmtId="0" fontId="1" fillId="8" borderId="0" xfId="44" applyFill="1" applyBorder="1"/>
    <xf numFmtId="0" fontId="1" fillId="2" borderId="16"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Border="1" applyAlignment="1">
      <alignment wrapText="1"/>
    </xf>
    <xf numFmtId="0" fontId="4" fillId="2" borderId="20" xfId="44" applyFont="1" applyFill="1" applyBorder="1" applyAlignment="1">
      <alignment vertical="top"/>
    </xf>
    <xf numFmtId="166" fontId="15" fillId="0" borderId="16" xfId="44" applyNumberFormat="1" applyFont="1" applyFill="1" applyBorder="1" applyAlignment="1">
      <alignment horizontal="left" vertical="top"/>
    </xf>
    <xf numFmtId="0" fontId="1" fillId="0" borderId="0" xfId="44" applyFont="1" applyFill="1" applyBorder="1" applyAlignment="1">
      <alignment wrapText="1"/>
    </xf>
    <xf numFmtId="2" fontId="1" fillId="0" borderId="20" xfId="44" applyNumberFormat="1" applyFill="1" applyBorder="1" applyAlignment="1">
      <alignment vertical="top"/>
    </xf>
    <xf numFmtId="166" fontId="1" fillId="0" borderId="16" xfId="44" applyNumberFormat="1" applyFont="1" applyFill="1" applyBorder="1" applyAlignment="1">
      <alignment horizontal="left" vertical="top"/>
    </xf>
    <xf numFmtId="166" fontId="1" fillId="0" borderId="16" xfId="44" applyNumberFormat="1" applyFill="1" applyBorder="1" applyAlignment="1">
      <alignment horizontal="left" vertical="top"/>
    </xf>
    <xf numFmtId="0" fontId="1" fillId="0" borderId="0" xfId="44" applyFill="1" applyBorder="1" applyAlignment="1">
      <alignment wrapText="1"/>
    </xf>
    <xf numFmtId="0" fontId="1" fillId="0" borderId="16" xfId="44" applyFill="1" applyBorder="1" applyAlignment="1">
      <alignment vertical="top"/>
    </xf>
    <xf numFmtId="166" fontId="15" fillId="0" borderId="16" xfId="44" applyNumberFormat="1" applyFont="1" applyBorder="1" applyAlignment="1">
      <alignment horizontal="lef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3" fontId="0" fillId="0" borderId="0" xfId="0" applyNumberFormat="1" applyFont="1" applyFill="1" applyBorder="1" applyAlignment="1">
      <alignment vertical="top" wrapText="1"/>
    </xf>
    <xf numFmtId="4" fontId="3" fillId="2" borderId="10" xfId="0" applyNumberFormat="1" applyFont="1" applyFill="1" applyBorder="1" applyAlignment="1">
      <alignment horizontal="left"/>
    </xf>
    <xf numFmtId="0" fontId="18" fillId="2" borderId="0" xfId="0" applyFont="1" applyFill="1"/>
    <xf numFmtId="167" fontId="0" fillId="0" borderId="0" xfId="0" applyNumberFormat="1"/>
    <xf numFmtId="49" fontId="0" fillId="2" borderId="0" xfId="0" applyNumberFormat="1" applyFill="1" applyBorder="1"/>
    <xf numFmtId="2" fontId="0" fillId="2" borderId="0" xfId="0" applyNumberFormat="1" applyFill="1" applyBorder="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applyBorder="1"/>
    <xf numFmtId="1" fontId="4" fillId="2" borderId="22" xfId="0" applyNumberFormat="1" applyFont="1" applyFill="1" applyBorder="1"/>
    <xf numFmtId="0" fontId="0" fillId="2" borderId="7" xfId="0" applyFont="1" applyFill="1" applyBorder="1"/>
    <xf numFmtId="0" fontId="0" fillId="2" borderId="9" xfId="0" applyFont="1" applyFill="1" applyBorder="1" applyAlignment="1">
      <alignment wrapText="1"/>
    </xf>
    <xf numFmtId="0" fontId="0" fillId="2" borderId="0" xfId="0" applyFont="1" applyFill="1" applyBorder="1" applyAlignment="1">
      <alignment wrapText="1"/>
    </xf>
    <xf numFmtId="0" fontId="0" fillId="2" borderId="8" xfId="0" applyFont="1" applyFill="1" applyBorder="1" applyAlignment="1">
      <alignment wrapText="1"/>
    </xf>
    <xf numFmtId="0" fontId="0" fillId="2" borderId="12" xfId="0" applyFont="1"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ont="1" applyFill="1" applyBorder="1" applyAlignment="1">
      <alignment wrapText="1"/>
    </xf>
    <xf numFmtId="49" fontId="0" fillId="2" borderId="13" xfId="0" applyNumberFormat="1" applyFont="1" applyFill="1" applyBorder="1" applyAlignment="1">
      <alignment wrapText="1"/>
    </xf>
    <xf numFmtId="0" fontId="0" fillId="0" borderId="25" xfId="0" applyFill="1" applyBorder="1"/>
    <xf numFmtId="4" fontId="0" fillId="0" borderId="25" xfId="0" applyNumberFormat="1" applyFont="1" applyFill="1" applyBorder="1" applyAlignment="1">
      <alignment vertical="top" wrapText="1"/>
    </xf>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30" xfId="0" applyFont="1" applyFill="1" applyBorder="1" applyAlignment="1">
      <alignment wrapText="1"/>
    </xf>
    <xf numFmtId="0" fontId="0" fillId="2" borderId="6" xfId="0" applyFont="1"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0" fontId="7" fillId="0" borderId="1" xfId="0" applyFont="1" applyFill="1" applyBorder="1"/>
    <xf numFmtId="0" fontId="7" fillId="0" borderId="16" xfId="0" applyFont="1" applyFill="1" applyBorder="1"/>
    <xf numFmtId="0" fontId="7" fillId="0" borderId="4" xfId="0" applyFont="1" applyFill="1" applyBorder="1"/>
    <xf numFmtId="168" fontId="0" fillId="2" borderId="0" xfId="0" applyNumberFormat="1" applyFill="1"/>
    <xf numFmtId="167" fontId="0" fillId="2" borderId="0" xfId="0" applyNumberFormat="1" applyFill="1"/>
    <xf numFmtId="2" fontId="0" fillId="2" borderId="0" xfId="0" applyNumberFormat="1" applyFill="1"/>
    <xf numFmtId="10" fontId="0" fillId="2" borderId="0" xfId="0" applyNumberFormat="1" applyFill="1"/>
    <xf numFmtId="9" fontId="0" fillId="2" borderId="0" xfId="0" applyNumberFormat="1" applyFill="1"/>
    <xf numFmtId="2" fontId="4" fillId="2" borderId="0" xfId="0" applyNumberFormat="1" applyFont="1" applyFill="1"/>
    <xf numFmtId="4"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0" xfId="0" applyFill="1" applyBorder="1"/>
    <xf numFmtId="0" fontId="0" fillId="0" borderId="11" xfId="0" applyFill="1" applyBorder="1"/>
    <xf numFmtId="0" fontId="0" fillId="0" borderId="10" xfId="0" applyFill="1" applyBorder="1"/>
    <xf numFmtId="3" fontId="15" fillId="0" borderId="25" xfId="0" applyNumberFormat="1" applyFont="1" applyFill="1" applyBorder="1"/>
    <xf numFmtId="0" fontId="0" fillId="0" borderId="21" xfId="0" applyFill="1" applyBorder="1"/>
    <xf numFmtId="0" fontId="0" fillId="0" borderId="22" xfId="0" applyFill="1" applyBorder="1"/>
    <xf numFmtId="2" fontId="15" fillId="0" borderId="0" xfId="0" applyNumberFormat="1" applyFont="1" applyFill="1" applyBorder="1"/>
    <xf numFmtId="4" fontId="8" fillId="0" borderId="0" xfId="0" applyNumberFormat="1" applyFont="1" applyFill="1" applyBorder="1"/>
    <xf numFmtId="2" fontId="3" fillId="0" borderId="0" xfId="0" applyNumberFormat="1" applyFont="1" applyFill="1" applyBorder="1"/>
    <xf numFmtId="9" fontId="0" fillId="0" borderId="11" xfId="1" applyFont="1" applyFill="1" applyBorder="1"/>
    <xf numFmtId="2" fontId="0" fillId="0" borderId="22" xfId="0" applyNumberFormat="1" applyFill="1" applyBorder="1"/>
    <xf numFmtId="9" fontId="0" fillId="0" borderId="24" xfId="1" applyFont="1" applyFill="1" applyBorder="1"/>
    <xf numFmtId="0" fontId="19" fillId="2" borderId="12" xfId="0" applyFont="1" applyFill="1" applyBorder="1"/>
    <xf numFmtId="0" fontId="19" fillId="2" borderId="5" xfId="0" applyFont="1" applyFill="1" applyBorder="1"/>
    <xf numFmtId="0" fontId="19" fillId="2" borderId="13" xfId="0" applyFont="1" applyFill="1" applyBorder="1"/>
    <xf numFmtId="0" fontId="20" fillId="0" borderId="29" xfId="0" applyFont="1" applyFill="1" applyBorder="1"/>
    <xf numFmtId="0" fontId="20" fillId="0" borderId="0" xfId="0" applyFont="1" applyFill="1" applyBorder="1"/>
    <xf numFmtId="0" fontId="20" fillId="0" borderId="11" xfId="0" applyFont="1" applyFill="1" applyBorder="1"/>
    <xf numFmtId="169" fontId="20" fillId="0" borderId="25" xfId="0" applyNumberFormat="1" applyFont="1" applyFill="1" applyBorder="1" applyAlignment="1">
      <alignment horizontal="right"/>
    </xf>
    <xf numFmtId="0" fontId="20" fillId="0" borderId="10" xfId="0" applyFont="1" applyFill="1" applyBorder="1"/>
    <xf numFmtId="3" fontId="20" fillId="0" borderId="25" xfId="0" applyNumberFormat="1" applyFont="1" applyFill="1" applyBorder="1"/>
    <xf numFmtId="11" fontId="20" fillId="0" borderId="11" xfId="0" applyNumberFormat="1" applyFont="1" applyFill="1" applyBorder="1"/>
    <xf numFmtId="9" fontId="20" fillId="0" borderId="11" xfId="1" applyFont="1" applyFill="1" applyBorder="1"/>
    <xf numFmtId="0" fontId="20" fillId="0" borderId="21" xfId="0" applyFont="1" applyFill="1" applyBorder="1"/>
    <xf numFmtId="0" fontId="20" fillId="0" borderId="22" xfId="0" applyFont="1" applyFill="1" applyBorder="1"/>
    <xf numFmtId="0" fontId="20" fillId="0" borderId="24" xfId="0" applyFont="1" applyFill="1" applyBorder="1"/>
    <xf numFmtId="168" fontId="0" fillId="2" borderId="25" xfId="0" applyNumberFormat="1" applyFill="1" applyBorder="1"/>
    <xf numFmtId="0" fontId="21" fillId="0" borderId="0" xfId="0" applyFont="1"/>
    <xf numFmtId="10" fontId="21" fillId="0" borderId="0" xfId="0" applyNumberFormat="1" applyFont="1"/>
    <xf numFmtId="170" fontId="0" fillId="2" borderId="0" xfId="0" applyNumberFormat="1" applyFill="1"/>
    <xf numFmtId="167" fontId="0" fillId="2" borderId="25" xfId="0" applyNumberFormat="1" applyFill="1" applyBorder="1"/>
    <xf numFmtId="173" fontId="0" fillId="2" borderId="0" xfId="0" applyNumberFormat="1" applyFill="1"/>
    <xf numFmtId="171" fontId="3" fillId="2" borderId="10" xfId="0" applyNumberFormat="1" applyFont="1" applyFill="1" applyBorder="1" applyAlignment="1">
      <alignment horizontal="left"/>
    </xf>
    <xf numFmtId="172" fontId="3" fillId="2" borderId="10" xfId="0" applyNumberFormat="1" applyFont="1" applyFill="1" applyBorder="1" applyAlignment="1">
      <alignment horizontal="left"/>
    </xf>
    <xf numFmtId="174" fontId="0" fillId="2" borderId="0" xfId="0" applyNumberFormat="1" applyFill="1"/>
    <xf numFmtId="167" fontId="0" fillId="2" borderId="0" xfId="0" applyNumberFormat="1" applyFill="1" applyBorder="1"/>
    <xf numFmtId="167" fontId="3" fillId="2" borderId="11" xfId="0" applyNumberFormat="1" applyFont="1" applyFill="1" applyBorder="1"/>
    <xf numFmtId="2" fontId="18" fillId="2" borderId="0" xfId="0" applyNumberFormat="1" applyFont="1" applyFill="1" applyBorder="1"/>
    <xf numFmtId="167" fontId="0" fillId="2" borderId="11" xfId="0" applyNumberFormat="1" applyFill="1" applyBorder="1"/>
    <xf numFmtId="2" fontId="4" fillId="2" borderId="0" xfId="0" applyNumberFormat="1" applyFont="1" applyFill="1" applyBorder="1"/>
    <xf numFmtId="0" fontId="4" fillId="2" borderId="5" xfId="0" applyFont="1" applyFill="1" applyBorder="1" applyAlignment="1">
      <alignment vertical="center" wrapText="1"/>
    </xf>
    <xf numFmtId="0" fontId="0" fillId="2" borderId="12" xfId="0" applyFill="1" applyBorder="1"/>
    <xf numFmtId="0" fontId="4" fillId="2" borderId="13" xfId="0" applyFont="1" applyFill="1" applyBorder="1" applyAlignment="1">
      <alignment vertical="center" wrapText="1"/>
    </xf>
    <xf numFmtId="167" fontId="0" fillId="2" borderId="22" xfId="0" applyNumberFormat="1" applyFill="1" applyBorder="1"/>
    <xf numFmtId="167" fontId="0" fillId="2" borderId="24" xfId="0" applyNumberFormat="1" applyFill="1" applyBorder="1"/>
    <xf numFmtId="2" fontId="4" fillId="2" borderId="11" xfId="0" applyNumberFormat="1" applyFont="1" applyFill="1" applyBorder="1"/>
    <xf numFmtId="2" fontId="0" fillId="2" borderId="3" xfId="0" applyNumberFormat="1" applyFill="1" applyBorder="1"/>
    <xf numFmtId="49" fontId="0" fillId="2" borderId="5" xfId="0" applyNumberFormat="1" applyFill="1" applyBorder="1"/>
    <xf numFmtId="49" fontId="0" fillId="2" borderId="0" xfId="0" applyNumberForma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0" fillId="2" borderId="13" xfId="0" applyFill="1" applyBorder="1" applyAlignment="1">
      <alignment wrapText="1"/>
    </xf>
    <xf numFmtId="10" fontId="0" fillId="2" borderId="0" xfId="1" applyNumberFormat="1" applyFont="1" applyFill="1"/>
    <xf numFmtId="175" fontId="0" fillId="2" borderId="0" xfId="1" applyNumberFormat="1" applyFont="1" applyFill="1"/>
    <xf numFmtId="0" fontId="19" fillId="2" borderId="7" xfId="0" applyFont="1" applyFill="1" applyBorder="1" applyAlignment="1">
      <alignment horizontal="center"/>
    </xf>
    <xf numFmtId="0" fontId="19" fillId="2" borderId="8" xfId="0" applyFont="1" applyFill="1" applyBorder="1" applyAlignment="1">
      <alignment horizontal="center"/>
    </xf>
    <xf numFmtId="0" fontId="19" fillId="2" borderId="9" xfId="0" applyFont="1" applyFill="1" applyBorder="1" applyAlignment="1">
      <alignment horizontal="center"/>
    </xf>
    <xf numFmtId="0" fontId="0" fillId="2" borderId="0" xfId="44" applyFont="1" applyFill="1" applyBorder="1" applyAlignment="1">
      <alignment horizontal="left"/>
    </xf>
    <xf numFmtId="0" fontId="0" fillId="9" borderId="0" xfId="44" applyFont="1" applyFill="1" applyBorder="1"/>
    <xf numFmtId="9" fontId="0" fillId="0" borderId="0" xfId="1" applyFont="1"/>
    <xf numFmtId="165" fontId="0" fillId="0" borderId="0" xfId="1" applyNumberFormat="1" applyFont="1"/>
    <xf numFmtId="164" fontId="0" fillId="0" borderId="0" xfId="0" applyNumberFormat="1"/>
    <xf numFmtId="3" fontId="15" fillId="0" borderId="25" xfId="0" applyNumberFormat="1" applyFont="1" applyBorder="1"/>
    <xf numFmtId="0" fontId="0" fillId="0" borderId="0" xfId="0" applyFont="1"/>
    <xf numFmtId="9" fontId="0" fillId="0" borderId="0" xfId="0" applyNumberFormat="1"/>
    <xf numFmtId="0" fontId="0" fillId="0" borderId="35" xfId="0" applyFill="1" applyBorder="1"/>
    <xf numFmtId="0" fontId="0" fillId="0" borderId="0" xfId="0" applyAlignment="1">
      <alignment horizontal="right"/>
    </xf>
    <xf numFmtId="0" fontId="0" fillId="0" borderId="36" xfId="0" applyBorder="1" applyAlignment="1">
      <alignment horizontal="right"/>
    </xf>
    <xf numFmtId="0" fontId="0" fillId="0" borderId="36" xfId="0" applyBorder="1"/>
    <xf numFmtId="0" fontId="0" fillId="0" borderId="0" xfId="0" applyAlignment="1">
      <alignment wrapText="1"/>
    </xf>
    <xf numFmtId="0" fontId="4" fillId="14" borderId="0" xfId="0" applyFont="1" applyFill="1"/>
    <xf numFmtId="0" fontId="0" fillId="14" borderId="0" xfId="0" applyFill="1"/>
    <xf numFmtId="0" fontId="0" fillId="0" borderId="0" xfId="0" applyFill="1"/>
    <xf numFmtId="1" fontId="0" fillId="0" borderId="0" xfId="1" applyNumberFormat="1" applyFont="1"/>
    <xf numFmtId="3" fontId="0" fillId="0" borderId="0" xfId="0" applyNumberFormat="1"/>
    <xf numFmtId="1" fontId="0" fillId="0" borderId="0" xfId="0" applyNumberFormat="1"/>
    <xf numFmtId="1" fontId="0" fillId="0" borderId="36" xfId="0" applyNumberFormat="1" applyBorder="1" applyAlignment="1">
      <alignment horizontal="right"/>
    </xf>
    <xf numFmtId="3" fontId="22" fillId="0" borderId="0" xfId="0" applyNumberFormat="1" applyFont="1"/>
    <xf numFmtId="4" fontId="0" fillId="0" borderId="25" xfId="0" applyNumberFormat="1" applyFill="1" applyBorder="1"/>
    <xf numFmtId="4" fontId="0" fillId="0" borderId="5" xfId="0" applyNumberFormat="1" applyFont="1" applyFill="1" applyBorder="1"/>
    <xf numFmtId="4" fontId="16" fillId="0" borderId="16" xfId="13" applyNumberFormat="1" applyFill="1" applyBorder="1"/>
    <xf numFmtId="4" fontId="16" fillId="0" borderId="4" xfId="13" applyNumberFormat="1" applyFill="1" applyBorder="1"/>
    <xf numFmtId="4" fontId="0" fillId="0" borderId="18" xfId="0" applyNumberFormat="1" applyFont="1" applyFill="1" applyBorder="1"/>
    <xf numFmtId="4" fontId="6" fillId="0" borderId="0" xfId="0" applyNumberFormat="1" applyFont="1" applyFill="1" applyBorder="1"/>
    <xf numFmtId="4" fontId="6" fillId="0" borderId="5" xfId="0" applyNumberFormat="1" applyFont="1" applyFill="1" applyBorder="1"/>
    <xf numFmtId="4" fontId="16" fillId="15" borderId="2" xfId="13" applyNumberFormat="1" applyFill="1" applyBorder="1"/>
    <xf numFmtId="4" fontId="16" fillId="15" borderId="0" xfId="13" applyNumberFormat="1" applyFill="1" applyBorder="1"/>
    <xf numFmtId="4" fontId="4" fillId="15" borderId="2" xfId="0" applyNumberFormat="1" applyFont="1" applyFill="1" applyBorder="1"/>
    <xf numFmtId="4" fontId="4" fillId="15" borderId="5" xfId="0" applyNumberFormat="1" applyFont="1" applyFill="1" applyBorder="1"/>
    <xf numFmtId="4" fontId="0" fillId="15" borderId="5" xfId="0" applyNumberFormat="1" applyFont="1" applyFill="1" applyBorder="1"/>
    <xf numFmtId="4" fontId="16" fillId="15" borderId="1" xfId="13" applyNumberFormat="1" applyFill="1" applyBorder="1"/>
    <xf numFmtId="4" fontId="16" fillId="15" borderId="16" xfId="13" applyNumberFormat="1" applyFill="1" applyBorder="1"/>
    <xf numFmtId="4" fontId="16" fillId="15" borderId="4" xfId="13" applyNumberFormat="1" applyFill="1" applyBorder="1"/>
    <xf numFmtId="4" fontId="0" fillId="15" borderId="18" xfId="0" applyNumberFormat="1" applyFont="1" applyFill="1" applyBorder="1"/>
    <xf numFmtId="4" fontId="0" fillId="15" borderId="17" xfId="0" applyNumberFormat="1" applyFont="1" applyFill="1" applyBorder="1"/>
    <xf numFmtId="4" fontId="16" fillId="15" borderId="5" xfId="13" applyNumberFormat="1" applyFill="1" applyBorder="1"/>
    <xf numFmtId="4" fontId="0" fillId="15" borderId="0" xfId="0" applyNumberFormat="1" applyFont="1" applyFill="1" applyBorder="1"/>
    <xf numFmtId="4" fontId="16" fillId="15" borderId="0" xfId="13" applyNumberFormat="1" applyFill="1"/>
    <xf numFmtId="4" fontId="0" fillId="15" borderId="2" xfId="0" applyNumberFormat="1" applyFont="1" applyFill="1" applyBorder="1"/>
    <xf numFmtId="4" fontId="6" fillId="15" borderId="0" xfId="0" applyNumberFormat="1" applyFont="1" applyFill="1" applyBorder="1"/>
    <xf numFmtId="4" fontId="6" fillId="15" borderId="5" xfId="0" applyNumberFormat="1" applyFont="1" applyFill="1" applyBorder="1"/>
    <xf numFmtId="3" fontId="16" fillId="6" borderId="25" xfId="13" applyNumberFormat="1" applyFill="1" applyBorder="1"/>
    <xf numFmtId="4" fontId="16" fillId="6" borderId="25" xfId="13" applyNumberFormat="1" applyFill="1" applyBorder="1"/>
    <xf numFmtId="4" fontId="16" fillId="6" borderId="32" xfId="13" applyNumberFormat="1" applyFill="1" applyBorder="1"/>
    <xf numFmtId="4" fontId="0" fillId="6" borderId="5" xfId="0" applyNumberFormat="1" applyFont="1" applyFill="1" applyBorder="1"/>
    <xf numFmtId="4" fontId="16" fillId="6" borderId="0" xfId="13" applyNumberFormat="1" applyFill="1" applyBorder="1"/>
    <xf numFmtId="4" fontId="16" fillId="15" borderId="14" xfId="13" applyNumberFormat="1" applyFill="1" applyBorder="1"/>
    <xf numFmtId="4" fontId="16" fillId="15" borderId="11" xfId="13" applyNumberFormat="1" applyFill="1" applyBorder="1"/>
    <xf numFmtId="4" fontId="4" fillId="15" borderId="14" xfId="0" applyNumberFormat="1" applyFont="1" applyFill="1" applyBorder="1"/>
    <xf numFmtId="4" fontId="4" fillId="15" borderId="13" xfId="0" applyNumberFormat="1" applyFont="1" applyFill="1" applyBorder="1"/>
    <xf numFmtId="4" fontId="0" fillId="15" borderId="13" xfId="0" applyNumberFormat="1" applyFont="1" applyFill="1" applyBorder="1"/>
    <xf numFmtId="4" fontId="16" fillId="15" borderId="13" xfId="13" applyNumberFormat="1" applyFill="1" applyBorder="1"/>
    <xf numFmtId="4" fontId="0" fillId="15" borderId="11" xfId="0" applyNumberFormat="1" applyFont="1" applyFill="1" applyBorder="1"/>
    <xf numFmtId="4" fontId="0" fillId="15" borderId="14" xfId="0" applyNumberFormat="1" applyFont="1" applyFill="1" applyBorder="1"/>
    <xf numFmtId="4" fontId="16" fillId="6" borderId="2" xfId="13" applyNumberFormat="1" applyFill="1" applyBorder="1"/>
    <xf numFmtId="4" fontId="4" fillId="6" borderId="2" xfId="0" applyNumberFormat="1" applyFont="1" applyFill="1" applyBorder="1"/>
    <xf numFmtId="4" fontId="4" fillId="6" borderId="5" xfId="0" applyNumberFormat="1" applyFont="1" applyFill="1" applyBorder="1"/>
    <xf numFmtId="4" fontId="16" fillId="6" borderId="5" xfId="13" applyNumberFormat="1" applyFill="1" applyBorder="1"/>
    <xf numFmtId="4" fontId="0" fillId="6" borderId="0" xfId="0" applyNumberFormat="1" applyFont="1" applyFill="1" applyBorder="1"/>
    <xf numFmtId="10" fontId="0" fillId="0" borderId="0" xfId="1" applyNumberFormat="1" applyFont="1"/>
    <xf numFmtId="0" fontId="23" fillId="0" borderId="0" xfId="123" applyFont="1"/>
    <xf numFmtId="0" fontId="11" fillId="0" borderId="0" xfId="123" applyFont="1"/>
    <xf numFmtId="0" fontId="11" fillId="0" borderId="0" xfId="123" applyFont="1" applyFill="1"/>
    <xf numFmtId="0" fontId="24" fillId="0" borderId="0" xfId="123" applyFont="1" applyFill="1"/>
    <xf numFmtId="0" fontId="25" fillId="0" borderId="0" xfId="123" applyFont="1" applyAlignment="1">
      <alignment horizontal="right"/>
    </xf>
    <xf numFmtId="0" fontId="26" fillId="0" borderId="0" xfId="0" applyFont="1" applyFill="1" applyBorder="1"/>
    <xf numFmtId="0" fontId="25" fillId="0" borderId="0" xfId="123" applyFont="1"/>
    <xf numFmtId="0" fontId="25" fillId="17" borderId="36" xfId="123" applyFont="1" applyFill="1" applyBorder="1"/>
    <xf numFmtId="0" fontId="25" fillId="18" borderId="36" xfId="123" quotePrefix="1" applyFont="1" applyFill="1" applyBorder="1" applyAlignment="1">
      <alignment horizontal="right"/>
    </xf>
    <xf numFmtId="1" fontId="25" fillId="16" borderId="36" xfId="123" quotePrefix="1" applyNumberFormat="1" applyFont="1" applyFill="1" applyBorder="1" applyAlignment="1">
      <alignment horizontal="right"/>
    </xf>
    <xf numFmtId="176" fontId="25" fillId="0" borderId="0" xfId="123" applyNumberFormat="1" applyFont="1"/>
    <xf numFmtId="177" fontId="25" fillId="0" borderId="0" xfId="123" applyNumberFormat="1" applyFont="1"/>
    <xf numFmtId="1" fontId="25" fillId="0" borderId="0" xfId="123" applyNumberFormat="1" applyFont="1"/>
    <xf numFmtId="176" fontId="25" fillId="16" borderId="0" xfId="123" applyNumberFormat="1" applyFont="1" applyFill="1" applyAlignment="1">
      <alignment horizontal="right"/>
    </xf>
    <xf numFmtId="176" fontId="25" fillId="16" borderId="0" xfId="123" applyNumberFormat="1" applyFont="1" applyFill="1"/>
    <xf numFmtId="164" fontId="25" fillId="16" borderId="0" xfId="123" applyNumberFormat="1" applyFont="1" applyFill="1" applyAlignment="1">
      <alignment horizontal="right"/>
    </xf>
    <xf numFmtId="3" fontId="15" fillId="0" borderId="0" xfId="0" applyNumberFormat="1" applyFont="1" applyBorder="1"/>
    <xf numFmtId="0" fontId="0" fillId="0" borderId="0" xfId="45" applyNumberFormat="1" applyFont="1"/>
    <xf numFmtId="0" fontId="28" fillId="0" borderId="0" xfId="125" applyFont="1"/>
    <xf numFmtId="0" fontId="29" fillId="0" borderId="0" xfId="125" applyFont="1" applyAlignment="1">
      <alignment horizontal="left" indent="6"/>
    </xf>
    <xf numFmtId="178" fontId="28" fillId="0" borderId="0" xfId="125" applyNumberFormat="1" applyFont="1"/>
    <xf numFmtId="164" fontId="28" fillId="0" borderId="0" xfId="125" applyNumberFormat="1" applyFont="1"/>
    <xf numFmtId="0" fontId="31" fillId="21" borderId="39" xfId="125" applyFont="1" applyFill="1" applyBorder="1" applyAlignment="1">
      <alignment horizontal="center" vertical="center" wrapText="1"/>
    </xf>
    <xf numFmtId="0" fontId="31" fillId="10" borderId="0" xfId="125" applyFont="1" applyFill="1" applyBorder="1" applyAlignment="1">
      <alignment horizontal="center" vertical="center" wrapText="1"/>
    </xf>
    <xf numFmtId="0" fontId="28" fillId="9" borderId="44" xfId="125" applyFont="1" applyFill="1" applyBorder="1" applyAlignment="1">
      <alignment horizontal="center" vertical="center" wrapText="1"/>
    </xf>
    <xf numFmtId="0" fontId="28" fillId="9" borderId="36" xfId="125" applyFont="1" applyFill="1" applyBorder="1" applyAlignment="1">
      <alignment horizontal="center" vertical="center" wrapText="1"/>
    </xf>
    <xf numFmtId="0" fontId="28" fillId="9" borderId="45" xfId="125" applyFont="1" applyFill="1" applyBorder="1" applyAlignment="1">
      <alignment horizontal="center" vertical="center" wrapText="1"/>
    </xf>
    <xf numFmtId="0" fontId="31" fillId="25" borderId="39" xfId="125" applyFont="1" applyFill="1" applyBorder="1" applyAlignment="1">
      <alignment horizontal="center" vertical="center"/>
    </xf>
    <xf numFmtId="0" fontId="28" fillId="26" borderId="46" xfId="125" applyFont="1" applyFill="1" applyBorder="1" applyAlignment="1">
      <alignment horizontal="center" vertical="center" wrapText="1"/>
    </xf>
    <xf numFmtId="0" fontId="31" fillId="10" borderId="43" xfId="125" applyFont="1" applyFill="1" applyBorder="1" applyAlignment="1">
      <alignment horizontal="center" vertical="center" wrapText="1"/>
    </xf>
    <xf numFmtId="0" fontId="28" fillId="27" borderId="46" xfId="125" applyFont="1" applyFill="1" applyBorder="1" applyAlignment="1">
      <alignment horizontal="center" vertical="center" wrapText="1"/>
    </xf>
    <xf numFmtId="0" fontId="28" fillId="9" borderId="46" xfId="125" applyFont="1" applyFill="1" applyBorder="1" applyAlignment="1">
      <alignment horizontal="center" vertical="center" wrapText="1"/>
    </xf>
    <xf numFmtId="49" fontId="30" fillId="28" borderId="43" xfId="125" applyNumberFormat="1" applyFont="1" applyFill="1" applyBorder="1" applyAlignment="1">
      <alignment horizontal="center" vertical="center" wrapText="1"/>
    </xf>
    <xf numFmtId="0" fontId="30" fillId="28" borderId="44" xfId="125" applyFont="1" applyFill="1" applyBorder="1" applyAlignment="1">
      <alignment horizontal="center" vertical="center" wrapText="1"/>
    </xf>
    <xf numFmtId="0" fontId="30" fillId="28" borderId="37" xfId="125" applyFont="1" applyFill="1" applyBorder="1" applyAlignment="1">
      <alignment horizontal="center" vertical="center" wrapText="1"/>
    </xf>
    <xf numFmtId="0" fontId="30" fillId="28" borderId="46" xfId="125" applyFont="1" applyFill="1" applyBorder="1" applyAlignment="1">
      <alignment horizontal="center" vertical="center" wrapText="1"/>
    </xf>
    <xf numFmtId="0" fontId="30" fillId="28" borderId="43" xfId="125" applyFont="1" applyFill="1" applyBorder="1" applyAlignment="1">
      <alignment horizontal="center" vertical="center" wrapText="1"/>
    </xf>
    <xf numFmtId="0" fontId="33" fillId="9" borderId="36" xfId="125" applyFont="1" applyFill="1" applyBorder="1" applyAlignment="1">
      <alignment horizontal="center" vertical="center" wrapText="1"/>
    </xf>
    <xf numFmtId="0" fontId="31" fillId="25" borderId="47" xfId="125" applyFont="1" applyFill="1" applyBorder="1" applyAlignment="1">
      <alignment horizontal="center" vertical="center" wrapText="1"/>
    </xf>
    <xf numFmtId="49" fontId="33" fillId="26" borderId="43" xfId="125" applyNumberFormat="1" applyFont="1" applyFill="1" applyBorder="1" applyAlignment="1">
      <alignment horizontal="center" vertical="center" wrapText="1"/>
    </xf>
    <xf numFmtId="0" fontId="28" fillId="25" borderId="43" xfId="125" applyFont="1" applyFill="1" applyBorder="1" applyAlignment="1">
      <alignment horizontal="center" vertical="center" wrapText="1"/>
    </xf>
    <xf numFmtId="49" fontId="33" fillId="27" borderId="43" xfId="125" applyNumberFormat="1" applyFont="1" applyFill="1" applyBorder="1" applyAlignment="1">
      <alignment horizontal="center" vertical="center" wrapText="1"/>
    </xf>
    <xf numFmtId="49" fontId="33" fillId="9" borderId="43" xfId="125" applyNumberFormat="1" applyFont="1" applyFill="1" applyBorder="1" applyAlignment="1">
      <alignment horizontal="center" vertical="center" wrapText="1"/>
    </xf>
    <xf numFmtId="0" fontId="33" fillId="0" borderId="0" xfId="125" applyFont="1" applyAlignment="1">
      <alignment wrapText="1"/>
    </xf>
    <xf numFmtId="0" fontId="28" fillId="0" borderId="0" xfId="125" applyNumberFormat="1" applyFont="1" applyBorder="1" applyAlignment="1">
      <alignment vertical="center"/>
    </xf>
    <xf numFmtId="0" fontId="28" fillId="0" borderId="0" xfId="125" applyFont="1" applyBorder="1" applyAlignment="1">
      <alignment vertical="center"/>
    </xf>
    <xf numFmtId="0" fontId="33" fillId="0" borderId="0" xfId="125" applyFont="1" applyFill="1" applyBorder="1"/>
    <xf numFmtId="0" fontId="33" fillId="0" borderId="0" xfId="125" applyFont="1" applyFill="1" applyBorder="1" applyAlignment="1">
      <alignment horizontal="left" vertical="center"/>
    </xf>
    <xf numFmtId="3" fontId="28" fillId="0" borderId="0" xfId="125" applyNumberFormat="1" applyFont="1"/>
    <xf numFmtId="3" fontId="33" fillId="0" borderId="0" xfId="125" applyNumberFormat="1" applyFont="1" applyFill="1" applyBorder="1" applyAlignment="1">
      <alignment horizontal="right" vertical="center"/>
    </xf>
    <xf numFmtId="3" fontId="28" fillId="0" borderId="0" xfId="125" applyNumberFormat="1" applyFont="1" applyFill="1" applyBorder="1"/>
    <xf numFmtId="178" fontId="28" fillId="0" borderId="0" xfId="125" applyNumberFormat="1" applyFont="1" applyAlignment="1">
      <alignment horizontal="right"/>
    </xf>
    <xf numFmtId="180" fontId="28" fillId="0" borderId="0" xfId="126" applyNumberFormat="1" applyFont="1" applyAlignment="1">
      <alignment horizontal="right"/>
    </xf>
    <xf numFmtId="178" fontId="28" fillId="0" borderId="0" xfId="125" applyNumberFormat="1" applyFont="1" applyBorder="1" applyAlignment="1">
      <alignment horizontal="right"/>
    </xf>
    <xf numFmtId="178" fontId="28" fillId="0" borderId="0" xfId="125" quotePrefix="1" applyNumberFormat="1" applyFont="1" applyAlignment="1">
      <alignment horizontal="right"/>
    </xf>
    <xf numFmtId="179" fontId="28" fillId="0" borderId="0" xfId="126" quotePrefix="1" applyNumberFormat="1" applyFont="1" applyAlignment="1">
      <alignment horizontal="right"/>
    </xf>
    <xf numFmtId="3" fontId="33" fillId="0" borderId="0" xfId="125" applyNumberFormat="1" applyFont="1" applyFill="1" applyBorder="1" applyAlignment="1">
      <alignment horizontal="left" vertical="center"/>
    </xf>
    <xf numFmtId="3" fontId="28" fillId="0" borderId="0" xfId="125" quotePrefix="1" applyNumberFormat="1" applyFont="1" applyFill="1" applyBorder="1" applyAlignment="1">
      <alignment horizontal="right"/>
    </xf>
    <xf numFmtId="3" fontId="28" fillId="0" borderId="0" xfId="125" applyNumberFormat="1" applyFont="1" applyFill="1" applyBorder="1" applyAlignment="1">
      <alignment horizontal="right"/>
    </xf>
    <xf numFmtId="0" fontId="33" fillId="0" borderId="0" xfId="125" applyFont="1" applyBorder="1" applyAlignment="1">
      <alignment horizontal="left" vertical="center"/>
    </xf>
    <xf numFmtId="3" fontId="33" fillId="0" borderId="0" xfId="125" applyNumberFormat="1" applyFont="1" applyBorder="1" applyAlignment="1">
      <alignment horizontal="right" vertical="center"/>
    </xf>
    <xf numFmtId="3" fontId="33" fillId="0" borderId="0" xfId="125" applyNumberFormat="1" applyFont="1" applyBorder="1" applyAlignment="1">
      <alignment horizontal="left" vertical="center"/>
    </xf>
    <xf numFmtId="3" fontId="28" fillId="0" borderId="0" xfId="125" applyNumberFormat="1" applyFont="1" applyFill="1" applyAlignment="1">
      <alignment horizontal="right"/>
    </xf>
    <xf numFmtId="9" fontId="28" fillId="0" borderId="0" xfId="1" applyFont="1"/>
    <xf numFmtId="4" fontId="0" fillId="0" borderId="0" xfId="0" applyNumberFormat="1"/>
    <xf numFmtId="0" fontId="38" fillId="0" borderId="0" xfId="0" applyFont="1" applyFill="1" applyProtection="1"/>
    <xf numFmtId="0" fontId="0" fillId="0" borderId="0" xfId="0" applyFill="1" applyProtection="1"/>
    <xf numFmtId="0" fontId="39" fillId="0" borderId="0" xfId="0" applyFont="1" applyFill="1" applyProtection="1"/>
    <xf numFmtId="0" fontId="40" fillId="0" borderId="0" xfId="0" applyFont="1" applyFill="1" applyAlignment="1" applyProtection="1">
      <alignment horizontal="left"/>
    </xf>
    <xf numFmtId="0" fontId="0" fillId="0" borderId="0" xfId="0" applyFill="1" applyAlignment="1" applyProtection="1">
      <alignment horizontal="right"/>
    </xf>
    <xf numFmtId="0" fontId="39" fillId="0" borderId="0" xfId="0" applyFont="1" applyFill="1" applyAlignment="1" applyProtection="1">
      <alignment wrapText="1"/>
    </xf>
    <xf numFmtId="0" fontId="41" fillId="0" borderId="0" xfId="0" applyFont="1" applyFill="1" applyAlignment="1" applyProtection="1">
      <alignment horizontal="left"/>
    </xf>
    <xf numFmtId="0" fontId="42" fillId="0" borderId="0" xfId="0" applyFont="1" applyFill="1" applyProtection="1"/>
    <xf numFmtId="0" fontId="13" fillId="0" borderId="0" xfId="120" applyFill="1" applyProtection="1"/>
    <xf numFmtId="0" fontId="3" fillId="0" borderId="0" xfId="0" applyFont="1" applyFill="1" applyProtection="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28" fillId="15" borderId="37" xfId="125" applyFont="1" applyFill="1" applyBorder="1" applyAlignment="1">
      <alignment horizontal="center" vertical="center" wrapText="1"/>
    </xf>
    <xf numFmtId="0" fontId="28" fillId="15" borderId="38" xfId="125" applyFont="1" applyFill="1" applyBorder="1" applyAlignment="1">
      <alignment horizontal="center" vertical="center" wrapText="1"/>
    </xf>
    <xf numFmtId="0" fontId="28" fillId="26" borderId="37" xfId="125" applyFont="1" applyFill="1" applyBorder="1" applyAlignment="1">
      <alignment horizontal="center" vertical="center" wrapText="1"/>
    </xf>
    <xf numFmtId="0" fontId="28" fillId="26" borderId="38" xfId="125" applyFont="1" applyFill="1" applyBorder="1" applyAlignment="1">
      <alignment horizontal="center" vertical="center" wrapText="1"/>
    </xf>
    <xf numFmtId="0" fontId="28" fillId="26" borderId="39" xfId="125" applyFont="1" applyFill="1" applyBorder="1" applyAlignment="1">
      <alignment horizontal="center" vertical="center" wrapText="1"/>
    </xf>
    <xf numFmtId="0" fontId="28" fillId="27" borderId="37" xfId="125" applyFont="1" applyFill="1" applyBorder="1" applyAlignment="1">
      <alignment horizontal="center" vertical="center" wrapText="1"/>
    </xf>
    <xf numFmtId="0" fontId="28" fillId="27" borderId="38" xfId="125" applyFont="1" applyFill="1" applyBorder="1" applyAlignment="1">
      <alignment horizontal="center" vertical="center" wrapText="1"/>
    </xf>
    <xf numFmtId="0" fontId="28" fillId="27" borderId="39" xfId="125" applyFont="1" applyFill="1" applyBorder="1" applyAlignment="1">
      <alignment horizontal="center" vertical="center" wrapText="1"/>
    </xf>
    <xf numFmtId="0" fontId="30" fillId="19" borderId="0" xfId="125" applyFont="1" applyFill="1" applyAlignment="1">
      <alignment horizontal="center" vertical="center"/>
    </xf>
    <xf numFmtId="0" fontId="30" fillId="19" borderId="20" xfId="125" applyFont="1" applyFill="1" applyBorder="1" applyAlignment="1">
      <alignment horizontal="center" vertical="center"/>
    </xf>
    <xf numFmtId="0" fontId="28" fillId="20" borderId="37" xfId="125" applyFont="1" applyFill="1" applyBorder="1" applyAlignment="1">
      <alignment horizontal="center" vertical="center" wrapText="1"/>
    </xf>
    <xf numFmtId="0" fontId="28" fillId="20" borderId="38" xfId="125" applyFont="1" applyFill="1" applyBorder="1" applyAlignment="1">
      <alignment horizontal="center" vertical="center" wrapText="1"/>
    </xf>
    <xf numFmtId="0" fontId="28" fillId="20" borderId="39" xfId="125" applyFont="1" applyFill="1" applyBorder="1" applyAlignment="1">
      <alignment horizontal="center" vertical="center" wrapText="1"/>
    </xf>
    <xf numFmtId="0" fontId="28" fillId="22" borderId="40" xfId="125" applyFont="1" applyFill="1" applyBorder="1" applyAlignment="1">
      <alignment horizontal="center" vertical="center" wrapText="1"/>
    </xf>
    <xf numFmtId="0" fontId="28" fillId="22" borderId="41" xfId="125" applyFont="1" applyFill="1" applyBorder="1" applyAlignment="1">
      <alignment horizontal="center" vertical="center" wrapText="1"/>
    </xf>
    <xf numFmtId="0" fontId="31" fillId="21" borderId="42" xfId="125" applyFont="1" applyFill="1" applyBorder="1" applyAlignment="1">
      <alignment horizontal="center" vertical="center" wrapText="1"/>
    </xf>
    <xf numFmtId="0" fontId="31" fillId="21" borderId="43" xfId="125" applyFont="1" applyFill="1" applyBorder="1" applyAlignment="1">
      <alignment horizontal="center" vertical="center" wrapText="1"/>
    </xf>
    <xf numFmtId="0" fontId="31" fillId="19" borderId="37" xfId="125" applyFont="1" applyFill="1" applyBorder="1" applyAlignment="1">
      <alignment horizontal="center" vertical="center" wrapText="1"/>
    </xf>
    <xf numFmtId="0" fontId="31" fillId="19" borderId="38" xfId="125" applyFont="1" applyFill="1" applyBorder="1" applyAlignment="1">
      <alignment horizontal="center" vertical="center" wrapText="1"/>
    </xf>
    <xf numFmtId="0" fontId="28" fillId="15" borderId="39" xfId="125" applyFont="1" applyFill="1" applyBorder="1" applyAlignment="1">
      <alignment horizontal="center" vertical="center" wrapText="1"/>
    </xf>
    <xf numFmtId="0" fontId="32" fillId="23" borderId="37" xfId="125" applyFont="1" applyFill="1" applyBorder="1" applyAlignment="1">
      <alignment horizontal="center" vertical="center" wrapText="1"/>
    </xf>
    <xf numFmtId="0" fontId="32" fillId="23" borderId="38" xfId="125" applyFont="1" applyFill="1" applyBorder="1" applyAlignment="1">
      <alignment horizontal="center" vertical="center" wrapText="1"/>
    </xf>
    <xf numFmtId="0" fontId="32" fillId="23" borderId="39" xfId="125" applyFont="1" applyFill="1" applyBorder="1" applyAlignment="1">
      <alignment horizontal="center" vertical="center" wrapText="1"/>
    </xf>
    <xf numFmtId="0" fontId="30" fillId="24" borderId="37" xfId="125" applyFont="1" applyFill="1" applyBorder="1" applyAlignment="1">
      <alignment horizontal="center" vertical="center" wrapText="1"/>
    </xf>
    <xf numFmtId="0" fontId="30" fillId="24" borderId="38" xfId="125" applyFont="1" applyFill="1" applyBorder="1" applyAlignment="1">
      <alignment horizontal="center" vertical="center" wrapText="1"/>
    </xf>
    <xf numFmtId="0" fontId="30" fillId="24" borderId="39" xfId="125" applyFont="1" applyFill="1" applyBorder="1" applyAlignment="1">
      <alignment horizontal="center" vertical="center" wrapText="1"/>
    </xf>
    <xf numFmtId="2" fontId="3" fillId="0" borderId="25" xfId="0" applyNumberFormat="1" applyFont="1" applyFill="1" applyBorder="1" applyProtection="1"/>
  </cellXfs>
  <cellStyles count="127">
    <cellStyle name="Comma 2" xfId="126" xr:uid="{4C462449-6A45-3E4B-BA0E-EB7F6D529C7E}"/>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xr:uid="{00000000-0005-0000-0000-000072000000}"/>
    <cellStyle name="Normal" xfId="0" builtinId="0"/>
    <cellStyle name="Normal 10 2" xfId="123" xr:uid="{54696A25-369B-0C4E-B8C7-B07AD8E8B923}"/>
    <cellStyle name="Normal 2" xfId="3" xr:uid="{00000000-0005-0000-0000-000074000000}"/>
    <cellStyle name="Normal 2 2" xfId="44" xr:uid="{00000000-0005-0000-0000-000075000000}"/>
    <cellStyle name="Normal 23" xfId="124" xr:uid="{C7B513AF-5F4B-FC41-90B8-2B6D7A35D7BC}"/>
    <cellStyle name="Normal 3" xfId="125" xr:uid="{3487F870-0407-AA4E-B0DF-332E377F7215}"/>
    <cellStyle name="Percent" xfId="1" builtinId="5"/>
    <cellStyle name="Percent 2" xfId="4" xr:uid="{00000000-0005-0000-0000-000077000000}"/>
    <cellStyle name="Percent 3" xfId="5" xr:uid="{00000000-0005-0000-0000-000078000000}"/>
    <cellStyle name="Percent 4" xfId="45" xr:uid="{00000000-0005-0000-0000-000079000000}"/>
    <cellStyle name="Warning Text 3" xfId="6" xr:uid="{00000000-0005-0000-0000-00007A000000}"/>
  </cellStyles>
  <dxfs count="38">
    <dxf>
      <fill>
        <patternFill>
          <bgColor rgb="FFFFC7CE"/>
        </patternFill>
      </fill>
    </dxf>
    <dxf>
      <font>
        <strike val="0"/>
        <outline val="0"/>
        <shadow val="0"/>
        <vertAlign val="baseline"/>
        <name val="Open Sans"/>
        <scheme val="none"/>
      </font>
      <numFmt numFmtId="178" formatCode="#,##0.0"/>
    </dxf>
    <dxf>
      <font>
        <strike val="0"/>
        <outline val="0"/>
        <shadow val="0"/>
        <vertAlign val="baseline"/>
        <name val="Open Sans"/>
        <scheme val="none"/>
      </font>
      <numFmt numFmtId="3" formatCode="#,##0"/>
    </dxf>
    <dxf>
      <font>
        <b val="0"/>
        <i val="0"/>
        <strike val="0"/>
        <condense val="0"/>
        <extend val="0"/>
        <outline val="0"/>
        <shadow val="0"/>
        <u val="none"/>
        <vertAlign val="baseline"/>
        <sz val="11"/>
        <color theme="1"/>
        <name val="Open Sans"/>
        <scheme val="none"/>
      </font>
      <numFmt numFmtId="179" formatCode="_-* #,##0.00\ _€_-;\-* #,##0.00\ _€_-;_-* &quot;-&quot;??\ _€_-;_-@_-"/>
      <alignment horizontal="right" vertical="bottom" textRotation="0" wrapText="0" 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b val="0"/>
        <i val="0"/>
        <strike val="0"/>
        <condense val="0"/>
        <extend val="0"/>
        <outline val="0"/>
        <shadow val="0"/>
        <u val="none"/>
        <vertAlign val="baseline"/>
        <sz val="11"/>
        <color theme="1"/>
        <name val="Open Sans"/>
        <scheme val="none"/>
      </font>
      <numFmt numFmtId="180" formatCode="_-* #,##0.0\ _€_-;\-* #,##0.0\ _€_-;_-* &quot;-&quot;??\ _€_-;_-@_-"/>
      <alignment horizontal="right" vertical="bottom" textRotation="0" wrapText="0" 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178" formatCode="#,##0.0"/>
      <alignment horizontal="right" vertical="bottom" textRotation="0" wrapText="0" relativeIndent="0" justifyLastLine="0" shrinkToFit="0" readingOrder="0"/>
    </dxf>
    <dxf>
      <font>
        <strike val="0"/>
        <outline val="0"/>
        <shadow val="0"/>
        <vertAlign val="baseline"/>
        <name val="Open Sans"/>
        <scheme val="none"/>
      </font>
      <numFmt numFmtId="3" formatCode="#,##0"/>
      <fill>
        <patternFill patternType="none">
          <fgColor indexed="64"/>
          <bgColor indexed="65"/>
        </patternFill>
      </fill>
      <alignment horizontal="right" vertical="bottom" textRotation="0" wrapText="0" relativeIndent="0" justifyLastLine="0" shrinkToFit="0" readingOrder="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strike val="0"/>
        <outline val="0"/>
        <shadow val="0"/>
        <vertAlign val="baseline"/>
        <name val="Open Sans"/>
        <scheme val="none"/>
      </font>
      <numFmt numFmtId="3" formatCode="#,##0"/>
    </dxf>
    <dxf>
      <font>
        <b val="0"/>
        <i val="0"/>
        <strike val="0"/>
        <condense val="0"/>
        <extend val="0"/>
        <outline val="0"/>
        <shadow val="0"/>
        <u val="none"/>
        <vertAlign val="baseline"/>
        <sz val="11"/>
        <color auto="1"/>
        <name val="Open Sans"/>
        <scheme val="none"/>
      </font>
      <fill>
        <patternFill patternType="none">
          <fgColor indexed="64"/>
          <bgColor indexed="65"/>
        </patternFill>
      </fill>
      <alignment horizontal="left" vertical="center" textRotation="0" wrapText="0" relativeIndent="0" justifyLastLine="0" shrinkToFit="0" readingOrder="0"/>
    </dxf>
    <dxf>
      <font>
        <b val="0"/>
        <i val="0"/>
        <strike val="0"/>
        <condense val="0"/>
        <extend val="0"/>
        <outline val="0"/>
        <shadow val="0"/>
        <u val="none"/>
        <vertAlign val="baseline"/>
        <sz val="11"/>
        <color auto="1"/>
        <name val="Open Sans"/>
        <scheme val="none"/>
      </font>
      <fill>
        <patternFill patternType="none">
          <fgColor indexed="64"/>
          <bgColor indexed="65"/>
        </patternFill>
      </fill>
    </dxf>
    <dxf>
      <font>
        <strike val="0"/>
        <outline val="0"/>
        <shadow val="0"/>
        <vertAlign val="baseline"/>
        <name val="Open Sans"/>
        <scheme val="none"/>
      </font>
      <alignment horizontal="general" vertical="center" textRotation="0" wrapText="0" relativeIndent="0" justifyLastLine="0" shrinkToFit="0" readingOrder="0"/>
    </dxf>
    <dxf>
      <font>
        <strike val="0"/>
        <outline val="0"/>
        <shadow val="0"/>
        <vertAlign val="baseline"/>
        <name val="Open Sans"/>
        <scheme val="none"/>
      </font>
      <alignment horizontal="general" vertical="center" textRotation="0" wrapText="0" relativeIndent="0" justifyLastLine="0" shrinkToFit="0" readingOrder="0"/>
    </dxf>
    <dxf>
      <font>
        <strike val="0"/>
        <outline val="0"/>
        <shadow val="0"/>
        <vertAlign val="baseline"/>
        <name val="Open Sans"/>
        <scheme val="none"/>
      </font>
      <alignment horizontal="general" vertical="center" textRotation="0" wrapText="0" relativeIndent="0" justifyLastLine="0" shrinkToFit="0" readingOrder="0"/>
    </dxf>
    <dxf>
      <font>
        <strike val="0"/>
        <outline val="0"/>
        <shadow val="0"/>
        <vertAlign val="baseline"/>
        <name val="Open Sans"/>
        <scheme val="none"/>
      </font>
    </dxf>
    <dxf>
      <font>
        <strike val="0"/>
        <outline val="0"/>
        <shadow val="0"/>
        <vertAlign val="baseline"/>
        <name val="Open Sans"/>
        <scheme val="none"/>
      </font>
    </dxf>
    <dxf>
      <font>
        <strike val="0"/>
        <outline val="0"/>
        <shadow val="0"/>
        <vertAlign val="baseline"/>
        <name val="Open Sans"/>
        <scheme val="none"/>
      </font>
      <alignment horizontal="general" vertical="center" textRotation="0" wrapText="0" relativeIndent="0" justifyLastLine="0" shrinkToFit="0" readingOrder="0"/>
    </dxf>
    <dxf>
      <font>
        <strike val="0"/>
        <outline val="0"/>
        <shadow val="0"/>
        <vertAlign val="baseline"/>
        <name val="Open Sans"/>
        <scheme val="none"/>
      </font>
      <alignment horizontal="general" vertical="center" textRotation="0" wrapText="0" relativeIndent="0" justifyLastLine="0" shrinkToFit="0" readingOrder="0"/>
    </dxf>
    <dxf>
      <font>
        <strike val="0"/>
        <outline val="0"/>
        <shadow val="0"/>
        <vertAlign val="baseline"/>
        <name val="Open Sans"/>
        <scheme val="none"/>
      </font>
      <numFmt numFmtId="0" formatCode="General"/>
      <alignment horizontal="general" vertical="center" textRotation="0" wrapText="0" relativeIndent="0" justifyLastLine="0" shrinkToFit="0" readingOrder="0"/>
    </dxf>
    <dxf>
      <font>
        <strike val="0"/>
        <outline val="0"/>
        <shadow val="0"/>
        <vertAlign val="baseline"/>
        <name val="Open Sans"/>
        <scheme val="none"/>
      </font>
      <numFmt numFmtId="0" formatCode="General"/>
      <alignment horizontal="general" vertical="center" textRotation="0" wrapText="0" relativeIndent="0" justifyLastLine="0" shrinkToFit="0" readingOrder="0"/>
    </dxf>
    <dxf>
      <border outline="0">
        <top style="thin">
          <color indexed="64"/>
        </top>
      </border>
    </dxf>
    <dxf>
      <font>
        <strike val="0"/>
        <outline val="0"/>
        <shadow val="0"/>
        <vertAlign val="baseline"/>
        <name val="Open Sans"/>
        <scheme val="none"/>
      </font>
      <numFmt numFmtId="30" formatCode="@"/>
    </dxf>
    <dxf>
      <border outline="0">
        <bottom style="thin">
          <color indexed="64"/>
        </bottom>
      </border>
    </dxf>
    <dxf>
      <font>
        <strike val="0"/>
        <outline val="0"/>
        <shadow val="0"/>
        <u val="none"/>
        <vertAlign val="baseline"/>
        <sz val="11"/>
        <color auto="1"/>
        <name val="Open Sans"/>
        <scheme val="none"/>
      </font>
      <numFmt numFmtId="30" formatCode="@"/>
      <fill>
        <patternFill patternType="solid">
          <fgColor indexed="64"/>
          <bgColor rgb="FFDAC2EC"/>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145676</xdr:colOff>
      <xdr:row>0</xdr:row>
      <xdr:rowOff>78441</xdr:rowOff>
    </xdr:from>
    <xdr:to>
      <xdr:col>5</xdr:col>
      <xdr:colOff>564776</xdr:colOff>
      <xdr:row>1</xdr:row>
      <xdr:rowOff>11926</xdr:rowOff>
    </xdr:to>
    <xdr:pic>
      <xdr:nvPicPr>
        <xdr:cNvPr id="2" name="Picture 1">
          <a:extLst>
            <a:ext uri="{FF2B5EF4-FFF2-40B4-BE49-F238E27FC236}">
              <a16:creationId xmlns:a16="http://schemas.microsoft.com/office/drawing/2014/main" id="{0126DDB3-A3F5-C841-88C3-E82B9A4E77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676" y="78441"/>
          <a:ext cx="419100" cy="504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228600</xdr:colOff>
      <xdr:row>0</xdr:row>
      <xdr:rowOff>0</xdr:rowOff>
    </xdr:from>
    <xdr:to>
      <xdr:col>39</xdr:col>
      <xdr:colOff>748817</xdr:colOff>
      <xdr:row>18</xdr:row>
      <xdr:rowOff>101600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26708100" y="0"/>
          <a:ext cx="7949717" cy="3784600"/>
        </a:xfrm>
        <a:prstGeom prst="rect">
          <a:avLst/>
        </a:prstGeom>
      </xdr:spPr>
    </xdr:pic>
    <xdr:clientData/>
  </xdr:twoCellAnchor>
  <xdr:twoCellAnchor editAs="oneCell">
    <xdr:from>
      <xdr:col>7</xdr:col>
      <xdr:colOff>38100</xdr:colOff>
      <xdr:row>59</xdr:row>
      <xdr:rowOff>101600</xdr:rowOff>
    </xdr:from>
    <xdr:to>
      <xdr:col>17</xdr:col>
      <xdr:colOff>625434</xdr:colOff>
      <xdr:row>97</xdr:row>
      <xdr:rowOff>152400</xdr:rowOff>
    </xdr:to>
    <xdr:pic>
      <xdr:nvPicPr>
        <xdr:cNvPr id="4" name="Picture 3">
          <a:extLst>
            <a:ext uri="{FF2B5EF4-FFF2-40B4-BE49-F238E27FC236}">
              <a16:creationId xmlns:a16="http://schemas.microsoft.com/office/drawing/2014/main" id="{9DC82139-CFC8-7F4D-8C94-15932D460BC0}"/>
            </a:ext>
          </a:extLst>
        </xdr:cNvPr>
        <xdr:cNvPicPr>
          <a:picLocks noChangeAspect="1"/>
        </xdr:cNvPicPr>
      </xdr:nvPicPr>
      <xdr:blipFill>
        <a:blip xmlns:r="http://schemas.openxmlformats.org/officeDocument/2006/relationships" r:embed="rId2"/>
        <a:stretch>
          <a:fillRect/>
        </a:stretch>
      </xdr:blipFill>
      <xdr:spPr>
        <a:xfrm>
          <a:off x="7531100" y="11684000"/>
          <a:ext cx="8842334"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203200</xdr:colOff>
      <xdr:row>3</xdr:row>
      <xdr:rowOff>50800</xdr:rowOff>
    </xdr:from>
    <xdr:to>
      <xdr:col>22</xdr:col>
      <xdr:colOff>368300</xdr:colOff>
      <xdr:row>14</xdr:row>
      <xdr:rowOff>139700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7932400" y="660400"/>
          <a:ext cx="8420100" cy="2819400"/>
        </a:xfrm>
        <a:prstGeom prst="rect">
          <a:avLst/>
        </a:prstGeom>
      </xdr:spPr>
    </xdr:pic>
    <xdr:clientData/>
  </xdr:twoCellAnchor>
  <xdr:twoCellAnchor editAs="oneCell">
    <xdr:from>
      <xdr:col>12</xdr:col>
      <xdr:colOff>0</xdr:colOff>
      <xdr:row>23</xdr:row>
      <xdr:rowOff>0</xdr:rowOff>
    </xdr:from>
    <xdr:to>
      <xdr:col>23</xdr:col>
      <xdr:colOff>393700</xdr:colOff>
      <xdr:row>39</xdr:row>
      <xdr:rowOff>127000</xdr:rowOff>
    </xdr:to>
    <xdr:pic>
      <xdr:nvPicPr>
        <xdr:cNvPr id="5" name="Picture 4">
          <a:extLst>
            <a:ext uri="{FF2B5EF4-FFF2-40B4-BE49-F238E27FC236}">
              <a16:creationId xmlns:a16="http://schemas.microsoft.com/office/drawing/2014/main" id="{29B3FE2A-E7B5-914C-9D43-AB04C4945C31}"/>
            </a:ext>
          </a:extLst>
        </xdr:cNvPr>
        <xdr:cNvPicPr>
          <a:picLocks noChangeAspect="1"/>
        </xdr:cNvPicPr>
      </xdr:nvPicPr>
      <xdr:blipFill>
        <a:blip xmlns:r="http://schemas.openxmlformats.org/officeDocument/2006/relationships" r:embed="rId2"/>
        <a:stretch>
          <a:fillRect/>
        </a:stretch>
      </xdr:blipFill>
      <xdr:spPr>
        <a:xfrm>
          <a:off x="17729200" y="6197600"/>
          <a:ext cx="9474200" cy="3416300"/>
        </a:xfrm>
        <a:prstGeom prst="rect">
          <a:avLst/>
        </a:prstGeom>
      </xdr:spPr>
    </xdr:pic>
    <xdr:clientData/>
  </xdr:twoCellAnchor>
  <xdr:twoCellAnchor editAs="oneCell">
    <xdr:from>
      <xdr:col>12</xdr:col>
      <xdr:colOff>114300</xdr:colOff>
      <xdr:row>40</xdr:row>
      <xdr:rowOff>165100</xdr:rowOff>
    </xdr:from>
    <xdr:to>
      <xdr:col>23</xdr:col>
      <xdr:colOff>342900</xdr:colOff>
      <xdr:row>57</xdr:row>
      <xdr:rowOff>190500</xdr:rowOff>
    </xdr:to>
    <xdr:pic>
      <xdr:nvPicPr>
        <xdr:cNvPr id="7" name="Picture 6">
          <a:extLst>
            <a:ext uri="{FF2B5EF4-FFF2-40B4-BE49-F238E27FC236}">
              <a16:creationId xmlns:a16="http://schemas.microsoft.com/office/drawing/2014/main" id="{21C88C18-EC52-A24F-A4F3-8376726DB9A2}"/>
            </a:ext>
          </a:extLst>
        </xdr:cNvPr>
        <xdr:cNvPicPr>
          <a:picLocks noChangeAspect="1"/>
        </xdr:cNvPicPr>
      </xdr:nvPicPr>
      <xdr:blipFill>
        <a:blip xmlns:r="http://schemas.openxmlformats.org/officeDocument/2006/relationships" r:embed="rId3"/>
        <a:stretch>
          <a:fillRect/>
        </a:stretch>
      </xdr:blipFill>
      <xdr:spPr>
        <a:xfrm>
          <a:off x="17843500" y="8890000"/>
          <a:ext cx="9309100" cy="3479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321733</xdr:colOff>
      <xdr:row>5</xdr:row>
      <xdr:rowOff>135466</xdr:rowOff>
    </xdr:from>
    <xdr:to>
      <xdr:col>16</xdr:col>
      <xdr:colOff>385945</xdr:colOff>
      <xdr:row>14</xdr:row>
      <xdr:rowOff>403906</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11954933" y="1168399"/>
          <a:ext cx="13360400" cy="2447707"/>
        </a:xfrm>
        <a:prstGeom prst="rect">
          <a:avLst/>
        </a:prstGeom>
      </xdr:spPr>
    </xdr:pic>
    <xdr:clientData/>
  </xdr:twoCellAnchor>
  <xdr:twoCellAnchor editAs="oneCell">
    <xdr:from>
      <xdr:col>14</xdr:col>
      <xdr:colOff>0</xdr:colOff>
      <xdr:row>21</xdr:row>
      <xdr:rowOff>0</xdr:rowOff>
    </xdr:from>
    <xdr:to>
      <xdr:col>14</xdr:col>
      <xdr:colOff>4538133</xdr:colOff>
      <xdr:row>25</xdr:row>
      <xdr:rowOff>171824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stretch>
          <a:fillRect/>
        </a:stretch>
      </xdr:blipFill>
      <xdr:spPr>
        <a:xfrm>
          <a:off x="11633200" y="4334933"/>
          <a:ext cx="4559300" cy="1003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25400</xdr:colOff>
      <xdr:row>24</xdr:row>
      <xdr:rowOff>139700</xdr:rowOff>
    </xdr:from>
    <xdr:to>
      <xdr:col>22</xdr:col>
      <xdr:colOff>368300</xdr:colOff>
      <xdr:row>36</xdr:row>
      <xdr:rowOff>114300</xdr:rowOff>
    </xdr:to>
    <xdr:pic>
      <xdr:nvPicPr>
        <xdr:cNvPr id="3" name="Picture 2">
          <a:extLst>
            <a:ext uri="{FF2B5EF4-FFF2-40B4-BE49-F238E27FC236}">
              <a16:creationId xmlns:a16="http://schemas.microsoft.com/office/drawing/2014/main" id="{820FDD8B-5C54-6943-80A1-97BD1346672C}"/>
            </a:ext>
          </a:extLst>
        </xdr:cNvPr>
        <xdr:cNvPicPr>
          <a:picLocks noChangeAspect="1"/>
        </xdr:cNvPicPr>
      </xdr:nvPicPr>
      <xdr:blipFill>
        <a:blip xmlns:r="http://schemas.openxmlformats.org/officeDocument/2006/relationships" r:embed="rId1"/>
        <a:stretch>
          <a:fillRect/>
        </a:stretch>
      </xdr:blipFill>
      <xdr:spPr>
        <a:xfrm>
          <a:off x="11442700" y="5054600"/>
          <a:ext cx="9423400" cy="2413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139700</xdr:colOff>
      <xdr:row>0</xdr:row>
      <xdr:rowOff>0</xdr:rowOff>
    </xdr:from>
    <xdr:to>
      <xdr:col>17</xdr:col>
      <xdr:colOff>723900</xdr:colOff>
      <xdr:row>30</xdr:row>
      <xdr:rowOff>0</xdr:rowOff>
    </xdr:to>
    <xdr:pic>
      <xdr:nvPicPr>
        <xdr:cNvPr id="3" name="Picture 2">
          <a:extLst>
            <a:ext uri="{FF2B5EF4-FFF2-40B4-BE49-F238E27FC236}">
              <a16:creationId xmlns:a16="http://schemas.microsoft.com/office/drawing/2014/main" id="{CD8A580D-8AAC-6C4E-84A1-6A5A4E68DFE4}"/>
            </a:ext>
          </a:extLst>
        </xdr:cNvPr>
        <xdr:cNvPicPr>
          <a:picLocks noChangeAspect="1"/>
        </xdr:cNvPicPr>
      </xdr:nvPicPr>
      <xdr:blipFill>
        <a:blip xmlns:r="http://schemas.openxmlformats.org/officeDocument/2006/relationships" r:embed="rId1"/>
        <a:stretch>
          <a:fillRect/>
        </a:stretch>
      </xdr:blipFill>
      <xdr:spPr>
        <a:xfrm>
          <a:off x="5359400" y="0"/>
          <a:ext cx="8839200" cy="609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17</xdr:col>
      <xdr:colOff>12700</xdr:colOff>
      <xdr:row>20</xdr:row>
      <xdr:rowOff>152400</xdr:rowOff>
    </xdr:from>
    <xdr:to>
      <xdr:col>27</xdr:col>
      <xdr:colOff>279400</xdr:colOff>
      <xdr:row>46</xdr:row>
      <xdr:rowOff>12700</xdr:rowOff>
    </xdr:to>
    <xdr:pic>
      <xdr:nvPicPr>
        <xdr:cNvPr id="6" name="Picture 5">
          <a:extLst>
            <a:ext uri="{FF2B5EF4-FFF2-40B4-BE49-F238E27FC236}">
              <a16:creationId xmlns:a16="http://schemas.microsoft.com/office/drawing/2014/main" id="{6F22E736-21FA-8A4E-8A4C-82F4F5F172FA}"/>
            </a:ext>
          </a:extLst>
        </xdr:cNvPr>
        <xdr:cNvPicPr>
          <a:picLocks noChangeAspect="1"/>
        </xdr:cNvPicPr>
      </xdr:nvPicPr>
      <xdr:blipFill>
        <a:blip xmlns:r="http://schemas.openxmlformats.org/officeDocument/2006/relationships" r:embed="rId1"/>
        <a:stretch>
          <a:fillRect/>
        </a:stretch>
      </xdr:blipFill>
      <xdr:spPr>
        <a:xfrm>
          <a:off x="15976600" y="8890000"/>
          <a:ext cx="8521700" cy="5143500"/>
        </a:xfrm>
        <a:prstGeom prst="rect">
          <a:avLst/>
        </a:prstGeom>
      </xdr:spPr>
    </xdr:pic>
    <xdr:clientData/>
  </xdr:twoCellAnchor>
  <xdr:twoCellAnchor editAs="oneCell">
    <xdr:from>
      <xdr:col>17</xdr:col>
      <xdr:colOff>0</xdr:colOff>
      <xdr:row>51</xdr:row>
      <xdr:rowOff>0</xdr:rowOff>
    </xdr:from>
    <xdr:to>
      <xdr:col>26</xdr:col>
      <xdr:colOff>553506</xdr:colOff>
      <xdr:row>88</xdr:row>
      <xdr:rowOff>50800</xdr:rowOff>
    </xdr:to>
    <xdr:pic>
      <xdr:nvPicPr>
        <xdr:cNvPr id="7" name="Picture 6">
          <a:extLst>
            <a:ext uri="{FF2B5EF4-FFF2-40B4-BE49-F238E27FC236}">
              <a16:creationId xmlns:a16="http://schemas.microsoft.com/office/drawing/2014/main" id="{EB37437E-E52B-4345-8CFA-9A3273DE0A6D}"/>
            </a:ext>
          </a:extLst>
        </xdr:cNvPr>
        <xdr:cNvPicPr>
          <a:picLocks noChangeAspect="1"/>
        </xdr:cNvPicPr>
      </xdr:nvPicPr>
      <xdr:blipFill>
        <a:blip xmlns:r="http://schemas.openxmlformats.org/officeDocument/2006/relationships" r:embed="rId2"/>
        <a:stretch>
          <a:fillRect/>
        </a:stretch>
      </xdr:blipFill>
      <xdr:spPr>
        <a:xfrm>
          <a:off x="15963900" y="15646400"/>
          <a:ext cx="7983006" cy="7772400"/>
        </a:xfrm>
        <a:prstGeom prst="rect">
          <a:avLst/>
        </a:prstGeom>
      </xdr:spPr>
    </xdr:pic>
    <xdr:clientData/>
  </xdr:twoCellAnchor>
  <xdr:twoCellAnchor>
    <xdr:from>
      <xdr:col>0</xdr:col>
      <xdr:colOff>406400</xdr:colOff>
      <xdr:row>0</xdr:row>
      <xdr:rowOff>12700</xdr:rowOff>
    </xdr:from>
    <xdr:to>
      <xdr:col>14</xdr:col>
      <xdr:colOff>635000</xdr:colOff>
      <xdr:row>6</xdr:row>
      <xdr:rowOff>38100</xdr:rowOff>
    </xdr:to>
    <xdr:sp macro="" textlink="">
      <xdr:nvSpPr>
        <xdr:cNvPr id="2" name="TextBox 1">
          <a:extLst>
            <a:ext uri="{FF2B5EF4-FFF2-40B4-BE49-F238E27FC236}">
              <a16:creationId xmlns:a16="http://schemas.microsoft.com/office/drawing/2014/main" id="{FF7079B3-EC3A-2E4F-B3C2-633994E462C5}"/>
            </a:ext>
          </a:extLst>
        </xdr:cNvPr>
        <xdr:cNvSpPr txBox="1"/>
      </xdr:nvSpPr>
      <xdr:spPr>
        <a:xfrm>
          <a:off x="406400" y="12700"/>
          <a:ext cx="149352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Info</a:t>
          </a:r>
          <a:r>
            <a:rPr lang="en-US" sz="1100" baseline="0"/>
            <a:t>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ms-prext.fraunhofer.de/DOKUME~1/ft/LOKALE~1/Temp/EB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ms-prext.fraunhofer.de/livelinkdav/nodes/72428/Mapping%20EU%20heat%20supply/Work%20packages/WP3/Scenario_results/Current_policy/WP3_RES-H-C-sha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Z 2003 Zuordn. der EB"/>
      <sheetName val="Bil  TJ"/>
      <sheetName val="Bil  SKE"/>
      <sheetName val="Bil na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DiaRESTotal"/>
      <sheetName val="DiaRES_MS"/>
      <sheetName val="RES-share-HC"/>
      <sheetName val="RES"/>
      <sheetName val="TER"/>
      <sheetName val="IND"/>
      <sheetName val="RESShare_DistEle"/>
      <sheetName val="EC"/>
      <sheetName val="RESIDENTIAL-WP1-WP3"/>
      <sheetName val="ForReport"/>
      <sheetName val="Eurostat RES-HC shares"/>
      <sheetName val="ColorLeg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G5" t="str">
            <v>EU28</v>
          </cell>
          <cell r="H5" t="str">
            <v>AT</v>
          </cell>
          <cell r="I5" t="str">
            <v>BE</v>
          </cell>
          <cell r="J5" t="str">
            <v>BG</v>
          </cell>
          <cell r="K5" t="str">
            <v>CY</v>
          </cell>
          <cell r="L5" t="str">
            <v>CZ</v>
          </cell>
          <cell r="M5" t="str">
            <v>DE</v>
          </cell>
          <cell r="N5" t="str">
            <v>DK</v>
          </cell>
          <cell r="O5" t="str">
            <v>EE</v>
          </cell>
          <cell r="P5" t="str">
            <v>EL</v>
          </cell>
          <cell r="Q5" t="str">
            <v>ES</v>
          </cell>
          <cell r="R5" t="str">
            <v>FI</v>
          </cell>
          <cell r="S5" t="str">
            <v>FR</v>
          </cell>
          <cell r="T5" t="str">
            <v>HR</v>
          </cell>
          <cell r="U5" t="str">
            <v>HU</v>
          </cell>
          <cell r="V5" t="str">
            <v>IE</v>
          </cell>
          <cell r="W5" t="str">
            <v>IT</v>
          </cell>
          <cell r="X5" t="str">
            <v>LT</v>
          </cell>
          <cell r="Y5" t="str">
            <v>LU</v>
          </cell>
          <cell r="Z5" t="str">
            <v>LV</v>
          </cell>
          <cell r="AA5" t="str">
            <v>MT</v>
          </cell>
          <cell r="AB5" t="str">
            <v>NL</v>
          </cell>
          <cell r="AC5" t="str">
            <v>PL</v>
          </cell>
          <cell r="AD5" t="str">
            <v>PT</v>
          </cell>
          <cell r="AE5" t="str">
            <v>RO</v>
          </cell>
          <cell r="AF5" t="str">
            <v>SE</v>
          </cell>
          <cell r="AG5" t="str">
            <v>SI</v>
          </cell>
          <cell r="AH5" t="str">
            <v>SK</v>
          </cell>
          <cell r="AI5" t="str">
            <v>UK</v>
          </cell>
        </row>
        <row r="6">
          <cell r="G6">
            <v>6163.0151602227161</v>
          </cell>
          <cell r="H6">
            <v>165.59427817485351</v>
          </cell>
          <cell r="I6">
            <v>197.57865044944037</v>
          </cell>
          <cell r="J6">
            <v>59.41381441410045</v>
          </cell>
          <cell r="K6">
            <v>6.0457635171136133</v>
          </cell>
          <cell r="L6">
            <v>165.05321641986279</v>
          </cell>
          <cell r="M6">
            <v>1142.4932716404403</v>
          </cell>
          <cell r="N6">
            <v>77.48194023513723</v>
          </cell>
          <cell r="O6">
            <v>16.56531655160228</v>
          </cell>
          <cell r="P6">
            <v>82.689660610159663</v>
          </cell>
          <cell r="Q6">
            <v>433.80629235167544</v>
          </cell>
          <cell r="R6">
            <v>181.40114966959894</v>
          </cell>
          <cell r="S6">
            <v>782.53995051865957</v>
          </cell>
          <cell r="T6">
            <v>37.093457284705252</v>
          </cell>
          <cell r="U6">
            <v>92.901487636837714</v>
          </cell>
          <cell r="V6">
            <v>52.516498193409198</v>
          </cell>
          <cell r="W6">
            <v>809.24195495006472</v>
          </cell>
          <cell r="X6">
            <v>24.312058917742487</v>
          </cell>
          <cell r="Y6">
            <v>13.844334488192445</v>
          </cell>
          <cell r="Z6">
            <v>25.174390127264733</v>
          </cell>
          <cell r="AA6">
            <v>1.5974892881512941</v>
          </cell>
          <cell r="AB6">
            <v>279.39517378925086</v>
          </cell>
          <cell r="AC6">
            <v>407.09413249715567</v>
          </cell>
          <cell r="AD6">
            <v>83.784072391218643</v>
          </cell>
          <cell r="AE6">
            <v>158.37077810205489</v>
          </cell>
          <cell r="AF6">
            <v>180.93166716015509</v>
          </cell>
          <cell r="AG6">
            <v>24.935150240580523</v>
          </cell>
          <cell r="AH6">
            <v>77.96843943006445</v>
          </cell>
          <cell r="AI6">
            <v>583.1907711732232</v>
          </cell>
        </row>
        <row r="7">
          <cell r="G7">
            <v>5256.0384427499312</v>
          </cell>
          <cell r="H7">
            <v>152.80432922867243</v>
          </cell>
          <cell r="I7">
            <v>175.48369931966033</v>
          </cell>
          <cell r="J7">
            <v>47.13205361449495</v>
          </cell>
          <cell r="K7">
            <v>3.3801599688483233</v>
          </cell>
          <cell r="L7">
            <v>149.48250966869725</v>
          </cell>
          <cell r="M7">
            <v>1021.3682732490693</v>
          </cell>
          <cell r="N7">
            <v>68.765678649378899</v>
          </cell>
          <cell r="O7">
            <v>14.881588935510029</v>
          </cell>
          <cell r="P7">
            <v>55.838060054603417</v>
          </cell>
          <cell r="Q7">
            <v>319.41021007045856</v>
          </cell>
          <cell r="R7">
            <v>159.78210250377956</v>
          </cell>
          <cell r="S7">
            <v>616.98240820785782</v>
          </cell>
          <cell r="T7">
            <v>31.800420781773798</v>
          </cell>
          <cell r="U7">
            <v>82.700372174663627</v>
          </cell>
          <cell r="V7">
            <v>45.423541258955339</v>
          </cell>
          <cell r="W7">
            <v>647.60341469471564</v>
          </cell>
          <cell r="X7">
            <v>22.267386847864742</v>
          </cell>
          <cell r="Y7">
            <v>10.914879966727247</v>
          </cell>
          <cell r="Z7">
            <v>23.07915466276317</v>
          </cell>
          <cell r="AA7">
            <v>0.33234118078596298</v>
          </cell>
          <cell r="AB7">
            <v>248.05488241908202</v>
          </cell>
          <cell r="AC7">
            <v>368.84351673159887</v>
          </cell>
          <cell r="AD7">
            <v>58.19996013730163</v>
          </cell>
          <cell r="AE7">
            <v>149.6452818927869</v>
          </cell>
          <cell r="AF7">
            <v>156.31391934473828</v>
          </cell>
          <cell r="AG7">
            <v>21.443011994577045</v>
          </cell>
          <cell r="AH7">
            <v>71.087180330744573</v>
          </cell>
          <cell r="AI7">
            <v>533.01810485982082</v>
          </cell>
        </row>
        <row r="8">
          <cell r="G8">
            <v>1092.8496252311006</v>
          </cell>
          <cell r="H8">
            <v>43.170105011569504</v>
          </cell>
          <cell r="I8">
            <v>29.728149544876864</v>
          </cell>
          <cell r="J8">
            <v>17.201090477659498</v>
          </cell>
          <cell r="K8">
            <v>1.2948480588549172</v>
          </cell>
          <cell r="L8">
            <v>39.561420888232945</v>
          </cell>
          <cell r="M8">
            <v>129.28648771585472</v>
          </cell>
          <cell r="N8">
            <v>18.352199398652477</v>
          </cell>
          <cell r="O8">
            <v>5.7534680764487014</v>
          </cell>
          <cell r="P8">
            <v>19.087548878549782</v>
          </cell>
          <cell r="Q8">
            <v>86.841891081510724</v>
          </cell>
          <cell r="R8">
            <v>73.257610242963977</v>
          </cell>
          <cell r="S8">
            <v>164.30195001770844</v>
          </cell>
          <cell r="T8">
            <v>11.322445710164207</v>
          </cell>
          <cell r="U8">
            <v>19.116466319448662</v>
          </cell>
          <cell r="V8">
            <v>7.5440209663748092</v>
          </cell>
          <cell r="W8">
            <v>128.03260294342067</v>
          </cell>
          <cell r="X8">
            <v>5.8665893231832538</v>
          </cell>
          <cell r="Y8">
            <v>1.329350350174177</v>
          </cell>
          <cell r="Z8">
            <v>8.7907651754009759</v>
          </cell>
          <cell r="AA8">
            <v>0.11202428764339059</v>
          </cell>
          <cell r="AB8">
            <v>23.675895534456487</v>
          </cell>
          <cell r="AC8">
            <v>70.152406916660325</v>
          </cell>
          <cell r="AD8">
            <v>20.502174149015922</v>
          </cell>
          <cell r="AE8">
            <v>49.927008050750771</v>
          </cell>
          <cell r="AF8">
            <v>64.824061389057604</v>
          </cell>
          <cell r="AG8">
            <v>8.0848385818954505</v>
          </cell>
          <cell r="AH8">
            <v>8.7655724198649736</v>
          </cell>
          <cell r="AI8">
            <v>36.966633720706369</v>
          </cell>
        </row>
        <row r="9">
          <cell r="G9">
            <v>266.80166919285728</v>
          </cell>
          <cell r="H9">
            <v>7.6698678466716004</v>
          </cell>
          <cell r="I9">
            <v>3.1299568968576463</v>
          </cell>
          <cell r="J9">
            <v>2.9360613870252816</v>
          </cell>
          <cell r="K9">
            <v>0</v>
          </cell>
          <cell r="L9">
            <v>5.8285590086738583</v>
          </cell>
          <cell r="M9">
            <v>42.237105608660599</v>
          </cell>
          <cell r="N9">
            <v>8.7734934687590655</v>
          </cell>
          <cell r="O9">
            <v>1.8822828687291575</v>
          </cell>
          <cell r="P9">
            <v>0</v>
          </cell>
          <cell r="Q9">
            <v>0.78892102955531385</v>
          </cell>
          <cell r="R9">
            <v>22.265198711467132</v>
          </cell>
          <cell r="S9">
            <v>15.727058602958744</v>
          </cell>
          <cell r="T9">
            <v>1.3017288017785853</v>
          </cell>
          <cell r="U9">
            <v>5.2449657891099637</v>
          </cell>
          <cell r="V9">
            <v>9.6717652850601285E-2</v>
          </cell>
          <cell r="W9">
            <v>12.907310842916555</v>
          </cell>
          <cell r="X9">
            <v>3.0900261810313241</v>
          </cell>
          <cell r="Y9">
            <v>3.3628367760702514E-2</v>
          </cell>
          <cell r="Z9">
            <v>2.5365767227902336</v>
          </cell>
          <cell r="AA9">
            <v>1.260452757143537E-5</v>
          </cell>
          <cell r="AB9">
            <v>7.1895986266494241</v>
          </cell>
          <cell r="AC9">
            <v>13.965163468122251</v>
          </cell>
          <cell r="AD9">
            <v>2.7987539777739099</v>
          </cell>
          <cell r="AE9">
            <v>3.6312566589143365</v>
          </cell>
          <cell r="AF9">
            <v>24.528723619892627</v>
          </cell>
          <cell r="AG9">
            <v>0.80559390176478651</v>
          </cell>
          <cell r="AH9">
            <v>4.1559901835096058</v>
          </cell>
          <cell r="AI9">
            <v>11.365569535492737</v>
          </cell>
        </row>
        <row r="10">
          <cell r="G10">
            <v>1359.651294423958</v>
          </cell>
          <cell r="H10">
            <v>50.839972858241104</v>
          </cell>
          <cell r="I10">
            <v>32.858106441734513</v>
          </cell>
          <cell r="J10">
            <v>20.137151864684782</v>
          </cell>
          <cell r="K10">
            <v>1.2948480588549172</v>
          </cell>
          <cell r="L10">
            <v>45.389979896906802</v>
          </cell>
          <cell r="M10">
            <v>171.52359332451533</v>
          </cell>
          <cell r="N10">
            <v>27.125692867411544</v>
          </cell>
          <cell r="O10">
            <v>7.6357509451778594</v>
          </cell>
          <cell r="P10">
            <v>19.087548878549782</v>
          </cell>
          <cell r="Q10">
            <v>87.630812111066035</v>
          </cell>
          <cell r="R10">
            <v>95.522808954431113</v>
          </cell>
          <cell r="S10">
            <v>180.02900862066718</v>
          </cell>
          <cell r="T10">
            <v>12.624174511942792</v>
          </cell>
          <cell r="U10">
            <v>24.361432108558624</v>
          </cell>
          <cell r="V10">
            <v>7.6407386192254103</v>
          </cell>
          <cell r="W10">
            <v>140.93991378633723</v>
          </cell>
          <cell r="X10">
            <v>8.9566155042145787</v>
          </cell>
          <cell r="Y10">
            <v>1.3629787179348796</v>
          </cell>
          <cell r="Z10">
            <v>11.327341898191209</v>
          </cell>
          <cell r="AA10">
            <v>0.11203689217096202</v>
          </cell>
          <cell r="AB10">
            <v>30.865494161105911</v>
          </cell>
          <cell r="AC10">
            <v>84.117570384782582</v>
          </cell>
          <cell r="AD10">
            <v>23.300928126789831</v>
          </cell>
          <cell r="AE10">
            <v>53.55826470966511</v>
          </cell>
          <cell r="AF10">
            <v>89.352785008950235</v>
          </cell>
          <cell r="AG10">
            <v>8.8904324836602378</v>
          </cell>
          <cell r="AH10">
            <v>12.921562603374579</v>
          </cell>
          <cell r="AI10">
            <v>48.332203256199108</v>
          </cell>
        </row>
        <row r="11">
          <cell r="G11">
            <v>0.25868366626949474</v>
          </cell>
          <cell r="H11">
            <v>0.33271290882183602</v>
          </cell>
          <cell r="I11">
            <v>0.18724306912336247</v>
          </cell>
          <cell r="J11">
            <v>0.42724961720088978</v>
          </cell>
          <cell r="K11">
            <v>0.38307301156995049</v>
          </cell>
          <cell r="L11">
            <v>0.30364743004051797</v>
          </cell>
          <cell r="M11">
            <v>0.16793511000579892</v>
          </cell>
          <cell r="N11">
            <v>0.39446557352715877</v>
          </cell>
          <cell r="O11">
            <v>0.51310051488908182</v>
          </cell>
          <cell r="P11">
            <v>0.34183760789476353</v>
          </cell>
          <cell r="Q11">
            <v>0.27435194414021891</v>
          </cell>
          <cell r="R11">
            <v>0.5978317186818316</v>
          </cell>
          <cell r="S11">
            <v>0.29178953277386871</v>
          </cell>
          <cell r="T11">
            <v>0.39698136696286279</v>
          </cell>
          <cell r="U11">
            <v>0.29457463694488761</v>
          </cell>
          <cell r="V11">
            <v>0.16821098504113269</v>
          </cell>
          <cell r="W11">
            <v>0.21763306151308234</v>
          </cell>
          <cell r="X11">
            <v>0.40223020174787344</v>
          </cell>
          <cell r="Y11">
            <v>0.12487345001408748</v>
          </cell>
          <cell r="Z11">
            <v>0.49080402049851485</v>
          </cell>
          <cell r="AA11">
            <v>0.33711408229940942</v>
          </cell>
          <cell r="AB11">
            <v>0.12443010135539075</v>
          </cell>
          <cell r="AC11">
            <v>0.22805760863079913</v>
          </cell>
          <cell r="AD11">
            <v>0.40035986402430118</v>
          </cell>
          <cell r="AE11">
            <v>0.35790145891827607</v>
          </cell>
          <cell r="AF11">
            <v>0.5716239819429616</v>
          </cell>
          <cell r="AG11">
            <v>0.41460744814714628</v>
          </cell>
          <cell r="AH11">
            <v>0.18177064476681906</v>
          </cell>
          <cell r="AI11">
            <v>9.0676475743558582E-2</v>
          </cell>
        </row>
        <row r="14">
          <cell r="G14" t="str">
            <v>EU28</v>
          </cell>
          <cell r="H14" t="str">
            <v>AT</v>
          </cell>
          <cell r="I14" t="str">
            <v>BE</v>
          </cell>
          <cell r="J14" t="str">
            <v>BG</v>
          </cell>
          <cell r="K14" t="str">
            <v>CY</v>
          </cell>
          <cell r="L14" t="str">
            <v>CZ</v>
          </cell>
          <cell r="M14" t="str">
            <v>DE</v>
          </cell>
          <cell r="N14" t="str">
            <v>DK</v>
          </cell>
          <cell r="O14" t="str">
            <v>EE</v>
          </cell>
          <cell r="P14" t="str">
            <v>EL</v>
          </cell>
          <cell r="Q14" t="str">
            <v>ES</v>
          </cell>
          <cell r="R14" t="str">
            <v>FI</v>
          </cell>
          <cell r="S14" t="str">
            <v>FR</v>
          </cell>
          <cell r="T14" t="str">
            <v>HR</v>
          </cell>
          <cell r="U14" t="str">
            <v>HU</v>
          </cell>
          <cell r="V14" t="str">
            <v>IE</v>
          </cell>
          <cell r="W14" t="str">
            <v>IT</v>
          </cell>
          <cell r="X14" t="str">
            <v>LT</v>
          </cell>
          <cell r="Y14" t="str">
            <v>LU</v>
          </cell>
          <cell r="Z14" t="str">
            <v>LV</v>
          </cell>
          <cell r="AA14" t="str">
            <v>MT</v>
          </cell>
          <cell r="AB14" t="str">
            <v>NL</v>
          </cell>
          <cell r="AC14" t="str">
            <v>PL</v>
          </cell>
          <cell r="AD14" t="str">
            <v>PT</v>
          </cell>
          <cell r="AE14" t="str">
            <v>RO</v>
          </cell>
          <cell r="AF14" t="str">
            <v>SE</v>
          </cell>
          <cell r="AG14" t="str">
            <v>SI</v>
          </cell>
          <cell r="AH14" t="str">
            <v>SK</v>
          </cell>
          <cell r="AI14" t="str">
            <v>UK</v>
          </cell>
          <cell r="AJ14" t="str">
            <v>Check</v>
          </cell>
        </row>
        <row r="15">
          <cell r="G15">
            <v>6433.9276150091209</v>
          </cell>
          <cell r="H15">
            <v>175.87545356633092</v>
          </cell>
          <cell r="I15">
            <v>210.83137217891752</v>
          </cell>
          <cell r="J15">
            <v>58.064980469635998</v>
          </cell>
          <cell r="K15">
            <v>6.1077286456500657</v>
          </cell>
          <cell r="L15">
            <v>164.13721670162971</v>
          </cell>
          <cell r="M15">
            <v>1271.2785619569784</v>
          </cell>
          <cell r="N15">
            <v>79.936790818029124</v>
          </cell>
          <cell r="O15">
            <v>17.635383799917683</v>
          </cell>
          <cell r="P15">
            <v>87.754809006658988</v>
          </cell>
          <cell r="Q15">
            <v>424.50823023211694</v>
          </cell>
          <cell r="R15">
            <v>181.19487101419105</v>
          </cell>
          <cell r="S15">
            <v>815.48934125974529</v>
          </cell>
          <cell r="T15">
            <v>36.518251684484135</v>
          </cell>
          <cell r="U15">
            <v>99.859628599437286</v>
          </cell>
          <cell r="V15">
            <v>54.944220789737024</v>
          </cell>
          <cell r="W15">
            <v>813.79603419266198</v>
          </cell>
          <cell r="X15">
            <v>27.06179995927878</v>
          </cell>
          <cell r="Y15">
            <v>14.824063843487473</v>
          </cell>
          <cell r="Z15">
            <v>27.187800876362342</v>
          </cell>
          <cell r="AA15">
            <v>1.6596880111569428</v>
          </cell>
          <cell r="AB15">
            <v>291.49022215282889</v>
          </cell>
          <cell r="AC15">
            <v>409.50948426993102</v>
          </cell>
          <cell r="AD15">
            <v>78.153065066183814</v>
          </cell>
          <cell r="AE15">
            <v>154.28775455211911</v>
          </cell>
          <cell r="AF15">
            <v>189.44263448487158</v>
          </cell>
          <cell r="AG15">
            <v>24.378087739659961</v>
          </cell>
          <cell r="AH15">
            <v>79.748068277711937</v>
          </cell>
          <cell r="AI15">
            <v>638.2520708594061</v>
          </cell>
          <cell r="AJ15">
            <v>0</v>
          </cell>
        </row>
        <row r="16">
          <cell r="G16">
            <v>5532.393434965189</v>
          </cell>
          <cell r="H16">
            <v>161.68628502906333</v>
          </cell>
          <cell r="I16">
            <v>188.30369776094309</v>
          </cell>
          <cell r="J16">
            <v>46.375021921728461</v>
          </cell>
          <cell r="K16">
            <v>3.6279647401763926</v>
          </cell>
          <cell r="L16">
            <v>148.77645803784264</v>
          </cell>
          <cell r="M16">
            <v>1146.2372550962268</v>
          </cell>
          <cell r="N16">
            <v>70.816883219019459</v>
          </cell>
          <cell r="O16">
            <v>15.65640771546593</v>
          </cell>
          <cell r="P16">
            <v>63.119275844120352</v>
          </cell>
          <cell r="Q16">
            <v>309.48707300550336</v>
          </cell>
          <cell r="R16">
            <v>156.34468368050267</v>
          </cell>
          <cell r="S16">
            <v>651.47942081134124</v>
          </cell>
          <cell r="T16">
            <v>31.356228386335726</v>
          </cell>
          <cell r="U16">
            <v>89.927963789564984</v>
          </cell>
          <cell r="V16">
            <v>47.865904064384658</v>
          </cell>
          <cell r="W16">
            <v>657.90552226628301</v>
          </cell>
          <cell r="X16">
            <v>25.228836405340601</v>
          </cell>
          <cell r="Y16">
            <v>11.653928683917256</v>
          </cell>
          <cell r="Z16">
            <v>25.150936016768075</v>
          </cell>
          <cell r="AA16">
            <v>0.43234297976380792</v>
          </cell>
          <cell r="AB16">
            <v>260.83556977080616</v>
          </cell>
          <cell r="AC16">
            <v>373.82511799436708</v>
          </cell>
          <cell r="AD16">
            <v>57.649653408081036</v>
          </cell>
          <cell r="AE16">
            <v>146.62771108284736</v>
          </cell>
          <cell r="AF16">
            <v>162.30714035530548</v>
          </cell>
          <cell r="AG16">
            <v>20.851166343521605</v>
          </cell>
          <cell r="AH16">
            <v>73.353981993008802</v>
          </cell>
          <cell r="AI16">
            <v>585.5110045629591</v>
          </cell>
        </row>
        <row r="17">
          <cell r="G17">
            <v>975.62065476940347</v>
          </cell>
          <cell r="H17">
            <v>41.103408977166929</v>
          </cell>
          <cell r="I17">
            <v>25.578793886652573</v>
          </cell>
          <cell r="J17">
            <v>15.940069539344245</v>
          </cell>
          <cell r="K17">
            <v>1.1076912280903342</v>
          </cell>
          <cell r="L17">
            <v>29.742727144059586</v>
          </cell>
          <cell r="M17">
            <v>129.71462483549362</v>
          </cell>
          <cell r="N17">
            <v>16.526255188281688</v>
          </cell>
          <cell r="O17">
            <v>5.9581018793891181</v>
          </cell>
          <cell r="P17">
            <v>16.796020128651705</v>
          </cell>
          <cell r="Q17">
            <v>68.894940878036365</v>
          </cell>
          <cell r="R17">
            <v>63.013479528123924</v>
          </cell>
          <cell r="S17">
            <v>142.17363222642248</v>
          </cell>
          <cell r="T17">
            <v>9.0489553175786845</v>
          </cell>
          <cell r="U17">
            <v>17.053284625187857</v>
          </cell>
          <cell r="V17">
            <v>6.0407254036776799</v>
          </cell>
          <cell r="W17">
            <v>120.26829099126681</v>
          </cell>
          <cell r="X17">
            <v>7.1184203388217222</v>
          </cell>
          <cell r="Y17">
            <v>0.91551553083880888</v>
          </cell>
          <cell r="Z17">
            <v>11.046032078940559</v>
          </cell>
          <cell r="AA17">
            <v>7.812722604817382E-2</v>
          </cell>
          <cell r="AB17">
            <v>19.938316238476585</v>
          </cell>
          <cell r="AC17">
            <v>56.034752412192276</v>
          </cell>
          <cell r="AD17">
            <v>19.633886438149748</v>
          </cell>
          <cell r="AE17">
            <v>45.26429748037166</v>
          </cell>
          <cell r="AF17">
            <v>66.982106912816221</v>
          </cell>
          <cell r="AG17">
            <v>7.0943867585903462</v>
          </cell>
          <cell r="AH17">
            <v>6.3828004626743402</v>
          </cell>
          <cell r="AI17">
            <v>26.171011114059397</v>
          </cell>
        </row>
        <row r="18">
          <cell r="G18">
            <v>211.90622688515936</v>
          </cell>
          <cell r="H18">
            <v>11.697338395078281</v>
          </cell>
          <cell r="I18">
            <v>3.2783867513708782</v>
          </cell>
          <cell r="J18">
            <v>2.1926780597171596</v>
          </cell>
          <cell r="K18">
            <v>8.7255269345236489E-2</v>
          </cell>
          <cell r="L18">
            <v>5.2150961626749641</v>
          </cell>
          <cell r="M18">
            <v>43.548823064380748</v>
          </cell>
          <cell r="N18">
            <v>13.976467641883549</v>
          </cell>
          <cell r="O18">
            <v>2.2615409672441058</v>
          </cell>
          <cell r="P18">
            <v>0</v>
          </cell>
          <cell r="Q18">
            <v>0.47907987268565322</v>
          </cell>
          <cell r="R18">
            <v>22.571983569520071</v>
          </cell>
          <cell r="S18">
            <v>17.140170207731121</v>
          </cell>
          <cell r="T18">
            <v>1.356864369735419</v>
          </cell>
          <cell r="U18">
            <v>4.8195467803348464</v>
          </cell>
          <cell r="V18">
            <v>0.15833060398535739</v>
          </cell>
          <cell r="W18">
            <v>9.2014741274260992</v>
          </cell>
          <cell r="X18">
            <v>3.0545835924617464</v>
          </cell>
          <cell r="Y18">
            <v>0.13170924517026367</v>
          </cell>
          <cell r="Z18">
            <v>2.7343258604516096</v>
          </cell>
          <cell r="AA18">
            <v>2.3878344299548132E-4</v>
          </cell>
          <cell r="AB18">
            <v>6.5556033892754195</v>
          </cell>
          <cell r="AC18">
            <v>12.223378925197039</v>
          </cell>
          <cell r="AD18">
            <v>1.2138405118789948</v>
          </cell>
          <cell r="AE18">
            <v>3.5576148684298192</v>
          </cell>
          <cell r="AF18">
            <v>29.04881412931778</v>
          </cell>
          <cell r="AG18">
            <v>0.713503897068546</v>
          </cell>
          <cell r="AH18">
            <v>3.7423950448582506</v>
          </cell>
          <cell r="AI18">
            <v>10.945182794493345</v>
          </cell>
        </row>
        <row r="19">
          <cell r="G19">
            <v>1187.5268816545629</v>
          </cell>
          <cell r="H19">
            <v>52.800747372245212</v>
          </cell>
          <cell r="I19">
            <v>28.857180638023451</v>
          </cell>
          <cell r="J19">
            <v>18.132747599061403</v>
          </cell>
          <cell r="K19">
            <v>1.1949464974355706</v>
          </cell>
          <cell r="L19">
            <v>34.957823306734554</v>
          </cell>
          <cell r="M19">
            <v>173.26344789987436</v>
          </cell>
          <cell r="N19">
            <v>30.502722830165236</v>
          </cell>
          <cell r="O19">
            <v>8.2196428466332243</v>
          </cell>
          <cell r="P19">
            <v>16.796020128651705</v>
          </cell>
          <cell r="Q19">
            <v>69.374020750722025</v>
          </cell>
          <cell r="R19">
            <v>85.585463097643995</v>
          </cell>
          <cell r="S19">
            <v>159.31380243415362</v>
          </cell>
          <cell r="T19">
            <v>10.405819687314104</v>
          </cell>
          <cell r="U19">
            <v>21.872831405522703</v>
          </cell>
          <cell r="V19">
            <v>6.199056007663037</v>
          </cell>
          <cell r="W19">
            <v>129.46976511869292</v>
          </cell>
          <cell r="X19">
            <v>10.173003931283468</v>
          </cell>
          <cell r="Y19">
            <v>1.0472247760090725</v>
          </cell>
          <cell r="Z19">
            <v>13.780357939392168</v>
          </cell>
          <cell r="AA19">
            <v>7.83660094911693E-2</v>
          </cell>
          <cell r="AB19">
            <v>26.493919627752003</v>
          </cell>
          <cell r="AC19">
            <v>68.258131337389315</v>
          </cell>
          <cell r="AD19">
            <v>20.847726950028743</v>
          </cell>
          <cell r="AE19">
            <v>48.821912348801476</v>
          </cell>
          <cell r="AF19">
            <v>96.030921042133997</v>
          </cell>
          <cell r="AG19">
            <v>7.8078906556588921</v>
          </cell>
          <cell r="AH19">
            <v>10.125195507532592</v>
          </cell>
          <cell r="AI19">
            <v>37.116193908552745</v>
          </cell>
        </row>
        <row r="20">
          <cell r="G20">
            <v>0.21464975251927923</v>
          </cell>
          <cell r="H20">
            <v>0.32656293242654566</v>
          </cell>
          <cell r="I20">
            <v>0.15324808265134796</v>
          </cell>
          <cell r="J20">
            <v>0.3910024588164242</v>
          </cell>
          <cell r="K20">
            <v>0.32937103390301198</v>
          </cell>
          <cell r="L20">
            <v>0.23496878315144937</v>
          </cell>
          <cell r="M20">
            <v>0.1511584509485594</v>
          </cell>
          <cell r="N20">
            <v>0.43072670588774298</v>
          </cell>
          <cell r="O20">
            <v>0.52500183924781052</v>
          </cell>
          <cell r="P20">
            <v>0.26609969623433627</v>
          </cell>
          <cell r="Q20">
            <v>0.22415805635115624</v>
          </cell>
          <cell r="R20">
            <v>0.5474152435687657</v>
          </cell>
          <cell r="S20">
            <v>0.24454157314093966</v>
          </cell>
          <cell r="T20">
            <v>0.33185814183725948</v>
          </cell>
          <cell r="U20">
            <v>0.24322613883158747</v>
          </cell>
          <cell r="V20">
            <v>0.12950880441586682</v>
          </cell>
          <cell r="W20">
            <v>0.196790816822314</v>
          </cell>
          <cell r="X20">
            <v>0.40322921627610148</v>
          </cell>
          <cell r="Y20">
            <v>8.9860235497602761E-2</v>
          </cell>
          <cell r="Z20">
            <v>0.54790636540146387</v>
          </cell>
          <cell r="AA20">
            <v>0.18125889203516435</v>
          </cell>
          <cell r="AB20">
            <v>0.10157326184857368</v>
          </cell>
          <cell r="AC20">
            <v>0.18259375320632643</v>
          </cell>
          <cell r="AD20">
            <v>0.36162796682323878</v>
          </cell>
          <cell r="AE20">
            <v>0.33296511272153867</v>
          </cell>
          <cell r="AF20">
            <v>0.59166171514027877</v>
          </cell>
          <cell r="AG20">
            <v>0.37445822104262194</v>
          </cell>
          <cell r="AH20">
            <v>0.13803198180158238</v>
          </cell>
          <cell r="AI20">
            <v>6.3391112411725306E-2</v>
          </cell>
        </row>
        <row r="25">
          <cell r="G25" t="str">
            <v>EU28</v>
          </cell>
          <cell r="H25" t="str">
            <v>AT</v>
          </cell>
          <cell r="I25" t="str">
            <v>BE</v>
          </cell>
          <cell r="J25" t="str">
            <v>BG</v>
          </cell>
          <cell r="K25" t="str">
            <v>CY</v>
          </cell>
          <cell r="L25" t="str">
            <v>CZ</v>
          </cell>
          <cell r="M25" t="str">
            <v>DE</v>
          </cell>
          <cell r="N25" t="str">
            <v>DK</v>
          </cell>
          <cell r="O25" t="str">
            <v>EE</v>
          </cell>
          <cell r="P25" t="str">
            <v>EL</v>
          </cell>
          <cell r="Q25" t="str">
            <v>ES</v>
          </cell>
          <cell r="R25" t="str">
            <v>FI</v>
          </cell>
          <cell r="S25" t="str">
            <v>FR</v>
          </cell>
          <cell r="T25" t="str">
            <v>HR</v>
          </cell>
          <cell r="U25" t="str">
            <v>HU</v>
          </cell>
          <cell r="V25" t="str">
            <v>IE</v>
          </cell>
          <cell r="W25" t="str">
            <v>IT</v>
          </cell>
          <cell r="X25" t="str">
            <v>LT</v>
          </cell>
          <cell r="Y25" t="str">
            <v>LU</v>
          </cell>
          <cell r="Z25" t="str">
            <v>LV</v>
          </cell>
          <cell r="AA25" t="str">
            <v>MT</v>
          </cell>
          <cell r="AB25" t="str">
            <v>NL</v>
          </cell>
          <cell r="AC25" t="str">
            <v>PL</v>
          </cell>
          <cell r="AD25" t="str">
            <v>PT</v>
          </cell>
          <cell r="AE25" t="str">
            <v>RO</v>
          </cell>
          <cell r="AF25" t="str">
            <v>SE</v>
          </cell>
          <cell r="AG25" t="str">
            <v>SI</v>
          </cell>
          <cell r="AH25" t="str">
            <v>SK</v>
          </cell>
          <cell r="AI25" t="str">
            <v>UK</v>
          </cell>
        </row>
        <row r="26">
          <cell r="G26">
            <v>6349.283279146528</v>
          </cell>
          <cell r="H26">
            <v>169.31151455617331</v>
          </cell>
          <cell r="I26">
            <v>205.75669354920274</v>
          </cell>
          <cell r="J26">
            <v>52.613444874448824</v>
          </cell>
          <cell r="K26">
            <v>5.0872101311123412</v>
          </cell>
          <cell r="L26">
            <v>156.67853960425725</v>
          </cell>
          <cell r="M26">
            <v>1348.085469115108</v>
          </cell>
          <cell r="N26">
            <v>78.275693610108419</v>
          </cell>
          <cell r="O26">
            <v>18.352337976351162</v>
          </cell>
          <cell r="P26">
            <v>89.938780095783798</v>
          </cell>
          <cell r="Q26">
            <v>380.70522763118379</v>
          </cell>
          <cell r="R26">
            <v>177.9092454047896</v>
          </cell>
          <cell r="S26">
            <v>758.39438469249683</v>
          </cell>
          <cell r="T26">
            <v>30.510155826693747</v>
          </cell>
          <cell r="U26">
            <v>96.8139493740902</v>
          </cell>
          <cell r="V26">
            <v>54.418507110101352</v>
          </cell>
          <cell r="W26">
            <v>753.91166871654968</v>
          </cell>
          <cell r="X26">
            <v>27.525095052948103</v>
          </cell>
          <cell r="Y26">
            <v>14.836602746876821</v>
          </cell>
          <cell r="Z26">
            <v>27.191383736269604</v>
          </cell>
          <cell r="AA26">
            <v>1.0004220364907441</v>
          </cell>
          <cell r="AB26">
            <v>304.26436477535458</v>
          </cell>
          <cell r="AC26">
            <v>399.2563965047832</v>
          </cell>
          <cell r="AD26">
            <v>67.672840096643398</v>
          </cell>
          <cell r="AE26">
            <v>139.21716278029299</v>
          </cell>
          <cell r="AF26">
            <v>192.33254619584048</v>
          </cell>
          <cell r="AG26">
            <v>23.641169497461362</v>
          </cell>
          <cell r="AH26">
            <v>87.160552405059804</v>
          </cell>
          <cell r="AI26">
            <v>688.42192105005483</v>
          </cell>
        </row>
        <row r="27">
          <cell r="G27">
            <v>5621.9111690955806</v>
          </cell>
          <cell r="H27">
            <v>155.81096384650587</v>
          </cell>
          <cell r="I27">
            <v>187.06332980376291</v>
          </cell>
          <cell r="J27">
            <v>42.82334118263406</v>
          </cell>
          <cell r="K27">
            <v>3.5228328750867037</v>
          </cell>
          <cell r="L27">
            <v>143.14807218190577</v>
          </cell>
          <cell r="M27">
            <v>1247.8626202341666</v>
          </cell>
          <cell r="N27">
            <v>71.341107824905521</v>
          </cell>
          <cell r="O27">
            <v>16.128499461812467</v>
          </cell>
          <cell r="P27">
            <v>73.019766654234928</v>
          </cell>
          <cell r="Q27">
            <v>300.6645384443076</v>
          </cell>
          <cell r="R27">
            <v>152.07788825069719</v>
          </cell>
          <cell r="S27">
            <v>632.80832628964436</v>
          </cell>
          <cell r="T27">
            <v>26.29003179947102</v>
          </cell>
          <cell r="U27">
            <v>88.168973150992699</v>
          </cell>
          <cell r="V27">
            <v>48.531108625437398</v>
          </cell>
          <cell r="W27">
            <v>637.75018696756467</v>
          </cell>
          <cell r="X27">
            <v>25.971782047242755</v>
          </cell>
          <cell r="Y27">
            <v>12.423400123214343</v>
          </cell>
          <cell r="Z27">
            <v>25.306281937102124</v>
          </cell>
          <cell r="AA27">
            <v>0.26496318708785843</v>
          </cell>
          <cell r="AB27">
            <v>283.00595647519265</v>
          </cell>
          <cell r="AC27">
            <v>369.11733693433069</v>
          </cell>
          <cell r="AD27">
            <v>55.504818637298293</v>
          </cell>
          <cell r="AE27">
            <v>131.63589316449995</v>
          </cell>
          <cell r="AF27">
            <v>165.03506314322564</v>
          </cell>
          <cell r="AG27">
            <v>20.544837464114813</v>
          </cell>
          <cell r="AH27">
            <v>82.022074290002763</v>
          </cell>
          <cell r="AI27">
            <v>624.06717409913801</v>
          </cell>
        </row>
        <row r="28">
          <cell r="G28">
            <v>793.77446902346355</v>
          </cell>
          <cell r="H28">
            <v>37.960788782778309</v>
          </cell>
          <cell r="I28">
            <v>14.286370803912545</v>
          </cell>
          <cell r="J28">
            <v>12.829289270515467</v>
          </cell>
          <cell r="K28">
            <v>0.82631264793336201</v>
          </cell>
          <cell r="L28">
            <v>19.2426032313112</v>
          </cell>
          <cell r="M28">
            <v>114.69611944304387</v>
          </cell>
          <cell r="N28">
            <v>13.273609852425533</v>
          </cell>
          <cell r="O28">
            <v>5.4136620850062673</v>
          </cell>
          <cell r="P28">
            <v>14.040471475892298</v>
          </cell>
          <cell r="Q28">
            <v>46.289959205268936</v>
          </cell>
          <cell r="R28">
            <v>54.37723910579291</v>
          </cell>
          <cell r="S28">
            <v>115.87803252424334</v>
          </cell>
          <cell r="T28">
            <v>5.0866022853648722</v>
          </cell>
          <cell r="U28">
            <v>10.574571467954108</v>
          </cell>
          <cell r="V28">
            <v>2.7544608988226544</v>
          </cell>
          <cell r="W28">
            <v>104.76057416899764</v>
          </cell>
          <cell r="X28">
            <v>7.5709023081021503</v>
          </cell>
          <cell r="Y28">
            <v>0.48978604494886346</v>
          </cell>
          <cell r="Z28">
            <v>11.737099684338967</v>
          </cell>
          <cell r="AA28">
            <v>2.4486364825597559E-2</v>
          </cell>
          <cell r="AB28">
            <v>6.8691262535169306</v>
          </cell>
          <cell r="AC28">
            <v>42.499254192138487</v>
          </cell>
          <cell r="AD28">
            <v>18.580671681135577</v>
          </cell>
          <cell r="AE28">
            <v>39.442013210778661</v>
          </cell>
          <cell r="AF28">
            <v>74.158686937087936</v>
          </cell>
          <cell r="AG28">
            <v>6.1230344479426497</v>
          </cell>
          <cell r="AH28">
            <v>3.8183966113495282</v>
          </cell>
          <cell r="AI28">
            <v>10.170344038034788</v>
          </cell>
        </row>
        <row r="29">
          <cell r="G29">
            <v>147.07366843434039</v>
          </cell>
          <cell r="H29">
            <v>8.7783928084474745</v>
          </cell>
          <cell r="I29">
            <v>1.509153695967153</v>
          </cell>
          <cell r="J29">
            <v>1.3237017829498148</v>
          </cell>
          <cell r="K29">
            <v>0</v>
          </cell>
          <cell r="L29">
            <v>3.0773153968234164</v>
          </cell>
          <cell r="M29">
            <v>27.432810228589336</v>
          </cell>
          <cell r="N29">
            <v>10.671434108635342</v>
          </cell>
          <cell r="O29">
            <v>1.7048040002890317</v>
          </cell>
          <cell r="P29">
            <v>0</v>
          </cell>
          <cell r="Q29">
            <v>3.6290558611863327E-3</v>
          </cell>
          <cell r="R29">
            <v>17.065198401687262</v>
          </cell>
          <cell r="S29">
            <v>10.109687917484194</v>
          </cell>
          <cell r="T29">
            <v>0.84066796628025264</v>
          </cell>
          <cell r="U29">
            <v>3.6336924843482361</v>
          </cell>
          <cell r="V29">
            <v>0</v>
          </cell>
          <cell r="W29">
            <v>5.7421234841375766</v>
          </cell>
          <cell r="X29">
            <v>2.0407795080289959</v>
          </cell>
          <cell r="Y29">
            <v>0.10298258031604135</v>
          </cell>
          <cell r="Z29">
            <v>1.8527493184395394</v>
          </cell>
          <cell r="AA29">
            <v>7.2637027314733762E-8</v>
          </cell>
          <cell r="AB29">
            <v>3.6938121511662909</v>
          </cell>
          <cell r="AC29">
            <v>6.9708286974667715</v>
          </cell>
          <cell r="AD29">
            <v>0.57190497066921364</v>
          </cell>
          <cell r="AE29">
            <v>2.1388516690665482</v>
          </cell>
          <cell r="AF29">
            <v>29.792953828886908</v>
          </cell>
          <cell r="AG29">
            <v>0.45274193745175373</v>
          </cell>
          <cell r="AH29">
            <v>2.5954595871359576</v>
          </cell>
          <cell r="AI29">
            <v>4.967992781575119</v>
          </cell>
        </row>
        <row r="30">
          <cell r="G30">
            <v>940.84813745780389</v>
          </cell>
          <cell r="H30">
            <v>46.739181591225787</v>
          </cell>
          <cell r="I30">
            <v>15.795524499879699</v>
          </cell>
          <cell r="J30">
            <v>14.152991053465282</v>
          </cell>
          <cell r="K30">
            <v>0.82631264793336201</v>
          </cell>
          <cell r="L30">
            <v>22.319918628134616</v>
          </cell>
          <cell r="M30">
            <v>142.12892967163322</v>
          </cell>
          <cell r="N30">
            <v>23.945043961060875</v>
          </cell>
          <cell r="O30">
            <v>7.1184660852952995</v>
          </cell>
          <cell r="P30">
            <v>14.040471475892298</v>
          </cell>
          <cell r="Q30">
            <v>46.293588261130125</v>
          </cell>
          <cell r="R30">
            <v>71.442437507480179</v>
          </cell>
          <cell r="S30">
            <v>125.98772044172753</v>
          </cell>
          <cell r="T30">
            <v>5.9272702516451252</v>
          </cell>
          <cell r="U30">
            <v>14.208263952302344</v>
          </cell>
          <cell r="V30">
            <v>2.7544608988226544</v>
          </cell>
          <cell r="W30">
            <v>110.50269765313521</v>
          </cell>
          <cell r="X30">
            <v>9.6116818161311457</v>
          </cell>
          <cell r="Y30">
            <v>0.59276862526490481</v>
          </cell>
          <cell r="Z30">
            <v>13.589849002778505</v>
          </cell>
          <cell r="AA30">
            <v>2.4486437462624872E-2</v>
          </cell>
          <cell r="AB30">
            <v>10.562938404683221</v>
          </cell>
          <cell r="AC30">
            <v>49.470082889605258</v>
          </cell>
          <cell r="AD30">
            <v>19.15257665180479</v>
          </cell>
          <cell r="AE30">
            <v>41.580864879845208</v>
          </cell>
          <cell r="AF30">
            <v>103.95164076597484</v>
          </cell>
          <cell r="AG30">
            <v>6.5757763853944038</v>
          </cell>
          <cell r="AH30">
            <v>6.4138561984854858</v>
          </cell>
          <cell r="AI30">
            <v>15.138336819609908</v>
          </cell>
        </row>
        <row r="31">
          <cell r="G31">
            <v>0.16735378933587133</v>
          </cell>
          <cell r="H31">
            <v>0.29997363752444262</v>
          </cell>
          <cell r="I31">
            <v>8.4439449016810775E-2</v>
          </cell>
          <cell r="J31">
            <v>0.330497122891585</v>
          </cell>
          <cell r="K31">
            <v>0.23455913954278199</v>
          </cell>
          <cell r="L31">
            <v>0.15592189463628628</v>
          </cell>
          <cell r="M31">
            <v>0.1138978981876724</v>
          </cell>
          <cell r="N31">
            <v>0.33564160539572596</v>
          </cell>
          <cell r="O31">
            <v>0.44135947687816396</v>
          </cell>
          <cell r="P31">
            <v>0.19228316001579543</v>
          </cell>
          <cell r="Q31">
            <v>0.15397089560565233</v>
          </cell>
          <cell r="R31">
            <v>0.46977531269837747</v>
          </cell>
          <cell r="S31">
            <v>0.19909301949364897</v>
          </cell>
          <cell r="T31">
            <v>0.22545694493090676</v>
          </cell>
          <cell r="U31">
            <v>0.1611481164464755</v>
          </cell>
          <cell r="V31">
            <v>5.6756603688606327E-2</v>
          </cell>
          <cell r="W31">
            <v>0.17326956528004164</v>
          </cell>
          <cell r="X31">
            <v>0.37008172171811182</v>
          </cell>
          <cell r="Y31">
            <v>4.771388020878909E-2</v>
          </cell>
          <cell r="Z31">
            <v>0.5370148422654738</v>
          </cell>
          <cell r="AA31">
            <v>9.2414488713503731E-2</v>
          </cell>
          <cell r="AB31">
            <v>3.7324085104933589E-2</v>
          </cell>
          <cell r="AC31">
            <v>0.13402264792132057</v>
          </cell>
          <cell r="AD31">
            <v>0.34506151217174835</v>
          </cell>
          <cell r="AE31">
            <v>0.31587786492156295</v>
          </cell>
          <cell r="AF31">
            <v>0.62987609291099822</v>
          </cell>
          <cell r="AG31">
            <v>0.32006952583003678</v>
          </cell>
          <cell r="AH31">
            <v>7.8196708069198845E-2</v>
          </cell>
          <cell r="AI31">
            <v>2.4257543815635885E-2</v>
          </cell>
        </row>
      </sheetData>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1660101.54</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1A2E90-1BC7-7C4F-BB21-535051A72F6A}" name="Residential" displayName="Residential" ref="A9:AG24" totalsRowShown="0" headerRowDxfId="37" dataDxfId="35" headerRowBorderDxfId="36" tableBorderDxfId="34">
  <autoFilter ref="A9:AG24" xr:uid="{00000000-0009-0000-0100-000001000000}"/>
  <sortState ref="A10:BE24">
    <sortCondition ref="F9:F24"/>
  </sortState>
  <tableColumns count="33">
    <tableColumn id="52" xr3:uid="{CC38FBDB-FAF4-3F49-9DF9-22CF84500A8E}" name="Aggregation code" dataDxfId="33">
      <calculatedColumnFormula>Residential[[#This Row],[ID Country]]&amp;"500_"&amp;Residential[[#This Row],[ID Energy carrier]]</calculatedColumnFormula>
    </tableColumn>
    <tableColumn id="51" xr3:uid="{D691C3FC-90AF-4B4C-A62D-B8483D7099AD}" name="Residential ID code" dataDxfId="32">
      <calculatedColumnFormula>Residential[[#This Row],[ID Country]]&amp;"100_"&amp;Residential[[#This Row],[ID Energy carrier]]</calculatedColumnFormula>
    </tableColumn>
    <tableColumn id="1" xr3:uid="{7AB01168-1490-AB41-98EC-F50426A5E06F}" name="ID Scenario" dataDxfId="31"/>
    <tableColumn id="2" xr3:uid="{9C2904C3-6337-8245-BAFC-761D4DE459A3}" name="Scenario" dataDxfId="30"/>
    <tableColumn id="3" xr3:uid="{765DDD47-1430-3040-A7B8-49266B740CA8}" name="ID Country" dataDxfId="29"/>
    <tableColumn id="4" xr3:uid="{F267C5E1-C4A3-1749-B923-B63C2788CCB0}" name="Country" dataDxfId="28"/>
    <tableColumn id="5" xr3:uid="{538496E6-5446-6B41-9F55-1B9A66E0FE77}" name="Country group" dataDxfId="27"/>
    <tableColumn id="6" xr3:uid="{1C61FA07-87C3-6545-B892-EA0FFE0076A3}" name="Sector" dataDxfId="26"/>
    <tableColumn id="8" xr3:uid="{BEA18E9C-EF21-BF47-9ED8-C2B7A4A107A3}" name="Year" dataDxfId="25"/>
    <tableColumn id="9" xr3:uid="{AB7D1811-033A-F44E-9704-1C5939FC78BD}" name="ID Energy carrier" dataDxfId="24"/>
    <tableColumn id="10" xr3:uid="{673DA33B-1D1A-B140-9411-B06AE8423C59}" name="Energy carrier / technology" dataDxfId="23"/>
    <tableColumn id="11" xr3:uid="{81CA7959-4D2C-9E4E-86C2-FDF61A36700D}" name="Total number of dwellings (1000)" dataDxfId="22"/>
    <tableColumn id="12" xr3:uid="{CF134987-9465-FA47-8E87-C80A484341E1}" name="Number of single-family (1000)" dataDxfId="21"/>
    <tableColumn id="13" xr3:uid="{8A17F31F-572F-0245-8451-D7984057E5DD}" name="Number of multi-family (1000)" dataDxfId="20"/>
    <tableColumn id="14" xr3:uid="{76705CA8-8401-FF4A-B3C2-D7E307F1FEBD}" name="Living area per single-family household (m2)" dataDxfId="19"/>
    <tableColumn id="15" xr3:uid="{0B592171-5A5D-5D42-9762-A8EE92A90D3C}" name="Living area per multi-family household (m2)" dataDxfId="18"/>
    <tableColumn id="16" xr3:uid="{64B34998-C099-BE4C-9276-0EAADB57BD2F}" name="Total living area m² (in 1000)" dataDxfId="17"/>
    <tableColumn id="17" xr3:uid="{62270FD9-7F42-8B47-BA71-3E3D8642219B}" name="Single-family living area m² (in 1000)" dataDxfId="16"/>
    <tableColumn id="18" xr3:uid="{9AB9896B-CEEF-5C44-B61E-6B6F8D046DBD}" name="Multi-family living area m² (in 1000)" dataDxfId="15"/>
    <tableColumn id="19" xr3:uid="{DFA23285-E4D9-F144-9EEC-F4A9627CCDF2}" name="Total number of heating systems" dataDxfId="14"/>
    <tableColumn id="20" xr3:uid="{67FB4096-6037-BC4A-95A9-04A7BCEAF6E2}" name="Total heating FED (TWh)" dataDxfId="13"/>
    <tableColumn id="21" xr3:uid="{3FF5A52F-1E15-1C4D-BCD7-CE84B640B515}" name="Hot water FED (TWh)" dataDxfId="12"/>
    <tableColumn id="22" xr3:uid="{5D362420-ADEA-ED48-8E59-0AC2CD0CE48F}" name="Space heating FED (TWh)" dataDxfId="11"/>
    <tableColumn id="23" xr3:uid="{3CDAD9B2-7D7C-9541-AD62-634B80C6F808}" name="Other heating FED (TWh)" dataDxfId="10"/>
    <tableColumn id="54" xr3:uid="{571E9290-68E4-BD45-A47D-2E99CAECEBA4}" name="Space cooling FED (TWh)" dataDxfId="9"/>
    <tableColumn id="32" xr3:uid="{D25F7463-B3D9-8B4E-96FA-5595F8585536}" name="Average efficiency (for total in %)" dataDxfId="8"/>
    <tableColumn id="33" xr3:uid="{E9CB96D5-69C5-944B-A030-8B4C0644B99F}" name="Total heating DED (TWh)" dataDxfId="7"/>
    <tableColumn id="34" xr3:uid="{2CA7ABB2-CC2D-6B4A-9216-FA50B64E34FA}" name="Hot water DED (TWh)" dataDxfId="6"/>
    <tableColumn id="35" xr3:uid="{A8DA514C-0062-3D4D-8AC6-2237A470933C}" name="Space heating DED (TWh)" dataDxfId="5"/>
    <tableColumn id="36" xr3:uid="{9B187A17-405A-604D-8C13-DB42852FFE26}" name="Other heating DED (TWh)" dataDxfId="4"/>
    <tableColumn id="57" xr3:uid="{0464401C-8A66-124B-BFD6-9F24FBA501D5}" name="Space cooling DED (TWh)" dataDxfId="3"/>
    <tableColumn id="45" xr3:uid="{9C18DD26-FE95-1D4F-9D94-0172D8F30012}" name="Final energy demand by average dwelling (kWh/dwelling)" dataDxfId="2"/>
    <tableColumn id="48" xr3:uid="{707606F0-F591-6941-8959-C657108BC5B8}" name="Final energy demand by average dwelling (kWh/m²)"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tatbank.dk/10010"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c.europa.eu/energy/en/eu-buildings-database" TargetMode="External"/><Relationship Id="rId1" Type="http://schemas.openxmlformats.org/officeDocument/2006/relationships/hyperlink" Target="https://ec.europa.eu/energy/en/eu-buildings-databas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tatline.cbs.nl/Statweb/publication/?DM=SLNL&amp;PA=82380NED&amp;D1=2,5-6&amp;D2=a&amp;D3=1&amp;D4=21&amp;HDR=T&amp;STB=G2,G1,G3&amp;VW=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election activeCell="C6" sqref="C6"/>
    </sheetView>
  </sheetViews>
  <sheetFormatPr baseColWidth="10" defaultRowHeight="16"/>
  <cols>
    <col min="1" max="1" width="2.83203125" style="88" customWidth="1"/>
    <col min="2" max="2" width="14" style="88" customWidth="1"/>
    <col min="3" max="3" width="44" style="88" customWidth="1"/>
    <col min="4" max="4" width="9.33203125" style="88" customWidth="1"/>
    <col min="5" max="5" width="10.83203125" style="88"/>
    <col min="6" max="6" width="34.6640625" style="88" customWidth="1"/>
    <col min="7" max="7" width="4.5" style="88" customWidth="1"/>
    <col min="8" max="8" width="20.83203125" style="88" customWidth="1"/>
    <col min="9" max="16384" width="10.83203125" style="88"/>
  </cols>
  <sheetData>
    <row r="2" spans="2:8" ht="21">
      <c r="B2" s="87" t="s">
        <v>76</v>
      </c>
    </row>
    <row r="4" spans="2:8">
      <c r="B4" s="89" t="s">
        <v>77</v>
      </c>
      <c r="C4" s="113" t="s">
        <v>101</v>
      </c>
      <c r="D4" s="90"/>
      <c r="F4" s="91"/>
      <c r="G4" s="92"/>
      <c r="H4" s="91"/>
    </row>
    <row r="5" spans="2:8">
      <c r="B5" s="93" t="s">
        <v>78</v>
      </c>
      <c r="C5" s="139">
        <v>1</v>
      </c>
      <c r="D5" s="95"/>
      <c r="F5" s="92"/>
      <c r="G5" s="92"/>
      <c r="H5" s="92"/>
    </row>
    <row r="6" spans="2:8">
      <c r="B6" s="93" t="s">
        <v>79</v>
      </c>
      <c r="C6" s="251" t="s">
        <v>195</v>
      </c>
      <c r="D6" s="95"/>
      <c r="F6" s="92"/>
      <c r="G6" s="92"/>
      <c r="H6" s="92"/>
    </row>
    <row r="7" spans="2:8">
      <c r="B7" s="93" t="s">
        <v>80</v>
      </c>
      <c r="C7" s="94">
        <v>2015</v>
      </c>
      <c r="D7" s="95"/>
      <c r="F7" s="92"/>
      <c r="G7" s="92"/>
      <c r="H7" s="92"/>
    </row>
    <row r="8" spans="2:8">
      <c r="B8" s="93" t="s">
        <v>81</v>
      </c>
      <c r="C8" s="114" t="s">
        <v>197</v>
      </c>
      <c r="D8" s="95"/>
      <c r="F8" s="92"/>
      <c r="G8" s="92"/>
      <c r="H8" s="92"/>
    </row>
    <row r="9" spans="2:8">
      <c r="B9" s="93" t="s">
        <v>82</v>
      </c>
      <c r="C9" s="115" t="s">
        <v>196</v>
      </c>
      <c r="D9" s="95"/>
      <c r="F9" s="92"/>
      <c r="G9" s="92"/>
      <c r="H9" s="92"/>
    </row>
    <row r="10" spans="2:8">
      <c r="B10" s="96" t="s">
        <v>83</v>
      </c>
      <c r="C10" s="97" t="s">
        <v>84</v>
      </c>
      <c r="D10" s="98"/>
      <c r="F10" s="92"/>
      <c r="G10" s="92"/>
      <c r="H10" s="92"/>
    </row>
    <row r="12" spans="2:8">
      <c r="B12" s="89" t="s">
        <v>85</v>
      </c>
      <c r="C12" s="99"/>
      <c r="D12" s="90"/>
    </row>
    <row r="13" spans="2:8">
      <c r="B13" s="100"/>
      <c r="C13" s="92"/>
      <c r="D13" s="95"/>
    </row>
    <row r="14" spans="2:8">
      <c r="B14" s="100" t="s">
        <v>86</v>
      </c>
      <c r="C14" s="101" t="s">
        <v>87</v>
      </c>
      <c r="D14" s="95"/>
    </row>
    <row r="15" spans="2:8" ht="17" thickBot="1">
      <c r="B15" s="100"/>
      <c r="C15" s="91" t="s">
        <v>88</v>
      </c>
      <c r="D15" s="95"/>
    </row>
    <row r="16" spans="2:8" ht="17" thickBot="1">
      <c r="B16" s="100"/>
      <c r="C16" s="102" t="s">
        <v>89</v>
      </c>
      <c r="D16" s="95"/>
    </row>
    <row r="17" spans="2:4">
      <c r="B17" s="100"/>
      <c r="C17" s="92" t="s">
        <v>90</v>
      </c>
      <c r="D17" s="95"/>
    </row>
    <row r="18" spans="2:4">
      <c r="B18" s="100"/>
      <c r="C18" s="92"/>
      <c r="D18" s="95"/>
    </row>
    <row r="19" spans="2:4">
      <c r="B19" s="100" t="s">
        <v>91</v>
      </c>
      <c r="C19" s="103" t="s">
        <v>92</v>
      </c>
      <c r="D19" s="95"/>
    </row>
    <row r="20" spans="2:4">
      <c r="B20" s="100"/>
      <c r="C20" s="104" t="s">
        <v>93</v>
      </c>
      <c r="D20" s="95"/>
    </row>
    <row r="21" spans="2:4">
      <c r="B21" s="100"/>
      <c r="C21" s="105" t="s">
        <v>94</v>
      </c>
      <c r="D21" s="95"/>
    </row>
    <row r="22" spans="2:4">
      <c r="B22" s="100"/>
      <c r="C22" s="252" t="s">
        <v>95</v>
      </c>
      <c r="D22" s="95"/>
    </row>
    <row r="23" spans="2:4">
      <c r="B23" s="106"/>
      <c r="C23" s="107" t="s">
        <v>96</v>
      </c>
      <c r="D23" s="95"/>
    </row>
    <row r="24" spans="2:4">
      <c r="B24" s="106"/>
      <c r="C24" s="108" t="s">
        <v>97</v>
      </c>
      <c r="D24" s="95"/>
    </row>
    <row r="25" spans="2:4">
      <c r="B25" s="106"/>
      <c r="C25" s="109" t="s">
        <v>98</v>
      </c>
      <c r="D25" s="95"/>
    </row>
    <row r="26" spans="2:4">
      <c r="B26" s="106"/>
      <c r="C26" s="110" t="s">
        <v>99</v>
      </c>
      <c r="D26" s="95"/>
    </row>
    <row r="27" spans="2:4">
      <c r="B27" s="111"/>
      <c r="C27" s="112"/>
      <c r="D27" s="98"/>
    </row>
    <row r="29" spans="2:4">
      <c r="B29" s="89" t="s">
        <v>100</v>
      </c>
      <c r="C29" s="99"/>
      <c r="D29" s="90"/>
    </row>
    <row r="30" spans="2:4">
      <c r="B30" s="389" t="s">
        <v>105</v>
      </c>
      <c r="C30" s="390"/>
      <c r="D30" s="391"/>
    </row>
    <row r="31" spans="2:4">
      <c r="B31" s="389"/>
      <c r="C31" s="390"/>
      <c r="D31" s="391"/>
    </row>
    <row r="32" spans="2:4">
      <c r="B32" s="389"/>
      <c r="C32" s="390"/>
      <c r="D32" s="391"/>
    </row>
    <row r="33" spans="2:4">
      <c r="B33" s="389"/>
      <c r="C33" s="390"/>
      <c r="D33" s="391"/>
    </row>
    <row r="34" spans="2:4">
      <c r="B34" s="389"/>
      <c r="C34" s="390"/>
      <c r="D34" s="391"/>
    </row>
    <row r="35" spans="2:4">
      <c r="B35" s="389"/>
      <c r="C35" s="390"/>
      <c r="D35" s="391"/>
    </row>
    <row r="36" spans="2:4">
      <c r="B36" s="389"/>
      <c r="C36" s="390"/>
      <c r="D36" s="391"/>
    </row>
    <row r="37" spans="2:4">
      <c r="B37" s="389"/>
      <c r="C37" s="390"/>
      <c r="D37" s="391"/>
    </row>
    <row r="38" spans="2:4">
      <c r="B38" s="389"/>
      <c r="C38" s="390"/>
      <c r="D38" s="391"/>
    </row>
    <row r="39" spans="2:4">
      <c r="B39" s="392"/>
      <c r="C39" s="393"/>
      <c r="D39" s="394"/>
    </row>
  </sheetData>
  <mergeCells count="1">
    <mergeCell ref="B30:D39"/>
  </mergeCell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B2:D15"/>
  <sheetViews>
    <sheetView workbookViewId="0">
      <selection activeCell="P46" sqref="P46"/>
    </sheetView>
  </sheetViews>
  <sheetFormatPr baseColWidth="10" defaultRowHeight="16"/>
  <cols>
    <col min="1" max="1" width="3.5" customWidth="1"/>
    <col min="2" max="2" width="28.1640625" customWidth="1"/>
  </cols>
  <sheetData>
    <row r="2" spans="2:4">
      <c r="B2" t="s">
        <v>118</v>
      </c>
      <c r="C2" t="s">
        <v>251</v>
      </c>
    </row>
    <row r="5" spans="2:4">
      <c r="B5" t="s">
        <v>252</v>
      </c>
    </row>
    <row r="6" spans="2:4">
      <c r="B6">
        <f>C15</f>
        <v>187.2</v>
      </c>
      <c r="C6" t="s">
        <v>124</v>
      </c>
    </row>
    <row r="11" spans="2:4">
      <c r="B11" t="s">
        <v>249</v>
      </c>
      <c r="C11">
        <v>4000000</v>
      </c>
      <c r="D11" t="s">
        <v>247</v>
      </c>
    </row>
    <row r="12" spans="2:4">
      <c r="C12">
        <v>13</v>
      </c>
      <c r="D12" t="s">
        <v>248</v>
      </c>
    </row>
    <row r="13" spans="2:4">
      <c r="C13">
        <f>C12*C11</f>
        <v>52000000</v>
      </c>
      <c r="D13" t="s">
        <v>248</v>
      </c>
    </row>
    <row r="14" spans="2:4">
      <c r="C14">
        <f>C13*3600</f>
        <v>187200000000</v>
      </c>
      <c r="D14" t="s">
        <v>250</v>
      </c>
    </row>
    <row r="15" spans="2:4">
      <c r="C15">
        <f>C14/1000000000</f>
        <v>187.2</v>
      </c>
      <c r="D15" t="s">
        <v>124</v>
      </c>
    </row>
  </sheetData>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8:R90"/>
  <sheetViews>
    <sheetView workbookViewId="0">
      <selection activeCell="C18" sqref="C18"/>
    </sheetView>
  </sheetViews>
  <sheetFormatPr baseColWidth="10" defaultRowHeight="16"/>
  <cols>
    <col min="5" max="5" width="12.6640625" customWidth="1"/>
    <col min="6" max="6" width="22.5" customWidth="1"/>
    <col min="7" max="7" width="22.6640625" bestFit="1" customWidth="1"/>
    <col min="12" max="12" width="26.83203125" customWidth="1"/>
  </cols>
  <sheetData>
    <row r="8" spans="4:13">
      <c r="D8" s="143" t="s">
        <v>290</v>
      </c>
      <c r="H8" t="s">
        <v>254</v>
      </c>
      <c r="K8" s="143" t="s">
        <v>220</v>
      </c>
      <c r="M8" s="148"/>
    </row>
    <row r="9" spans="4:13">
      <c r="F9" s="143" t="s">
        <v>155</v>
      </c>
      <c r="G9" s="143" t="s">
        <v>258</v>
      </c>
      <c r="J9" t="s">
        <v>231</v>
      </c>
      <c r="K9" s="255">
        <v>51.626502795271499</v>
      </c>
      <c r="L9" s="253">
        <f>K9/SUM($K$9:$K$13)</f>
        <v>0.13122107400210986</v>
      </c>
    </row>
    <row r="10" spans="4:13">
      <c r="D10" t="s">
        <v>109</v>
      </c>
      <c r="E10">
        <v>23.4</v>
      </c>
      <c r="F10" s="313">
        <f>E10/SUM(E10:E11)</f>
        <v>0.16714285714285712</v>
      </c>
      <c r="G10" s="142">
        <f>E10/SUM(E$10:E$12)</f>
        <v>0.16691966170948561</v>
      </c>
      <c r="H10" t="s">
        <v>255</v>
      </c>
      <c r="J10" t="s">
        <v>110</v>
      </c>
      <c r="K10" s="255">
        <v>261.97703878522901</v>
      </c>
      <c r="L10" s="253">
        <f>K10/SUM($K$9:$K$13)</f>
        <v>0.66587714704624046</v>
      </c>
    </row>
    <row r="11" spans="4:13">
      <c r="D11" t="s">
        <v>110</v>
      </c>
      <c r="E11">
        <v>116.6</v>
      </c>
      <c r="F11" s="313">
        <f>E11/SUM(E10:E11)</f>
        <v>0.83285714285714285</v>
      </c>
      <c r="G11" s="142">
        <f>E11/SUM(E$10:E$12)</f>
        <v>0.83174498099683858</v>
      </c>
      <c r="H11" t="s">
        <v>255</v>
      </c>
      <c r="J11" t="s">
        <v>63</v>
      </c>
      <c r="K11" s="255">
        <v>20.2279494195</v>
      </c>
      <c r="L11" s="253">
        <f>K11/SUM($K$9:$K$13)</f>
        <v>5.1414159471794722E-2</v>
      </c>
    </row>
    <row r="12" spans="4:13">
      <c r="D12" t="s">
        <v>108</v>
      </c>
      <c r="E12">
        <f>Cooling!C15/1000</f>
        <v>0.18719999999999998</v>
      </c>
      <c r="G12" s="142">
        <f>E12/SUM(E$10:E$12)</f>
        <v>1.3353572936758847E-3</v>
      </c>
      <c r="J12" t="s">
        <v>69</v>
      </c>
      <c r="K12" s="255">
        <v>9.8000000000000007</v>
      </c>
      <c r="L12" s="253">
        <f>K12/SUM($K$9:$K$13)</f>
        <v>2.4909038102392232E-2</v>
      </c>
    </row>
    <row r="13" spans="4:13">
      <c r="J13" t="s">
        <v>219</v>
      </c>
      <c r="K13" s="255">
        <v>49.8</v>
      </c>
      <c r="L13" s="253">
        <f>K13/SUM($K$9:$K$13)</f>
        <v>0.12657858137746256</v>
      </c>
    </row>
    <row r="15" spans="4:13">
      <c r="J15" s="143" t="s">
        <v>214</v>
      </c>
    </row>
    <row r="16" spans="4:13">
      <c r="L16" t="s">
        <v>155</v>
      </c>
      <c r="M16" t="s">
        <v>253</v>
      </c>
    </row>
    <row r="17" spans="5:14">
      <c r="J17" t="s">
        <v>109</v>
      </c>
      <c r="K17">
        <v>55.6</v>
      </c>
      <c r="L17" s="142">
        <f>K17/SUM(K$17:K$18)</f>
        <v>0.16807738814993953</v>
      </c>
      <c r="M17" s="254">
        <f>(G10-L17)/L17</f>
        <v>-6.8880558723409561E-3</v>
      </c>
    </row>
    <row r="18" spans="5:14">
      <c r="J18" t="s">
        <v>110</v>
      </c>
      <c r="K18">
        <v>275.2</v>
      </c>
      <c r="L18" s="142">
        <f>K18/SUM(K$17:K$18)</f>
        <v>0.83192261185006044</v>
      </c>
      <c r="M18" s="254">
        <f>(G11-L18)/L18</f>
        <v>-2.135184819977956E-4</v>
      </c>
    </row>
    <row r="20" spans="5:14" s="265" customFormat="1">
      <c r="E20" s="264" t="s">
        <v>291</v>
      </c>
    </row>
    <row r="21" spans="5:14">
      <c r="G21" s="143"/>
    </row>
    <row r="22" spans="5:14">
      <c r="G22" s="143" t="s">
        <v>211</v>
      </c>
      <c r="H22" s="143" t="s">
        <v>232</v>
      </c>
      <c r="I22" s="143" t="s">
        <v>221</v>
      </c>
      <c r="J22" s="143" t="s">
        <v>222</v>
      </c>
      <c r="K22" s="143" t="s">
        <v>223</v>
      </c>
      <c r="L22" s="143" t="s">
        <v>224</v>
      </c>
    </row>
    <row r="23" spans="5:14">
      <c r="F23" t="s">
        <v>231</v>
      </c>
      <c r="G23" s="253">
        <v>0.16</v>
      </c>
      <c r="H23" s="253">
        <f>0.07+0.01</f>
        <v>0.08</v>
      </c>
      <c r="I23" s="253">
        <v>0.22</v>
      </c>
      <c r="J23" s="253">
        <v>0.48</v>
      </c>
      <c r="K23" s="253">
        <v>0.06</v>
      </c>
      <c r="L23" s="258">
        <f>SUM(G23:K23)</f>
        <v>1</v>
      </c>
      <c r="M23" t="s">
        <v>226</v>
      </c>
    </row>
    <row r="24" spans="5:14">
      <c r="F24" t="s">
        <v>110</v>
      </c>
      <c r="G24" s="253">
        <v>0.16</v>
      </c>
      <c r="H24" s="253">
        <f>0.07+0.01</f>
        <v>0.08</v>
      </c>
      <c r="I24" s="253">
        <v>0.22</v>
      </c>
      <c r="J24" s="253">
        <v>0.48</v>
      </c>
      <c r="K24" s="253">
        <v>0.06</v>
      </c>
      <c r="L24" s="258">
        <f>SUM(G24:K24)</f>
        <v>1</v>
      </c>
      <c r="M24" t="s">
        <v>226</v>
      </c>
    </row>
    <row r="25" spans="5:14">
      <c r="F25" t="s">
        <v>63</v>
      </c>
      <c r="G25" s="253">
        <v>0.75</v>
      </c>
      <c r="H25" s="253">
        <v>0.25</v>
      </c>
      <c r="L25" s="258">
        <f>SUM(G25:K25)</f>
        <v>1</v>
      </c>
      <c r="M25" t="s">
        <v>225</v>
      </c>
    </row>
    <row r="26" spans="5:14">
      <c r="F26" t="s">
        <v>69</v>
      </c>
      <c r="H26" s="253">
        <v>1</v>
      </c>
      <c r="L26" s="258">
        <f>SUM(G26:K26)</f>
        <v>1</v>
      </c>
    </row>
    <row r="27" spans="5:14">
      <c r="F27" t="s">
        <v>219</v>
      </c>
      <c r="H27" s="253">
        <v>1</v>
      </c>
      <c r="L27" s="258">
        <f>SUM(G27:K27)</f>
        <v>1</v>
      </c>
    </row>
    <row r="28" spans="5:14">
      <c r="F28" t="s">
        <v>292</v>
      </c>
    </row>
    <row r="30" spans="5:14" s="266" customFormat="1"/>
    <row r="31" spans="5:14">
      <c r="G31" s="143" t="s">
        <v>211</v>
      </c>
      <c r="H31" s="143" t="s">
        <v>232</v>
      </c>
      <c r="I31" s="143" t="s">
        <v>221</v>
      </c>
      <c r="J31" s="143" t="s">
        <v>222</v>
      </c>
      <c r="K31" s="143" t="s">
        <v>223</v>
      </c>
      <c r="L31" s="143" t="s">
        <v>224</v>
      </c>
    </row>
    <row r="32" spans="5:14">
      <c r="F32" t="s">
        <v>231</v>
      </c>
      <c r="G32" s="267">
        <f>G60</f>
        <v>4114.1211428571423</v>
      </c>
      <c r="H32" s="267"/>
      <c r="I32" s="267"/>
      <c r="J32" s="269">
        <f>'Final demand per energy carrier'!K34</f>
        <v>14019.345313692487</v>
      </c>
      <c r="K32" s="267">
        <f>'Final demand per energy carrier'!I11*F10</f>
        <v>1672.765714285714</v>
      </c>
      <c r="L32" s="269">
        <f>SUM(G32:K32)</f>
        <v>19806.232170835341</v>
      </c>
      <c r="M32" t="s">
        <v>124</v>
      </c>
      <c r="N32" t="s">
        <v>226</v>
      </c>
    </row>
    <row r="33" spans="5:18">
      <c r="F33" t="s">
        <v>110</v>
      </c>
      <c r="G33" s="267">
        <f>G61</f>
        <v>20500.278857142857</v>
      </c>
      <c r="H33" s="267"/>
      <c r="I33" s="267"/>
      <c r="J33" s="267">
        <f>'Final demand per energy carrier'!K19</f>
        <v>53377.654686307513</v>
      </c>
      <c r="K33" s="267">
        <f>'Final demand per energy carrier'!I11*F11</f>
        <v>8335.2342857142849</v>
      </c>
      <c r="L33" s="269">
        <f>SUM(G33:K33)</f>
        <v>82213.167829164653</v>
      </c>
      <c r="M33" t="s">
        <v>124</v>
      </c>
      <c r="N33" t="s">
        <v>226</v>
      </c>
      <c r="O33">
        <f>0.48*137</f>
        <v>65.759999999999991</v>
      </c>
    </row>
    <row r="34" spans="5:18">
      <c r="F34" t="s">
        <v>63</v>
      </c>
      <c r="G34" s="267">
        <f>G51</f>
        <v>0</v>
      </c>
      <c r="H34" s="267">
        <f>Cooking!G13</f>
        <v>4367.9373985131397</v>
      </c>
      <c r="I34" s="269"/>
      <c r="J34" s="269"/>
      <c r="K34" s="269"/>
      <c r="L34" s="269">
        <f>SUM(G34:K34)</f>
        <v>4367.9373985131397</v>
      </c>
      <c r="M34" t="s">
        <v>124</v>
      </c>
      <c r="N34" t="s">
        <v>225</v>
      </c>
    </row>
    <row r="35" spans="5:18">
      <c r="F35" t="s">
        <v>69</v>
      </c>
      <c r="G35" s="269">
        <v>0</v>
      </c>
      <c r="H35" s="267">
        <f>Lighting!D14</f>
        <v>3714.0893545365725</v>
      </c>
      <c r="I35" s="269"/>
      <c r="J35" s="269"/>
      <c r="K35" s="269"/>
      <c r="L35" s="269">
        <f>SUM(G35:K35)</f>
        <v>3714.0893545365725</v>
      </c>
      <c r="M35" t="s">
        <v>124</v>
      </c>
    </row>
    <row r="36" spans="5:18">
      <c r="F36" t="s">
        <v>219</v>
      </c>
      <c r="G36" s="269">
        <v>0</v>
      </c>
      <c r="H36" s="267"/>
      <c r="I36" s="269"/>
      <c r="J36" s="269"/>
      <c r="K36" s="269"/>
      <c r="L36" s="269">
        <f>SUM(G36:K36)</f>
        <v>0</v>
      </c>
      <c r="M36" t="s">
        <v>124</v>
      </c>
    </row>
    <row r="37" spans="5:18">
      <c r="F37" t="s">
        <v>227</v>
      </c>
      <c r="G37" s="269">
        <f t="shared" ref="G37:K37" si="0">SUM(G32:G36)</f>
        <v>24614.400000000001</v>
      </c>
      <c r="H37" s="269">
        <f t="shared" si="0"/>
        <v>8082.0267530497122</v>
      </c>
      <c r="I37" s="269">
        <f t="shared" si="0"/>
        <v>0</v>
      </c>
      <c r="J37" s="269">
        <f t="shared" si="0"/>
        <v>67397</v>
      </c>
      <c r="K37" s="269">
        <f t="shared" si="0"/>
        <v>10007.999999999998</v>
      </c>
      <c r="L37" s="269">
        <f>SUM(L32:L36)</f>
        <v>110101.4267530497</v>
      </c>
      <c r="M37" t="s">
        <v>124</v>
      </c>
    </row>
    <row r="38" spans="5:18">
      <c r="G38" s="260"/>
    </row>
    <row r="39" spans="5:18">
      <c r="G39" s="260"/>
    </row>
    <row r="47" spans="5:18">
      <c r="R47" t="s">
        <v>289</v>
      </c>
    </row>
    <row r="48" spans="5:18" s="265" customFormat="1">
      <c r="E48" s="264" t="s">
        <v>212</v>
      </c>
    </row>
    <row r="50" spans="5:9">
      <c r="F50" t="s">
        <v>230</v>
      </c>
      <c r="G50">
        <f>'Final demand per energy carrier'!E11</f>
        <v>24614.400000000001</v>
      </c>
      <c r="H50" t="s">
        <v>124</v>
      </c>
    </row>
    <row r="51" spans="5:9">
      <c r="F51" s="261" t="s">
        <v>63</v>
      </c>
      <c r="G51" s="270">
        <f>Cooking!B6</f>
        <v>0</v>
      </c>
      <c r="H51" s="262" t="s">
        <v>124</v>
      </c>
      <c r="I51" s="262" t="s">
        <v>106</v>
      </c>
    </row>
    <row r="52" spans="5:9" ht="34">
      <c r="F52" s="263" t="s">
        <v>233</v>
      </c>
      <c r="G52" s="269">
        <f>G50-G51</f>
        <v>24614.400000000001</v>
      </c>
      <c r="H52" t="s">
        <v>124</v>
      </c>
    </row>
    <row r="53" spans="5:9">
      <c r="G53" s="269"/>
    </row>
    <row r="54" spans="5:9">
      <c r="E54" s="143"/>
      <c r="G54" s="269"/>
    </row>
    <row r="55" spans="5:9">
      <c r="E55" s="143" t="s">
        <v>155</v>
      </c>
      <c r="G55" s="269"/>
    </row>
    <row r="56" spans="5:9">
      <c r="E56" t="s">
        <v>109</v>
      </c>
      <c r="F56">
        <v>23.4</v>
      </c>
      <c r="G56" s="269">
        <f>F56/SUM(G$10:G$11)</f>
        <v>23.431289142857139</v>
      </c>
    </row>
    <row r="57" spans="5:9">
      <c r="E57" t="s">
        <v>110</v>
      </c>
      <c r="F57">
        <v>116.6</v>
      </c>
      <c r="G57" s="269">
        <f>F57/SUM(G$10:G$11)</f>
        <v>116.75591085714285</v>
      </c>
    </row>
    <row r="58" spans="5:9">
      <c r="E58" t="s">
        <v>108</v>
      </c>
      <c r="F58">
        <v>0</v>
      </c>
      <c r="G58" s="267">
        <v>0</v>
      </c>
    </row>
    <row r="59" spans="5:9">
      <c r="G59" s="269"/>
    </row>
    <row r="60" spans="5:9">
      <c r="F60" s="260" t="s">
        <v>109</v>
      </c>
      <c r="G60" s="269">
        <f>F10*G52</f>
        <v>4114.1211428571423</v>
      </c>
      <c r="H60" t="s">
        <v>124</v>
      </c>
    </row>
    <row r="61" spans="5:9">
      <c r="F61" s="260" t="s">
        <v>110</v>
      </c>
      <c r="G61" s="269">
        <f>F11*G52</f>
        <v>20500.278857142857</v>
      </c>
      <c r="H61" t="s">
        <v>124</v>
      </c>
    </row>
    <row r="90" spans="18:18">
      <c r="R90" t="s">
        <v>288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E38B0-3940-6E44-882D-69202060995E}">
  <dimension ref="A1:E44"/>
  <sheetViews>
    <sheetView workbookViewId="0">
      <selection activeCell="I33" sqref="I33"/>
    </sheetView>
  </sheetViews>
  <sheetFormatPr baseColWidth="10" defaultRowHeight="16"/>
  <cols>
    <col min="1" max="1" width="50" customWidth="1"/>
  </cols>
  <sheetData>
    <row r="1" spans="1:5" ht="17">
      <c r="A1" s="379" t="s">
        <v>376</v>
      </c>
      <c r="B1" s="380"/>
      <c r="C1" s="380"/>
      <c r="D1" s="380"/>
      <c r="E1" s="380"/>
    </row>
    <row r="2" spans="1:5">
      <c r="A2" s="381" t="s">
        <v>377</v>
      </c>
      <c r="B2" s="380"/>
      <c r="C2" s="380"/>
      <c r="D2" s="380"/>
      <c r="E2" s="380"/>
    </row>
    <row r="3" spans="1:5">
      <c r="A3" s="380"/>
      <c r="B3" s="380"/>
      <c r="C3" s="380"/>
      <c r="D3" s="382" t="s">
        <v>378</v>
      </c>
      <c r="E3" s="380"/>
    </row>
    <row r="4" spans="1:5">
      <c r="A4" s="382" t="s">
        <v>379</v>
      </c>
      <c r="B4" s="382" t="s">
        <v>380</v>
      </c>
      <c r="C4" s="382" t="s">
        <v>381</v>
      </c>
      <c r="D4" s="383">
        <v>225236</v>
      </c>
      <c r="E4" s="380"/>
    </row>
    <row r="5" spans="1:5">
      <c r="A5" s="380"/>
      <c r="B5" s="380"/>
      <c r="C5" s="382" t="s">
        <v>382</v>
      </c>
      <c r="D5" s="383">
        <v>251182</v>
      </c>
      <c r="E5" s="380"/>
    </row>
    <row r="6" spans="1:5">
      <c r="A6" s="380"/>
      <c r="B6" s="380"/>
      <c r="C6" s="382" t="s">
        <v>383</v>
      </c>
      <c r="D6" s="383">
        <v>128717</v>
      </c>
      <c r="E6" s="380"/>
    </row>
    <row r="7" spans="1:5">
      <c r="A7" s="380"/>
      <c r="B7" s="380"/>
      <c r="C7" s="382" t="s">
        <v>384</v>
      </c>
      <c r="D7" s="383">
        <v>209186</v>
      </c>
      <c r="E7" s="380"/>
    </row>
    <row r="8" spans="1:5">
      <c r="A8" s="380"/>
      <c r="B8" s="380"/>
      <c r="C8" s="382" t="s">
        <v>385</v>
      </c>
      <c r="D8" s="383">
        <v>138526</v>
      </c>
      <c r="E8" s="380"/>
    </row>
    <row r="9" spans="1:5">
      <c r="A9" s="380"/>
      <c r="B9" s="380"/>
      <c r="C9" s="382" t="s">
        <v>386</v>
      </c>
      <c r="D9" s="383">
        <v>226508</v>
      </c>
      <c r="E9" s="380"/>
    </row>
    <row r="10" spans="1:5">
      <c r="A10" s="380"/>
      <c r="B10" s="380"/>
      <c r="C10" s="382" t="s">
        <v>387</v>
      </c>
      <c r="D10" s="383">
        <v>384597</v>
      </c>
      <c r="E10" s="380"/>
    </row>
    <row r="11" spans="1:5">
      <c r="A11" s="380"/>
      <c r="B11" s="380"/>
      <c r="C11" s="382" t="s">
        <v>388</v>
      </c>
      <c r="D11" s="383">
        <v>433990</v>
      </c>
      <c r="E11" s="380"/>
    </row>
    <row r="12" spans="1:5">
      <c r="A12" s="380"/>
      <c r="B12" s="380"/>
      <c r="C12" s="382" t="s">
        <v>389</v>
      </c>
      <c r="D12" s="383">
        <v>238158</v>
      </c>
      <c r="E12" s="380"/>
    </row>
    <row r="13" spans="1:5">
      <c r="A13" s="380"/>
      <c r="B13" s="380"/>
      <c r="C13" s="382" t="s">
        <v>390</v>
      </c>
      <c r="D13" s="383">
        <v>140535</v>
      </c>
      <c r="E13" s="380"/>
    </row>
    <row r="14" spans="1:5">
      <c r="A14" s="380"/>
      <c r="B14" s="380"/>
      <c r="C14" s="382" t="s">
        <v>391</v>
      </c>
      <c r="D14" s="383">
        <v>81697</v>
      </c>
      <c r="E14" s="380"/>
    </row>
    <row r="15" spans="1:5">
      <c r="A15" s="380"/>
      <c r="B15" s="380"/>
      <c r="C15" s="382" t="s">
        <v>392</v>
      </c>
      <c r="D15" s="383">
        <v>22512</v>
      </c>
      <c r="E15" s="380"/>
    </row>
    <row r="16" spans="1:5">
      <c r="A16" s="380"/>
      <c r="B16" s="380"/>
      <c r="C16" s="382" t="s">
        <v>393</v>
      </c>
      <c r="D16" s="383">
        <v>24661</v>
      </c>
      <c r="E16" s="380"/>
    </row>
    <row r="17" spans="1:5">
      <c r="A17" s="380"/>
      <c r="B17" s="380"/>
      <c r="C17" s="382" t="s">
        <v>394</v>
      </c>
      <c r="D17" s="383">
        <v>26664</v>
      </c>
      <c r="E17" s="380"/>
    </row>
    <row r="18" spans="1:5">
      <c r="A18" s="380"/>
      <c r="B18" s="380"/>
      <c r="C18" s="382" t="s">
        <v>395</v>
      </c>
      <c r="D18" s="383">
        <v>22820</v>
      </c>
      <c r="E18" s="380"/>
    </row>
    <row r="19" spans="1:5">
      <c r="A19" s="380"/>
      <c r="B19" s="380"/>
      <c r="C19" s="382" t="s">
        <v>396</v>
      </c>
      <c r="D19" s="383">
        <v>15391</v>
      </c>
      <c r="E19" s="380"/>
    </row>
    <row r="20" spans="1:5">
      <c r="A20" s="380"/>
      <c r="B20" s="380"/>
      <c r="C20" s="382" t="s">
        <v>397</v>
      </c>
      <c r="D20" s="383">
        <v>9172</v>
      </c>
      <c r="E20" s="380"/>
    </row>
    <row r="21" spans="1:5">
      <c r="A21" s="380"/>
      <c r="B21" s="380"/>
      <c r="C21" s="382" t="s">
        <v>398</v>
      </c>
      <c r="D21" s="383">
        <v>10421</v>
      </c>
      <c r="E21" s="380"/>
    </row>
    <row r="22" spans="1:5">
      <c r="A22" s="380"/>
      <c r="B22" s="380"/>
      <c r="C22" s="382" t="s">
        <v>399</v>
      </c>
      <c r="D22" s="383">
        <v>13762</v>
      </c>
      <c r="E22" s="380"/>
    </row>
    <row r="23" spans="1:5">
      <c r="A23" s="380"/>
      <c r="B23" s="380"/>
      <c r="C23" s="382" t="s">
        <v>400</v>
      </c>
      <c r="D23" s="383">
        <v>12360</v>
      </c>
      <c r="E23" s="380"/>
    </row>
    <row r="24" spans="1:5">
      <c r="A24" s="380"/>
      <c r="B24" s="380"/>
      <c r="C24" s="382" t="s">
        <v>401</v>
      </c>
      <c r="D24" s="383">
        <v>9337</v>
      </c>
      <c r="E24" s="380"/>
    </row>
    <row r="25" spans="1:5">
      <c r="A25" s="380"/>
      <c r="B25" s="380"/>
      <c r="C25" s="382" t="s">
        <v>378</v>
      </c>
      <c r="D25" s="383">
        <v>0</v>
      </c>
      <c r="E25" s="380"/>
    </row>
    <row r="26" spans="1:5">
      <c r="A26" s="380"/>
      <c r="B26" s="380"/>
      <c r="C26" s="382" t="s">
        <v>402</v>
      </c>
      <c r="D26" s="383">
        <v>0</v>
      </c>
      <c r="E26" s="380"/>
    </row>
    <row r="27" spans="1:5">
      <c r="A27" s="380"/>
      <c r="B27" s="380"/>
      <c r="C27" s="382" t="s">
        <v>403</v>
      </c>
      <c r="D27" s="383">
        <v>0</v>
      </c>
      <c r="E27" s="380"/>
    </row>
    <row r="28" spans="1:5">
      <c r="A28" s="380"/>
      <c r="B28" s="380"/>
      <c r="C28" s="382" t="s">
        <v>404</v>
      </c>
      <c r="D28" s="383">
        <v>2906</v>
      </c>
      <c r="E28" s="380"/>
    </row>
    <row r="29" spans="1:5">
      <c r="A29" s="380"/>
      <c r="B29" s="380"/>
      <c r="C29" s="380"/>
      <c r="D29" s="380"/>
      <c r="E29" s="380"/>
    </row>
    <row r="30" spans="1:5" ht="144">
      <c r="A30" s="384" t="s">
        <v>405</v>
      </c>
      <c r="B30" s="380"/>
      <c r="C30" s="380"/>
      <c r="D30" s="380"/>
      <c r="E30" s="380"/>
    </row>
    <row r="31" spans="1:5">
      <c r="A31" s="380"/>
      <c r="B31" s="380"/>
      <c r="C31" s="385" t="s">
        <v>227</v>
      </c>
      <c r="D31" s="386">
        <f>SUM(D4:D27)</f>
        <v>2625432</v>
      </c>
      <c r="E31" s="380"/>
    </row>
    <row r="32" spans="1:5">
      <c r="A32" s="380"/>
      <c r="B32" s="380"/>
      <c r="C32" s="386"/>
      <c r="D32" s="386"/>
      <c r="E32" s="380"/>
    </row>
    <row r="33" spans="1:5">
      <c r="A33" s="380"/>
      <c r="B33" s="380"/>
      <c r="C33" s="385" t="s">
        <v>406</v>
      </c>
      <c r="D33" s="386">
        <f>SUM(D4:D12)</f>
        <v>2236100</v>
      </c>
      <c r="E33" s="380"/>
    </row>
    <row r="34" spans="1:5">
      <c r="A34" s="380"/>
      <c r="B34" s="380"/>
      <c r="C34" s="385" t="s">
        <v>407</v>
      </c>
      <c r="D34" s="386">
        <f>SUM(D13:D27)</f>
        <v>389332</v>
      </c>
      <c r="E34" s="380"/>
    </row>
    <row r="35" spans="1:5">
      <c r="A35" s="380"/>
      <c r="B35" s="380"/>
      <c r="C35" s="380"/>
      <c r="D35" s="380"/>
      <c r="E35" s="380"/>
    </row>
    <row r="36" spans="1:5">
      <c r="A36" s="380" t="s">
        <v>412</v>
      </c>
      <c r="B36" s="380"/>
      <c r="C36" s="385" t="s">
        <v>410</v>
      </c>
      <c r="D36" s="388">
        <f>D33+(D13/10)*2</f>
        <v>2264207</v>
      </c>
      <c r="E36" s="380"/>
    </row>
    <row r="37" spans="1:5">
      <c r="A37" s="380"/>
      <c r="B37" s="380"/>
      <c r="C37" s="385" t="s">
        <v>411</v>
      </c>
      <c r="D37" s="388">
        <f>D34-(D13/10)*2</f>
        <v>361225</v>
      </c>
      <c r="E37" s="380"/>
    </row>
    <row r="38" spans="1:5" ht="17" thickBot="1">
      <c r="A38" s="380"/>
      <c r="B38" s="380"/>
      <c r="C38" s="380"/>
      <c r="D38" s="380"/>
      <c r="E38" s="380"/>
    </row>
    <row r="39" spans="1:5" ht="17" thickBot="1">
      <c r="A39" s="380"/>
      <c r="B39" s="380"/>
      <c r="C39" s="380" t="s">
        <v>375</v>
      </c>
      <c r="D39" s="427">
        <f>D36/D31*100</f>
        <v>86.241311906002522</v>
      </c>
      <c r="E39" s="380" t="s">
        <v>169</v>
      </c>
    </row>
    <row r="40" spans="1:5" ht="17" thickBot="1">
      <c r="A40" s="387" t="s">
        <v>408</v>
      </c>
      <c r="B40" s="380"/>
      <c r="C40" s="380" t="s">
        <v>409</v>
      </c>
      <c r="D40" s="427">
        <f>100-D39</f>
        <v>13.758688093997478</v>
      </c>
      <c r="E40" s="380" t="s">
        <v>169</v>
      </c>
    </row>
    <row r="41" spans="1:5">
      <c r="A41" s="380"/>
      <c r="B41" s="380"/>
      <c r="C41" s="380"/>
      <c r="D41" s="380"/>
      <c r="E41" s="380"/>
    </row>
    <row r="42" spans="1:5">
      <c r="A42" s="380"/>
      <c r="B42" s="380"/>
      <c r="C42" s="380"/>
      <c r="D42" s="380"/>
      <c r="E42" s="380"/>
    </row>
    <row r="43" spans="1:5">
      <c r="A43" s="380"/>
      <c r="B43" s="380"/>
      <c r="C43" s="380"/>
      <c r="D43" s="380"/>
      <c r="E43" s="380"/>
    </row>
    <row r="44" spans="1:5">
      <c r="A44" s="380"/>
      <c r="B44" s="380"/>
      <c r="C44" s="380"/>
      <c r="D44" s="380"/>
      <c r="E44" s="380"/>
    </row>
  </sheetData>
  <hyperlinks>
    <hyperlink ref="A40" r:id="rId1" xr:uid="{A9EE9861-61C5-8C49-B970-F389C4DEC7E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113"/>
  <sheetViews>
    <sheetView workbookViewId="0">
      <selection activeCell="C7" sqref="C7"/>
    </sheetView>
  </sheetViews>
  <sheetFormatPr baseColWidth="10" defaultRowHeight="16"/>
  <cols>
    <col min="1" max="1" width="10.83203125" style="88"/>
    <col min="2" max="2" width="18.6640625" style="88" customWidth="1"/>
    <col min="3" max="3" width="59.5" style="116" customWidth="1"/>
    <col min="4" max="16384" width="10.83203125" style="88"/>
  </cols>
  <sheetData>
    <row r="2" spans="2:4" ht="21">
      <c r="B2" s="87" t="s">
        <v>102</v>
      </c>
    </row>
    <row r="4" spans="2:4" ht="17">
      <c r="B4" s="117" t="s">
        <v>81</v>
      </c>
      <c r="C4" s="118" t="s">
        <v>103</v>
      </c>
      <c r="D4" s="119" t="s">
        <v>104</v>
      </c>
    </row>
    <row r="5" spans="2:4">
      <c r="B5" s="120"/>
      <c r="C5" s="121"/>
      <c r="D5" s="122"/>
    </row>
    <row r="6" spans="2:4" ht="17">
      <c r="B6" s="123">
        <v>43305</v>
      </c>
      <c r="C6" s="138" t="s">
        <v>287</v>
      </c>
      <c r="D6" s="125">
        <v>1</v>
      </c>
    </row>
    <row r="7" spans="2:4">
      <c r="B7" s="126"/>
      <c r="C7" s="138"/>
      <c r="D7" s="125"/>
    </row>
    <row r="8" spans="2:4">
      <c r="B8" s="126"/>
      <c r="C8" s="124"/>
      <c r="D8" s="125"/>
    </row>
    <row r="9" spans="2:4">
      <c r="B9" s="126"/>
      <c r="C9" s="124"/>
      <c r="D9" s="125"/>
    </row>
    <row r="10" spans="2:4">
      <c r="B10" s="127"/>
      <c r="C10" s="128"/>
      <c r="D10" s="125"/>
    </row>
    <row r="11" spans="2:4">
      <c r="B11" s="127"/>
      <c r="C11" s="128"/>
      <c r="D11" s="125"/>
    </row>
    <row r="12" spans="2:4">
      <c r="B12" s="127"/>
      <c r="C12" s="128"/>
      <c r="D12" s="125"/>
    </row>
    <row r="13" spans="2:4">
      <c r="B13" s="127"/>
      <c r="C13" s="128"/>
      <c r="D13" s="125"/>
    </row>
    <row r="14" spans="2:4">
      <c r="B14" s="127"/>
      <c r="C14" s="128"/>
      <c r="D14" s="125"/>
    </row>
    <row r="15" spans="2:4">
      <c r="B15" s="127"/>
      <c r="C15" s="128"/>
      <c r="D15" s="125"/>
    </row>
    <row r="16" spans="2:4">
      <c r="B16" s="127"/>
      <c r="C16" s="128"/>
      <c r="D16" s="125"/>
    </row>
    <row r="17" spans="2:4">
      <c r="B17" s="127"/>
      <c r="C17" s="128"/>
      <c r="D17" s="125"/>
    </row>
    <row r="18" spans="2:4">
      <c r="B18" s="127"/>
      <c r="C18" s="128"/>
      <c r="D18" s="125"/>
    </row>
    <row r="19" spans="2:4">
      <c r="B19" s="127"/>
      <c r="C19" s="128"/>
      <c r="D19" s="125"/>
    </row>
    <row r="20" spans="2:4">
      <c r="B20" s="127"/>
      <c r="C20" s="128"/>
      <c r="D20" s="125"/>
    </row>
    <row r="21" spans="2:4">
      <c r="B21" s="127"/>
      <c r="C21" s="128"/>
      <c r="D21" s="125"/>
    </row>
    <row r="22" spans="2:4">
      <c r="B22" s="127"/>
      <c r="C22" s="128"/>
      <c r="D22" s="125"/>
    </row>
    <row r="23" spans="2:4">
      <c r="B23" s="127"/>
      <c r="C23" s="128"/>
      <c r="D23" s="125"/>
    </row>
    <row r="24" spans="2:4">
      <c r="B24" s="127"/>
      <c r="C24" s="128"/>
      <c r="D24" s="125"/>
    </row>
    <row r="25" spans="2:4">
      <c r="B25" s="127"/>
      <c r="C25" s="128"/>
      <c r="D25" s="125"/>
    </row>
    <row r="26" spans="2:4">
      <c r="B26" s="127"/>
      <c r="C26" s="128"/>
      <c r="D26" s="125"/>
    </row>
    <row r="27" spans="2:4">
      <c r="B27" s="127"/>
      <c r="C27" s="128"/>
      <c r="D27" s="125"/>
    </row>
    <row r="28" spans="2:4">
      <c r="B28" s="127"/>
      <c r="C28" s="128"/>
      <c r="D28" s="125"/>
    </row>
    <row r="29" spans="2:4">
      <c r="B29" s="127"/>
      <c r="C29" s="128"/>
      <c r="D29" s="125"/>
    </row>
    <row r="30" spans="2:4">
      <c r="B30" s="127"/>
      <c r="C30" s="128"/>
      <c r="D30" s="125"/>
    </row>
    <row r="31" spans="2:4">
      <c r="B31" s="127"/>
      <c r="C31" s="128"/>
      <c r="D31" s="125"/>
    </row>
    <row r="32" spans="2:4">
      <c r="B32" s="129"/>
      <c r="C32" s="128"/>
      <c r="D32" s="125"/>
    </row>
    <row r="33" spans="2:4">
      <c r="B33" s="127"/>
      <c r="C33" s="128"/>
      <c r="D33" s="125"/>
    </row>
    <row r="34" spans="2:4">
      <c r="B34" s="127"/>
      <c r="C34" s="128"/>
      <c r="D34" s="125"/>
    </row>
    <row r="35" spans="2:4">
      <c r="B35" s="127"/>
      <c r="C35" s="128"/>
      <c r="D35" s="125"/>
    </row>
    <row r="36" spans="2:4">
      <c r="B36" s="127"/>
      <c r="C36" s="128"/>
      <c r="D36" s="125"/>
    </row>
    <row r="37" spans="2:4">
      <c r="B37" s="127"/>
      <c r="C37" s="128"/>
      <c r="D37" s="125"/>
    </row>
    <row r="38" spans="2:4">
      <c r="B38" s="127"/>
      <c r="C38" s="128"/>
      <c r="D38" s="125"/>
    </row>
    <row r="39" spans="2:4">
      <c r="B39" s="127"/>
      <c r="C39" s="128"/>
      <c r="D39" s="125"/>
    </row>
    <row r="40" spans="2:4">
      <c r="B40" s="130"/>
      <c r="C40" s="128"/>
      <c r="D40" s="125"/>
    </row>
    <row r="41" spans="2:4">
      <c r="B41" s="127"/>
      <c r="C41" s="128"/>
      <c r="D41" s="125"/>
    </row>
    <row r="42" spans="2:4">
      <c r="B42" s="130"/>
      <c r="C42" s="128"/>
      <c r="D42" s="125"/>
    </row>
    <row r="43" spans="2:4">
      <c r="B43" s="130"/>
      <c r="C43" s="131"/>
      <c r="D43" s="132"/>
    </row>
    <row r="44" spans="2:4">
      <c r="B44" s="130"/>
      <c r="C44" s="128"/>
      <c r="D44" s="125"/>
    </row>
    <row r="45" spans="2:4">
      <c r="B45" s="127"/>
      <c r="C45" s="128"/>
      <c r="D45" s="125"/>
    </row>
    <row r="46" spans="2:4">
      <c r="B46" s="127"/>
      <c r="C46" s="128"/>
      <c r="D46" s="125"/>
    </row>
    <row r="47" spans="2:4">
      <c r="B47" s="127"/>
      <c r="C47" s="128"/>
      <c r="D47" s="125"/>
    </row>
    <row r="48" spans="2:4">
      <c r="B48" s="133"/>
      <c r="C48" s="134"/>
      <c r="D48" s="135"/>
    </row>
    <row r="49" spans="2:4">
      <c r="B49" s="136"/>
      <c r="D49" s="137"/>
    </row>
    <row r="50" spans="2:4">
      <c r="B50" s="136"/>
      <c r="D50" s="137"/>
    </row>
    <row r="51" spans="2:4">
      <c r="B51" s="136"/>
      <c r="D51" s="137"/>
    </row>
    <row r="52" spans="2:4">
      <c r="B52" s="136"/>
      <c r="D52" s="137"/>
    </row>
    <row r="53" spans="2:4">
      <c r="B53" s="136"/>
      <c r="D53" s="137"/>
    </row>
    <row r="54" spans="2:4">
      <c r="B54" s="136"/>
      <c r="D54" s="137"/>
    </row>
    <row r="55" spans="2:4">
      <c r="B55" s="136"/>
      <c r="D55" s="137"/>
    </row>
    <row r="56" spans="2:4">
      <c r="B56" s="136"/>
      <c r="D56" s="136"/>
    </row>
    <row r="57" spans="2:4">
      <c r="B57" s="136"/>
      <c r="D57" s="136"/>
    </row>
    <row r="58" spans="2:4">
      <c r="B58" s="136"/>
      <c r="D58" s="136"/>
    </row>
    <row r="59" spans="2:4">
      <c r="B59" s="136"/>
      <c r="D59" s="136"/>
    </row>
    <row r="60" spans="2:4">
      <c r="B60" s="136"/>
      <c r="D60" s="136"/>
    </row>
    <row r="61" spans="2:4">
      <c r="B61" s="136"/>
      <c r="D61" s="136"/>
    </row>
    <row r="62" spans="2:4">
      <c r="B62" s="136"/>
      <c r="D62" s="136"/>
    </row>
    <row r="63" spans="2:4">
      <c r="B63" s="136"/>
      <c r="D63" s="136"/>
    </row>
    <row r="64" spans="2:4">
      <c r="B64" s="136"/>
      <c r="D64" s="136"/>
    </row>
    <row r="65" spans="2:4">
      <c r="B65" s="136"/>
      <c r="D65" s="136"/>
    </row>
    <row r="66" spans="2:4">
      <c r="B66" s="136"/>
      <c r="D66" s="136"/>
    </row>
    <row r="67" spans="2:4">
      <c r="B67" s="136"/>
      <c r="D67" s="136"/>
    </row>
    <row r="68" spans="2:4">
      <c r="B68" s="136"/>
      <c r="D68" s="136"/>
    </row>
    <row r="69" spans="2:4">
      <c r="B69" s="136"/>
      <c r="D69" s="136"/>
    </row>
    <row r="70" spans="2:4">
      <c r="B70" s="136"/>
      <c r="D70" s="136"/>
    </row>
    <row r="71" spans="2:4">
      <c r="B71" s="136"/>
      <c r="D71" s="136"/>
    </row>
    <row r="72" spans="2:4">
      <c r="B72" s="136"/>
      <c r="D72" s="136"/>
    </row>
    <row r="73" spans="2:4">
      <c r="B73" s="136"/>
      <c r="D73" s="136"/>
    </row>
    <row r="74" spans="2:4">
      <c r="B74" s="136"/>
      <c r="D74" s="136"/>
    </row>
    <row r="75" spans="2:4">
      <c r="B75" s="136"/>
      <c r="D75" s="136"/>
    </row>
    <row r="76" spans="2:4">
      <c r="B76" s="136"/>
      <c r="D76" s="136"/>
    </row>
    <row r="77" spans="2:4">
      <c r="B77" s="136"/>
      <c r="D77" s="136"/>
    </row>
    <row r="78" spans="2:4">
      <c r="B78" s="136"/>
      <c r="D78" s="136"/>
    </row>
    <row r="79" spans="2:4">
      <c r="B79" s="136"/>
      <c r="D79" s="136"/>
    </row>
    <row r="80" spans="2:4">
      <c r="B80" s="136"/>
      <c r="D80" s="136"/>
    </row>
    <row r="81" spans="2:4">
      <c r="B81" s="136"/>
      <c r="D81" s="136"/>
    </row>
    <row r="82" spans="2:4">
      <c r="B82" s="136"/>
      <c r="D82" s="136"/>
    </row>
    <row r="83" spans="2:4">
      <c r="B83" s="136"/>
      <c r="D83" s="136"/>
    </row>
    <row r="84" spans="2:4">
      <c r="B84" s="136"/>
      <c r="D84" s="136"/>
    </row>
    <row r="85" spans="2:4">
      <c r="B85" s="136"/>
      <c r="D85" s="136"/>
    </row>
    <row r="86" spans="2:4">
      <c r="B86" s="136"/>
      <c r="D86" s="136"/>
    </row>
    <row r="87" spans="2:4">
      <c r="D87" s="136"/>
    </row>
    <row r="88" spans="2:4">
      <c r="D88" s="136"/>
    </row>
    <row r="89" spans="2:4">
      <c r="D89" s="136"/>
    </row>
    <row r="90" spans="2:4">
      <c r="D90" s="136"/>
    </row>
    <row r="91" spans="2:4">
      <c r="D91" s="136"/>
    </row>
    <row r="92" spans="2:4">
      <c r="D92" s="136"/>
    </row>
    <row r="93" spans="2:4">
      <c r="D93" s="136"/>
    </row>
    <row r="94" spans="2:4">
      <c r="D94" s="136"/>
    </row>
    <row r="95" spans="2:4">
      <c r="D95" s="136"/>
    </row>
    <row r="96" spans="2:4">
      <c r="D96" s="136"/>
    </row>
    <row r="97" spans="4:4">
      <c r="D97" s="136"/>
    </row>
    <row r="98" spans="4:4">
      <c r="D98" s="136"/>
    </row>
    <row r="99" spans="4:4">
      <c r="D99" s="136"/>
    </row>
    <row r="100" spans="4:4">
      <c r="D100" s="136"/>
    </row>
    <row r="101" spans="4:4">
      <c r="D101" s="136"/>
    </row>
    <row r="102" spans="4:4">
      <c r="D102" s="136"/>
    </row>
    <row r="103" spans="4:4">
      <c r="D103" s="136"/>
    </row>
    <row r="104" spans="4:4">
      <c r="D104" s="136"/>
    </row>
    <row r="105" spans="4:4">
      <c r="D105" s="136"/>
    </row>
    <row r="106" spans="4:4">
      <c r="D106" s="136"/>
    </row>
    <row r="107" spans="4:4">
      <c r="D107" s="136"/>
    </row>
    <row r="108" spans="4:4">
      <c r="D108" s="136"/>
    </row>
    <row r="109" spans="4:4">
      <c r="D109" s="136"/>
    </row>
    <row r="110" spans="4:4">
      <c r="D110" s="136"/>
    </row>
    <row r="111" spans="4:4">
      <c r="D111" s="136"/>
    </row>
    <row r="112" spans="4:4">
      <c r="D112" s="136"/>
    </row>
    <row r="113" spans="4:4">
      <c r="D113" s="136"/>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0"/>
  <sheetViews>
    <sheetView workbookViewId="0">
      <selection activeCell="C8" sqref="C8"/>
    </sheetView>
  </sheetViews>
  <sheetFormatPr baseColWidth="10" defaultRowHeight="16"/>
  <cols>
    <col min="1" max="1" width="2.6640625" style="3" customWidth="1"/>
    <col min="2" max="2" width="3.1640625" style="140" customWidth="1"/>
    <col min="3" max="3" width="11" style="3" customWidth="1"/>
    <col min="4" max="16384" width="10.83203125" style="3"/>
  </cols>
  <sheetData>
    <row r="2" spans="2:3">
      <c r="B2" s="140" t="s">
        <v>127</v>
      </c>
    </row>
    <row r="4" spans="2:3">
      <c r="B4" s="66" t="s">
        <v>107</v>
      </c>
    </row>
    <row r="6" spans="2:3">
      <c r="B6" s="140">
        <v>1</v>
      </c>
      <c r="C6" s="3" t="s">
        <v>413</v>
      </c>
    </row>
    <row r="7" spans="2:3">
      <c r="B7" s="140">
        <v>2</v>
      </c>
      <c r="C7" s="3" t="s">
        <v>415</v>
      </c>
    </row>
    <row r="8" spans="2:3">
      <c r="B8" s="140">
        <v>3</v>
      </c>
      <c r="C8" s="3" t="s">
        <v>414</v>
      </c>
    </row>
    <row r="12" spans="2:3">
      <c r="B12" s="66"/>
    </row>
    <row r="20" spans="2:2">
      <c r="B20" s="6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2:Q81"/>
  <sheetViews>
    <sheetView zoomScale="90" zoomScaleNormal="120" workbookViewId="0">
      <pane xSplit="2" ySplit="9" topLeftCell="C10" activePane="bottomRight" state="frozen"/>
      <selection pane="topRight" activeCell="C1" sqref="C1"/>
      <selection pane="bottomLeft" activeCell="A10" sqref="A10"/>
      <selection pane="bottomRight" activeCell="K19" sqref="K19"/>
    </sheetView>
  </sheetViews>
  <sheetFormatPr baseColWidth="10" defaultRowHeight="16"/>
  <cols>
    <col min="1" max="1" width="10.83203125" style="3"/>
    <col min="2" max="2" width="40.83203125" style="3" customWidth="1"/>
    <col min="3" max="3" width="41.5" style="3" bestFit="1" customWidth="1"/>
    <col min="4" max="4" width="12.6640625" style="3" customWidth="1"/>
    <col min="5" max="5" width="29" style="3" bestFit="1" customWidth="1"/>
    <col min="6" max="6" width="28" style="3" bestFit="1" customWidth="1"/>
    <col min="7" max="7" width="15.1640625" style="3" bestFit="1" customWidth="1"/>
    <col min="8" max="8" width="11.33203125" style="3" bestFit="1" customWidth="1"/>
    <col min="9" max="9" width="11" style="3" bestFit="1" customWidth="1"/>
    <col min="10" max="10" width="14.83203125" style="3" bestFit="1" customWidth="1"/>
    <col min="11" max="11" width="14.6640625" style="3" bestFit="1" customWidth="1"/>
    <col min="12" max="12" width="4.5" style="3" customWidth="1"/>
    <col min="13" max="13" width="19.83203125" style="3" customWidth="1"/>
    <col min="14" max="14" width="22.6640625" style="3" customWidth="1"/>
    <col min="15" max="15" width="29.1640625" style="3" customWidth="1"/>
    <col min="16" max="16384" width="10.83203125" style="3"/>
  </cols>
  <sheetData>
    <row r="2" spans="2:15" ht="21">
      <c r="B2" s="1" t="s">
        <v>0</v>
      </c>
      <c r="C2" s="2"/>
      <c r="D2" s="2"/>
      <c r="E2" s="2"/>
      <c r="F2" s="2"/>
      <c r="G2" s="2"/>
      <c r="H2" s="2"/>
      <c r="I2" s="2"/>
      <c r="J2" s="2"/>
      <c r="K2" s="2"/>
      <c r="L2" s="2"/>
    </row>
    <row r="3" spans="2:15">
      <c r="E3" s="2"/>
      <c r="F3" s="2"/>
      <c r="G3" s="2"/>
      <c r="H3" s="2"/>
      <c r="I3" s="2"/>
      <c r="J3" s="2"/>
      <c r="K3" s="2"/>
      <c r="L3" s="2"/>
    </row>
    <row r="4" spans="2:15">
      <c r="B4" s="4" t="s">
        <v>1</v>
      </c>
      <c r="C4" s="5"/>
      <c r="D4" s="5"/>
      <c r="E4" s="5"/>
      <c r="F4" s="5"/>
      <c r="G4" s="6"/>
      <c r="H4" s="2"/>
      <c r="I4" s="2"/>
      <c r="J4" s="2"/>
      <c r="K4" s="2"/>
      <c r="L4" s="2"/>
    </row>
    <row r="5" spans="2:15" ht="30" customHeight="1">
      <c r="B5" s="395" t="s">
        <v>121</v>
      </c>
      <c r="C5" s="396"/>
      <c r="D5" s="396"/>
      <c r="E5" s="396"/>
      <c r="F5" s="396"/>
      <c r="G5" s="397"/>
      <c r="H5" s="2"/>
      <c r="I5" s="2"/>
      <c r="J5" s="2"/>
      <c r="K5" s="2"/>
      <c r="L5" s="2"/>
    </row>
    <row r="6" spans="2:15" ht="17" thickBot="1">
      <c r="B6" s="2"/>
      <c r="C6" s="2"/>
      <c r="D6" s="2"/>
      <c r="E6" s="2"/>
      <c r="F6" s="2"/>
      <c r="G6" s="2"/>
      <c r="H6" s="2"/>
      <c r="I6" s="2"/>
      <c r="J6" s="2"/>
      <c r="K6" s="2"/>
      <c r="L6" s="2"/>
    </row>
    <row r="7" spans="2:15">
      <c r="B7" s="7" t="s">
        <v>0</v>
      </c>
      <c r="C7" s="8"/>
      <c r="D7" s="8"/>
      <c r="E7" s="8"/>
      <c r="F7" s="8"/>
      <c r="G7" s="8"/>
      <c r="H7" s="8"/>
      <c r="I7" s="8"/>
      <c r="J7" s="8"/>
      <c r="K7" s="9"/>
      <c r="L7" s="2"/>
      <c r="M7" s="77"/>
      <c r="N7" s="8"/>
      <c r="O7" s="9"/>
    </row>
    <row r="8" spans="2:15">
      <c r="B8" s="10"/>
      <c r="C8" s="2"/>
      <c r="D8" s="2"/>
      <c r="E8" s="2"/>
      <c r="F8" s="2"/>
      <c r="G8" s="2"/>
      <c r="H8" s="2"/>
      <c r="I8" s="2"/>
      <c r="J8" s="2"/>
      <c r="K8" s="11"/>
      <c r="L8" s="2"/>
      <c r="M8" s="10"/>
      <c r="N8" s="2"/>
      <c r="O8" s="11"/>
    </row>
    <row r="9" spans="2:15" ht="51">
      <c r="B9" s="12" t="s">
        <v>2</v>
      </c>
      <c r="C9" s="13" t="s">
        <v>3</v>
      </c>
      <c r="D9" s="14" t="s">
        <v>4</v>
      </c>
      <c r="E9" s="15" t="s">
        <v>5</v>
      </c>
      <c r="F9" s="15" t="s">
        <v>6</v>
      </c>
      <c r="G9" s="15" t="s">
        <v>7</v>
      </c>
      <c r="H9" s="15" t="s">
        <v>8</v>
      </c>
      <c r="I9" s="15" t="s">
        <v>9</v>
      </c>
      <c r="J9" s="15" t="s">
        <v>10</v>
      </c>
      <c r="K9" s="16" t="s">
        <v>11</v>
      </c>
      <c r="L9" s="25"/>
      <c r="M9" s="78" t="s">
        <v>73</v>
      </c>
      <c r="N9" s="79" t="s">
        <v>74</v>
      </c>
      <c r="O9" s="80" t="s">
        <v>75</v>
      </c>
    </row>
    <row r="10" spans="2:15" ht="17" thickBot="1">
      <c r="B10" s="17" t="s">
        <v>12</v>
      </c>
      <c r="C10" s="18"/>
      <c r="D10" s="18"/>
      <c r="E10" s="19"/>
      <c r="F10" s="19"/>
      <c r="G10" s="19"/>
      <c r="H10" s="19"/>
      <c r="I10" s="19"/>
      <c r="J10" s="19"/>
      <c r="K10" s="20"/>
      <c r="L10" s="67"/>
      <c r="M10" s="10"/>
      <c r="N10" s="2"/>
      <c r="O10" s="11"/>
    </row>
    <row r="11" spans="2:15" s="23" customFormat="1" ht="17" thickBot="1">
      <c r="B11" s="21"/>
      <c r="C11" s="22" t="s">
        <v>13</v>
      </c>
      <c r="D11" s="22"/>
      <c r="E11" s="272">
        <v>24614.400000000001</v>
      </c>
      <c r="F11" s="165">
        <v>36637.18</v>
      </c>
      <c r="G11" s="165">
        <v>494</v>
      </c>
      <c r="H11" s="166">
        <v>0</v>
      </c>
      <c r="I11" s="165">
        <f>880+8392+736</f>
        <v>10008</v>
      </c>
      <c r="J11" s="165">
        <v>40311.01</v>
      </c>
      <c r="K11" s="165">
        <v>67397</v>
      </c>
      <c r="L11" s="55"/>
      <c r="M11" s="21"/>
      <c r="N11" s="81"/>
      <c r="O11" s="82"/>
    </row>
    <row r="12" spans="2:15">
      <c r="B12" s="24"/>
      <c r="C12" s="25"/>
      <c r="D12" s="25"/>
      <c r="E12" s="55">
        <f>SUM(E15:E26)+SUM(E30:E42)+SUM(E52:E56)</f>
        <v>24614.400000000001</v>
      </c>
      <c r="F12" s="55">
        <f>SUM(F15:F73)-F57</f>
        <v>36605.025626630209</v>
      </c>
      <c r="G12" s="55">
        <f>SUM(G15:G42)</f>
        <v>494.00000000000006</v>
      </c>
      <c r="H12" s="55">
        <f t="shared" ref="H12" si="0">SUM(H15:H26)</f>
        <v>0</v>
      </c>
      <c r="I12" s="55">
        <f>SUM(I15:I40)</f>
        <v>10008</v>
      </c>
      <c r="J12" s="55">
        <f>SUM(J15:J57)</f>
        <v>40311.010000000009</v>
      </c>
      <c r="K12" s="55">
        <f>SUM(K15:K42)</f>
        <v>67397</v>
      </c>
      <c r="L12" s="55"/>
      <c r="M12" s="10"/>
      <c r="N12" s="2"/>
      <c r="O12" s="11"/>
    </row>
    <row r="13" spans="2:15">
      <c r="B13" s="12"/>
      <c r="C13" s="26"/>
      <c r="D13" s="26"/>
      <c r="E13" s="34"/>
      <c r="F13" s="34"/>
      <c r="G13" s="34"/>
      <c r="H13" s="34"/>
      <c r="I13" s="34"/>
      <c r="J13" s="34"/>
      <c r="K13" s="35"/>
      <c r="L13" s="68"/>
      <c r="M13" s="10"/>
      <c r="N13" s="2"/>
      <c r="O13" s="11"/>
    </row>
    <row r="14" spans="2:15">
      <c r="B14" s="17" t="s">
        <v>34</v>
      </c>
      <c r="C14" s="27"/>
      <c r="D14" s="26"/>
      <c r="E14" s="34"/>
      <c r="F14" s="34"/>
      <c r="G14" s="34"/>
      <c r="H14" s="34"/>
      <c r="I14" s="34"/>
      <c r="J14" s="34"/>
      <c r="K14" s="35"/>
      <c r="L14" s="68"/>
      <c r="M14" s="10"/>
      <c r="N14" s="2"/>
      <c r="O14" s="11"/>
    </row>
    <row r="15" spans="2:15">
      <c r="B15" s="24" t="s">
        <v>117</v>
      </c>
      <c r="C15" s="181" t="s">
        <v>35</v>
      </c>
      <c r="D15" s="64">
        <f>SUM(E15:K15)/SUM($E$15:$K$26)</f>
        <v>0.15757604203148864</v>
      </c>
      <c r="E15" s="279">
        <f>E11*'Residential data'!W45</f>
        <v>19848.776101500098</v>
      </c>
      <c r="F15" s="308"/>
      <c r="G15" s="279"/>
      <c r="H15" s="279"/>
      <c r="I15" s="279"/>
      <c r="J15" s="279"/>
      <c r="K15" s="300"/>
      <c r="L15" s="69"/>
      <c r="M15" s="10">
        <v>1.0669999999999999</v>
      </c>
      <c r="N15" s="150">
        <f t="shared" ref="N15:N25" si="1">M15*SUM(E15:K15)</f>
        <v>21178.644100300604</v>
      </c>
      <c r="O15" s="85">
        <f>N15/SUM($N$15:$N$26)</f>
        <v>0.16976145987213082</v>
      </c>
    </row>
    <row r="16" spans="2:15">
      <c r="B16" s="226">
        <f>SUM(E15:K26)</f>
        <v>125963.15940930721</v>
      </c>
      <c r="C16" s="182" t="s">
        <v>36</v>
      </c>
      <c r="D16" s="65">
        <f t="shared" ref="D16:D26" si="2">SUM(E16:K16)/SUM($E$15:$K$26)</f>
        <v>8.6336455046386116E-4</v>
      </c>
      <c r="E16" s="280"/>
      <c r="F16" s="299"/>
      <c r="G16" s="280">
        <f>G11*'Residential data'!W46</f>
        <v>108.7521264984242</v>
      </c>
      <c r="H16" s="280"/>
      <c r="I16" s="280"/>
      <c r="J16" s="280"/>
      <c r="K16" s="301"/>
      <c r="L16" s="69"/>
      <c r="M16" s="10">
        <v>1</v>
      </c>
      <c r="N16" s="150">
        <f t="shared" si="1"/>
        <v>108.7521264984242</v>
      </c>
      <c r="O16" s="85">
        <f t="shared" ref="O16:O25" si="3">N16/SUM($N$15:$N$26)</f>
        <v>8.7172340548038638E-4</v>
      </c>
    </row>
    <row r="17" spans="2:17" ht="17" thickBot="1">
      <c r="B17" s="17">
        <f xml:space="preserve"> 'Residential data'!W29</f>
        <v>120951.14499849927</v>
      </c>
      <c r="C17" s="182" t="s">
        <v>37</v>
      </c>
      <c r="D17" s="65">
        <f t="shared" si="2"/>
        <v>0</v>
      </c>
      <c r="E17" s="280"/>
      <c r="F17" s="299">
        <f>'Heat pumps'!J21</f>
        <v>0</v>
      </c>
      <c r="G17" s="280"/>
      <c r="H17" s="280"/>
      <c r="I17" s="280"/>
      <c r="J17" s="280"/>
      <c r="K17" s="301"/>
      <c r="L17" s="69"/>
      <c r="M17" s="10">
        <v>4.8000000000000078</v>
      </c>
      <c r="N17" s="150">
        <f t="shared" si="1"/>
        <v>0</v>
      </c>
      <c r="O17" s="85">
        <f t="shared" si="3"/>
        <v>0</v>
      </c>
    </row>
    <row r="18" spans="2:17" ht="17" thickBot="1">
      <c r="B18" s="17"/>
      <c r="C18" s="182" t="s">
        <v>38</v>
      </c>
      <c r="D18" s="65">
        <f t="shared" si="2"/>
        <v>0</v>
      </c>
      <c r="E18" s="297">
        <f>'Residential data'!U34</f>
        <v>0</v>
      </c>
      <c r="F18" s="299"/>
      <c r="G18" s="280"/>
      <c r="H18" s="280"/>
      <c r="I18" s="280"/>
      <c r="J18" s="280"/>
      <c r="K18" s="301"/>
      <c r="L18" s="69"/>
      <c r="M18" s="10">
        <v>0.88</v>
      </c>
      <c r="N18" s="150">
        <f t="shared" si="1"/>
        <v>0</v>
      </c>
      <c r="O18" s="85">
        <f t="shared" si="3"/>
        <v>0</v>
      </c>
    </row>
    <row r="19" spans="2:17">
      <c r="B19" s="17"/>
      <c r="C19" s="182" t="s">
        <v>39</v>
      </c>
      <c r="D19" s="65">
        <f t="shared" si="2"/>
        <v>0.42375608024296291</v>
      </c>
      <c r="E19" s="280"/>
      <c r="F19" s="299"/>
      <c r="G19" s="280"/>
      <c r="H19" s="280"/>
      <c r="I19" s="280"/>
      <c r="J19" s="280"/>
      <c r="K19" s="301">
        <f>K11*'Residential data'!W47</f>
        <v>53377.654686307513</v>
      </c>
      <c r="L19" s="69"/>
      <c r="M19" s="10">
        <v>1</v>
      </c>
      <c r="N19" s="150">
        <f t="shared" si="1"/>
        <v>53377.654686307513</v>
      </c>
      <c r="O19" s="85">
        <f t="shared" si="3"/>
        <v>0.42785876853983457</v>
      </c>
    </row>
    <row r="20" spans="2:17">
      <c r="B20" s="17"/>
      <c r="C20" s="182" t="s">
        <v>40</v>
      </c>
      <c r="D20" s="65">
        <f t="shared" si="2"/>
        <v>1.1831862107446941E-2</v>
      </c>
      <c r="E20" s="280"/>
      <c r="F20" s="299">
        <f>'Residential data'!W38</f>
        <v>1490.3787327492805</v>
      </c>
      <c r="G20" s="280"/>
      <c r="H20" s="280"/>
      <c r="I20" s="280"/>
      <c r="J20" s="280"/>
      <c r="K20" s="301"/>
      <c r="L20" s="69"/>
      <c r="M20" s="10">
        <v>4.5000000000000044</v>
      </c>
      <c r="N20" s="150">
        <f t="shared" si="1"/>
        <v>6706.7042973717689</v>
      </c>
      <c r="O20" s="85">
        <f t="shared" si="3"/>
        <v>5.3758867048356737E-2</v>
      </c>
    </row>
    <row r="21" spans="2:17">
      <c r="B21" s="17"/>
      <c r="C21" s="182" t="s">
        <v>41</v>
      </c>
      <c r="D21" s="65">
        <f t="shared" si="2"/>
        <v>0.28881743981799979</v>
      </c>
      <c r="E21" s="280"/>
      <c r="F21" s="299"/>
      <c r="G21" s="280"/>
      <c r="H21" s="280"/>
      <c r="I21" s="280"/>
      <c r="J21" s="280">
        <f>J11*'Residential data'!W49</f>
        <v>36380.3572119827</v>
      </c>
      <c r="K21" s="301"/>
      <c r="L21" s="69"/>
      <c r="M21" s="10">
        <v>0.82</v>
      </c>
      <c r="N21" s="150">
        <f t="shared" si="1"/>
        <v>29831.892913825814</v>
      </c>
      <c r="O21" s="85">
        <f t="shared" si="3"/>
        <v>0.23912322563313973</v>
      </c>
    </row>
    <row r="22" spans="2:17" ht="17" thickBot="1">
      <c r="B22" s="17"/>
      <c r="C22" s="182" t="s">
        <v>42</v>
      </c>
      <c r="D22" s="65">
        <f t="shared" si="2"/>
        <v>5.3349494681147781E-2</v>
      </c>
      <c r="E22" s="280"/>
      <c r="F22" s="299">
        <f>'Residential data'!W40</f>
        <v>6720.0709029274049</v>
      </c>
      <c r="G22" s="280"/>
      <c r="H22" s="280"/>
      <c r="I22" s="280"/>
      <c r="J22" s="280"/>
      <c r="K22" s="301"/>
      <c r="L22" s="69"/>
      <c r="M22" s="10">
        <v>1</v>
      </c>
      <c r="N22" s="150">
        <f t="shared" si="1"/>
        <v>6720.0709029274049</v>
      </c>
      <c r="O22" s="85">
        <f>N22/SUM($N$15:$N$26)</f>
        <v>5.3866009623769646E-2</v>
      </c>
    </row>
    <row r="23" spans="2:17" ht="17" thickBot="1">
      <c r="B23" s="17"/>
      <c r="C23" s="182" t="s">
        <v>43</v>
      </c>
      <c r="D23" s="65">
        <f t="shared" si="2"/>
        <v>0</v>
      </c>
      <c r="E23" s="297">
        <v>0</v>
      </c>
      <c r="F23" s="299"/>
      <c r="G23" s="280"/>
      <c r="H23" s="280"/>
      <c r="I23" s="280"/>
      <c r="J23" s="280"/>
      <c r="K23" s="301"/>
      <c r="L23" s="69"/>
      <c r="M23" s="10">
        <v>0.8</v>
      </c>
      <c r="N23" s="150">
        <f t="shared" si="1"/>
        <v>0</v>
      </c>
      <c r="O23" s="85">
        <f t="shared" si="3"/>
        <v>0</v>
      </c>
    </row>
    <row r="24" spans="2:17">
      <c r="B24" s="17"/>
      <c r="C24" s="182" t="s">
        <v>44</v>
      </c>
      <c r="D24" s="65">
        <f t="shared" si="2"/>
        <v>6.3805716568490087E-2</v>
      </c>
      <c r="E24" s="280"/>
      <c r="F24" s="299"/>
      <c r="G24" s="280"/>
      <c r="H24" s="280"/>
      <c r="I24" s="280">
        <f>I11*'Residential data'!W48</f>
        <v>8037.1696473417915</v>
      </c>
      <c r="J24" s="280"/>
      <c r="K24" s="301"/>
      <c r="L24" s="69"/>
      <c r="M24" s="10">
        <v>0.85</v>
      </c>
      <c r="N24" s="150">
        <f t="shared" si="1"/>
        <v>6831.5942002405227</v>
      </c>
      <c r="O24" s="85">
        <f t="shared" si="3"/>
        <v>5.4759945877288344E-2</v>
      </c>
    </row>
    <row r="25" spans="2:17">
      <c r="B25" s="17"/>
      <c r="C25" s="182" t="s">
        <v>45</v>
      </c>
      <c r="D25" s="65">
        <f>SUM(E25:K25)/SUM($E$15:$K$26)</f>
        <v>0</v>
      </c>
      <c r="E25" s="280"/>
      <c r="F25" s="299"/>
      <c r="G25" s="280"/>
      <c r="H25" s="280">
        <f>H11</f>
        <v>0</v>
      </c>
      <c r="I25" s="280"/>
      <c r="J25" s="280"/>
      <c r="K25" s="301"/>
      <c r="L25" s="69"/>
      <c r="M25" s="10">
        <v>0.8</v>
      </c>
      <c r="N25" s="150">
        <f t="shared" si="1"/>
        <v>0</v>
      </c>
      <c r="O25" s="85">
        <f t="shared" si="3"/>
        <v>0</v>
      </c>
    </row>
    <row r="26" spans="2:17">
      <c r="B26" s="17"/>
      <c r="C26" s="183" t="s">
        <v>146</v>
      </c>
      <c r="D26" s="65">
        <f t="shared" si="2"/>
        <v>0</v>
      </c>
      <c r="E26" s="280">
        <f>'Heat pumps'!K18</f>
        <v>0</v>
      </c>
      <c r="F26" s="299">
        <f>'Heat pumps'!J18</f>
        <v>0</v>
      </c>
      <c r="G26" s="280"/>
      <c r="H26" s="280"/>
      <c r="I26" s="280"/>
      <c r="J26" s="280"/>
      <c r="K26" s="301"/>
      <c r="L26" s="69"/>
      <c r="M26" s="177">
        <f>1/'Heat pumps'!F4</f>
        <v>2.8070962566756963</v>
      </c>
      <c r="N26" s="150">
        <f>Q26*SUM(E26)+F26*P26</f>
        <v>0</v>
      </c>
      <c r="O26" s="85">
        <f>N26/SUM($N$15:$N$26)</f>
        <v>0</v>
      </c>
      <c r="P26" s="3">
        <f>('Heat pumps'!E5+'Heat pumps'!E4)/'Heat pumps'!E5</f>
        <v>4.4999999999999938</v>
      </c>
      <c r="Q26" s="184">
        <v>1.0669999999999999</v>
      </c>
    </row>
    <row r="27" spans="2:17">
      <c r="B27" s="17"/>
      <c r="C27" s="30" t="s">
        <v>227</v>
      </c>
      <c r="D27" s="59"/>
      <c r="E27" s="281">
        <f>'Application split'!G61</f>
        <v>20500.278857142857</v>
      </c>
      <c r="F27" s="309"/>
      <c r="G27" s="281"/>
      <c r="H27" s="281"/>
      <c r="I27" s="281"/>
      <c r="J27" s="281"/>
      <c r="K27" s="302"/>
      <c r="L27" s="68"/>
      <c r="M27" s="177"/>
      <c r="N27" s="150"/>
      <c r="O27" s="230"/>
      <c r="P27" s="3">
        <f>F26*P26</f>
        <v>0</v>
      </c>
      <c r="Q27" s="3">
        <f>Q26*SUM(E26)</f>
        <v>0</v>
      </c>
    </row>
    <row r="28" spans="2:17">
      <c r="B28" s="32"/>
      <c r="C28" s="33"/>
      <c r="D28" s="60"/>
      <c r="E28" s="282"/>
      <c r="F28" s="310"/>
      <c r="G28" s="282"/>
      <c r="H28" s="282"/>
      <c r="I28" s="282"/>
      <c r="J28" s="282"/>
      <c r="K28" s="303"/>
      <c r="L28" s="68"/>
      <c r="M28" s="177"/>
      <c r="N28" s="150"/>
      <c r="O28" s="230"/>
    </row>
    <row r="29" spans="2:17">
      <c r="B29" s="17" t="s">
        <v>46</v>
      </c>
      <c r="C29" s="33"/>
      <c r="D29" s="60"/>
      <c r="E29" s="283"/>
      <c r="F29" s="298"/>
      <c r="G29" s="283"/>
      <c r="H29" s="283"/>
      <c r="I29" s="283"/>
      <c r="J29" s="283"/>
      <c r="K29" s="304"/>
      <c r="L29" s="56"/>
      <c r="M29" s="177"/>
      <c r="N29" s="150"/>
      <c r="O29" s="85"/>
    </row>
    <row r="30" spans="2:17">
      <c r="B30" s="24" t="s">
        <v>117</v>
      </c>
      <c r="C30" s="28" t="s">
        <v>47</v>
      </c>
      <c r="D30" s="61">
        <f>SUM(E30:K30)/SUM($E$30:$K$42)</f>
        <v>0.16477770787998439</v>
      </c>
      <c r="E30" s="284">
        <f>E11*'Residential data'!V45</f>
        <v>4659.2660834066228</v>
      </c>
      <c r="F30" s="299"/>
      <c r="G30" s="280"/>
      <c r="H30" s="280"/>
      <c r="I30" s="280"/>
      <c r="J30" s="280"/>
      <c r="K30" s="301"/>
      <c r="L30" s="69"/>
      <c r="M30" s="177">
        <v>0.9</v>
      </c>
      <c r="N30" s="150">
        <f t="shared" ref="N30:N36" si="4">M30*SUM(E30:K30)</f>
        <v>4193.3394750659609</v>
      </c>
      <c r="O30" s="85">
        <f>N30/SUM($N$30:$N$42)</f>
        <v>0.15338900854601248</v>
      </c>
    </row>
    <row r="31" spans="2:17">
      <c r="B31" s="227">
        <f>SUM(E30:K42)</f>
        <v>28276.070491283885</v>
      </c>
      <c r="C31" s="28" t="s">
        <v>48</v>
      </c>
      <c r="D31" s="61">
        <f t="shared" ref="D31:D42" si="5">SUM(E31:K31)/SUM($E$30:$K$42)</f>
        <v>1.3624519489733509E-2</v>
      </c>
      <c r="E31" s="285"/>
      <c r="F31" s="299"/>
      <c r="G31" s="280">
        <f>G11*'Residential data'!V46</f>
        <v>385.24787350157584</v>
      </c>
      <c r="H31" s="280"/>
      <c r="I31" s="280"/>
      <c r="J31" s="280"/>
      <c r="K31" s="301"/>
      <c r="L31" s="69"/>
      <c r="M31" s="177">
        <v>1</v>
      </c>
      <c r="N31" s="150">
        <f t="shared" si="4"/>
        <v>385.24787350157584</v>
      </c>
      <c r="O31" s="85">
        <f t="shared" ref="O31:O42" si="6">N31/SUM($N$30:$N$42)</f>
        <v>1.4092059493928005E-2</v>
      </c>
    </row>
    <row r="32" spans="2:17" ht="17" thickBot="1">
      <c r="B32" s="17">
        <f>'Residential data'!V29</f>
        <v>27631.597545162826</v>
      </c>
      <c r="C32" s="28" t="s">
        <v>49</v>
      </c>
      <c r="D32" s="61">
        <f t="shared" si="5"/>
        <v>0</v>
      </c>
      <c r="E32" s="285"/>
      <c r="F32" s="299">
        <f>'Heat pumps'!L21</f>
        <v>0</v>
      </c>
      <c r="G32" s="280"/>
      <c r="H32" s="280"/>
      <c r="I32" s="280"/>
      <c r="J32" s="280"/>
      <c r="K32" s="301"/>
      <c r="L32" s="69"/>
      <c r="M32" s="177">
        <v>3.0000000000000031</v>
      </c>
      <c r="N32" s="150">
        <f t="shared" si="4"/>
        <v>0</v>
      </c>
      <c r="O32" s="85">
        <f t="shared" si="6"/>
        <v>0</v>
      </c>
    </row>
    <row r="33" spans="2:17" ht="17" thickBot="1">
      <c r="B33" s="17"/>
      <c r="C33" s="28" t="s">
        <v>50</v>
      </c>
      <c r="D33" s="61">
        <f t="shared" si="5"/>
        <v>0</v>
      </c>
      <c r="E33" s="296">
        <f>'Residential data'!U34</f>
        <v>0</v>
      </c>
      <c r="F33" s="299"/>
      <c r="G33" s="280"/>
      <c r="H33" s="280"/>
      <c r="I33" s="280"/>
      <c r="J33" s="280"/>
      <c r="K33" s="301"/>
      <c r="L33" s="69"/>
      <c r="M33" s="177">
        <v>0.88</v>
      </c>
      <c r="N33" s="150">
        <f t="shared" si="4"/>
        <v>0</v>
      </c>
      <c r="O33" s="85">
        <f t="shared" si="6"/>
        <v>0</v>
      </c>
    </row>
    <row r="34" spans="2:17">
      <c r="B34" s="17"/>
      <c r="C34" s="28" t="s">
        <v>51</v>
      </c>
      <c r="D34" s="61">
        <f t="shared" si="5"/>
        <v>0.49580246017613933</v>
      </c>
      <c r="E34" s="285"/>
      <c r="F34" s="299"/>
      <c r="G34" s="280"/>
      <c r="H34" s="280"/>
      <c r="I34" s="280"/>
      <c r="J34" s="280"/>
      <c r="K34" s="301">
        <f>K11*'Residential data'!V47</f>
        <v>14019.345313692487</v>
      </c>
      <c r="L34" s="69"/>
      <c r="M34" s="177">
        <v>1</v>
      </c>
      <c r="N34" s="150">
        <f t="shared" si="4"/>
        <v>14019.345313692487</v>
      </c>
      <c r="O34" s="85">
        <f t="shared" si="6"/>
        <v>0.51281645354926841</v>
      </c>
    </row>
    <row r="35" spans="2:17">
      <c r="B35" s="17"/>
      <c r="C35" s="28" t="s">
        <v>52</v>
      </c>
      <c r="D35" s="61">
        <f t="shared" si="5"/>
        <v>1.2015233065571848E-2</v>
      </c>
      <c r="E35" s="285"/>
      <c r="F35" s="299">
        <f>'Residential data'!V36</f>
        <v>339.74357713131457</v>
      </c>
      <c r="G35" s="280"/>
      <c r="H35" s="280"/>
      <c r="I35" s="280"/>
      <c r="J35" s="280"/>
      <c r="K35" s="301"/>
      <c r="L35" s="69"/>
      <c r="M35" s="177">
        <v>3.0000000000000031</v>
      </c>
      <c r="N35" s="150">
        <f t="shared" si="4"/>
        <v>1019.2307313939448</v>
      </c>
      <c r="O35" s="85">
        <f t="shared" si="6"/>
        <v>3.7282646038497791E-2</v>
      </c>
    </row>
    <row r="36" spans="2:17">
      <c r="B36" s="17"/>
      <c r="C36" s="28" t="s">
        <v>53</v>
      </c>
      <c r="D36" s="61">
        <f t="shared" si="5"/>
        <v>0.13900986663719542</v>
      </c>
      <c r="E36" s="285"/>
      <c r="F36" s="299"/>
      <c r="G36" s="280"/>
      <c r="H36" s="280"/>
      <c r="I36" s="280"/>
      <c r="J36" s="280">
        <f>J11*'Residential data'!V49</f>
        <v>3930.6527880173094</v>
      </c>
      <c r="K36" s="301"/>
      <c r="L36" s="69"/>
      <c r="M36" s="177">
        <v>0.82</v>
      </c>
      <c r="N36" s="150">
        <f t="shared" si="4"/>
        <v>3223.1352861741934</v>
      </c>
      <c r="O36" s="85">
        <f t="shared" si="6"/>
        <v>0.11789971427203637</v>
      </c>
    </row>
    <row r="37" spans="2:17" ht="17" thickBot="1">
      <c r="B37" s="17"/>
      <c r="C37" s="28" t="s">
        <v>54</v>
      </c>
      <c r="D37" s="61">
        <f t="shared" si="5"/>
        <v>0.10507062867141229</v>
      </c>
      <c r="E37" s="285"/>
      <c r="F37" s="299">
        <f>'Residential data'!V40</f>
        <v>2970.9845028763675</v>
      </c>
      <c r="G37" s="280"/>
      <c r="H37" s="280"/>
      <c r="I37" s="280"/>
      <c r="J37" s="280"/>
      <c r="K37" s="301"/>
      <c r="L37" s="69"/>
      <c r="M37" s="177">
        <v>0.95</v>
      </c>
      <c r="N37" s="150">
        <f>M37*SUM(E37:K37)</f>
        <v>2822.4352777325489</v>
      </c>
      <c r="O37" s="85">
        <f t="shared" si="6"/>
        <v>0.10324242802447448</v>
      </c>
    </row>
    <row r="38" spans="2:17" ht="17" thickBot="1">
      <c r="B38" s="17"/>
      <c r="C38" s="28" t="s">
        <v>55</v>
      </c>
      <c r="D38" s="61">
        <f t="shared" si="5"/>
        <v>0</v>
      </c>
      <c r="E38" s="295">
        <v>0</v>
      </c>
      <c r="F38" s="299"/>
      <c r="G38" s="280"/>
      <c r="H38" s="280"/>
      <c r="I38" s="280"/>
      <c r="J38" s="280"/>
      <c r="K38" s="301"/>
      <c r="L38" s="69"/>
      <c r="M38" s="177">
        <v>0.67</v>
      </c>
      <c r="N38" s="150">
        <f>M38*SUM(E38:K38)</f>
        <v>0</v>
      </c>
      <c r="O38" s="85">
        <f t="shared" si="6"/>
        <v>0</v>
      </c>
      <c r="P38" s="180"/>
    </row>
    <row r="39" spans="2:17">
      <c r="B39" s="17"/>
      <c r="C39" s="28" t="s">
        <v>56</v>
      </c>
      <c r="D39" s="61">
        <f t="shared" si="5"/>
        <v>6.9699584079963239E-2</v>
      </c>
      <c r="E39" s="285"/>
      <c r="F39" s="299"/>
      <c r="G39" s="280"/>
      <c r="H39" s="280"/>
      <c r="I39" s="280">
        <f>I11*'Residential data'!V48</f>
        <v>1970.8303526582088</v>
      </c>
      <c r="J39" s="280"/>
      <c r="K39" s="301"/>
      <c r="L39" s="69"/>
      <c r="M39" s="177">
        <v>0.85</v>
      </c>
      <c r="N39" s="150">
        <f>M39*SUM(E39:K39)</f>
        <v>1675.2057997594775</v>
      </c>
      <c r="O39" s="85">
        <f t="shared" si="6"/>
        <v>6.1277690075782439E-2</v>
      </c>
    </row>
    <row r="40" spans="2:17">
      <c r="B40" s="17"/>
      <c r="C40" s="28" t="s">
        <v>57</v>
      </c>
      <c r="D40" s="61">
        <f t="shared" si="5"/>
        <v>0</v>
      </c>
      <c r="E40" s="285"/>
      <c r="F40" s="299"/>
      <c r="G40" s="280"/>
      <c r="H40" s="280">
        <v>0</v>
      </c>
      <c r="I40" s="280"/>
      <c r="J40" s="280"/>
      <c r="K40" s="301"/>
      <c r="L40" s="69"/>
      <c r="M40" s="177">
        <v>0.8</v>
      </c>
      <c r="N40" s="150">
        <f>M40*SUM(E40:K40)</f>
        <v>0</v>
      </c>
      <c r="O40" s="85">
        <f t="shared" si="6"/>
        <v>0</v>
      </c>
    </row>
    <row r="41" spans="2:17">
      <c r="B41" s="17"/>
      <c r="C41" s="28" t="s">
        <v>58</v>
      </c>
      <c r="D41" s="61">
        <f t="shared" si="5"/>
        <v>0</v>
      </c>
      <c r="E41" s="285"/>
      <c r="F41" s="299">
        <v>0</v>
      </c>
      <c r="G41" s="280"/>
      <c r="H41" s="280"/>
      <c r="I41" s="280"/>
      <c r="J41" s="280"/>
      <c r="K41" s="301"/>
      <c r="L41" s="69"/>
      <c r="M41" s="177">
        <v>0.2</v>
      </c>
      <c r="N41" s="150">
        <f>Q42*SUM(E41)+F41*P42</f>
        <v>0</v>
      </c>
      <c r="O41" s="85">
        <f t="shared" si="6"/>
        <v>0</v>
      </c>
    </row>
    <row r="42" spans="2:17">
      <c r="B42" s="17"/>
      <c r="C42" s="183" t="s">
        <v>156</v>
      </c>
      <c r="D42" s="61">
        <f t="shared" si="5"/>
        <v>0</v>
      </c>
      <c r="E42" s="286">
        <f>'Heat pumps'!M18</f>
        <v>0</v>
      </c>
      <c r="F42" s="311">
        <f>'Heat pumps'!L18</f>
        <v>0</v>
      </c>
      <c r="G42" s="289"/>
      <c r="H42" s="289"/>
      <c r="I42" s="289"/>
      <c r="J42" s="289"/>
      <c r="K42" s="305"/>
      <c r="L42" s="69"/>
      <c r="M42" s="177">
        <f>1/'Heat pumps'!H4</f>
        <v>1.687500000000002</v>
      </c>
      <c r="N42" s="150">
        <f>Q42*SUM(E42)+F42*P42</f>
        <v>0</v>
      </c>
      <c r="O42" s="85">
        <f t="shared" si="6"/>
        <v>0</v>
      </c>
      <c r="P42" s="3">
        <f>('Heat pumps'!G5+'Heat pumps'!G4)/'Heat pumps'!G5</f>
        <v>3.0000000000000044</v>
      </c>
      <c r="Q42" s="3">
        <v>0.9</v>
      </c>
    </row>
    <row r="43" spans="2:17">
      <c r="B43" s="17"/>
      <c r="D43" s="59">
        <f>SUM(D41:D42)</f>
        <v>0</v>
      </c>
      <c r="E43" s="281"/>
      <c r="F43" s="312"/>
      <c r="G43" s="290"/>
      <c r="H43" s="290"/>
      <c r="I43" s="290"/>
      <c r="J43" s="290"/>
      <c r="K43" s="306"/>
      <c r="L43" s="56"/>
      <c r="M43" s="10"/>
      <c r="N43" s="150"/>
      <c r="O43" s="85"/>
      <c r="P43" s="3">
        <f>F42*P42</f>
        <v>0</v>
      </c>
      <c r="Q43" s="3">
        <f>Q42*SUM(E42)</f>
        <v>0</v>
      </c>
    </row>
    <row r="44" spans="2:17">
      <c r="B44" s="32"/>
      <c r="C44" s="30" t="s">
        <v>227</v>
      </c>
      <c r="D44" s="60"/>
      <c r="E44" s="283">
        <f>'Application split'!G60</f>
        <v>4114.1211428571423</v>
      </c>
      <c r="F44" s="298"/>
      <c r="G44" s="283"/>
      <c r="H44" s="283"/>
      <c r="I44" s="283"/>
      <c r="J44" s="283"/>
      <c r="K44" s="304"/>
      <c r="L44" s="56"/>
      <c r="M44" s="10"/>
      <c r="N44" s="2"/>
      <c r="O44" s="86"/>
    </row>
    <row r="45" spans="2:17">
      <c r="B45" s="17" t="s">
        <v>59</v>
      </c>
      <c r="C45" s="33"/>
      <c r="D45" s="60"/>
      <c r="E45" s="287"/>
      <c r="F45" s="298"/>
      <c r="G45" s="283"/>
      <c r="H45" s="283"/>
      <c r="I45" s="283"/>
      <c r="J45" s="283"/>
      <c r="K45" s="304"/>
      <c r="L45" s="56"/>
      <c r="M45" s="10"/>
      <c r="N45" s="2"/>
      <c r="O45" s="86"/>
    </row>
    <row r="46" spans="2:17">
      <c r="B46" s="24" t="s">
        <v>117</v>
      </c>
      <c r="C46" s="28" t="s">
        <v>60</v>
      </c>
      <c r="D46" s="61">
        <f>F46/SUM($E$46:$K$48)</f>
        <v>0</v>
      </c>
      <c r="E46" s="285"/>
      <c r="F46" s="299">
        <v>0</v>
      </c>
      <c r="G46" s="280"/>
      <c r="H46" s="280"/>
      <c r="I46" s="280"/>
      <c r="J46" s="280"/>
      <c r="K46" s="301"/>
      <c r="L46" s="69"/>
      <c r="M46" s="10">
        <v>4.6000000000000023</v>
      </c>
      <c r="N46" s="150">
        <f>M46*SUM(E46:K46)</f>
        <v>0</v>
      </c>
      <c r="O46" s="85">
        <f>N46/SUM($N$46:$N$48)</f>
        <v>0</v>
      </c>
    </row>
    <row r="47" spans="2:17">
      <c r="B47" s="146">
        <f>SUM(E46:K48)</f>
        <v>45.442886568825713</v>
      </c>
      <c r="C47" s="28" t="s">
        <v>61</v>
      </c>
      <c r="D47" s="61">
        <f>F47/SUM($E$46:$K$48)</f>
        <v>0</v>
      </c>
      <c r="E47" s="285"/>
      <c r="F47" s="299">
        <v>0</v>
      </c>
      <c r="G47" s="280"/>
      <c r="H47" s="280"/>
      <c r="I47" s="280"/>
      <c r="J47" s="280"/>
      <c r="K47" s="301"/>
      <c r="L47" s="69"/>
      <c r="M47" s="10">
        <v>4.5000000000000044</v>
      </c>
      <c r="N47" s="150">
        <f>M47*SUM(E47:K47)</f>
        <v>0</v>
      </c>
      <c r="O47" s="85">
        <f>N47/SUM($N$46:$N$48)</f>
        <v>0</v>
      </c>
    </row>
    <row r="48" spans="2:17">
      <c r="B48" s="17">
        <f>'Residential data'!Y29</f>
        <v>45.442886568825713</v>
      </c>
      <c r="C48" s="29" t="s">
        <v>62</v>
      </c>
      <c r="D48" s="63">
        <f>F48/SUM($E$46:$K$48)</f>
        <v>1</v>
      </c>
      <c r="E48" s="285"/>
      <c r="F48" s="299">
        <f>'Residential data'!Y40</f>
        <v>45.442886568825713</v>
      </c>
      <c r="G48" s="289"/>
      <c r="H48" s="289"/>
      <c r="I48" s="289"/>
      <c r="J48" s="289"/>
      <c r="K48" s="305"/>
      <c r="L48" s="69"/>
      <c r="M48" s="10">
        <v>4</v>
      </c>
      <c r="N48" s="150">
        <f>M48*SUM(E48:K48)</f>
        <v>181.77154627530285</v>
      </c>
      <c r="O48" s="85">
        <f>N48/SUM($N$46:$N$48)</f>
        <v>1</v>
      </c>
    </row>
    <row r="49" spans="2:16">
      <c r="B49" s="17"/>
      <c r="C49" s="30"/>
      <c r="D49" s="59"/>
      <c r="E49" s="288"/>
      <c r="F49" s="299"/>
      <c r="G49" s="290"/>
      <c r="H49" s="290"/>
      <c r="I49" s="290"/>
      <c r="J49" s="290"/>
      <c r="K49" s="306"/>
      <c r="L49" s="56"/>
      <c r="M49" s="10"/>
      <c r="N49" s="150"/>
      <c r="O49" s="86"/>
    </row>
    <row r="50" spans="2:16">
      <c r="B50" s="32"/>
      <c r="C50" s="33"/>
      <c r="D50" s="60"/>
      <c r="E50" s="283"/>
      <c r="F50" s="299"/>
      <c r="G50" s="283"/>
      <c r="H50" s="283"/>
      <c r="I50" s="283"/>
      <c r="J50" s="283"/>
      <c r="K50" s="304"/>
      <c r="L50" s="56"/>
      <c r="M50" s="10"/>
      <c r="N50" s="150"/>
      <c r="O50" s="86"/>
    </row>
    <row r="51" spans="2:16">
      <c r="B51" s="17" t="s">
        <v>63</v>
      </c>
      <c r="C51" s="33"/>
      <c r="D51" s="60"/>
      <c r="E51" s="287"/>
      <c r="F51" s="299"/>
      <c r="G51" s="283"/>
      <c r="H51" s="283"/>
      <c r="I51" s="283"/>
      <c r="J51" s="283"/>
      <c r="K51" s="304"/>
      <c r="L51" s="56"/>
      <c r="M51" s="10"/>
      <c r="N51" s="150"/>
      <c r="O51" s="86"/>
    </row>
    <row r="52" spans="2:16">
      <c r="B52" s="24" t="s">
        <v>117</v>
      </c>
      <c r="C52" s="28" t="s">
        <v>64</v>
      </c>
      <c r="D52" s="64">
        <f>E52/SUM($E$52:$K$56)</f>
        <v>2.377085328876925E-2</v>
      </c>
      <c r="E52" s="285">
        <f>E11*'Residential data'!X45</f>
        <v>106.35781509328069</v>
      </c>
      <c r="F52" s="299"/>
      <c r="G52" s="280"/>
      <c r="H52" s="280"/>
      <c r="I52" s="280"/>
      <c r="J52" s="280"/>
      <c r="K52" s="301"/>
      <c r="L52" s="69"/>
      <c r="M52" s="10">
        <v>0.4</v>
      </c>
      <c r="N52" s="150">
        <f>M52*SUM(E52:K52)</f>
        <v>42.543126037312277</v>
      </c>
      <c r="O52" s="85">
        <f>N52/SUM($N$52:$N$56)</f>
        <v>1.4936010538203731E-2</v>
      </c>
    </row>
    <row r="53" spans="2:16">
      <c r="B53" s="146">
        <f>SUM(E52:K56)</f>
        <v>4474.2952136064205</v>
      </c>
      <c r="C53" s="28" t="s">
        <v>65</v>
      </c>
      <c r="D53" s="65">
        <f>F53/SUM($E$52:$K$56)</f>
        <v>9.5014668859299156E-2</v>
      </c>
      <c r="E53" s="285"/>
      <c r="F53" s="299">
        <f>Cooking!H13</f>
        <v>425.12367809956123</v>
      </c>
      <c r="G53" s="280"/>
      <c r="H53" s="280"/>
      <c r="I53" s="280"/>
      <c r="J53" s="280"/>
      <c r="K53" s="301"/>
      <c r="L53" s="69"/>
      <c r="M53" s="10">
        <v>0.55000000000000004</v>
      </c>
      <c r="N53" s="150">
        <f>M53*SUM(E53:K53)</f>
        <v>233.8180229547587</v>
      </c>
      <c r="O53" s="85">
        <f>N53/SUM($N$52:$N$56)</f>
        <v>8.2088665788483034E-2</v>
      </c>
    </row>
    <row r="54" spans="2:16">
      <c r="B54" s="17"/>
      <c r="C54" s="28" t="s">
        <v>66</v>
      </c>
      <c r="D54" s="65">
        <f>F54/SUM($E$52:$K$56)</f>
        <v>0.69677423830152718</v>
      </c>
      <c r="E54" s="285"/>
      <c r="F54" s="299">
        <f>Cooking!H14</f>
        <v>3117.5736393967827</v>
      </c>
      <c r="G54" s="280"/>
      <c r="H54" s="280"/>
      <c r="I54" s="280"/>
      <c r="J54" s="280"/>
      <c r="K54" s="301"/>
      <c r="L54" s="69"/>
      <c r="M54" s="10">
        <v>0.6</v>
      </c>
      <c r="N54" s="150">
        <f>M54*SUM(E54:K54)</f>
        <v>1870.5441836380696</v>
      </c>
      <c r="O54" s="85">
        <f>N54/SUM($N$52:$N$56)</f>
        <v>0.65670932630786427</v>
      </c>
    </row>
    <row r="55" spans="2:16">
      <c r="B55" s="17"/>
      <c r="C55" s="28" t="s">
        <v>67</v>
      </c>
      <c r="D55" s="65">
        <f>F55/SUM($E$52:$K$56)</f>
        <v>0.18444023955040428</v>
      </c>
      <c r="E55" s="285"/>
      <c r="F55" s="299">
        <f>Cooking!H15</f>
        <v>825.24008101679544</v>
      </c>
      <c r="G55" s="280"/>
      <c r="H55" s="280"/>
      <c r="I55" s="280"/>
      <c r="J55" s="280"/>
      <c r="K55" s="301"/>
      <c r="L55" s="69"/>
      <c r="M55" s="10">
        <v>0.85</v>
      </c>
      <c r="N55" s="150">
        <f>M55*SUM(E55:K55)</f>
        <v>701.45406886427611</v>
      </c>
      <c r="O55" s="85">
        <f>N55/SUM($N$52:$N$56)</f>
        <v>0.24626599736544907</v>
      </c>
    </row>
    <row r="56" spans="2:16">
      <c r="B56" s="17"/>
      <c r="C56" s="29" t="s">
        <v>68</v>
      </c>
      <c r="D56" s="63">
        <f>H56/SUM($E$52:$K$56)</f>
        <v>0</v>
      </c>
      <c r="E56" s="285"/>
      <c r="F56" s="299"/>
      <c r="G56" s="289"/>
      <c r="H56" s="289"/>
      <c r="I56" s="289"/>
      <c r="J56" s="291">
        <v>0</v>
      </c>
      <c r="K56" s="305"/>
      <c r="L56" s="69"/>
      <c r="M56" s="10">
        <v>0.3</v>
      </c>
      <c r="N56" s="150">
        <f>M56*SUM(E56:K56)</f>
        <v>0</v>
      </c>
      <c r="O56" s="85">
        <f>N56/SUM($N$52:$N$56)</f>
        <v>0</v>
      </c>
    </row>
    <row r="57" spans="2:16">
      <c r="B57" s="17"/>
      <c r="C57" s="30" t="s">
        <v>227</v>
      </c>
      <c r="D57" s="59"/>
      <c r="E57" s="288">
        <f>Cooking!B6</f>
        <v>0</v>
      </c>
      <c r="F57" s="299"/>
      <c r="G57" s="292"/>
      <c r="H57" s="292"/>
      <c r="I57" s="292"/>
      <c r="J57" s="292"/>
      <c r="K57" s="307"/>
      <c r="L57" s="56"/>
      <c r="M57" s="10"/>
      <c r="N57" s="150"/>
      <c r="O57" s="86"/>
    </row>
    <row r="58" spans="2:16">
      <c r="B58" s="32"/>
      <c r="C58" s="33"/>
      <c r="D58" s="60"/>
      <c r="E58" s="273"/>
      <c r="F58" s="299"/>
      <c r="G58" s="283"/>
      <c r="H58" s="283"/>
      <c r="I58" s="283"/>
      <c r="J58" s="283"/>
      <c r="K58" s="304"/>
      <c r="L58" s="56"/>
      <c r="M58" s="10"/>
      <c r="N58" s="150"/>
      <c r="O58" s="86"/>
    </row>
    <row r="59" spans="2:16">
      <c r="B59" s="17" t="s">
        <v>69</v>
      </c>
      <c r="C59" s="33"/>
      <c r="D59" s="60"/>
      <c r="E59" s="276"/>
      <c r="F59" s="299"/>
      <c r="G59" s="283"/>
      <c r="H59" s="283"/>
      <c r="I59" s="283"/>
      <c r="J59" s="283"/>
      <c r="K59" s="283"/>
      <c r="L59" s="70"/>
      <c r="M59" s="10"/>
      <c r="N59" s="150"/>
      <c r="O59" s="86"/>
    </row>
    <row r="60" spans="2:16">
      <c r="B60" s="24" t="s">
        <v>117</v>
      </c>
      <c r="C60" s="28" t="s">
        <v>70</v>
      </c>
      <c r="D60" s="61">
        <f>F60/SUM($E$60:$K$62)</f>
        <v>0.83333333333333326</v>
      </c>
      <c r="E60" s="274"/>
      <c r="F60" s="299">
        <f>$B$61*N60/SUM($N$60:$N$62)</f>
        <v>6333.0128611665568</v>
      </c>
      <c r="G60" s="280"/>
      <c r="H60" s="280"/>
      <c r="I60" s="280"/>
      <c r="J60" s="280"/>
      <c r="K60" s="280"/>
      <c r="L60" s="71"/>
      <c r="M60" s="10">
        <v>0.05</v>
      </c>
      <c r="N60" s="231">
        <f>O60/M60</f>
        <v>9.8999999999999986</v>
      </c>
      <c r="O60" s="85">
        <v>0.495</v>
      </c>
      <c r="P60" s="23" t="s">
        <v>125</v>
      </c>
    </row>
    <row r="61" spans="2:16">
      <c r="B61" s="146">
        <f>Lighting!E30</f>
        <v>7599.6154333998675</v>
      </c>
      <c r="C61" s="28" t="s">
        <v>71</v>
      </c>
      <c r="D61" s="61">
        <f>F61/SUM($E$60:$K$62)</f>
        <v>0.16329966329966331</v>
      </c>
      <c r="E61" s="274"/>
      <c r="F61" s="299">
        <f>$B$61*N61/SUM($N$60:$N$62)</f>
        <v>1241.0146414811234</v>
      </c>
      <c r="G61" s="280"/>
      <c r="H61" s="280"/>
      <c r="I61" s="280"/>
      <c r="J61" s="280"/>
      <c r="K61" s="280"/>
      <c r="L61" s="71"/>
      <c r="M61" s="10">
        <v>0.25</v>
      </c>
      <c r="N61" s="231">
        <f>O61/M61</f>
        <v>1.94</v>
      </c>
      <c r="O61" s="85">
        <v>0.48499999999999999</v>
      </c>
      <c r="P61" s="147" t="s">
        <v>126</v>
      </c>
    </row>
    <row r="62" spans="2:16">
      <c r="B62" s="17"/>
      <c r="C62" s="29" t="s">
        <v>72</v>
      </c>
      <c r="D62" s="63">
        <f>F62/SUM($E$60:$K$62)</f>
        <v>3.3670033670033673E-3</v>
      </c>
      <c r="E62" s="275"/>
      <c r="F62" s="299">
        <f>$B$61*N62/SUM($N$60:$N$62)</f>
        <v>25.587930752188111</v>
      </c>
      <c r="G62" s="289"/>
      <c r="H62" s="289"/>
      <c r="I62" s="289"/>
      <c r="J62" s="289"/>
      <c r="K62" s="289"/>
      <c r="L62" s="71"/>
      <c r="M62" s="10">
        <v>0.5</v>
      </c>
      <c r="N62" s="231">
        <f>O62/M62</f>
        <v>0.04</v>
      </c>
      <c r="O62" s="85">
        <v>0.02</v>
      </c>
    </row>
    <row r="63" spans="2:16">
      <c r="B63" s="17"/>
      <c r="C63" s="31"/>
      <c r="D63" s="59"/>
      <c r="E63" s="277"/>
      <c r="F63" s="299"/>
      <c r="G63" s="293"/>
      <c r="H63" s="293"/>
      <c r="I63" s="293"/>
      <c r="J63" s="293"/>
      <c r="K63" s="293"/>
      <c r="L63" s="72"/>
      <c r="M63" s="10"/>
      <c r="N63" s="2"/>
      <c r="O63" s="11"/>
    </row>
    <row r="64" spans="2:16">
      <c r="B64" s="32"/>
      <c r="C64" s="27"/>
      <c r="D64" s="60"/>
      <c r="E64" s="278"/>
      <c r="F64" s="299"/>
      <c r="G64" s="294"/>
      <c r="H64" s="294"/>
      <c r="I64" s="294"/>
      <c r="J64" s="294"/>
      <c r="K64" s="294"/>
      <c r="L64" s="72"/>
      <c r="M64" s="10"/>
      <c r="N64" s="2"/>
      <c r="O64" s="11"/>
    </row>
    <row r="65" spans="2:15">
      <c r="B65" s="17" t="s">
        <v>14</v>
      </c>
      <c r="C65" s="27"/>
      <c r="D65" s="60"/>
      <c r="E65" s="278"/>
      <c r="F65" s="299"/>
      <c r="G65" s="294"/>
      <c r="H65" s="294"/>
      <c r="I65" s="294"/>
      <c r="J65" s="294"/>
      <c r="K65" s="294"/>
      <c r="L65" s="72"/>
      <c r="M65" s="10"/>
      <c r="N65" s="2"/>
      <c r="O65" s="11"/>
    </row>
    <row r="66" spans="2:15">
      <c r="B66" s="24" t="s">
        <v>117</v>
      </c>
      <c r="C66" s="37" t="s">
        <v>15</v>
      </c>
      <c r="D66" s="61">
        <f>F66/SUM($E$66:$K$73)</f>
        <v>7.8483436543596394E-2</v>
      </c>
      <c r="E66" s="274"/>
      <c r="F66" s="299">
        <f>Electricity!H10</f>
        <v>1025.845398617977</v>
      </c>
      <c r="G66" s="291"/>
      <c r="H66" s="291"/>
      <c r="I66" s="291"/>
      <c r="J66" s="291"/>
      <c r="K66" s="279"/>
      <c r="L66" s="71"/>
      <c r="M66" s="10"/>
      <c r="N66" s="83"/>
      <c r="O66" s="11"/>
    </row>
    <row r="67" spans="2:15">
      <c r="B67" s="146">
        <f>SUM(E66:K73)</f>
        <v>13070.852192464012</v>
      </c>
      <c r="C67" s="37" t="s">
        <v>16</v>
      </c>
      <c r="D67" s="61">
        <f t="shared" ref="D67:D73" si="7">F67/SUM($E$66:$K$73)</f>
        <v>0.19109067926658185</v>
      </c>
      <c r="E67" s="274"/>
      <c r="F67" s="299">
        <f>Electricity!H12+Electricity!H13</f>
        <v>2497.7180240510388</v>
      </c>
      <c r="G67" s="291"/>
      <c r="H67" s="291"/>
      <c r="I67" s="291"/>
      <c r="J67" s="291"/>
      <c r="K67" s="280"/>
      <c r="L67" s="71"/>
      <c r="M67" s="10"/>
      <c r="N67" s="83"/>
      <c r="O67" s="11"/>
    </row>
    <row r="68" spans="2:15">
      <c r="B68" s="21"/>
      <c r="C68" s="37" t="s">
        <v>17</v>
      </c>
      <c r="D68" s="61">
        <f t="shared" si="7"/>
        <v>7.8483436543596394E-2</v>
      </c>
      <c r="E68" s="274"/>
      <c r="F68" s="299">
        <f>Electricity!H10</f>
        <v>1025.845398617977</v>
      </c>
      <c r="G68" s="291"/>
      <c r="H68" s="291"/>
      <c r="I68" s="291"/>
      <c r="J68" s="291"/>
      <c r="K68" s="280"/>
      <c r="L68" s="71"/>
      <c r="M68" s="10"/>
      <c r="N68" s="83"/>
      <c r="O68" s="11"/>
    </row>
    <row r="69" spans="2:15">
      <c r="B69" s="21"/>
      <c r="C69" s="37" t="s">
        <v>18</v>
      </c>
      <c r="D69" s="61">
        <f t="shared" si="7"/>
        <v>9.7195764690455974E-2</v>
      </c>
      <c r="E69" s="274"/>
      <c r="F69" s="299">
        <f>Electricity!H11</f>
        <v>1270.4314740024627</v>
      </c>
      <c r="G69" s="291"/>
      <c r="H69" s="291"/>
      <c r="I69" s="291"/>
      <c r="J69" s="291"/>
      <c r="K69" s="280"/>
      <c r="L69" s="71"/>
      <c r="M69" s="10"/>
      <c r="N69" s="83"/>
      <c r="O69" s="11"/>
    </row>
    <row r="70" spans="2:15">
      <c r="B70" s="21"/>
      <c r="C70" s="37" t="s">
        <v>19</v>
      </c>
      <c r="D70" s="61">
        <f t="shared" si="7"/>
        <v>0.22030782890357295</v>
      </c>
      <c r="E70" s="274"/>
      <c r="F70" s="299">
        <f>Electricity!H14</f>
        <v>2879.6110684412529</v>
      </c>
      <c r="G70" s="291"/>
      <c r="H70" s="291"/>
      <c r="I70" s="291"/>
      <c r="J70" s="291"/>
      <c r="K70" s="280"/>
      <c r="L70" s="71"/>
      <c r="M70" s="10"/>
      <c r="N70" s="83"/>
      <c r="O70" s="11"/>
    </row>
    <row r="71" spans="2:15">
      <c r="B71" s="21"/>
      <c r="C71" s="37" t="s">
        <v>20</v>
      </c>
      <c r="D71" s="61">
        <f t="shared" si="7"/>
        <v>0.13377554162087857</v>
      </c>
      <c r="E71" s="274"/>
      <c r="F71" s="299">
        <f>Electricity!H16</f>
        <v>1748.5603314933212</v>
      </c>
      <c r="G71" s="291"/>
      <c r="H71" s="291"/>
      <c r="I71" s="291"/>
      <c r="J71" s="291"/>
      <c r="K71" s="280"/>
      <c r="L71" s="71"/>
      <c r="M71" s="10"/>
      <c r="N71" s="83"/>
      <c r="O71" s="11"/>
    </row>
    <row r="72" spans="2:15">
      <c r="B72" s="21"/>
      <c r="C72" s="37" t="s">
        <v>21</v>
      </c>
      <c r="D72" s="61">
        <f t="shared" si="7"/>
        <v>6.6887770810439284E-2</v>
      </c>
      <c r="E72" s="274"/>
      <c r="F72" s="299">
        <f>Electricity!H15</f>
        <v>874.2801657466606</v>
      </c>
      <c r="G72" s="291"/>
      <c r="H72" s="291"/>
      <c r="I72" s="291"/>
      <c r="J72" s="291"/>
      <c r="K72" s="280"/>
      <c r="L72" s="71"/>
      <c r="M72" s="10"/>
      <c r="N72" s="83"/>
      <c r="O72" s="11"/>
    </row>
    <row r="73" spans="2:15">
      <c r="B73" s="21"/>
      <c r="C73" s="38" t="s">
        <v>22</v>
      </c>
      <c r="D73" s="62">
        <f t="shared" si="7"/>
        <v>0.13377554162087857</v>
      </c>
      <c r="E73" s="275"/>
      <c r="F73" s="299">
        <f>Electricity!H17</f>
        <v>1748.5603314933212</v>
      </c>
      <c r="G73" s="289"/>
      <c r="H73" s="289"/>
      <c r="I73" s="289"/>
      <c r="J73" s="289"/>
      <c r="K73" s="289"/>
      <c r="L73" s="71"/>
      <c r="M73" s="10"/>
      <c r="N73" s="83"/>
      <c r="O73" s="11"/>
    </row>
    <row r="74" spans="2:15">
      <c r="B74" s="17"/>
      <c r="C74" s="31"/>
      <c r="D74" s="31"/>
      <c r="E74" s="31"/>
      <c r="F74" s="31"/>
      <c r="G74" s="31"/>
      <c r="H74" s="31"/>
      <c r="I74" s="31"/>
      <c r="J74" s="31"/>
      <c r="K74" s="31"/>
      <c r="L74" s="17"/>
      <c r="M74" s="10"/>
      <c r="N74" s="2"/>
      <c r="O74" s="11"/>
    </row>
    <row r="75" spans="2:15">
      <c r="B75" s="32"/>
      <c r="C75" s="26"/>
      <c r="D75" s="26"/>
      <c r="E75" s="39"/>
      <c r="F75" s="36"/>
      <c r="G75" s="36"/>
      <c r="H75" s="36"/>
      <c r="I75" s="36"/>
      <c r="J75" s="36"/>
      <c r="K75" s="36"/>
      <c r="L75" s="73"/>
      <c r="M75" s="10"/>
      <c r="N75" s="2"/>
      <c r="O75" s="11"/>
    </row>
    <row r="76" spans="2:15">
      <c r="B76" s="40" t="s">
        <v>23</v>
      </c>
      <c r="C76" s="41"/>
      <c r="D76" s="41"/>
      <c r="E76" s="42" t="s">
        <v>24</v>
      </c>
      <c r="F76" s="34" t="s">
        <v>25</v>
      </c>
      <c r="G76" s="34" t="s">
        <v>26</v>
      </c>
      <c r="H76" s="34" t="s">
        <v>27</v>
      </c>
      <c r="I76" s="34" t="s">
        <v>28</v>
      </c>
      <c r="J76" s="34" t="s">
        <v>29</v>
      </c>
      <c r="K76" s="34" t="s">
        <v>30</v>
      </c>
      <c r="L76" s="74"/>
      <c r="M76" s="10"/>
      <c r="N76" s="2"/>
      <c r="O76" s="11"/>
    </row>
    <row r="77" spans="2:15">
      <c r="B77" s="43"/>
      <c r="C77" s="44" t="s">
        <v>31</v>
      </c>
      <c r="D77" s="45"/>
      <c r="E77" s="46">
        <f>SUM(E15:E74)-E44-E57-E27</f>
        <v>24614.399999999998</v>
      </c>
      <c r="F77" s="47">
        <f>SUM(F15:F74)-F57</f>
        <v>36605.025626630209</v>
      </c>
      <c r="G77" s="47">
        <f>SUM(G15:G74)</f>
        <v>494.00000000000006</v>
      </c>
      <c r="H77" s="47">
        <f t="shared" ref="H77:K77" si="8">SUM(H15:H74)</f>
        <v>0</v>
      </c>
      <c r="I77" s="47">
        <f t="shared" si="8"/>
        <v>10008</v>
      </c>
      <c r="J77" s="47">
        <f t="shared" si="8"/>
        <v>40311.010000000009</v>
      </c>
      <c r="K77" s="47">
        <f t="shared" si="8"/>
        <v>67397</v>
      </c>
      <c r="L77" s="74"/>
      <c r="M77" s="10"/>
      <c r="N77" s="2"/>
      <c r="O77" s="11"/>
    </row>
    <row r="78" spans="2:15">
      <c r="B78" s="43"/>
      <c r="C78" s="48" t="s">
        <v>32</v>
      </c>
      <c r="D78" s="49"/>
      <c r="E78" s="46">
        <f t="shared" ref="E78:K78" si="9">E11-E77</f>
        <v>0</v>
      </c>
      <c r="F78" s="47">
        <f>F11-F77</f>
        <v>32.154373369790846</v>
      </c>
      <c r="G78" s="47">
        <f t="shared" si="9"/>
        <v>0</v>
      </c>
      <c r="H78" s="47">
        <f t="shared" si="9"/>
        <v>0</v>
      </c>
      <c r="I78" s="47">
        <f t="shared" si="9"/>
        <v>0</v>
      </c>
      <c r="J78" s="47">
        <f t="shared" si="9"/>
        <v>0</v>
      </c>
      <c r="K78" s="47">
        <f t="shared" si="9"/>
        <v>0</v>
      </c>
      <c r="L78" s="74"/>
      <c r="M78" s="10"/>
      <c r="N78" s="2"/>
      <c r="O78" s="11"/>
    </row>
    <row r="79" spans="2:15">
      <c r="B79" s="43"/>
      <c r="C79" s="50" t="s">
        <v>33</v>
      </c>
      <c r="D79" s="51"/>
      <c r="E79" s="57">
        <f t="shared" ref="E79:K79" si="10">E78/E11</f>
        <v>0</v>
      </c>
      <c r="F79" s="58">
        <f t="shared" si="10"/>
        <v>8.776432402764308E-4</v>
      </c>
      <c r="G79" s="58">
        <f t="shared" si="10"/>
        <v>0</v>
      </c>
      <c r="H79" s="58" t="e">
        <f t="shared" si="10"/>
        <v>#DIV/0!</v>
      </c>
      <c r="I79" s="58">
        <f t="shared" si="10"/>
        <v>0</v>
      </c>
      <c r="J79" s="58">
        <f t="shared" si="10"/>
        <v>0</v>
      </c>
      <c r="K79" s="58">
        <f t="shared" si="10"/>
        <v>0</v>
      </c>
      <c r="L79" s="75"/>
      <c r="M79" s="10"/>
      <c r="N79" s="2"/>
      <c r="O79" s="11"/>
    </row>
    <row r="80" spans="2:15">
      <c r="B80" s="43"/>
      <c r="C80" s="48"/>
      <c r="D80" s="48"/>
      <c r="E80" s="52"/>
      <c r="F80" s="52"/>
      <c r="G80" s="52"/>
      <c r="H80" s="52"/>
      <c r="I80" s="52"/>
      <c r="J80" s="52"/>
      <c r="K80" s="52"/>
      <c r="L80" s="76"/>
      <c r="M80" s="10"/>
      <c r="N80" s="2"/>
      <c r="O80" s="11"/>
    </row>
    <row r="81" spans="2:15" ht="17" thickBot="1">
      <c r="B81" s="53"/>
      <c r="C81" s="54"/>
      <c r="D81" s="54"/>
      <c r="E81" s="54"/>
      <c r="F81" s="54"/>
      <c r="G81" s="54"/>
      <c r="H81" s="54"/>
      <c r="I81" s="54"/>
      <c r="J81" s="54"/>
      <c r="K81" s="54"/>
      <c r="L81" s="10"/>
      <c r="M81" s="53"/>
      <c r="N81" s="54"/>
      <c r="O81" s="84"/>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6 D61:D62 D46:D48" emptyCellReference="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3314-872C-F84F-9F2D-1122726BC717}">
  <sheetPr>
    <tabColor theme="5"/>
  </sheetPr>
  <dimension ref="A1:AG49"/>
  <sheetViews>
    <sheetView tabSelected="1" topLeftCell="F4" zoomScaleNormal="100" workbookViewId="0">
      <pane xSplit="6" ySplit="6" topLeftCell="S10" activePane="bottomRight" state="frozen"/>
      <selection activeCell="F4" sqref="F4"/>
      <selection pane="topRight" activeCell="L4" sqref="L4"/>
      <selection pane="bottomLeft" activeCell="F8" sqref="F8"/>
      <selection pane="bottomRight" activeCell="S38" sqref="S38"/>
    </sheetView>
  </sheetViews>
  <sheetFormatPr baseColWidth="10" defaultColWidth="11.5" defaultRowHeight="14"/>
  <cols>
    <col min="1" max="1" width="10.5" style="332" hidden="1" customWidth="1"/>
    <col min="2" max="2" width="11.5" style="332" hidden="1" customWidth="1"/>
    <col min="3" max="3" width="10.5" style="332" hidden="1" customWidth="1"/>
    <col min="4" max="4" width="11.5" style="332" hidden="1" customWidth="1"/>
    <col min="5" max="5" width="15.6640625" style="332" hidden="1" customWidth="1"/>
    <col min="6" max="6" width="11.5" style="332"/>
    <col min="7" max="7" width="13.33203125" style="332" customWidth="1"/>
    <col min="8" max="8" width="11.5" style="332"/>
    <col min="9" max="9" width="8.83203125" style="332" customWidth="1"/>
    <col min="10" max="10" width="23" style="332" customWidth="1"/>
    <col min="11" max="11" width="35.83203125" style="332" customWidth="1"/>
    <col min="12" max="14" width="11.5" style="332"/>
    <col min="15" max="15" width="13.5" style="332" customWidth="1"/>
    <col min="16" max="17" width="14.5" style="332" customWidth="1"/>
    <col min="18" max="18" width="16.83203125" style="332" customWidth="1"/>
    <col min="19" max="19" width="11.83203125" style="332" customWidth="1"/>
    <col min="20" max="21" width="12.83203125" style="332" customWidth="1"/>
    <col min="22" max="31" width="13.83203125" style="332" customWidth="1"/>
    <col min="32" max="32" width="17.6640625" style="332" customWidth="1"/>
    <col min="33" max="33" width="12.5" style="332" customWidth="1"/>
    <col min="34" max="16384" width="11.5" style="332"/>
  </cols>
  <sheetData>
    <row r="1" spans="1:33" ht="45">
      <c r="F1" s="333" t="s">
        <v>296</v>
      </c>
      <c r="W1" s="334"/>
    </row>
    <row r="2" spans="1:33">
      <c r="U2" s="335"/>
      <c r="W2" s="335"/>
    </row>
    <row r="4" spans="1:33">
      <c r="F4" s="332" t="s">
        <v>118</v>
      </c>
    </row>
    <row r="6" spans="1:33" ht="46.5" customHeight="1">
      <c r="A6" s="409" t="s">
        <v>297</v>
      </c>
      <c r="B6" s="409"/>
      <c r="C6" s="409"/>
      <c r="D6" s="409"/>
      <c r="E6" s="409"/>
      <c r="F6" s="409"/>
      <c r="G6" s="409"/>
      <c r="H6" s="409"/>
      <c r="I6" s="409"/>
      <c r="J6" s="409"/>
      <c r="K6" s="410"/>
      <c r="L6" s="411" t="s">
        <v>298</v>
      </c>
      <c r="M6" s="412"/>
      <c r="N6" s="412"/>
      <c r="O6" s="412"/>
      <c r="P6" s="412"/>
      <c r="Q6" s="412"/>
      <c r="R6" s="412"/>
      <c r="S6" s="413"/>
      <c r="T6" s="336" t="s">
        <v>299</v>
      </c>
      <c r="U6" s="414" t="s">
        <v>300</v>
      </c>
      <c r="V6" s="415"/>
      <c r="W6" s="415"/>
      <c r="X6" s="415"/>
      <c r="Y6" s="415"/>
      <c r="Z6" s="416" t="s">
        <v>301</v>
      </c>
      <c r="AA6" s="418" t="s">
        <v>302</v>
      </c>
      <c r="AB6" s="419"/>
      <c r="AC6" s="419"/>
      <c r="AD6" s="419"/>
      <c r="AE6" s="419"/>
      <c r="AF6" s="411" t="s">
        <v>303</v>
      </c>
      <c r="AG6" s="412"/>
    </row>
    <row r="7" spans="1:33" ht="55.5" customHeight="1">
      <c r="A7" s="409"/>
      <c r="B7" s="409"/>
      <c r="C7" s="409"/>
      <c r="D7" s="409"/>
      <c r="E7" s="409"/>
      <c r="F7" s="409"/>
      <c r="G7" s="409"/>
      <c r="H7" s="409"/>
      <c r="I7" s="409"/>
      <c r="J7" s="409"/>
      <c r="K7" s="410"/>
      <c r="L7" s="401" t="s">
        <v>304</v>
      </c>
      <c r="M7" s="402"/>
      <c r="N7" s="402"/>
      <c r="O7" s="402" t="s">
        <v>305</v>
      </c>
      <c r="P7" s="402"/>
      <c r="Q7" s="402"/>
      <c r="R7" s="402"/>
      <c r="S7" s="420"/>
      <c r="T7" s="337" t="s">
        <v>306</v>
      </c>
      <c r="U7" s="421" t="s">
        <v>227</v>
      </c>
      <c r="V7" s="422"/>
      <c r="W7" s="422"/>
      <c r="X7" s="422"/>
      <c r="Y7" s="423"/>
      <c r="Z7" s="417"/>
      <c r="AA7" s="424" t="s">
        <v>227</v>
      </c>
      <c r="AB7" s="425"/>
      <c r="AC7" s="425"/>
      <c r="AD7" s="425"/>
      <c r="AE7" s="426"/>
      <c r="AF7" s="401" t="s">
        <v>307</v>
      </c>
      <c r="AG7" s="402"/>
    </row>
    <row r="8" spans="1:33" ht="45">
      <c r="A8" s="409"/>
      <c r="B8" s="409"/>
      <c r="C8" s="409"/>
      <c r="D8" s="409"/>
      <c r="E8" s="409"/>
      <c r="F8" s="409"/>
      <c r="G8" s="409"/>
      <c r="H8" s="409"/>
      <c r="I8" s="409"/>
      <c r="J8" s="409"/>
      <c r="K8" s="410"/>
      <c r="L8" s="338" t="s">
        <v>227</v>
      </c>
      <c r="M8" s="339" t="s">
        <v>308</v>
      </c>
      <c r="N8" s="339" t="s">
        <v>309</v>
      </c>
      <c r="O8" s="339" t="s">
        <v>305</v>
      </c>
      <c r="P8" s="339" t="s">
        <v>310</v>
      </c>
      <c r="Q8" s="339" t="s">
        <v>311</v>
      </c>
      <c r="R8" s="339" t="s">
        <v>312</v>
      </c>
      <c r="S8" s="340" t="s">
        <v>313</v>
      </c>
      <c r="T8" s="341" t="s">
        <v>227</v>
      </c>
      <c r="U8" s="403" t="s">
        <v>314</v>
      </c>
      <c r="V8" s="404"/>
      <c r="W8" s="404"/>
      <c r="X8" s="405"/>
      <c r="Y8" s="342" t="s">
        <v>108</v>
      </c>
      <c r="Z8" s="343" t="s">
        <v>227</v>
      </c>
      <c r="AA8" s="406" t="s">
        <v>314</v>
      </c>
      <c r="AB8" s="407"/>
      <c r="AC8" s="407"/>
      <c r="AD8" s="408"/>
      <c r="AE8" s="344" t="s">
        <v>108</v>
      </c>
      <c r="AF8" s="345" t="s">
        <v>315</v>
      </c>
      <c r="AG8" s="345" t="s">
        <v>315</v>
      </c>
    </row>
    <row r="9" spans="1:33" s="357" customFormat="1" ht="75">
      <c r="A9" s="346" t="s">
        <v>316</v>
      </c>
      <c r="B9" s="346" t="s">
        <v>317</v>
      </c>
      <c r="C9" s="347" t="s">
        <v>318</v>
      </c>
      <c r="D9" s="347" t="s">
        <v>319</v>
      </c>
      <c r="E9" s="347" t="s">
        <v>320</v>
      </c>
      <c r="F9" s="347" t="s">
        <v>79</v>
      </c>
      <c r="G9" s="348" t="s">
        <v>321</v>
      </c>
      <c r="H9" s="349" t="s">
        <v>322</v>
      </c>
      <c r="I9" s="347" t="s">
        <v>323</v>
      </c>
      <c r="J9" s="347" t="s">
        <v>324</v>
      </c>
      <c r="K9" s="350" t="s">
        <v>325</v>
      </c>
      <c r="L9" s="351" t="s">
        <v>326</v>
      </c>
      <c r="M9" s="351" t="s">
        <v>327</v>
      </c>
      <c r="N9" s="351" t="s">
        <v>328</v>
      </c>
      <c r="O9" s="351" t="s">
        <v>329</v>
      </c>
      <c r="P9" s="351" t="s">
        <v>330</v>
      </c>
      <c r="Q9" s="351" t="s">
        <v>331</v>
      </c>
      <c r="R9" s="351" t="s">
        <v>332</v>
      </c>
      <c r="S9" s="351" t="s">
        <v>333</v>
      </c>
      <c r="T9" s="352" t="s">
        <v>334</v>
      </c>
      <c r="U9" s="353" t="s">
        <v>335</v>
      </c>
      <c r="V9" s="353" t="s">
        <v>336</v>
      </c>
      <c r="W9" s="353" t="s">
        <v>337</v>
      </c>
      <c r="X9" s="353" t="s">
        <v>338</v>
      </c>
      <c r="Y9" s="353" t="s">
        <v>339</v>
      </c>
      <c r="Z9" s="354" t="s">
        <v>340</v>
      </c>
      <c r="AA9" s="355" t="s">
        <v>341</v>
      </c>
      <c r="AB9" s="355" t="s">
        <v>342</v>
      </c>
      <c r="AC9" s="355" t="s">
        <v>343</v>
      </c>
      <c r="AD9" s="355" t="s">
        <v>344</v>
      </c>
      <c r="AE9" s="355" t="s">
        <v>345</v>
      </c>
      <c r="AF9" s="356" t="s">
        <v>346</v>
      </c>
      <c r="AG9" s="356" t="s">
        <v>347</v>
      </c>
    </row>
    <row r="10" spans="1:33">
      <c r="A10" s="358" t="str">
        <f>Residential[[#This Row],[ID Country]]&amp;"500_"&amp;Residential[[#This Row],[ID Energy carrier]]</f>
        <v>DK500_1</v>
      </c>
      <c r="B10" s="358" t="str">
        <f>Residential[[#This Row],[ID Country]]&amp;"100_"&amp;Residential[[#This Row],[ID Energy carrier]]</f>
        <v>DK100_1</v>
      </c>
      <c r="C10" s="359">
        <v>1</v>
      </c>
      <c r="D10" s="359" t="s">
        <v>348</v>
      </c>
      <c r="E10" s="332" t="s">
        <v>362</v>
      </c>
      <c r="F10" s="332" t="s">
        <v>213</v>
      </c>
      <c r="G10" s="359" t="s">
        <v>361</v>
      </c>
      <c r="H10" s="359" t="s">
        <v>349</v>
      </c>
      <c r="I10" s="359">
        <v>2015</v>
      </c>
      <c r="J10" s="360">
        <v>1</v>
      </c>
      <c r="K10" s="361" t="s">
        <v>227</v>
      </c>
      <c r="L10" s="362">
        <v>2373.1</v>
      </c>
      <c r="M10" s="363">
        <v>1356.9629146698139</v>
      </c>
      <c r="N10" s="363">
        <v>1016.137085330186</v>
      </c>
      <c r="O10" s="362">
        <v>133.66900000000001</v>
      </c>
      <c r="P10" s="362">
        <v>78.400000000000006</v>
      </c>
      <c r="Q10" s="363">
        <v>261049.02333088595</v>
      </c>
      <c r="R10" s="363">
        <v>181383.87584099936</v>
      </c>
      <c r="S10" s="363">
        <v>79665.147489886585</v>
      </c>
      <c r="T10" s="364">
        <v>2373.1</v>
      </c>
      <c r="U10" s="365">
        <v>42.552033465078836</v>
      </c>
      <c r="V10" s="365">
        <v>7.6754437625452292</v>
      </c>
      <c r="W10" s="365">
        <v>33.597540277360906</v>
      </c>
      <c r="X10" s="365">
        <v>1.2790494251727047</v>
      </c>
      <c r="Y10" s="366">
        <v>1.2623024046896032E-2</v>
      </c>
      <c r="Z10" s="367" t="s">
        <v>350</v>
      </c>
      <c r="AA10" s="365">
        <v>33.91017680507872</v>
      </c>
      <c r="AB10" s="365">
        <v>6.5554857720570077</v>
      </c>
      <c r="AC10" s="365">
        <v>27.354691033021716</v>
      </c>
      <c r="AD10" s="368" t="s">
        <v>106</v>
      </c>
      <c r="AE10" s="369">
        <v>2.6434686808189528E-2</v>
      </c>
      <c r="AF10" s="362">
        <v>17392.012152840645</v>
      </c>
      <c r="AG10" s="334">
        <v>158.10434190972487</v>
      </c>
    </row>
    <row r="11" spans="1:33">
      <c r="A11" s="358" t="str">
        <f>Residential[[#This Row],[ID Country]]&amp;"500_"&amp;Residential[[#This Row],[ID Energy carrier]]</f>
        <v>DK500_10</v>
      </c>
      <c r="B11" s="358" t="str">
        <f>Residential[[#This Row],[ID Country]]&amp;"100_"&amp;Residential[[#This Row],[ID Energy carrier]]</f>
        <v>DK100_10</v>
      </c>
      <c r="C11" s="359">
        <v>1</v>
      </c>
      <c r="D11" s="359" t="s">
        <v>348</v>
      </c>
      <c r="E11" s="332" t="s">
        <v>362</v>
      </c>
      <c r="F11" s="332" t="s">
        <v>213</v>
      </c>
      <c r="G11" s="359" t="s">
        <v>361</v>
      </c>
      <c r="H11" s="359" t="s">
        <v>349</v>
      </c>
      <c r="I11" s="359">
        <v>2015</v>
      </c>
      <c r="J11" s="360">
        <v>10</v>
      </c>
      <c r="K11" s="361" t="s">
        <v>26</v>
      </c>
      <c r="L11" s="362"/>
      <c r="M11" s="363"/>
      <c r="N11" s="363"/>
      <c r="O11" s="363"/>
      <c r="P11" s="363"/>
      <c r="Q11" s="370"/>
      <c r="R11" s="370"/>
      <c r="S11" s="370"/>
      <c r="T11" s="371" t="s">
        <v>351</v>
      </c>
      <c r="U11" s="365">
        <v>0.10927016911549974</v>
      </c>
      <c r="V11" s="365">
        <v>8.5214777912760803E-2</v>
      </c>
      <c r="W11" s="365">
        <v>2.4055391202738932E-2</v>
      </c>
      <c r="X11" s="365">
        <v>0</v>
      </c>
      <c r="Y11" s="366">
        <v>0</v>
      </c>
      <c r="Z11" s="365">
        <v>0.98939999999999995</v>
      </c>
      <c r="AA11" s="365">
        <v>0.10811190532287543</v>
      </c>
      <c r="AB11" s="365">
        <v>8.4311501266885538E-2</v>
      </c>
      <c r="AC11" s="365">
        <v>2.3800404055989897E-2</v>
      </c>
      <c r="AD11" s="368" t="s">
        <v>106</v>
      </c>
      <c r="AE11" s="369">
        <v>0</v>
      </c>
      <c r="AF11" s="362"/>
      <c r="AG11" s="334"/>
    </row>
    <row r="12" spans="1:33">
      <c r="A12" s="358" t="str">
        <f>Residential[[#This Row],[ID Country]]&amp;"500_"&amp;Residential[[#This Row],[ID Energy carrier]]</f>
        <v>DK500_15</v>
      </c>
      <c r="B12" s="358" t="str">
        <f>Residential[[#This Row],[ID Country]]&amp;"100_"&amp;Residential[[#This Row],[ID Energy carrier]]</f>
        <v>DK100_15</v>
      </c>
      <c r="C12" s="359">
        <v>1</v>
      </c>
      <c r="D12" s="359" t="s">
        <v>348</v>
      </c>
      <c r="E12" s="332" t="s">
        <v>362</v>
      </c>
      <c r="F12" s="332" t="s">
        <v>213</v>
      </c>
      <c r="G12" s="359" t="s">
        <v>361</v>
      </c>
      <c r="H12" s="359" t="s">
        <v>349</v>
      </c>
      <c r="I12" s="359">
        <v>2015</v>
      </c>
      <c r="J12" s="360">
        <v>15</v>
      </c>
      <c r="K12" s="361" t="s">
        <v>352</v>
      </c>
      <c r="L12" s="362"/>
      <c r="M12" s="363"/>
      <c r="N12" s="363"/>
      <c r="O12" s="363"/>
      <c r="P12" s="363"/>
      <c r="Q12" s="370"/>
      <c r="R12" s="370"/>
      <c r="S12" s="370"/>
      <c r="T12" s="372" t="s">
        <v>350</v>
      </c>
      <c r="U12" s="365">
        <v>0</v>
      </c>
      <c r="V12" s="365">
        <v>0</v>
      </c>
      <c r="W12" s="365">
        <v>0</v>
      </c>
      <c r="X12" s="365">
        <v>0</v>
      </c>
      <c r="Y12" s="366">
        <v>0</v>
      </c>
      <c r="Z12" s="368" t="s">
        <v>106</v>
      </c>
      <c r="AA12" s="368" t="s">
        <v>106</v>
      </c>
      <c r="AB12" s="368" t="s">
        <v>106</v>
      </c>
      <c r="AC12" s="368" t="s">
        <v>106</v>
      </c>
      <c r="AD12" s="368" t="s">
        <v>106</v>
      </c>
      <c r="AE12" s="369">
        <v>0</v>
      </c>
      <c r="AF12" s="362"/>
      <c r="AG12" s="334"/>
    </row>
    <row r="13" spans="1:33">
      <c r="A13" s="358" t="str">
        <f>Residential[[#This Row],[ID Country]]&amp;"500_"&amp;Residential[[#This Row],[ID Energy carrier]]</f>
        <v>DK500_16</v>
      </c>
      <c r="B13" s="358" t="str">
        <f>Residential[[#This Row],[ID Country]]&amp;"100_"&amp;Residential[[#This Row],[ID Energy carrier]]</f>
        <v>DK100_16</v>
      </c>
      <c r="C13" s="359">
        <v>1</v>
      </c>
      <c r="D13" s="359" t="s">
        <v>348</v>
      </c>
      <c r="E13" s="332" t="s">
        <v>362</v>
      </c>
      <c r="F13" s="332" t="s">
        <v>213</v>
      </c>
      <c r="G13" s="359" t="s">
        <v>361</v>
      </c>
      <c r="H13" s="359" t="s">
        <v>349</v>
      </c>
      <c r="I13" s="359">
        <v>2015</v>
      </c>
      <c r="J13" s="360">
        <v>16</v>
      </c>
      <c r="K13" s="373" t="s">
        <v>353</v>
      </c>
      <c r="L13" s="362"/>
      <c r="M13" s="374"/>
      <c r="N13" s="374"/>
      <c r="O13" s="374"/>
      <c r="P13" s="374"/>
      <c r="Q13" s="375"/>
      <c r="R13" s="375"/>
      <c r="S13" s="375"/>
      <c r="T13" s="372" t="s">
        <v>350</v>
      </c>
      <c r="U13" s="365">
        <v>0</v>
      </c>
      <c r="V13" s="365">
        <v>0</v>
      </c>
      <c r="W13" s="365">
        <v>0</v>
      </c>
      <c r="X13" s="365">
        <v>0</v>
      </c>
      <c r="Y13" s="366">
        <v>0</v>
      </c>
      <c r="Z13" s="365">
        <v>0.7632736824551678</v>
      </c>
      <c r="AA13" s="365">
        <v>0</v>
      </c>
      <c r="AB13" s="365">
        <v>0</v>
      </c>
      <c r="AC13" s="365">
        <v>0</v>
      </c>
      <c r="AD13" s="368" t="s">
        <v>106</v>
      </c>
      <c r="AE13" s="369">
        <v>0</v>
      </c>
      <c r="AF13" s="362"/>
      <c r="AG13" s="334"/>
    </row>
    <row r="14" spans="1:33">
      <c r="A14" s="358" t="str">
        <f>Residential[[#This Row],[ID Country]]&amp;"500_"&amp;Residential[[#This Row],[ID Energy carrier]]</f>
        <v>DK500_3</v>
      </c>
      <c r="B14" s="358" t="str">
        <f>Residential[[#This Row],[ID Country]]&amp;"100_"&amp;Residential[[#This Row],[ID Energy carrier]]</f>
        <v>DK100_3</v>
      </c>
      <c r="C14" s="359">
        <v>1</v>
      </c>
      <c r="D14" s="359" t="s">
        <v>348</v>
      </c>
      <c r="E14" s="332" t="s">
        <v>362</v>
      </c>
      <c r="F14" s="332" t="s">
        <v>213</v>
      </c>
      <c r="G14" s="359" t="s">
        <v>361</v>
      </c>
      <c r="H14" s="359" t="s">
        <v>349</v>
      </c>
      <c r="I14" s="359">
        <v>2015</v>
      </c>
      <c r="J14" s="360">
        <v>3</v>
      </c>
      <c r="K14" s="361" t="s">
        <v>28</v>
      </c>
      <c r="L14" s="362"/>
      <c r="M14" s="363"/>
      <c r="N14" s="363"/>
      <c r="O14" s="363"/>
      <c r="P14" s="363"/>
      <c r="Q14" s="370"/>
      <c r="R14" s="370"/>
      <c r="S14" s="370"/>
      <c r="T14" s="376">
        <v>172.27650076079041</v>
      </c>
      <c r="U14" s="365">
        <v>2.9818065151119137</v>
      </c>
      <c r="V14" s="365">
        <v>0.58040968195443177</v>
      </c>
      <c r="W14" s="365">
        <v>2.3669470446990135</v>
      </c>
      <c r="X14" s="365">
        <v>3.4449788458468501E-2</v>
      </c>
      <c r="Y14" s="366">
        <v>0</v>
      </c>
      <c r="Z14" s="365">
        <v>0.74905703536294144</v>
      </c>
      <c r="AA14" s="365">
        <v>2.2077382918240529</v>
      </c>
      <c r="AB14" s="365">
        <v>0.43475995566073439</v>
      </c>
      <c r="AC14" s="365">
        <v>1.7729783361633187</v>
      </c>
      <c r="AD14" s="368" t="s">
        <v>106</v>
      </c>
      <c r="AE14" s="369">
        <v>0</v>
      </c>
      <c r="AF14" s="362"/>
      <c r="AG14" s="334"/>
    </row>
    <row r="15" spans="1:33">
      <c r="A15" s="358" t="str">
        <f>Residential[[#This Row],[ID Country]]&amp;"500_"&amp;Residential[[#This Row],[ID Energy carrier]]</f>
        <v>DK500_8</v>
      </c>
      <c r="B15" s="358" t="str">
        <f>Residential[[#This Row],[ID Country]]&amp;"100_"&amp;Residential[[#This Row],[ID Energy carrier]]</f>
        <v>DK100_8</v>
      </c>
      <c r="C15" s="359">
        <v>1</v>
      </c>
      <c r="D15" s="359" t="s">
        <v>348</v>
      </c>
      <c r="E15" s="332" t="s">
        <v>362</v>
      </c>
      <c r="F15" s="332" t="s">
        <v>213</v>
      </c>
      <c r="G15" s="359" t="s">
        <v>361</v>
      </c>
      <c r="H15" s="359" t="s">
        <v>349</v>
      </c>
      <c r="I15" s="359">
        <v>2015</v>
      </c>
      <c r="J15" s="360">
        <v>8</v>
      </c>
      <c r="K15" s="361" t="s">
        <v>354</v>
      </c>
      <c r="L15" s="362"/>
      <c r="M15" s="363"/>
      <c r="N15" s="363"/>
      <c r="O15" s="363"/>
      <c r="P15" s="363"/>
      <c r="Q15" s="370"/>
      <c r="R15" s="370"/>
      <c r="S15" s="370"/>
      <c r="T15" s="372" t="s">
        <v>350</v>
      </c>
      <c r="U15" s="365">
        <v>0</v>
      </c>
      <c r="V15" s="365">
        <v>0</v>
      </c>
      <c r="W15" s="365">
        <v>0</v>
      </c>
      <c r="X15" s="365">
        <v>0</v>
      </c>
      <c r="Y15" s="366">
        <v>0</v>
      </c>
      <c r="Z15" s="368" t="s">
        <v>106</v>
      </c>
      <c r="AA15" s="368" t="s">
        <v>106</v>
      </c>
      <c r="AB15" s="368" t="s">
        <v>106</v>
      </c>
      <c r="AC15" s="368" t="s">
        <v>106</v>
      </c>
      <c r="AD15" s="368" t="s">
        <v>106</v>
      </c>
      <c r="AE15" s="369">
        <v>0</v>
      </c>
      <c r="AF15" s="362"/>
      <c r="AG15" s="334"/>
    </row>
    <row r="16" spans="1:33">
      <c r="A16" s="358" t="str">
        <f>Residential[[#This Row],[ID Country]]&amp;"500_"&amp;Residential[[#This Row],[ID Energy carrier]]</f>
        <v>DK500_9</v>
      </c>
      <c r="B16" s="358" t="str">
        <f>Residential[[#This Row],[ID Country]]&amp;"100_"&amp;Residential[[#This Row],[ID Energy carrier]]</f>
        <v>DK100_9</v>
      </c>
      <c r="C16" s="359">
        <v>1</v>
      </c>
      <c r="D16" s="359" t="s">
        <v>348</v>
      </c>
      <c r="E16" s="332" t="s">
        <v>362</v>
      </c>
      <c r="F16" s="332" t="s">
        <v>213</v>
      </c>
      <c r="G16" s="359" t="s">
        <v>361</v>
      </c>
      <c r="H16" s="359" t="s">
        <v>349</v>
      </c>
      <c r="I16" s="359">
        <v>2015</v>
      </c>
      <c r="J16" s="360">
        <v>9</v>
      </c>
      <c r="K16" s="361" t="s">
        <v>355</v>
      </c>
      <c r="L16" s="362"/>
      <c r="M16" s="363"/>
      <c r="N16" s="363"/>
      <c r="O16" s="363"/>
      <c r="P16" s="363"/>
      <c r="Q16" s="370"/>
      <c r="R16" s="370"/>
      <c r="S16" s="370"/>
      <c r="T16" s="372" t="s">
        <v>350</v>
      </c>
      <c r="U16" s="365">
        <v>0</v>
      </c>
      <c r="V16" s="365">
        <v>0</v>
      </c>
      <c r="W16" s="365">
        <v>0</v>
      </c>
      <c r="X16" s="365">
        <v>0</v>
      </c>
      <c r="Y16" s="366">
        <v>0</v>
      </c>
      <c r="Z16" s="368" t="s">
        <v>106</v>
      </c>
      <c r="AA16" s="368" t="s">
        <v>106</v>
      </c>
      <c r="AB16" s="368" t="s">
        <v>106</v>
      </c>
      <c r="AC16" s="368" t="s">
        <v>106</v>
      </c>
      <c r="AD16" s="368" t="s">
        <v>106</v>
      </c>
      <c r="AE16" s="369">
        <v>0</v>
      </c>
      <c r="AF16" s="362"/>
      <c r="AG16" s="334"/>
    </row>
    <row r="17" spans="1:33">
      <c r="A17" s="358" t="str">
        <f>Residential[[#This Row],[ID Country]]&amp;"500_"&amp;Residential[[#This Row],[ID Energy carrier]]</f>
        <v>DK500_11</v>
      </c>
      <c r="B17" s="358" t="str">
        <f>Residential[[#This Row],[ID Country]]&amp;"100_"&amp;Residential[[#This Row],[ID Energy carrier]]</f>
        <v>DK100_11</v>
      </c>
      <c r="C17" s="359">
        <v>1</v>
      </c>
      <c r="D17" s="359" t="s">
        <v>348</v>
      </c>
      <c r="E17" s="332" t="s">
        <v>362</v>
      </c>
      <c r="F17" s="332" t="s">
        <v>213</v>
      </c>
      <c r="G17" s="359" t="s">
        <v>361</v>
      </c>
      <c r="H17" s="359" t="s">
        <v>349</v>
      </c>
      <c r="I17" s="359">
        <v>2015</v>
      </c>
      <c r="J17" s="360">
        <v>11</v>
      </c>
      <c r="K17" s="361" t="s">
        <v>356</v>
      </c>
      <c r="L17" s="362"/>
      <c r="M17" s="363"/>
      <c r="N17" s="363"/>
      <c r="O17" s="363"/>
      <c r="P17" s="363"/>
      <c r="Q17" s="370"/>
      <c r="R17" s="370"/>
      <c r="S17" s="370"/>
      <c r="T17" s="376">
        <v>23.006806707873718</v>
      </c>
      <c r="U17" s="365">
        <v>0.5083673083001653</v>
      </c>
      <c r="V17" s="365">
        <v>9.437321586980961E-2</v>
      </c>
      <c r="W17" s="365">
        <v>0.41399409243035568</v>
      </c>
      <c r="X17" s="365">
        <v>0</v>
      </c>
      <c r="Y17" s="366">
        <v>0</v>
      </c>
      <c r="Z17" s="365">
        <v>2.6520000000000001</v>
      </c>
      <c r="AA17" s="365">
        <v>1.3481901016120386</v>
      </c>
      <c r="AB17" s="365">
        <v>0.25027776848673511</v>
      </c>
      <c r="AC17" s="365">
        <v>1.0979123331253033</v>
      </c>
      <c r="AD17" s="368" t="s">
        <v>106</v>
      </c>
      <c r="AE17" s="369">
        <v>0</v>
      </c>
      <c r="AF17" s="362"/>
      <c r="AG17" s="334"/>
    </row>
    <row r="18" spans="1:33">
      <c r="A18" s="358" t="str">
        <f>Residential[[#This Row],[ID Country]]&amp;"500_"&amp;Residential[[#This Row],[ID Energy carrier]]</f>
        <v>DK500_14</v>
      </c>
      <c r="B18" s="358" t="str">
        <f>Residential[[#This Row],[ID Country]]&amp;"100_"&amp;Residential[[#This Row],[ID Energy carrier]]</f>
        <v>DK100_14</v>
      </c>
      <c r="C18" s="359">
        <v>1</v>
      </c>
      <c r="D18" s="359" t="s">
        <v>348</v>
      </c>
      <c r="E18" s="332" t="s">
        <v>362</v>
      </c>
      <c r="F18" s="332" t="s">
        <v>213</v>
      </c>
      <c r="G18" s="359" t="s">
        <v>361</v>
      </c>
      <c r="H18" s="359" t="s">
        <v>349</v>
      </c>
      <c r="I18" s="359">
        <v>2015</v>
      </c>
      <c r="J18" s="360">
        <v>14</v>
      </c>
      <c r="K18" s="361" t="s">
        <v>357</v>
      </c>
      <c r="L18" s="362"/>
      <c r="M18" s="363"/>
      <c r="N18" s="363"/>
      <c r="O18" s="363"/>
      <c r="P18" s="363"/>
      <c r="Q18" s="370"/>
      <c r="R18" s="370"/>
      <c r="S18" s="370"/>
      <c r="T18" s="372" t="s">
        <v>350</v>
      </c>
      <c r="U18" s="365">
        <v>0</v>
      </c>
      <c r="V18" s="365">
        <v>0</v>
      </c>
      <c r="W18" s="365">
        <v>0</v>
      </c>
      <c r="X18" s="365">
        <v>0</v>
      </c>
      <c r="Y18" s="366">
        <v>0</v>
      </c>
      <c r="Z18" s="365">
        <v>3.468</v>
      </c>
      <c r="AA18" s="365">
        <v>0</v>
      </c>
      <c r="AB18" s="365">
        <v>0</v>
      </c>
      <c r="AC18" s="365">
        <v>0</v>
      </c>
      <c r="AD18" s="368" t="s">
        <v>106</v>
      </c>
      <c r="AE18" s="369">
        <v>0</v>
      </c>
      <c r="AF18" s="362"/>
      <c r="AG18" s="334"/>
    </row>
    <row r="19" spans="1:33">
      <c r="A19" s="358" t="str">
        <f>Residential[[#This Row],[ID Country]]&amp;"500_"&amp;Residential[[#This Row],[ID Energy carrier]]</f>
        <v>DK500_12</v>
      </c>
      <c r="B19" s="358" t="str">
        <f>Residential[[#This Row],[ID Country]]&amp;"100_"&amp;Residential[[#This Row],[ID Energy carrier]]</f>
        <v>DK100_12</v>
      </c>
      <c r="C19" s="359">
        <v>1</v>
      </c>
      <c r="D19" s="359" t="s">
        <v>348</v>
      </c>
      <c r="E19" s="332" t="s">
        <v>362</v>
      </c>
      <c r="F19" s="332" t="s">
        <v>213</v>
      </c>
      <c r="G19" s="359" t="s">
        <v>361</v>
      </c>
      <c r="H19" s="359" t="s">
        <v>349</v>
      </c>
      <c r="I19" s="359">
        <v>2015</v>
      </c>
      <c r="J19" s="360">
        <v>12</v>
      </c>
      <c r="K19" s="361" t="s">
        <v>358</v>
      </c>
      <c r="L19" s="362"/>
      <c r="M19" s="363"/>
      <c r="N19" s="363"/>
      <c r="O19" s="363"/>
      <c r="P19" s="363"/>
      <c r="Q19" s="370"/>
      <c r="R19" s="370"/>
      <c r="S19" s="370"/>
      <c r="T19" s="372" t="s">
        <v>350</v>
      </c>
      <c r="U19" s="365">
        <v>0.5083673083001653</v>
      </c>
      <c r="V19" s="365">
        <v>9.437321586980961E-2</v>
      </c>
      <c r="W19" s="365">
        <v>0.41399409243035568</v>
      </c>
      <c r="X19" s="365">
        <v>0</v>
      </c>
      <c r="Y19" s="366">
        <v>0</v>
      </c>
      <c r="Z19" s="365">
        <v>2.6520000000000001</v>
      </c>
      <c r="AA19" s="365">
        <v>1.3481901016120386</v>
      </c>
      <c r="AB19" s="365">
        <v>0.25027776848673511</v>
      </c>
      <c r="AC19" s="365">
        <v>1.0979123331253033</v>
      </c>
      <c r="AD19" s="368" t="s">
        <v>106</v>
      </c>
      <c r="AE19" s="369">
        <v>0</v>
      </c>
      <c r="AF19" s="362"/>
      <c r="AG19" s="334"/>
    </row>
    <row r="20" spans="1:33">
      <c r="A20" s="358" t="str">
        <f>Residential[[#This Row],[ID Country]]&amp;"500_"&amp;Residential[[#This Row],[ID Energy carrier]]</f>
        <v>DK500_2</v>
      </c>
      <c r="B20" s="358" t="str">
        <f>Residential[[#This Row],[ID Country]]&amp;"100_"&amp;Residential[[#This Row],[ID Energy carrier]]</f>
        <v>DK100_2</v>
      </c>
      <c r="C20" s="359">
        <v>1</v>
      </c>
      <c r="D20" s="359" t="s">
        <v>348</v>
      </c>
      <c r="E20" s="332" t="s">
        <v>362</v>
      </c>
      <c r="F20" s="332" t="s">
        <v>213</v>
      </c>
      <c r="G20" s="359" t="s">
        <v>361</v>
      </c>
      <c r="H20" s="359" t="s">
        <v>349</v>
      </c>
      <c r="I20" s="359">
        <v>2015</v>
      </c>
      <c r="J20" s="360">
        <v>2</v>
      </c>
      <c r="K20" s="361" t="s">
        <v>211</v>
      </c>
      <c r="L20" s="362"/>
      <c r="M20" s="362"/>
      <c r="N20" s="362"/>
      <c r="O20" s="362"/>
      <c r="P20" s="362"/>
      <c r="Q20" s="362"/>
      <c r="R20" s="362"/>
      <c r="S20" s="362"/>
      <c r="T20" s="376">
        <v>335.25032921012019</v>
      </c>
      <c r="U20" s="365">
        <v>7.2399881898323599</v>
      </c>
      <c r="V20" s="365">
        <v>1.3704592196905234</v>
      </c>
      <c r="W20" s="365">
        <v>5.838245277459027</v>
      </c>
      <c r="X20" s="365">
        <v>3.1283692682808686E-2</v>
      </c>
      <c r="Y20" s="366">
        <v>0</v>
      </c>
      <c r="Z20" s="365">
        <v>0.77049703964529437</v>
      </c>
      <c r="AA20" s="365">
        <v>5.554285474731449</v>
      </c>
      <c r="AB20" s="365">
        <v>1.0559347717261485</v>
      </c>
      <c r="AC20" s="365">
        <v>4.4983507030053005</v>
      </c>
      <c r="AD20" s="368" t="s">
        <v>106</v>
      </c>
      <c r="AE20" s="369">
        <v>0</v>
      </c>
      <c r="AF20" s="362"/>
      <c r="AG20" s="334"/>
    </row>
    <row r="21" spans="1:33">
      <c r="A21" s="358" t="str">
        <f>Residential[[#This Row],[ID Country]]&amp;"500_"&amp;Residential[[#This Row],[ID Energy carrier]]</f>
        <v>DK500_6</v>
      </c>
      <c r="B21" s="358" t="str">
        <f>Residential[[#This Row],[ID Country]]&amp;"100_"&amp;Residential[[#This Row],[ID Energy carrier]]</f>
        <v>DK100_6</v>
      </c>
      <c r="C21" s="359">
        <v>1</v>
      </c>
      <c r="D21" s="359" t="s">
        <v>348</v>
      </c>
      <c r="E21" s="332" t="s">
        <v>362</v>
      </c>
      <c r="F21" s="332" t="s">
        <v>213</v>
      </c>
      <c r="G21" s="359" t="s">
        <v>361</v>
      </c>
      <c r="H21" s="359" t="s">
        <v>349</v>
      </c>
      <c r="I21" s="359">
        <v>2015</v>
      </c>
      <c r="J21" s="360">
        <v>6</v>
      </c>
      <c r="K21" s="361" t="s">
        <v>359</v>
      </c>
      <c r="L21" s="362"/>
      <c r="M21" s="363"/>
      <c r="N21" s="363"/>
      <c r="O21" s="363"/>
      <c r="P21" s="363"/>
      <c r="Q21" s="370"/>
      <c r="R21" s="370"/>
      <c r="S21" s="370"/>
      <c r="T21" s="376">
        <v>300.16752771537182</v>
      </c>
      <c r="U21" s="365">
        <v>3.9052757789769199</v>
      </c>
      <c r="V21" s="365">
        <v>0.82527347302121323</v>
      </c>
      <c r="W21" s="365">
        <v>1.8666863619242791</v>
      </c>
      <c r="X21" s="365">
        <v>1.2133159440314276</v>
      </c>
      <c r="Y21" s="366">
        <v>1.2623024046896032E-2</v>
      </c>
      <c r="Z21" s="365">
        <v>0.93</v>
      </c>
      <c r="AA21" s="365">
        <v>2.5035226464993081</v>
      </c>
      <c r="AB21" s="365">
        <v>0.76750432990972828</v>
      </c>
      <c r="AC21" s="365">
        <v>1.7360183165895797</v>
      </c>
      <c r="AD21" s="368" t="s">
        <v>106</v>
      </c>
      <c r="AE21" s="369">
        <v>2.6434686808189528E-2</v>
      </c>
      <c r="AF21" s="362"/>
      <c r="AG21" s="334"/>
    </row>
    <row r="22" spans="1:33">
      <c r="A22" s="358" t="str">
        <f>Residential[[#This Row],[ID Country]]&amp;"500_"&amp;Residential[[#This Row],[ID Energy carrier]]</f>
        <v>DK500_7</v>
      </c>
      <c r="B22" s="358" t="str">
        <f>Residential[[#This Row],[ID Country]]&amp;"100_"&amp;Residential[[#This Row],[ID Energy carrier]]</f>
        <v>DK100_7</v>
      </c>
      <c r="C22" s="359">
        <v>1</v>
      </c>
      <c r="D22" s="359" t="s">
        <v>348</v>
      </c>
      <c r="E22" s="332" t="s">
        <v>362</v>
      </c>
      <c r="F22" s="332" t="s">
        <v>213</v>
      </c>
      <c r="G22" s="359" t="s">
        <v>361</v>
      </c>
      <c r="H22" s="359" t="s">
        <v>349</v>
      </c>
      <c r="I22" s="359">
        <v>2015</v>
      </c>
      <c r="J22" s="360">
        <v>7</v>
      </c>
      <c r="K22" s="361" t="s">
        <v>222</v>
      </c>
      <c r="L22" s="362"/>
      <c r="M22" s="363"/>
      <c r="N22" s="363"/>
      <c r="O22" s="363"/>
      <c r="P22" s="363"/>
      <c r="Q22" s="370"/>
      <c r="R22" s="370"/>
      <c r="S22" s="370"/>
      <c r="T22" s="376">
        <v>1228.6418160833234</v>
      </c>
      <c r="U22" s="365">
        <v>18.173873396449949</v>
      </c>
      <c r="V22" s="365">
        <v>3.7803731150075097</v>
      </c>
      <c r="W22" s="365">
        <v>14.393500281442439</v>
      </c>
      <c r="X22" s="365">
        <v>0</v>
      </c>
      <c r="Y22" s="366">
        <v>0</v>
      </c>
      <c r="Z22" s="365">
        <v>0.89587176057040241</v>
      </c>
      <c r="AA22" s="365">
        <v>16.281459956061216</v>
      </c>
      <c r="AB22" s="365">
        <v>3.3867295181547941</v>
      </c>
      <c r="AC22" s="365">
        <v>12.894730437906421</v>
      </c>
      <c r="AD22" s="368" t="s">
        <v>106</v>
      </c>
      <c r="AE22" s="369">
        <v>0</v>
      </c>
      <c r="AF22" s="362"/>
      <c r="AG22" s="334"/>
    </row>
    <row r="23" spans="1:33">
      <c r="A23" s="358" t="str">
        <f>Residential[[#This Row],[ID Country]]&amp;"500_"&amp;Residential[[#This Row],[ID Energy carrier]]</f>
        <v>DK500_5</v>
      </c>
      <c r="B23" s="358" t="str">
        <f>Residential[[#This Row],[ID Country]]&amp;"100_"&amp;Residential[[#This Row],[ID Energy carrier]]</f>
        <v>DK100_5</v>
      </c>
      <c r="C23" s="359">
        <v>1</v>
      </c>
      <c r="D23" s="359" t="s">
        <v>348</v>
      </c>
      <c r="E23" s="332" t="s">
        <v>362</v>
      </c>
      <c r="F23" s="332" t="s">
        <v>213</v>
      </c>
      <c r="G23" s="359" t="s">
        <v>361</v>
      </c>
      <c r="H23" s="359" t="s">
        <v>349</v>
      </c>
      <c r="I23" s="359">
        <v>2015</v>
      </c>
      <c r="J23" s="360">
        <v>5</v>
      </c>
      <c r="K23" s="361" t="s">
        <v>27</v>
      </c>
      <c r="L23" s="362"/>
      <c r="M23" s="363"/>
      <c r="N23" s="363"/>
      <c r="O23" s="363"/>
      <c r="P23" s="363"/>
      <c r="Q23" s="370"/>
      <c r="R23" s="370"/>
      <c r="S23" s="370"/>
      <c r="T23" s="376">
        <v>0</v>
      </c>
      <c r="U23" s="365">
        <v>0</v>
      </c>
      <c r="V23" s="365">
        <v>0</v>
      </c>
      <c r="W23" s="365">
        <v>0</v>
      </c>
      <c r="X23" s="365">
        <v>0</v>
      </c>
      <c r="Y23" s="366">
        <v>0</v>
      </c>
      <c r="Z23" s="365">
        <v>0.60415115241060968</v>
      </c>
      <c r="AA23" s="365">
        <v>0</v>
      </c>
      <c r="AB23" s="365">
        <v>0</v>
      </c>
      <c r="AC23" s="365">
        <v>0</v>
      </c>
      <c r="AD23" s="368" t="s">
        <v>106</v>
      </c>
      <c r="AE23" s="369">
        <v>0</v>
      </c>
      <c r="AF23" s="362"/>
      <c r="AG23" s="334"/>
    </row>
    <row r="24" spans="1:33">
      <c r="A24" s="358" t="str">
        <f>Residential[[#This Row],[ID Country]]&amp;"500_"&amp;Residential[[#This Row],[ID Energy carrier]]</f>
        <v>DK500_4</v>
      </c>
      <c r="B24" s="358" t="str">
        <f>Residential[[#This Row],[ID Country]]&amp;"100_"&amp;Residential[[#This Row],[ID Energy carrier]]</f>
        <v>DK100_4</v>
      </c>
      <c r="C24" s="359">
        <v>1</v>
      </c>
      <c r="D24" s="359" t="s">
        <v>348</v>
      </c>
      <c r="E24" s="332" t="s">
        <v>362</v>
      </c>
      <c r="F24" s="332" t="s">
        <v>213</v>
      </c>
      <c r="G24" s="359" t="s">
        <v>361</v>
      </c>
      <c r="H24" s="359" t="s">
        <v>349</v>
      </c>
      <c r="I24" s="359">
        <v>2015</v>
      </c>
      <c r="J24" s="360">
        <v>4</v>
      </c>
      <c r="K24" s="361" t="s">
        <v>360</v>
      </c>
      <c r="L24" s="362"/>
      <c r="M24" s="363"/>
      <c r="N24" s="363"/>
      <c r="O24" s="363"/>
      <c r="P24" s="363"/>
      <c r="Q24" s="370"/>
      <c r="R24" s="370"/>
      <c r="S24" s="370"/>
      <c r="T24" s="376">
        <v>313.75701952252001</v>
      </c>
      <c r="U24" s="365">
        <v>9.6334521072920314</v>
      </c>
      <c r="V24" s="365">
        <v>0.93934027908897944</v>
      </c>
      <c r="W24" s="365">
        <v>8.6941118282030523</v>
      </c>
      <c r="X24" s="365">
        <v>0</v>
      </c>
      <c r="Y24" s="366">
        <v>0</v>
      </c>
      <c r="Z24" s="365">
        <v>0.61316217314835575</v>
      </c>
      <c r="AA24" s="365">
        <v>5.9068684290277886</v>
      </c>
      <c r="AB24" s="365">
        <v>0.57596792685198162</v>
      </c>
      <c r="AC24" s="365">
        <v>5.3309005021758074</v>
      </c>
      <c r="AD24" s="368" t="s">
        <v>106</v>
      </c>
      <c r="AE24" s="369">
        <v>0</v>
      </c>
      <c r="AF24" s="362"/>
      <c r="AG24" s="334"/>
    </row>
    <row r="27" spans="1:33">
      <c r="F27" s="332" t="s">
        <v>363</v>
      </c>
      <c r="G27" s="332">
        <v>3600</v>
      </c>
    </row>
    <row r="28" spans="1:33">
      <c r="U28" s="332" t="s">
        <v>124</v>
      </c>
      <c r="V28" s="332" t="s">
        <v>124</v>
      </c>
      <c r="W28" s="332" t="s">
        <v>124</v>
      </c>
      <c r="X28" s="332" t="s">
        <v>124</v>
      </c>
      <c r="Y28" s="332" t="s">
        <v>124</v>
      </c>
      <c r="AA28" s="332" t="s">
        <v>124</v>
      </c>
      <c r="AB28" s="332" t="s">
        <v>124</v>
      </c>
      <c r="AC28" s="332" t="s">
        <v>124</v>
      </c>
      <c r="AD28" s="332" t="s">
        <v>124</v>
      </c>
      <c r="AE28" s="332" t="s">
        <v>124</v>
      </c>
    </row>
    <row r="29" spans="1:33">
      <c r="F29" s="332" t="str">
        <f>F10</f>
        <v>Denmark</v>
      </c>
      <c r="G29" s="332" t="str">
        <f t="shared" ref="G29:AG38" si="0">G10</f>
        <v>Nice to have</v>
      </c>
      <c r="H29" s="332" t="str">
        <f t="shared" si="0"/>
        <v>Residential</v>
      </c>
      <c r="I29" s="332">
        <f t="shared" si="0"/>
        <v>2015</v>
      </c>
      <c r="J29" s="332">
        <f t="shared" si="0"/>
        <v>1</v>
      </c>
      <c r="K29" s="332" t="str">
        <f t="shared" si="0"/>
        <v>Total</v>
      </c>
      <c r="L29" s="332">
        <f t="shared" si="0"/>
        <v>2373.1</v>
      </c>
      <c r="M29" s="332">
        <f t="shared" si="0"/>
        <v>1356.9629146698139</v>
      </c>
      <c r="N29" s="332">
        <f t="shared" si="0"/>
        <v>1016.137085330186</v>
      </c>
      <c r="O29" s="332">
        <f t="shared" si="0"/>
        <v>133.66900000000001</v>
      </c>
      <c r="P29" s="332">
        <f t="shared" si="0"/>
        <v>78.400000000000006</v>
      </c>
      <c r="Q29" s="332">
        <f t="shared" si="0"/>
        <v>261049.02333088595</v>
      </c>
      <c r="R29" s="332">
        <f t="shared" si="0"/>
        <v>181383.87584099936</v>
      </c>
      <c r="S29" s="332">
        <f t="shared" si="0"/>
        <v>79665.147489886585</v>
      </c>
      <c r="T29" s="332">
        <f t="shared" si="0"/>
        <v>2373.1</v>
      </c>
      <c r="U29" s="332">
        <f>U10*$G$27</f>
        <v>153187.3204742838</v>
      </c>
      <c r="V29" s="332">
        <f t="shared" ref="V29:Y29" si="1">V10*$G$27</f>
        <v>27631.597545162826</v>
      </c>
      <c r="W29" s="332">
        <f t="shared" si="1"/>
        <v>120951.14499849927</v>
      </c>
      <c r="X29" s="332">
        <f t="shared" si="1"/>
        <v>4604.5779306217373</v>
      </c>
      <c r="Y29" s="332">
        <f t="shared" si="1"/>
        <v>45.442886568825713</v>
      </c>
      <c r="Z29" s="332" t="str">
        <f t="shared" si="0"/>
        <v xml:space="preserve"> -</v>
      </c>
      <c r="AA29" s="332">
        <f>AA10*$G$27</f>
        <v>122076.63649828339</v>
      </c>
      <c r="AB29" s="332">
        <f t="shared" ref="AB29:AE29" si="2">AB10*$G$27</f>
        <v>23599.748779405229</v>
      </c>
      <c r="AC29" s="332">
        <f t="shared" si="2"/>
        <v>98476.887718878177</v>
      </c>
      <c r="AD29" s="332" t="str">
        <f t="shared" si="0"/>
        <v>-</v>
      </c>
      <c r="AE29" s="332">
        <f t="shared" si="2"/>
        <v>95.164872509482308</v>
      </c>
      <c r="AF29" s="332">
        <f t="shared" si="0"/>
        <v>17392.012152840645</v>
      </c>
      <c r="AG29" s="332">
        <f t="shared" si="0"/>
        <v>158.10434190972487</v>
      </c>
    </row>
    <row r="30" spans="1:33">
      <c r="F30" s="332" t="str">
        <f t="shared" ref="F30:T43" si="3">F11</f>
        <v>Denmark</v>
      </c>
      <c r="G30" s="332" t="str">
        <f t="shared" si="3"/>
        <v>Nice to have</v>
      </c>
      <c r="H30" s="332" t="str">
        <f t="shared" si="3"/>
        <v>Residential</v>
      </c>
      <c r="I30" s="332">
        <f t="shared" si="3"/>
        <v>2015</v>
      </c>
      <c r="J30" s="332">
        <f t="shared" si="3"/>
        <v>10</v>
      </c>
      <c r="K30" s="332" t="str">
        <f t="shared" si="3"/>
        <v>Solar thermal</v>
      </c>
      <c r="L30" s="332">
        <f t="shared" si="3"/>
        <v>0</v>
      </c>
      <c r="M30" s="332">
        <f t="shared" si="3"/>
        <v>0</v>
      </c>
      <c r="N30" s="332">
        <f t="shared" si="3"/>
        <v>0</v>
      </c>
      <c r="O30" s="332">
        <f t="shared" si="3"/>
        <v>0</v>
      </c>
      <c r="P30" s="332">
        <f t="shared" si="3"/>
        <v>0</v>
      </c>
      <c r="Q30" s="332">
        <f t="shared" si="3"/>
        <v>0</v>
      </c>
      <c r="R30" s="332">
        <f t="shared" si="3"/>
        <v>0</v>
      </c>
      <c r="S30" s="332">
        <f t="shared" si="3"/>
        <v>0</v>
      </c>
      <c r="T30" s="332" t="str">
        <f t="shared" si="3"/>
        <v>n/a</v>
      </c>
      <c r="U30" s="332">
        <f t="shared" ref="U30:Y43" si="4">U11*$G$27</f>
        <v>393.37260881579903</v>
      </c>
      <c r="V30" s="332">
        <f t="shared" si="4"/>
        <v>306.7732004859389</v>
      </c>
      <c r="W30" s="332">
        <f t="shared" si="4"/>
        <v>86.599408329860154</v>
      </c>
      <c r="X30" s="332">
        <f t="shared" si="4"/>
        <v>0</v>
      </c>
      <c r="Y30" s="332">
        <f t="shared" si="4"/>
        <v>0</v>
      </c>
      <c r="Z30" s="332">
        <f t="shared" si="0"/>
        <v>0.98939999999999995</v>
      </c>
      <c r="AA30" s="332">
        <f t="shared" ref="AA30:AC43" si="5">AA11*$G$27</f>
        <v>389.20285916235156</v>
      </c>
      <c r="AB30" s="332">
        <f t="shared" si="5"/>
        <v>303.52140456078791</v>
      </c>
      <c r="AC30" s="332">
        <f t="shared" si="5"/>
        <v>85.68145460156363</v>
      </c>
      <c r="AD30" s="332" t="str">
        <f t="shared" si="0"/>
        <v>-</v>
      </c>
      <c r="AE30" s="332">
        <f t="shared" ref="AE30" si="6">AE11*$G$27</f>
        <v>0</v>
      </c>
      <c r="AF30" s="332">
        <f t="shared" si="0"/>
        <v>0</v>
      </c>
      <c r="AG30" s="332">
        <f t="shared" si="0"/>
        <v>0</v>
      </c>
    </row>
    <row r="31" spans="1:33">
      <c r="F31" s="332" t="str">
        <f t="shared" si="3"/>
        <v>Denmark</v>
      </c>
      <c r="G31" s="332" t="str">
        <f t="shared" si="0"/>
        <v>Nice to have</v>
      </c>
      <c r="H31" s="332" t="str">
        <f t="shared" si="0"/>
        <v>Residential</v>
      </c>
      <c r="I31" s="332">
        <f t="shared" si="0"/>
        <v>2015</v>
      </c>
      <c r="J31" s="332">
        <f t="shared" si="0"/>
        <v>15</v>
      </c>
      <c r="K31" s="332" t="str">
        <f t="shared" si="0"/>
        <v>Others (RES)</v>
      </c>
      <c r="L31" s="332">
        <f t="shared" si="0"/>
        <v>0</v>
      </c>
      <c r="M31" s="332">
        <f t="shared" si="0"/>
        <v>0</v>
      </c>
      <c r="N31" s="332">
        <f t="shared" si="0"/>
        <v>0</v>
      </c>
      <c r="O31" s="332">
        <f t="shared" si="0"/>
        <v>0</v>
      </c>
      <c r="P31" s="332">
        <f t="shared" si="0"/>
        <v>0</v>
      </c>
      <c r="Q31" s="332">
        <f t="shared" si="0"/>
        <v>0</v>
      </c>
      <c r="R31" s="332">
        <f t="shared" si="0"/>
        <v>0</v>
      </c>
      <c r="S31" s="332">
        <f t="shared" si="0"/>
        <v>0</v>
      </c>
      <c r="T31" s="332" t="str">
        <f t="shared" si="0"/>
        <v xml:space="preserve"> -</v>
      </c>
      <c r="U31" s="332">
        <f t="shared" si="4"/>
        <v>0</v>
      </c>
      <c r="V31" s="332">
        <f t="shared" si="4"/>
        <v>0</v>
      </c>
      <c r="W31" s="332">
        <f t="shared" si="4"/>
        <v>0</v>
      </c>
      <c r="X31" s="332">
        <f t="shared" si="4"/>
        <v>0</v>
      </c>
      <c r="Y31" s="332">
        <f t="shared" si="4"/>
        <v>0</v>
      </c>
      <c r="Z31" s="332" t="str">
        <f t="shared" si="0"/>
        <v>-</v>
      </c>
      <c r="AD31" s="332" t="str">
        <f t="shared" si="0"/>
        <v>-</v>
      </c>
      <c r="AE31" s="332">
        <f t="shared" ref="AE31" si="7">AE12*$G$27</f>
        <v>0</v>
      </c>
      <c r="AF31" s="332">
        <f t="shared" si="0"/>
        <v>0</v>
      </c>
      <c r="AG31" s="332">
        <f t="shared" si="0"/>
        <v>0</v>
      </c>
    </row>
    <row r="32" spans="1:33">
      <c r="F32" s="332" t="str">
        <f t="shared" si="3"/>
        <v>Denmark</v>
      </c>
      <c r="G32" s="332" t="str">
        <f t="shared" si="0"/>
        <v>Nice to have</v>
      </c>
      <c r="H32" s="332" t="str">
        <f t="shared" si="0"/>
        <v>Residential</v>
      </c>
      <c r="I32" s="332">
        <f t="shared" si="0"/>
        <v>2015</v>
      </c>
      <c r="J32" s="332">
        <f t="shared" si="0"/>
        <v>16</v>
      </c>
      <c r="K32" s="332" t="str">
        <f t="shared" si="0"/>
        <v>Others (fossil)</v>
      </c>
      <c r="L32" s="332">
        <f t="shared" si="0"/>
        <v>0</v>
      </c>
      <c r="M32" s="332">
        <f t="shared" si="0"/>
        <v>0</v>
      </c>
      <c r="N32" s="332">
        <f t="shared" si="0"/>
        <v>0</v>
      </c>
      <c r="O32" s="332">
        <f t="shared" si="0"/>
        <v>0</v>
      </c>
      <c r="P32" s="332">
        <f t="shared" si="0"/>
        <v>0</v>
      </c>
      <c r="Q32" s="332">
        <f t="shared" si="0"/>
        <v>0</v>
      </c>
      <c r="R32" s="332">
        <f t="shared" si="0"/>
        <v>0</v>
      </c>
      <c r="S32" s="332">
        <f t="shared" si="0"/>
        <v>0</v>
      </c>
      <c r="T32" s="332" t="str">
        <f t="shared" si="0"/>
        <v xml:space="preserve"> -</v>
      </c>
      <c r="U32" s="332">
        <f t="shared" si="4"/>
        <v>0</v>
      </c>
      <c r="V32" s="332">
        <f t="shared" si="4"/>
        <v>0</v>
      </c>
      <c r="W32" s="332">
        <f t="shared" si="4"/>
        <v>0</v>
      </c>
      <c r="X32" s="332">
        <f t="shared" si="4"/>
        <v>0</v>
      </c>
      <c r="Y32" s="332">
        <f t="shared" si="4"/>
        <v>0</v>
      </c>
      <c r="Z32" s="332">
        <f t="shared" si="0"/>
        <v>0.7632736824551678</v>
      </c>
      <c r="AA32" s="332">
        <f t="shared" si="5"/>
        <v>0</v>
      </c>
      <c r="AB32" s="332">
        <f t="shared" si="5"/>
        <v>0</v>
      </c>
      <c r="AC32" s="332">
        <f t="shared" si="5"/>
        <v>0</v>
      </c>
      <c r="AD32" s="332" t="str">
        <f t="shared" si="0"/>
        <v>-</v>
      </c>
      <c r="AE32" s="332">
        <f t="shared" ref="AE32" si="8">AE13*$G$27</f>
        <v>0</v>
      </c>
      <c r="AF32" s="332">
        <f t="shared" si="0"/>
        <v>0</v>
      </c>
      <c r="AG32" s="332">
        <f t="shared" si="0"/>
        <v>0</v>
      </c>
    </row>
    <row r="33" spans="6:33">
      <c r="F33" s="332" t="str">
        <f t="shared" si="3"/>
        <v>Denmark</v>
      </c>
      <c r="G33" s="332" t="str">
        <f t="shared" si="0"/>
        <v>Nice to have</v>
      </c>
      <c r="H33" s="332" t="str">
        <f t="shared" si="0"/>
        <v>Residential</v>
      </c>
      <c r="I33" s="332">
        <f t="shared" si="0"/>
        <v>2015</v>
      </c>
      <c r="J33" s="332">
        <f t="shared" si="0"/>
        <v>3</v>
      </c>
      <c r="K33" s="332" t="str">
        <f t="shared" si="0"/>
        <v>Oil</v>
      </c>
      <c r="L33" s="332">
        <f t="shared" si="0"/>
        <v>0</v>
      </c>
      <c r="M33" s="332">
        <f t="shared" si="0"/>
        <v>0</v>
      </c>
      <c r="N33" s="332">
        <f t="shared" si="0"/>
        <v>0</v>
      </c>
      <c r="O33" s="332">
        <f t="shared" si="0"/>
        <v>0</v>
      </c>
      <c r="P33" s="332">
        <f t="shared" si="0"/>
        <v>0</v>
      </c>
      <c r="Q33" s="332">
        <f t="shared" si="0"/>
        <v>0</v>
      </c>
      <c r="R33" s="332">
        <f t="shared" si="0"/>
        <v>0</v>
      </c>
      <c r="S33" s="332">
        <f t="shared" si="0"/>
        <v>0</v>
      </c>
      <c r="T33" s="332">
        <f t="shared" si="0"/>
        <v>172.27650076079041</v>
      </c>
      <c r="U33" s="332">
        <f t="shared" si="4"/>
        <v>10734.503454402889</v>
      </c>
      <c r="V33" s="332">
        <f t="shared" si="4"/>
        <v>2089.4748550359545</v>
      </c>
      <c r="W33" s="332">
        <f t="shared" si="4"/>
        <v>8521.0093609164487</v>
      </c>
      <c r="X33" s="332">
        <f t="shared" si="4"/>
        <v>124.01923845048661</v>
      </c>
      <c r="Y33" s="332">
        <f t="shared" si="4"/>
        <v>0</v>
      </c>
      <c r="Z33" s="332">
        <f t="shared" si="0"/>
        <v>0.74905703536294144</v>
      </c>
      <c r="AA33" s="332">
        <f t="shared" si="5"/>
        <v>7947.8578505665901</v>
      </c>
      <c r="AB33" s="332">
        <f t="shared" si="5"/>
        <v>1565.1358403786437</v>
      </c>
      <c r="AC33" s="332">
        <f t="shared" si="5"/>
        <v>6382.7220101879475</v>
      </c>
      <c r="AD33" s="332" t="str">
        <f t="shared" si="0"/>
        <v>-</v>
      </c>
      <c r="AE33" s="332">
        <f t="shared" ref="AE33" si="9">AE14*$G$27</f>
        <v>0</v>
      </c>
      <c r="AF33" s="332">
        <f t="shared" si="0"/>
        <v>0</v>
      </c>
      <c r="AG33" s="332">
        <f t="shared" si="0"/>
        <v>0</v>
      </c>
    </row>
    <row r="34" spans="6:33">
      <c r="F34" s="332" t="str">
        <f t="shared" si="3"/>
        <v>Denmark</v>
      </c>
      <c r="G34" s="332" t="str">
        <f t="shared" si="0"/>
        <v>Nice to have</v>
      </c>
      <c r="H34" s="332" t="str">
        <f t="shared" si="0"/>
        <v>Residential</v>
      </c>
      <c r="I34" s="332">
        <f t="shared" si="0"/>
        <v>2015</v>
      </c>
      <c r="J34" s="332">
        <f t="shared" si="0"/>
        <v>8</v>
      </c>
      <c r="K34" s="332" t="str">
        <f t="shared" si="0"/>
        <v>Micro CHP (natural gas)</v>
      </c>
      <c r="L34" s="332">
        <f t="shared" si="0"/>
        <v>0</v>
      </c>
      <c r="M34" s="332">
        <f t="shared" si="0"/>
        <v>0</v>
      </c>
      <c r="N34" s="332">
        <f t="shared" si="0"/>
        <v>0</v>
      </c>
      <c r="O34" s="332">
        <f t="shared" si="0"/>
        <v>0</v>
      </c>
      <c r="P34" s="332">
        <f t="shared" si="0"/>
        <v>0</v>
      </c>
      <c r="Q34" s="332">
        <f t="shared" si="0"/>
        <v>0</v>
      </c>
      <c r="R34" s="332">
        <f t="shared" si="0"/>
        <v>0</v>
      </c>
      <c r="S34" s="332">
        <f t="shared" si="0"/>
        <v>0</v>
      </c>
      <c r="T34" s="332" t="str">
        <f t="shared" si="0"/>
        <v xml:space="preserve"> -</v>
      </c>
      <c r="U34" s="332">
        <f t="shared" si="4"/>
        <v>0</v>
      </c>
      <c r="V34" s="332">
        <f t="shared" si="4"/>
        <v>0</v>
      </c>
      <c r="W34" s="332">
        <f t="shared" si="4"/>
        <v>0</v>
      </c>
      <c r="X34" s="332">
        <f t="shared" si="4"/>
        <v>0</v>
      </c>
      <c r="Y34" s="332">
        <f t="shared" si="4"/>
        <v>0</v>
      </c>
      <c r="Z34" s="332" t="str">
        <f t="shared" si="0"/>
        <v>-</v>
      </c>
      <c r="AD34" s="332" t="str">
        <f t="shared" si="0"/>
        <v>-</v>
      </c>
      <c r="AE34" s="332">
        <f t="shared" ref="AE34" si="10">AE15*$G$27</f>
        <v>0</v>
      </c>
      <c r="AF34" s="332">
        <f t="shared" si="0"/>
        <v>0</v>
      </c>
      <c r="AG34" s="332">
        <f t="shared" si="0"/>
        <v>0</v>
      </c>
    </row>
    <row r="35" spans="6:33">
      <c r="F35" s="332" t="str">
        <f t="shared" si="3"/>
        <v>Denmark</v>
      </c>
      <c r="G35" s="332" t="str">
        <f t="shared" si="0"/>
        <v>Nice to have</v>
      </c>
      <c r="H35" s="332" t="str">
        <f t="shared" si="0"/>
        <v>Residential</v>
      </c>
      <c r="I35" s="332">
        <f t="shared" si="0"/>
        <v>2015</v>
      </c>
      <c r="J35" s="332">
        <f t="shared" si="0"/>
        <v>9</v>
      </c>
      <c r="K35" s="332" t="str">
        <f t="shared" si="0"/>
        <v>Micro CHP (biomass)</v>
      </c>
      <c r="L35" s="332">
        <f t="shared" si="0"/>
        <v>0</v>
      </c>
      <c r="M35" s="332">
        <f t="shared" si="0"/>
        <v>0</v>
      </c>
      <c r="N35" s="332">
        <f t="shared" si="0"/>
        <v>0</v>
      </c>
      <c r="O35" s="332">
        <f t="shared" si="0"/>
        <v>0</v>
      </c>
      <c r="P35" s="332">
        <f t="shared" si="0"/>
        <v>0</v>
      </c>
      <c r="Q35" s="332">
        <f t="shared" si="0"/>
        <v>0</v>
      </c>
      <c r="R35" s="332">
        <f t="shared" si="0"/>
        <v>0</v>
      </c>
      <c r="S35" s="332">
        <f t="shared" si="0"/>
        <v>0</v>
      </c>
      <c r="T35" s="332" t="str">
        <f t="shared" si="0"/>
        <v xml:space="preserve"> -</v>
      </c>
      <c r="U35" s="332">
        <f t="shared" si="4"/>
        <v>0</v>
      </c>
      <c r="V35" s="332">
        <f t="shared" si="4"/>
        <v>0</v>
      </c>
      <c r="W35" s="332">
        <f t="shared" si="4"/>
        <v>0</v>
      </c>
      <c r="X35" s="332">
        <f t="shared" si="4"/>
        <v>0</v>
      </c>
      <c r="Y35" s="332">
        <f t="shared" si="4"/>
        <v>0</v>
      </c>
      <c r="Z35" s="332" t="str">
        <f t="shared" si="0"/>
        <v>-</v>
      </c>
      <c r="AD35" s="332" t="str">
        <f t="shared" si="0"/>
        <v>-</v>
      </c>
      <c r="AE35" s="332">
        <f t="shared" ref="AE35" si="11">AE16*$G$27</f>
        <v>0</v>
      </c>
      <c r="AF35" s="332">
        <f t="shared" si="0"/>
        <v>0</v>
      </c>
      <c r="AG35" s="332">
        <f t="shared" si="0"/>
        <v>0</v>
      </c>
    </row>
    <row r="36" spans="6:33">
      <c r="F36" s="332" t="str">
        <f t="shared" si="3"/>
        <v>Denmark</v>
      </c>
      <c r="G36" s="332" t="str">
        <f t="shared" si="0"/>
        <v>Nice to have</v>
      </c>
      <c r="H36" s="332" t="str">
        <f t="shared" si="0"/>
        <v>Residential</v>
      </c>
      <c r="I36" s="332">
        <f t="shared" si="0"/>
        <v>2015</v>
      </c>
      <c r="J36" s="332">
        <f t="shared" si="0"/>
        <v>11</v>
      </c>
      <c r="K36" s="332" t="str">
        <f t="shared" si="0"/>
        <v>Heat pumps total (electric)</v>
      </c>
      <c r="L36" s="332">
        <f t="shared" si="0"/>
        <v>0</v>
      </c>
      <c r="M36" s="332">
        <f t="shared" si="0"/>
        <v>0</v>
      </c>
      <c r="N36" s="332">
        <f t="shared" si="0"/>
        <v>0</v>
      </c>
      <c r="O36" s="332">
        <f t="shared" si="0"/>
        <v>0</v>
      </c>
      <c r="P36" s="332">
        <f t="shared" si="0"/>
        <v>0</v>
      </c>
      <c r="Q36" s="332">
        <f t="shared" si="0"/>
        <v>0</v>
      </c>
      <c r="R36" s="332">
        <f t="shared" si="0"/>
        <v>0</v>
      </c>
      <c r="S36" s="332">
        <f t="shared" si="0"/>
        <v>0</v>
      </c>
      <c r="T36" s="332">
        <f t="shared" si="0"/>
        <v>23.006806707873718</v>
      </c>
      <c r="U36" s="332">
        <f t="shared" si="4"/>
        <v>1830.1223098805951</v>
      </c>
      <c r="V36" s="332">
        <f t="shared" si="4"/>
        <v>339.74357713131457</v>
      </c>
      <c r="W36" s="332">
        <f t="shared" si="4"/>
        <v>1490.3787327492805</v>
      </c>
      <c r="X36" s="332">
        <f t="shared" si="4"/>
        <v>0</v>
      </c>
      <c r="Y36" s="332">
        <f t="shared" si="4"/>
        <v>0</v>
      </c>
      <c r="Z36" s="332">
        <f t="shared" si="0"/>
        <v>2.6520000000000001</v>
      </c>
      <c r="AA36" s="332">
        <f t="shared" si="5"/>
        <v>4853.4843658033387</v>
      </c>
      <c r="AB36" s="332">
        <f t="shared" si="5"/>
        <v>900.99996655224641</v>
      </c>
      <c r="AC36" s="332">
        <f t="shared" si="5"/>
        <v>3952.4843992510919</v>
      </c>
      <c r="AD36" s="332" t="str">
        <f t="shared" si="0"/>
        <v>-</v>
      </c>
      <c r="AE36" s="332">
        <f t="shared" ref="AE36" si="12">AE17*$G$27</f>
        <v>0</v>
      </c>
      <c r="AF36" s="332">
        <f t="shared" si="0"/>
        <v>0</v>
      </c>
      <c r="AG36" s="332">
        <f t="shared" si="0"/>
        <v>0</v>
      </c>
    </row>
    <row r="37" spans="6:33">
      <c r="F37" s="332" t="str">
        <f t="shared" si="3"/>
        <v>Denmark</v>
      </c>
      <c r="G37" s="332" t="str">
        <f t="shared" si="0"/>
        <v>Nice to have</v>
      </c>
      <c r="H37" s="332" t="str">
        <f t="shared" si="0"/>
        <v>Residential</v>
      </c>
      <c r="I37" s="332">
        <f t="shared" si="0"/>
        <v>2015</v>
      </c>
      <c r="J37" s="332">
        <f t="shared" si="0"/>
        <v>14</v>
      </c>
      <c r="K37" s="332" t="str">
        <f t="shared" si="0"/>
        <v>Heat pumps ground source (electric)</v>
      </c>
      <c r="L37" s="332">
        <f t="shared" si="0"/>
        <v>0</v>
      </c>
      <c r="M37" s="332">
        <f t="shared" si="0"/>
        <v>0</v>
      </c>
      <c r="N37" s="332">
        <f t="shared" si="0"/>
        <v>0</v>
      </c>
      <c r="O37" s="332">
        <f t="shared" si="0"/>
        <v>0</v>
      </c>
      <c r="P37" s="332">
        <f t="shared" si="0"/>
        <v>0</v>
      </c>
      <c r="Q37" s="332">
        <f t="shared" si="0"/>
        <v>0</v>
      </c>
      <c r="R37" s="332">
        <f t="shared" si="0"/>
        <v>0</v>
      </c>
      <c r="S37" s="332">
        <f t="shared" si="0"/>
        <v>0</v>
      </c>
      <c r="T37" s="332" t="str">
        <f t="shared" si="0"/>
        <v xml:space="preserve"> -</v>
      </c>
      <c r="U37" s="332">
        <f t="shared" si="4"/>
        <v>0</v>
      </c>
      <c r="V37" s="332">
        <f t="shared" si="4"/>
        <v>0</v>
      </c>
      <c r="W37" s="332">
        <f t="shared" si="4"/>
        <v>0</v>
      </c>
      <c r="X37" s="332">
        <f t="shared" si="4"/>
        <v>0</v>
      </c>
      <c r="Y37" s="332">
        <f t="shared" si="4"/>
        <v>0</v>
      </c>
      <c r="Z37" s="332">
        <f t="shared" si="0"/>
        <v>3.468</v>
      </c>
      <c r="AA37" s="332">
        <f t="shared" si="5"/>
        <v>0</v>
      </c>
      <c r="AB37" s="332">
        <f t="shared" si="5"/>
        <v>0</v>
      </c>
      <c r="AC37" s="332">
        <f t="shared" si="5"/>
        <v>0</v>
      </c>
      <c r="AD37" s="332" t="str">
        <f t="shared" si="0"/>
        <v>-</v>
      </c>
      <c r="AE37" s="332">
        <f t="shared" ref="AE37" si="13">AE18*$G$27</f>
        <v>0</v>
      </c>
      <c r="AF37" s="332">
        <f t="shared" si="0"/>
        <v>0</v>
      </c>
      <c r="AG37" s="332">
        <f t="shared" si="0"/>
        <v>0</v>
      </c>
    </row>
    <row r="38" spans="6:33">
      <c r="F38" s="332" t="str">
        <f t="shared" si="3"/>
        <v>Denmark</v>
      </c>
      <c r="G38" s="332" t="str">
        <f t="shared" si="0"/>
        <v>Nice to have</v>
      </c>
      <c r="H38" s="332" t="str">
        <f t="shared" si="0"/>
        <v>Residential</v>
      </c>
      <c r="I38" s="332">
        <f t="shared" si="0"/>
        <v>2015</v>
      </c>
      <c r="J38" s="332">
        <f t="shared" si="0"/>
        <v>12</v>
      </c>
      <c r="K38" s="332" t="str">
        <f t="shared" si="0"/>
        <v>Heat pumps aireal (electric)</v>
      </c>
      <c r="L38" s="332">
        <f t="shared" si="0"/>
        <v>0</v>
      </c>
      <c r="M38" s="332">
        <f t="shared" si="0"/>
        <v>0</v>
      </c>
      <c r="N38" s="332">
        <f t="shared" si="0"/>
        <v>0</v>
      </c>
      <c r="O38" s="332">
        <f t="shared" si="0"/>
        <v>0</v>
      </c>
      <c r="P38" s="332">
        <f t="shared" si="0"/>
        <v>0</v>
      </c>
      <c r="Q38" s="332">
        <f t="shared" si="0"/>
        <v>0</v>
      </c>
      <c r="R38" s="332">
        <f t="shared" si="0"/>
        <v>0</v>
      </c>
      <c r="S38" s="332">
        <f t="shared" si="0"/>
        <v>0</v>
      </c>
      <c r="T38" s="332" t="str">
        <f t="shared" si="0"/>
        <v xml:space="preserve"> -</v>
      </c>
      <c r="U38" s="332">
        <f t="shared" si="4"/>
        <v>1830.1223098805951</v>
      </c>
      <c r="V38" s="332">
        <f t="shared" si="4"/>
        <v>339.74357713131457</v>
      </c>
      <c r="W38" s="332">
        <f t="shared" si="4"/>
        <v>1490.3787327492805</v>
      </c>
      <c r="X38" s="332">
        <f t="shared" si="4"/>
        <v>0</v>
      </c>
      <c r="Y38" s="332">
        <f t="shared" si="4"/>
        <v>0</v>
      </c>
      <c r="Z38" s="332">
        <f t="shared" si="0"/>
        <v>2.6520000000000001</v>
      </c>
      <c r="AA38" s="332">
        <f t="shared" si="5"/>
        <v>4853.4843658033387</v>
      </c>
      <c r="AB38" s="332">
        <f t="shared" si="5"/>
        <v>900.99996655224641</v>
      </c>
      <c r="AC38" s="332">
        <f t="shared" si="5"/>
        <v>3952.4843992510919</v>
      </c>
      <c r="AD38" s="332" t="str">
        <f t="shared" si="0"/>
        <v>-</v>
      </c>
      <c r="AE38" s="332">
        <f t="shared" ref="AE38" si="14">AE19*$G$27</f>
        <v>0</v>
      </c>
      <c r="AF38" s="332">
        <f t="shared" si="0"/>
        <v>0</v>
      </c>
      <c r="AG38" s="332">
        <f t="shared" si="0"/>
        <v>0</v>
      </c>
    </row>
    <row r="39" spans="6:33">
      <c r="F39" s="332" t="str">
        <f t="shared" si="3"/>
        <v>Denmark</v>
      </c>
      <c r="G39" s="332" t="str">
        <f t="shared" ref="G39:AG43" si="15">G20</f>
        <v>Nice to have</v>
      </c>
      <c r="H39" s="332" t="str">
        <f t="shared" si="15"/>
        <v>Residential</v>
      </c>
      <c r="I39" s="332">
        <f t="shared" si="15"/>
        <v>2015</v>
      </c>
      <c r="J39" s="332">
        <f t="shared" si="15"/>
        <v>2</v>
      </c>
      <c r="K39" s="332" t="str">
        <f t="shared" si="15"/>
        <v>Gas</v>
      </c>
      <c r="L39" s="332">
        <f t="shared" si="15"/>
        <v>0</v>
      </c>
      <c r="M39" s="332">
        <f t="shared" si="15"/>
        <v>0</v>
      </c>
      <c r="N39" s="332">
        <f t="shared" si="15"/>
        <v>0</v>
      </c>
      <c r="O39" s="332">
        <f t="shared" si="15"/>
        <v>0</v>
      </c>
      <c r="P39" s="332">
        <f t="shared" si="15"/>
        <v>0</v>
      </c>
      <c r="Q39" s="332">
        <f t="shared" si="15"/>
        <v>0</v>
      </c>
      <c r="R39" s="332">
        <f t="shared" si="15"/>
        <v>0</v>
      </c>
      <c r="S39" s="332">
        <f t="shared" si="15"/>
        <v>0</v>
      </c>
      <c r="T39" s="332">
        <f t="shared" si="15"/>
        <v>335.25032921012019</v>
      </c>
      <c r="U39" s="332">
        <f t="shared" si="4"/>
        <v>26063.957483396494</v>
      </c>
      <c r="V39" s="332">
        <f t="shared" si="4"/>
        <v>4933.6531908858842</v>
      </c>
      <c r="W39" s="332">
        <f t="shared" si="4"/>
        <v>21017.682998852499</v>
      </c>
      <c r="X39" s="332">
        <f t="shared" si="4"/>
        <v>112.62129365811127</v>
      </c>
      <c r="Y39" s="332">
        <f t="shared" si="4"/>
        <v>0</v>
      </c>
      <c r="Z39" s="332">
        <f t="shared" si="15"/>
        <v>0.77049703964529437</v>
      </c>
      <c r="AA39" s="332">
        <f t="shared" si="5"/>
        <v>19995.427709033218</v>
      </c>
      <c r="AB39" s="332">
        <f t="shared" si="5"/>
        <v>3801.3651782141346</v>
      </c>
      <c r="AC39" s="332">
        <f t="shared" si="5"/>
        <v>16194.062530819081</v>
      </c>
      <c r="AD39" s="332" t="str">
        <f t="shared" si="15"/>
        <v>-</v>
      </c>
      <c r="AE39" s="332">
        <f t="shared" ref="AE39" si="16">AE20*$G$27</f>
        <v>0</v>
      </c>
      <c r="AF39" s="332">
        <f t="shared" si="15"/>
        <v>0</v>
      </c>
      <c r="AG39" s="332">
        <f t="shared" si="15"/>
        <v>0</v>
      </c>
    </row>
    <row r="40" spans="6:33">
      <c r="F40" s="332" t="str">
        <f t="shared" si="3"/>
        <v>Denmark</v>
      </c>
      <c r="G40" s="332" t="str">
        <f t="shared" si="15"/>
        <v>Nice to have</v>
      </c>
      <c r="H40" s="332" t="str">
        <f t="shared" si="15"/>
        <v>Residential</v>
      </c>
      <c r="I40" s="332">
        <f t="shared" si="15"/>
        <v>2015</v>
      </c>
      <c r="J40" s="332">
        <f t="shared" si="15"/>
        <v>6</v>
      </c>
      <c r="K40" s="332" t="str">
        <f t="shared" si="15"/>
        <v>Electric Heating</v>
      </c>
      <c r="L40" s="332">
        <f t="shared" si="15"/>
        <v>0</v>
      </c>
      <c r="M40" s="332">
        <f t="shared" si="15"/>
        <v>0</v>
      </c>
      <c r="N40" s="332">
        <f t="shared" si="15"/>
        <v>0</v>
      </c>
      <c r="O40" s="332">
        <f t="shared" si="15"/>
        <v>0</v>
      </c>
      <c r="P40" s="332">
        <f t="shared" si="15"/>
        <v>0</v>
      </c>
      <c r="Q40" s="332">
        <f t="shared" si="15"/>
        <v>0</v>
      </c>
      <c r="R40" s="332">
        <f t="shared" si="15"/>
        <v>0</v>
      </c>
      <c r="S40" s="332">
        <f t="shared" si="15"/>
        <v>0</v>
      </c>
      <c r="T40" s="332">
        <f t="shared" si="15"/>
        <v>300.16752771537182</v>
      </c>
      <c r="U40" s="332">
        <f t="shared" si="4"/>
        <v>14058.992804316911</v>
      </c>
      <c r="V40" s="332">
        <f t="shared" si="4"/>
        <v>2970.9845028763675</v>
      </c>
      <c r="W40" s="332">
        <f t="shared" si="4"/>
        <v>6720.0709029274049</v>
      </c>
      <c r="X40" s="332">
        <f t="shared" si="4"/>
        <v>4367.9373985131397</v>
      </c>
      <c r="Y40" s="332">
        <f t="shared" si="4"/>
        <v>45.442886568825713</v>
      </c>
      <c r="Z40" s="332">
        <f t="shared" si="15"/>
        <v>0.93</v>
      </c>
      <c r="AA40" s="332">
        <f t="shared" si="5"/>
        <v>9012.6815273975099</v>
      </c>
      <c r="AB40" s="332">
        <f t="shared" si="5"/>
        <v>2763.0155876750218</v>
      </c>
      <c r="AC40" s="332">
        <f t="shared" si="5"/>
        <v>6249.6659397224867</v>
      </c>
      <c r="AD40" s="332" t="str">
        <f t="shared" si="15"/>
        <v>-</v>
      </c>
      <c r="AE40" s="332">
        <f t="shared" ref="AE40" si="17">AE21*$G$27</f>
        <v>95.164872509482308</v>
      </c>
      <c r="AF40" s="332">
        <f t="shared" si="15"/>
        <v>0</v>
      </c>
      <c r="AG40" s="332">
        <f t="shared" si="15"/>
        <v>0</v>
      </c>
    </row>
    <row r="41" spans="6:33">
      <c r="F41" s="332" t="str">
        <f t="shared" si="3"/>
        <v>Denmark</v>
      </c>
      <c r="G41" s="332" t="str">
        <f t="shared" si="15"/>
        <v>Nice to have</v>
      </c>
      <c r="H41" s="332" t="str">
        <f t="shared" si="15"/>
        <v>Residential</v>
      </c>
      <c r="I41" s="332">
        <f t="shared" si="15"/>
        <v>2015</v>
      </c>
      <c r="J41" s="332">
        <f t="shared" si="15"/>
        <v>7</v>
      </c>
      <c r="K41" s="332" t="str">
        <f t="shared" si="15"/>
        <v>District heating</v>
      </c>
      <c r="L41" s="332">
        <f t="shared" si="15"/>
        <v>0</v>
      </c>
      <c r="M41" s="332">
        <f t="shared" si="15"/>
        <v>0</v>
      </c>
      <c r="N41" s="332">
        <f t="shared" si="15"/>
        <v>0</v>
      </c>
      <c r="O41" s="332">
        <f t="shared" si="15"/>
        <v>0</v>
      </c>
      <c r="P41" s="332">
        <f t="shared" si="15"/>
        <v>0</v>
      </c>
      <c r="Q41" s="332">
        <f t="shared" si="15"/>
        <v>0</v>
      </c>
      <c r="R41" s="332">
        <f t="shared" si="15"/>
        <v>0</v>
      </c>
      <c r="S41" s="332">
        <f t="shared" si="15"/>
        <v>0</v>
      </c>
      <c r="T41" s="332">
        <f t="shared" si="15"/>
        <v>1228.6418160833234</v>
      </c>
      <c r="U41" s="332">
        <f t="shared" si="4"/>
        <v>65425.944227219814</v>
      </c>
      <c r="V41" s="332">
        <f t="shared" si="4"/>
        <v>13609.343214027034</v>
      </c>
      <c r="W41" s="332">
        <f>W22*$G$27</f>
        <v>51816.601013192776</v>
      </c>
      <c r="X41" s="332">
        <f t="shared" si="4"/>
        <v>0</v>
      </c>
      <c r="Y41" s="332">
        <f t="shared" si="4"/>
        <v>0</v>
      </c>
      <c r="Z41" s="332">
        <f t="shared" si="15"/>
        <v>0.89587176057040241</v>
      </c>
      <c r="AA41" s="332">
        <f t="shared" si="5"/>
        <v>58613.255841820377</v>
      </c>
      <c r="AB41" s="332">
        <f t="shared" si="5"/>
        <v>12192.226265357258</v>
      </c>
      <c r="AC41" s="332">
        <f t="shared" si="5"/>
        <v>46421.029576463116</v>
      </c>
      <c r="AD41" s="332" t="str">
        <f t="shared" si="15"/>
        <v>-</v>
      </c>
      <c r="AE41" s="332">
        <f t="shared" ref="AE41" si="18">AE22*$G$27</f>
        <v>0</v>
      </c>
      <c r="AF41" s="332">
        <f t="shared" si="15"/>
        <v>0</v>
      </c>
      <c r="AG41" s="332">
        <f t="shared" si="15"/>
        <v>0</v>
      </c>
    </row>
    <row r="42" spans="6:33">
      <c r="F42" s="332" t="str">
        <f t="shared" si="3"/>
        <v>Denmark</v>
      </c>
      <c r="G42" s="332" t="str">
        <f t="shared" si="15"/>
        <v>Nice to have</v>
      </c>
      <c r="H42" s="332" t="str">
        <f t="shared" si="15"/>
        <v>Residential</v>
      </c>
      <c r="I42" s="332">
        <f t="shared" si="15"/>
        <v>2015</v>
      </c>
      <c r="J42" s="332">
        <f t="shared" si="15"/>
        <v>5</v>
      </c>
      <c r="K42" s="332" t="str">
        <f t="shared" si="15"/>
        <v>Coal</v>
      </c>
      <c r="L42" s="332">
        <f t="shared" si="15"/>
        <v>0</v>
      </c>
      <c r="M42" s="332">
        <f t="shared" si="15"/>
        <v>0</v>
      </c>
      <c r="N42" s="332">
        <f t="shared" si="15"/>
        <v>0</v>
      </c>
      <c r="O42" s="332">
        <f t="shared" si="15"/>
        <v>0</v>
      </c>
      <c r="P42" s="332">
        <f t="shared" si="15"/>
        <v>0</v>
      </c>
      <c r="Q42" s="332">
        <f t="shared" si="15"/>
        <v>0</v>
      </c>
      <c r="R42" s="332">
        <f t="shared" si="15"/>
        <v>0</v>
      </c>
      <c r="S42" s="332">
        <f t="shared" si="15"/>
        <v>0</v>
      </c>
      <c r="T42" s="332">
        <f t="shared" si="15"/>
        <v>0</v>
      </c>
      <c r="U42" s="332">
        <f t="shared" si="4"/>
        <v>0</v>
      </c>
      <c r="V42" s="332">
        <f t="shared" si="4"/>
        <v>0</v>
      </c>
      <c r="W42" s="332">
        <f t="shared" si="4"/>
        <v>0</v>
      </c>
      <c r="X42" s="332">
        <f t="shared" si="4"/>
        <v>0</v>
      </c>
      <c r="Y42" s="332">
        <f t="shared" si="4"/>
        <v>0</v>
      </c>
      <c r="Z42" s="332">
        <f t="shared" si="15"/>
        <v>0.60415115241060968</v>
      </c>
      <c r="AA42" s="332">
        <f t="shared" si="5"/>
        <v>0</v>
      </c>
      <c r="AB42" s="332">
        <f t="shared" si="5"/>
        <v>0</v>
      </c>
      <c r="AC42" s="332">
        <f t="shared" si="5"/>
        <v>0</v>
      </c>
      <c r="AD42" s="332" t="str">
        <f t="shared" si="15"/>
        <v>-</v>
      </c>
      <c r="AE42" s="332">
        <f t="shared" ref="AE42" si="19">AE23*$G$27</f>
        <v>0</v>
      </c>
      <c r="AF42" s="332">
        <f t="shared" si="15"/>
        <v>0</v>
      </c>
      <c r="AG42" s="332">
        <f t="shared" si="15"/>
        <v>0</v>
      </c>
    </row>
    <row r="43" spans="6:33">
      <c r="F43" s="332" t="str">
        <f t="shared" si="3"/>
        <v>Denmark</v>
      </c>
      <c r="G43" s="332" t="str">
        <f t="shared" si="15"/>
        <v>Nice to have</v>
      </c>
      <c r="H43" s="332" t="str">
        <f t="shared" si="15"/>
        <v>Residential</v>
      </c>
      <c r="I43" s="332">
        <f t="shared" si="15"/>
        <v>2015</v>
      </c>
      <c r="J43" s="332">
        <f t="shared" si="15"/>
        <v>4</v>
      </c>
      <c r="K43" s="332" t="str">
        <f t="shared" si="15"/>
        <v>Biomass</v>
      </c>
      <c r="L43" s="332">
        <f t="shared" si="15"/>
        <v>0</v>
      </c>
      <c r="M43" s="332">
        <f t="shared" si="15"/>
        <v>0</v>
      </c>
      <c r="N43" s="332">
        <f t="shared" si="15"/>
        <v>0</v>
      </c>
      <c r="O43" s="332">
        <f t="shared" si="15"/>
        <v>0</v>
      </c>
      <c r="P43" s="332">
        <f t="shared" si="15"/>
        <v>0</v>
      </c>
      <c r="Q43" s="332">
        <f t="shared" si="15"/>
        <v>0</v>
      </c>
      <c r="R43" s="332">
        <f t="shared" si="15"/>
        <v>0</v>
      </c>
      <c r="S43" s="332">
        <f t="shared" si="15"/>
        <v>0</v>
      </c>
      <c r="T43" s="332">
        <f t="shared" si="15"/>
        <v>313.75701952252001</v>
      </c>
      <c r="U43" s="332">
        <f t="shared" si="4"/>
        <v>34680.42758625131</v>
      </c>
      <c r="V43" s="332">
        <f t="shared" si="4"/>
        <v>3381.6250047203262</v>
      </c>
      <c r="W43" s="332">
        <f t="shared" si="4"/>
        <v>31298.802581530988</v>
      </c>
      <c r="X43" s="332">
        <f t="shared" si="4"/>
        <v>0</v>
      </c>
      <c r="Y43" s="332">
        <f t="shared" si="4"/>
        <v>0</v>
      </c>
      <c r="Z43" s="332">
        <f t="shared" si="15"/>
        <v>0.61316217314835575</v>
      </c>
      <c r="AA43" s="332">
        <f t="shared" si="5"/>
        <v>21264.726344500039</v>
      </c>
      <c r="AB43" s="332">
        <f t="shared" si="5"/>
        <v>2073.4845366671339</v>
      </c>
      <c r="AC43" s="332">
        <f t="shared" si="5"/>
        <v>19191.241807832906</v>
      </c>
      <c r="AD43" s="332" t="str">
        <f t="shared" si="15"/>
        <v>-</v>
      </c>
      <c r="AE43" s="332">
        <f t="shared" ref="AE43" si="20">AE24*$G$27</f>
        <v>0</v>
      </c>
      <c r="AF43" s="332">
        <f t="shared" si="15"/>
        <v>0</v>
      </c>
      <c r="AG43" s="332">
        <f t="shared" si="15"/>
        <v>0</v>
      </c>
    </row>
    <row r="45" spans="6:33">
      <c r="F45" s="332" t="s">
        <v>212</v>
      </c>
      <c r="U45" s="377">
        <f>U39/U39</f>
        <v>1</v>
      </c>
      <c r="V45" s="377">
        <f>V39/U39</f>
        <v>0.18929025624864398</v>
      </c>
      <c r="W45" s="377">
        <f>W39/U39</f>
        <v>0.80638878467482844</v>
      </c>
      <c r="X45" s="377">
        <f>X39/U39</f>
        <v>4.320959076527589E-3</v>
      </c>
    </row>
    <row r="46" spans="6:33">
      <c r="F46" s="332" t="s">
        <v>364</v>
      </c>
      <c r="U46" s="377">
        <f>U30/U30</f>
        <v>1</v>
      </c>
      <c r="V46" s="377">
        <f>V30/U30</f>
        <v>0.77985399494246121</v>
      </c>
      <c r="W46" s="377">
        <f>W30/U30</f>
        <v>0.22014600505753887</v>
      </c>
    </row>
    <row r="47" spans="6:33">
      <c r="F47" s="332" t="s">
        <v>365</v>
      </c>
      <c r="U47" s="377">
        <f>U41/U41</f>
        <v>1</v>
      </c>
      <c r="V47" s="377">
        <f>V41/U41</f>
        <v>0.20801141465781098</v>
      </c>
      <c r="W47" s="377">
        <f>W41/U41</f>
        <v>0.79198858534218897</v>
      </c>
    </row>
    <row r="48" spans="6:33">
      <c r="F48" s="332" t="s">
        <v>373</v>
      </c>
      <c r="U48" s="377">
        <f>U33/U33</f>
        <v>1</v>
      </c>
      <c r="V48" s="377">
        <f>V33/SUM(V33:W33)</f>
        <v>0.19692549486992494</v>
      </c>
      <c r="W48" s="377">
        <f>W33/SUM(V33:W33)</f>
        <v>0.80307450513007506</v>
      </c>
    </row>
    <row r="49" spans="6:23">
      <c r="F49" s="332" t="s">
        <v>374</v>
      </c>
      <c r="U49" s="377">
        <f>U43/U43</f>
        <v>1</v>
      </c>
      <c r="V49" s="377">
        <f>V43/U43</f>
        <v>9.7508169307028256E-2</v>
      </c>
      <c r="W49" s="377">
        <f>W43/U43</f>
        <v>0.9024918306929719</v>
      </c>
    </row>
  </sheetData>
  <mergeCells count="13">
    <mergeCell ref="AF7:AG7"/>
    <mergeCell ref="U8:X8"/>
    <mergeCell ref="AA8:AD8"/>
    <mergeCell ref="A6:K8"/>
    <mergeCell ref="L6:S6"/>
    <mergeCell ref="U6:Y6"/>
    <mergeCell ref="Z6:Z7"/>
    <mergeCell ref="AA6:AE6"/>
    <mergeCell ref="AF6:AG6"/>
    <mergeCell ref="L7:N7"/>
    <mergeCell ref="O7:S7"/>
    <mergeCell ref="U7:Y7"/>
    <mergeCell ref="AA7:AE7"/>
  </mergeCells>
  <pageMargins left="0.7" right="0.7" top="0.78740157499999996" bottom="0.78740157499999996"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AQ60"/>
  <sheetViews>
    <sheetView workbookViewId="0">
      <selection activeCell="K21" sqref="K21"/>
    </sheetView>
  </sheetViews>
  <sheetFormatPr baseColWidth="10" defaultRowHeight="16"/>
  <cols>
    <col min="1" max="1" width="42.5" customWidth="1"/>
    <col min="2" max="2" width="59.33203125" customWidth="1"/>
    <col min="3" max="3" width="18.1640625" bestFit="1" customWidth="1"/>
    <col min="4" max="4" width="18.1640625" customWidth="1"/>
    <col min="5" max="5" width="24.33203125" customWidth="1"/>
    <col min="6" max="6" width="30.6640625" customWidth="1"/>
    <col min="7" max="7" width="11.1640625" bestFit="1" customWidth="1"/>
  </cols>
  <sheetData>
    <row r="2" spans="2:9">
      <c r="B2" s="143" t="s">
        <v>112</v>
      </c>
      <c r="C2" s="143">
        <f>'Final demand per energy carrier'!F11</f>
        <v>36637.18</v>
      </c>
      <c r="D2" s="143"/>
      <c r="E2" s="144" t="s">
        <v>128</v>
      </c>
    </row>
    <row r="3" spans="2:9">
      <c r="B3" s="257" t="s">
        <v>218</v>
      </c>
      <c r="C3" s="378">
        <f>SUM('Final demand per energy carrier'!F15:F56)</f>
        <v>15934.558000766332</v>
      </c>
      <c r="D3" s="143"/>
      <c r="E3" s="144"/>
    </row>
    <row r="4" spans="2:9">
      <c r="B4" s="257" t="s">
        <v>366</v>
      </c>
      <c r="C4" s="378">
        <f>C2-C3</f>
        <v>20702.62199923367</v>
      </c>
    </row>
    <row r="5" spans="2:9" ht="17" thickBot="1"/>
    <row r="6" spans="2:9" ht="17" thickBot="1">
      <c r="B6" s="257" t="s">
        <v>282</v>
      </c>
      <c r="C6" s="256">
        <v>2775000</v>
      </c>
      <c r="D6" s="330"/>
      <c r="E6" s="194" t="s">
        <v>171</v>
      </c>
      <c r="F6" s="194" t="s">
        <v>257</v>
      </c>
      <c r="G6" s="195" t="s">
        <v>216</v>
      </c>
    </row>
    <row r="8" spans="2:9">
      <c r="C8" t="s">
        <v>256</v>
      </c>
      <c r="D8" t="s">
        <v>281</v>
      </c>
      <c r="E8" t="s">
        <v>200</v>
      </c>
      <c r="F8" t="s">
        <v>283</v>
      </c>
      <c r="G8" t="s">
        <v>368</v>
      </c>
      <c r="H8" t="s">
        <v>369</v>
      </c>
    </row>
    <row r="9" spans="2:9">
      <c r="B9" t="s">
        <v>111</v>
      </c>
      <c r="C9" s="141">
        <f>G9/SUM($G$9:$G$18)</f>
        <v>5.1104626845185581E-2</v>
      </c>
      <c r="D9" s="331">
        <f>B43*1000</f>
        <v>1764000</v>
      </c>
      <c r="E9" s="269">
        <f>B53</f>
        <v>257</v>
      </c>
      <c r="F9">
        <f>E9*3.6</f>
        <v>925.2</v>
      </c>
      <c r="G9">
        <f>D9*F9/1000000</f>
        <v>1632.0527999999999</v>
      </c>
      <c r="H9">
        <f>C9*$C$4</f>
        <v>1057.9997719877665</v>
      </c>
      <c r="I9" t="s">
        <v>286</v>
      </c>
    </row>
    <row r="10" spans="2:9">
      <c r="B10" t="s">
        <v>201</v>
      </c>
      <c r="C10" s="141">
        <f t="shared" ref="C10:C18" si="0">G10/SUM($G$9:$G$18)</f>
        <v>4.9551472207527612E-2</v>
      </c>
      <c r="D10" s="331">
        <f>B45*1000</f>
        <v>1945000</v>
      </c>
      <c r="E10" s="269">
        <f>B54</f>
        <v>226</v>
      </c>
      <c r="F10">
        <f t="shared" ref="F10:F11" si="1">E10*3.6</f>
        <v>813.6</v>
      </c>
      <c r="G10">
        <f t="shared" ref="G10:G14" si="2">D10*F10/1000000</f>
        <v>1582.452</v>
      </c>
      <c r="H10">
        <f>C10*$C$4</f>
        <v>1025.845398617977</v>
      </c>
      <c r="I10" t="s">
        <v>286</v>
      </c>
    </row>
    <row r="11" spans="2:9">
      <c r="B11" t="s">
        <v>202</v>
      </c>
      <c r="C11" s="141">
        <f t="shared" si="0"/>
        <v>6.1365728169576257E-2</v>
      </c>
      <c r="D11" s="331">
        <f>B46*1000</f>
        <v>1186000</v>
      </c>
      <c r="E11" s="269">
        <f>B55</f>
        <v>459</v>
      </c>
      <c r="F11">
        <f t="shared" si="1"/>
        <v>1652.4</v>
      </c>
      <c r="G11">
        <f t="shared" si="2"/>
        <v>1959.7464</v>
      </c>
      <c r="H11">
        <f>C11*$C$4</f>
        <v>1270.4314740024627</v>
      </c>
      <c r="I11" t="s">
        <v>286</v>
      </c>
    </row>
    <row r="12" spans="2:9">
      <c r="B12" t="s">
        <v>203</v>
      </c>
      <c r="C12" s="141">
        <f t="shared" si="0"/>
        <v>7.3816171061011349E-2</v>
      </c>
      <c r="D12" s="331">
        <f>B41*1000</f>
        <v>3646000</v>
      </c>
      <c r="E12" s="269">
        <f>B51</f>
        <v>179.6</v>
      </c>
      <c r="F12">
        <f t="shared" ref="F12:F17" si="3">E12*3.6</f>
        <v>646.55999999999995</v>
      </c>
      <c r="G12">
        <f t="shared" si="2"/>
        <v>2357.3577599999999</v>
      </c>
      <c r="H12">
        <f>C12*$C$4</f>
        <v>1528.1882869068893</v>
      </c>
      <c r="I12" t="s">
        <v>286</v>
      </c>
    </row>
    <row r="13" spans="2:9">
      <c r="B13" t="s">
        <v>204</v>
      </c>
      <c r="C13" s="141">
        <f t="shared" si="0"/>
        <v>4.6831253412250758E-2</v>
      </c>
      <c r="D13" s="331">
        <f>B42*1000</f>
        <v>1783000</v>
      </c>
      <c r="E13" s="269">
        <f>B52</f>
        <v>233</v>
      </c>
      <c r="F13">
        <f t="shared" si="3"/>
        <v>838.80000000000007</v>
      </c>
      <c r="G13">
        <f t="shared" si="2"/>
        <v>1495.5804000000003</v>
      </c>
      <c r="H13">
        <f t="shared" ref="H13:H17" si="4">C13*$C$4</f>
        <v>969.52973714414941</v>
      </c>
      <c r="I13" t="s">
        <v>286</v>
      </c>
    </row>
    <row r="14" spans="2:9">
      <c r="B14" t="s">
        <v>205</v>
      </c>
      <c r="C14" s="141">
        <f t="shared" si="0"/>
        <v>0.1390940272467828</v>
      </c>
      <c r="D14" s="331">
        <f>B40*1000</f>
        <v>4570000</v>
      </c>
      <c r="E14" s="269">
        <f>B50</f>
        <v>270</v>
      </c>
      <c r="F14">
        <f t="shared" si="3"/>
        <v>972</v>
      </c>
      <c r="G14">
        <f t="shared" si="2"/>
        <v>4442.04</v>
      </c>
      <c r="H14">
        <f t="shared" si="4"/>
        <v>2879.6110684412529</v>
      </c>
      <c r="I14" t="s">
        <v>286</v>
      </c>
    </row>
    <row r="15" spans="2:9">
      <c r="B15" t="s">
        <v>206</v>
      </c>
      <c r="C15" s="141">
        <f t="shared" si="0"/>
        <v>4.2230407615954299E-2</v>
      </c>
      <c r="D15" s="331"/>
      <c r="E15">
        <f>E14*0.5</f>
        <v>135</v>
      </c>
      <c r="F15">
        <f t="shared" si="3"/>
        <v>486</v>
      </c>
      <c r="G15">
        <f>F15*$C$6/1000000</f>
        <v>1348.65</v>
      </c>
      <c r="H15">
        <f t="shared" si="4"/>
        <v>874.2801657466606</v>
      </c>
      <c r="I15" t="s">
        <v>208</v>
      </c>
    </row>
    <row r="16" spans="2:9">
      <c r="B16" t="s">
        <v>207</v>
      </c>
      <c r="C16" s="141">
        <f t="shared" si="0"/>
        <v>8.4460815231908598E-2</v>
      </c>
      <c r="D16" s="331"/>
      <c r="E16">
        <f>E14</f>
        <v>270</v>
      </c>
      <c r="F16">
        <f t="shared" si="3"/>
        <v>972</v>
      </c>
      <c r="G16">
        <f>F16*$C$6/1000000</f>
        <v>2697.3</v>
      </c>
      <c r="H16">
        <f t="shared" si="4"/>
        <v>1748.5603314933212</v>
      </c>
      <c r="I16" t="s">
        <v>209</v>
      </c>
    </row>
    <row r="17" spans="2:31">
      <c r="B17" t="s">
        <v>154</v>
      </c>
      <c r="C17" s="141">
        <f t="shared" si="0"/>
        <v>8.4460815231908598E-2</v>
      </c>
      <c r="D17" s="331"/>
      <c r="E17">
        <f>E14</f>
        <v>270</v>
      </c>
      <c r="F17">
        <f t="shared" si="3"/>
        <v>972</v>
      </c>
      <c r="G17">
        <f>F17*$C$6/1000000</f>
        <v>2697.3</v>
      </c>
      <c r="H17">
        <f t="shared" si="4"/>
        <v>1748.5603314933212</v>
      </c>
      <c r="I17" t="s">
        <v>210</v>
      </c>
    </row>
    <row r="18" spans="2:31">
      <c r="B18" t="s">
        <v>367</v>
      </c>
      <c r="C18" s="141">
        <f t="shared" si="0"/>
        <v>0.36708468297789409</v>
      </c>
      <c r="D18" s="141"/>
      <c r="G18">
        <f>Lighting!G23</f>
        <v>11723.04</v>
      </c>
      <c r="H18">
        <f>C18*$C$4</f>
        <v>7599.6154333998675</v>
      </c>
    </row>
    <row r="20" spans="2:31">
      <c r="B20" t="s">
        <v>227</v>
      </c>
      <c r="C20" s="253">
        <f>SUM(C9:C18)</f>
        <v>1</v>
      </c>
      <c r="D20" s="141"/>
      <c r="G20">
        <f>SUM(G9:G18)</f>
        <v>31935.519360000002</v>
      </c>
      <c r="H20">
        <f>SUM(H9:H18)</f>
        <v>20702.62199923367</v>
      </c>
    </row>
    <row r="21" spans="2:31">
      <c r="C21" s="141"/>
      <c r="D21" s="141"/>
    </row>
    <row r="22" spans="2:31">
      <c r="C22" s="141"/>
      <c r="D22" s="141"/>
    </row>
    <row r="23" spans="2:31">
      <c r="C23" s="141"/>
      <c r="D23" s="141"/>
      <c r="AE23" t="s">
        <v>130</v>
      </c>
    </row>
    <row r="24" spans="2:31">
      <c r="C24" s="141"/>
      <c r="D24" s="141"/>
      <c r="AE24" t="s">
        <v>129</v>
      </c>
    </row>
    <row r="25" spans="2:31">
      <c r="H25" s="145"/>
    </row>
    <row r="26" spans="2:31">
      <c r="H26" s="145"/>
    </row>
    <row r="27" spans="2:31">
      <c r="H27" s="145"/>
    </row>
    <row r="28" spans="2:31">
      <c r="H28" s="145"/>
    </row>
    <row r="29" spans="2:31">
      <c r="C29" t="s">
        <v>213</v>
      </c>
      <c r="F29" t="s">
        <v>234</v>
      </c>
      <c r="G29" t="s">
        <v>124</v>
      </c>
      <c r="I29" t="s">
        <v>237</v>
      </c>
    </row>
    <row r="30" spans="2:31" s="143" customFormat="1">
      <c r="C30"/>
      <c r="D30"/>
      <c r="E30"/>
      <c r="F30"/>
      <c r="G30"/>
      <c r="H30"/>
      <c r="I30"/>
      <c r="J30"/>
      <c r="K30"/>
    </row>
    <row r="31" spans="2:31">
      <c r="C31" t="s">
        <v>236</v>
      </c>
      <c r="F31">
        <v>521.56776519760012</v>
      </c>
      <c r="G31">
        <f>F31*3.6</f>
        <v>1877.6439547113605</v>
      </c>
      <c r="I31" t="s">
        <v>237</v>
      </c>
    </row>
    <row r="32" spans="2:31">
      <c r="C32" t="s">
        <v>235</v>
      </c>
      <c r="F32">
        <v>203.25996750000002</v>
      </c>
      <c r="G32">
        <f>F32*3.6</f>
        <v>731.73588300000006</v>
      </c>
      <c r="I32" t="s">
        <v>237</v>
      </c>
    </row>
    <row r="33" spans="1:43">
      <c r="G33">
        <f>SUM(G31:G32)</f>
        <v>2609.3798377113608</v>
      </c>
    </row>
    <row r="35" spans="1:43">
      <c r="A35" t="s">
        <v>286</v>
      </c>
    </row>
    <row r="36" spans="1:43">
      <c r="I36" t="s">
        <v>199</v>
      </c>
    </row>
    <row r="37" spans="1:43" s="319" customFormat="1" ht="18">
      <c r="A37" s="314" t="s">
        <v>266</v>
      </c>
      <c r="B37" s="315"/>
      <c r="C37" s="315"/>
      <c r="D37" s="315"/>
      <c r="E37" s="315"/>
      <c r="F37" s="315"/>
      <c r="G37" s="316"/>
      <c r="H37" s="315"/>
      <c r="I37" s="315"/>
      <c r="J37" s="315"/>
      <c r="K37" s="315"/>
      <c r="L37" s="315"/>
      <c r="M37" s="315"/>
      <c r="N37" s="315"/>
      <c r="O37" s="315"/>
      <c r="P37" s="315"/>
      <c r="Q37" s="315"/>
      <c r="R37" s="315"/>
      <c r="S37" s="315"/>
      <c r="T37" s="315"/>
      <c r="U37" s="315"/>
      <c r="V37" s="315"/>
      <c r="W37" s="315"/>
      <c r="X37" s="315"/>
      <c r="Y37" s="317"/>
      <c r="Z37" s="315"/>
      <c r="AA37" s="315"/>
      <c r="AB37" s="315"/>
      <c r="AC37" s="315"/>
      <c r="AD37" s="315"/>
      <c r="AE37" s="315"/>
      <c r="AF37" s="318"/>
      <c r="AG37" s="318"/>
      <c r="AH37" s="318"/>
      <c r="AI37" s="315"/>
      <c r="AJ37" s="315"/>
      <c r="AK37" s="315"/>
      <c r="AL37" s="315"/>
      <c r="AM37" s="315"/>
      <c r="AN37" s="315"/>
      <c r="AO37" s="315"/>
      <c r="AP37" s="315"/>
      <c r="AQ37" s="315"/>
    </row>
    <row r="38" spans="1:43" s="319" customFormat="1" ht="14">
      <c r="A38" s="320"/>
      <c r="B38" s="315"/>
      <c r="C38" s="315"/>
      <c r="D38" s="315"/>
      <c r="E38" s="315"/>
      <c r="F38" s="315"/>
      <c r="G38" s="315"/>
      <c r="H38" s="315"/>
      <c r="I38" s="315"/>
      <c r="J38" s="315"/>
      <c r="K38" s="315"/>
      <c r="L38" s="315"/>
      <c r="M38" s="315"/>
      <c r="N38" s="315"/>
      <c r="O38" s="315"/>
      <c r="P38" s="315"/>
      <c r="Q38" s="315"/>
      <c r="R38" s="315"/>
      <c r="S38" s="315"/>
      <c r="T38" s="315"/>
      <c r="U38" s="315"/>
      <c r="V38" s="315"/>
      <c r="W38" s="315"/>
      <c r="X38" s="315"/>
      <c r="Y38" s="315"/>
      <c r="Z38" s="315"/>
      <c r="AA38" s="315"/>
      <c r="AB38" s="315"/>
      <c r="AC38" s="315"/>
      <c r="AD38" s="315"/>
      <c r="AE38" s="315"/>
      <c r="AF38" s="318"/>
      <c r="AG38" s="318"/>
      <c r="AH38" s="318"/>
      <c r="AI38" s="315"/>
      <c r="AJ38" s="315"/>
      <c r="AK38" s="315"/>
    </row>
    <row r="39" spans="1:43" s="319" customFormat="1" ht="14">
      <c r="A39" s="321" t="s">
        <v>267</v>
      </c>
      <c r="B39" s="322" t="s">
        <v>268</v>
      </c>
      <c r="C39" s="322" t="s">
        <v>269</v>
      </c>
      <c r="D39" s="322"/>
      <c r="E39" s="323" t="s">
        <v>270</v>
      </c>
      <c r="F39" s="323" t="s">
        <v>271</v>
      </c>
      <c r="G39" s="323" t="s">
        <v>272</v>
      </c>
      <c r="H39" s="323" t="s">
        <v>273</v>
      </c>
      <c r="I39" s="322"/>
      <c r="J39" s="322"/>
      <c r="K39" s="322"/>
      <c r="L39" s="322"/>
      <c r="M39" s="322"/>
      <c r="N39" s="322"/>
      <c r="O39" s="322"/>
      <c r="P39" s="322"/>
      <c r="Q39" s="322"/>
      <c r="R39" s="322"/>
      <c r="S39" s="322"/>
      <c r="T39" s="322"/>
      <c r="U39" s="322"/>
      <c r="V39" s="322"/>
      <c r="W39" s="322"/>
      <c r="X39" s="322"/>
      <c r="Y39" s="322"/>
      <c r="Z39" s="322"/>
      <c r="AA39" s="322"/>
      <c r="AB39" s="322"/>
      <c r="AC39" s="322"/>
      <c r="AD39" s="322"/>
      <c r="AE39" s="322"/>
      <c r="AF39" s="322"/>
      <c r="AG39" s="322"/>
      <c r="AH39" s="322"/>
      <c r="AI39" s="322"/>
      <c r="AJ39" s="322"/>
      <c r="AK39" s="322"/>
    </row>
    <row r="40" spans="1:43" s="319" customFormat="1" ht="14">
      <c r="A40" s="324" t="s">
        <v>274</v>
      </c>
      <c r="B40" s="326">
        <v>4570</v>
      </c>
      <c r="C40" s="326">
        <v>4414</v>
      </c>
      <c r="D40" s="326"/>
      <c r="E40" s="327">
        <v>128</v>
      </c>
      <c r="F40" s="328">
        <v>100.55</v>
      </c>
      <c r="G40" s="329">
        <v>33.56</v>
      </c>
      <c r="H40" s="329">
        <v>-3.41</v>
      </c>
      <c r="I40" s="325"/>
      <c r="J40" s="325"/>
      <c r="K40" s="325"/>
      <c r="L40" s="325"/>
      <c r="M40" s="325"/>
      <c r="N40" s="325"/>
      <c r="O40" s="325"/>
      <c r="P40" s="325"/>
      <c r="Q40" s="325"/>
      <c r="R40" s="325"/>
      <c r="S40" s="325"/>
      <c r="T40" s="325"/>
      <c r="U40" s="325"/>
      <c r="V40" s="325"/>
      <c r="W40" s="325"/>
      <c r="X40" s="325"/>
      <c r="Y40" s="325"/>
      <c r="Z40" s="325"/>
      <c r="AA40" s="325"/>
      <c r="AB40" s="325"/>
      <c r="AC40" s="325"/>
      <c r="AD40" s="325"/>
      <c r="AE40" s="325"/>
      <c r="AF40" s="325"/>
      <c r="AG40" s="325"/>
      <c r="AH40" s="325"/>
      <c r="AI40" s="326"/>
      <c r="AJ40" s="326"/>
      <c r="AK40" s="326"/>
    </row>
    <row r="41" spans="1:43" s="319" customFormat="1" ht="14">
      <c r="A41" s="324" t="s">
        <v>275</v>
      </c>
      <c r="B41" s="326">
        <v>3646</v>
      </c>
      <c r="C41" s="326">
        <v>3580</v>
      </c>
      <c r="D41" s="326"/>
      <c r="E41" s="327">
        <v>58.62</v>
      </c>
      <c r="F41" s="328">
        <v>22.1</v>
      </c>
      <c r="G41" s="329">
        <v>2.4300000000000002</v>
      </c>
      <c r="H41" s="329">
        <v>-1.81</v>
      </c>
      <c r="I41" s="325"/>
      <c r="J41" s="325"/>
      <c r="K41" s="325"/>
      <c r="L41" s="325"/>
      <c r="M41" s="325"/>
      <c r="N41" s="325"/>
      <c r="O41" s="325"/>
      <c r="P41" s="325"/>
      <c r="Q41" s="325"/>
      <c r="R41" s="325"/>
      <c r="S41" s="325"/>
      <c r="T41" s="325"/>
      <c r="U41" s="325"/>
      <c r="V41" s="325"/>
      <c r="W41" s="325"/>
      <c r="X41" s="325"/>
      <c r="Y41" s="325"/>
      <c r="Z41" s="325"/>
      <c r="AA41" s="325"/>
      <c r="AB41" s="325"/>
      <c r="AC41" s="325"/>
      <c r="AD41" s="325"/>
      <c r="AE41" s="325"/>
      <c r="AF41" s="325"/>
      <c r="AG41" s="325"/>
      <c r="AH41" s="325"/>
      <c r="AI41" s="326"/>
      <c r="AJ41" s="326"/>
      <c r="AK41" s="326"/>
    </row>
    <row r="42" spans="1:43" s="319" customFormat="1" ht="14">
      <c r="A42" s="324" t="s">
        <v>276</v>
      </c>
      <c r="B42" s="326">
        <v>1783</v>
      </c>
      <c r="C42" s="326">
        <v>1765</v>
      </c>
      <c r="D42" s="326"/>
      <c r="E42" s="327">
        <v>31.91</v>
      </c>
      <c r="F42" s="328">
        <v>-7.15</v>
      </c>
      <c r="G42" s="329">
        <v>-16.670000000000002</v>
      </c>
      <c r="H42" s="329">
        <v>-1.01</v>
      </c>
      <c r="I42" s="325"/>
      <c r="J42" s="325"/>
      <c r="K42" s="325"/>
      <c r="L42" s="325"/>
      <c r="M42" s="325"/>
      <c r="N42" s="325"/>
      <c r="O42" s="325"/>
      <c r="P42" s="325"/>
      <c r="Q42" s="325"/>
      <c r="R42" s="325"/>
      <c r="S42" s="325"/>
      <c r="T42" s="325"/>
      <c r="U42" s="325"/>
      <c r="V42" s="325"/>
      <c r="W42" s="325"/>
      <c r="X42" s="325"/>
      <c r="Y42" s="325"/>
      <c r="Z42" s="325"/>
      <c r="AA42" s="325"/>
      <c r="AB42" s="325"/>
      <c r="AC42" s="325"/>
      <c r="AD42" s="325"/>
      <c r="AE42" s="325"/>
      <c r="AF42" s="325"/>
      <c r="AG42" s="325"/>
      <c r="AH42" s="325"/>
      <c r="AI42" s="326"/>
      <c r="AJ42" s="326"/>
      <c r="AK42" s="326"/>
    </row>
    <row r="43" spans="1:43" s="319" customFormat="1" ht="14">
      <c r="A43" s="324" t="s">
        <v>15</v>
      </c>
      <c r="B43" s="326">
        <v>1764</v>
      </c>
      <c r="C43" s="326">
        <v>1804</v>
      </c>
      <c r="D43" s="326"/>
      <c r="E43" s="327">
        <v>415.43</v>
      </c>
      <c r="F43" s="328">
        <v>261.52</v>
      </c>
      <c r="G43" s="329">
        <v>89.3</v>
      </c>
      <c r="H43" s="329">
        <v>2.27</v>
      </c>
      <c r="I43" s="325"/>
      <c r="J43" s="325"/>
      <c r="K43" s="325"/>
      <c r="L43" s="325"/>
      <c r="M43" s="325"/>
      <c r="N43" s="325"/>
      <c r="O43" s="325"/>
      <c r="P43" s="325"/>
      <c r="Q43" s="325"/>
      <c r="R43" s="325"/>
      <c r="S43" s="325"/>
      <c r="T43" s="325"/>
      <c r="U43" s="325"/>
      <c r="V43" s="325"/>
      <c r="W43" s="325"/>
      <c r="X43" s="325"/>
      <c r="Y43" s="325"/>
      <c r="Z43" s="325"/>
      <c r="AA43" s="325"/>
      <c r="AB43" s="325"/>
      <c r="AC43" s="325"/>
      <c r="AD43" s="325"/>
      <c r="AE43" s="325"/>
      <c r="AF43" s="325"/>
      <c r="AG43" s="325"/>
      <c r="AH43" s="325"/>
      <c r="AI43" s="326"/>
      <c r="AJ43" s="326"/>
      <c r="AK43" s="326"/>
    </row>
    <row r="44" spans="1:43" s="319" customFormat="1" ht="14">
      <c r="A44" s="324" t="s">
        <v>277</v>
      </c>
      <c r="B44" s="326">
        <v>1772</v>
      </c>
      <c r="C44" s="326">
        <v>1775</v>
      </c>
      <c r="D44" s="326"/>
      <c r="E44" s="327" t="s">
        <v>278</v>
      </c>
      <c r="F44" s="328">
        <v>391.69</v>
      </c>
      <c r="G44" s="329">
        <v>16.010000000000002</v>
      </c>
      <c r="H44" s="329">
        <v>0.17</v>
      </c>
      <c r="I44" s="325"/>
      <c r="J44" s="325"/>
      <c r="K44" s="325"/>
      <c r="L44" s="325"/>
      <c r="M44" s="325"/>
      <c r="N44" s="325"/>
      <c r="O44" s="325"/>
      <c r="P44" s="325"/>
      <c r="Q44" s="325"/>
      <c r="R44" s="325"/>
      <c r="S44" s="325"/>
      <c r="T44" s="325"/>
      <c r="U44" s="325"/>
      <c r="V44" s="325"/>
      <c r="W44" s="325"/>
      <c r="X44" s="325"/>
      <c r="Y44" s="325"/>
      <c r="Z44" s="325"/>
      <c r="AA44" s="325"/>
      <c r="AB44" s="325"/>
      <c r="AC44" s="325"/>
      <c r="AD44" s="325"/>
      <c r="AE44" s="325"/>
      <c r="AF44" s="325"/>
      <c r="AG44" s="325"/>
      <c r="AH44" s="325"/>
      <c r="AI44" s="326"/>
      <c r="AJ44" s="326"/>
      <c r="AK44" s="326"/>
    </row>
    <row r="45" spans="1:43" s="319" customFormat="1" ht="14">
      <c r="A45" s="324" t="s">
        <v>279</v>
      </c>
      <c r="B45" s="326">
        <v>1945</v>
      </c>
      <c r="C45" s="326">
        <v>1947</v>
      </c>
      <c r="D45" s="326"/>
      <c r="E45" s="327">
        <v>78.459999999999994</v>
      </c>
      <c r="F45" s="328">
        <v>49.31</v>
      </c>
      <c r="G45" s="329">
        <v>30.5</v>
      </c>
      <c r="H45" s="329">
        <v>0.1</v>
      </c>
      <c r="I45" s="325"/>
      <c r="J45" s="325"/>
      <c r="K45" s="325"/>
      <c r="L45" s="325"/>
      <c r="M45" s="325"/>
      <c r="N45" s="325"/>
      <c r="O45" s="325"/>
      <c r="P45" s="325"/>
      <c r="Q45" s="325"/>
      <c r="R45" s="325"/>
      <c r="S45" s="325"/>
      <c r="T45" s="325"/>
      <c r="U45" s="325"/>
      <c r="V45" s="325"/>
      <c r="W45" s="325"/>
      <c r="X45" s="325"/>
      <c r="Y45" s="325"/>
      <c r="Z45" s="325"/>
      <c r="AA45" s="325"/>
      <c r="AB45" s="325"/>
      <c r="AC45" s="325"/>
      <c r="AD45" s="325"/>
      <c r="AE45" s="325"/>
      <c r="AF45" s="325"/>
      <c r="AG45" s="325"/>
      <c r="AH45" s="325"/>
      <c r="AI45" s="326"/>
      <c r="AJ45" s="326"/>
      <c r="AK45" s="326"/>
    </row>
    <row r="46" spans="1:43" s="319" customFormat="1" ht="14">
      <c r="A46" s="324" t="s">
        <v>18</v>
      </c>
      <c r="B46" s="326">
        <v>1186</v>
      </c>
      <c r="C46" s="326">
        <v>1180</v>
      </c>
      <c r="D46" s="326"/>
      <c r="E46" s="327">
        <v>555.55999999999995</v>
      </c>
      <c r="F46" s="328">
        <v>172.52</v>
      </c>
      <c r="G46" s="329">
        <v>35.01</v>
      </c>
      <c r="H46" s="329">
        <v>-0.51</v>
      </c>
      <c r="I46" s="325"/>
      <c r="J46" s="325"/>
      <c r="K46" s="325"/>
      <c r="L46" s="325"/>
      <c r="M46" s="325"/>
      <c r="N46" s="325"/>
      <c r="O46" s="325"/>
      <c r="P46" s="325"/>
      <c r="Q46" s="325"/>
      <c r="R46" s="325"/>
      <c r="S46" s="325"/>
      <c r="T46" s="325"/>
      <c r="U46" s="325"/>
      <c r="V46" s="325"/>
      <c r="W46" s="325"/>
      <c r="X46" s="325"/>
      <c r="Y46" s="325"/>
      <c r="Z46" s="325"/>
      <c r="AA46" s="325"/>
      <c r="AB46" s="325"/>
      <c r="AC46" s="325"/>
      <c r="AD46" s="325"/>
      <c r="AE46" s="325"/>
      <c r="AF46" s="325"/>
      <c r="AG46" s="325"/>
      <c r="AH46" s="325"/>
      <c r="AI46" s="326"/>
      <c r="AJ46" s="326"/>
      <c r="AK46" s="326"/>
    </row>
    <row r="47" spans="1:43" s="319" customFormat="1" ht="14">
      <c r="A47" s="315"/>
      <c r="I47" s="315"/>
      <c r="J47" s="315"/>
      <c r="K47" s="315"/>
      <c r="L47" s="315"/>
      <c r="M47" s="315"/>
      <c r="N47" s="315"/>
      <c r="O47" s="315"/>
      <c r="P47" s="315"/>
      <c r="Q47" s="315"/>
      <c r="R47" s="315"/>
      <c r="S47" s="315"/>
      <c r="T47" s="315"/>
      <c r="U47" s="315"/>
      <c r="V47" s="315"/>
      <c r="W47" s="315"/>
      <c r="X47" s="315"/>
      <c r="Y47" s="315"/>
      <c r="Z47" s="315"/>
      <c r="AA47" s="315"/>
      <c r="AB47" s="315"/>
      <c r="AC47" s="315"/>
      <c r="AD47" s="315"/>
      <c r="AE47" s="315"/>
      <c r="AF47" s="318"/>
      <c r="AG47" s="318"/>
      <c r="AH47" s="318"/>
      <c r="AI47" s="315"/>
      <c r="AJ47" s="315"/>
      <c r="AK47" s="315"/>
      <c r="AL47" s="315"/>
      <c r="AM47" s="315"/>
      <c r="AN47" s="315"/>
      <c r="AO47" s="315"/>
      <c r="AP47" s="315"/>
      <c r="AQ47" s="315"/>
    </row>
    <row r="49" spans="1:37">
      <c r="A49" s="321" t="s">
        <v>280</v>
      </c>
      <c r="B49" s="322" t="s">
        <v>268</v>
      </c>
      <c r="C49" s="322"/>
      <c r="D49" s="322"/>
      <c r="E49" s="322"/>
      <c r="F49" s="322"/>
      <c r="G49" s="322"/>
      <c r="H49" s="322"/>
      <c r="I49" s="322"/>
      <c r="J49" s="322"/>
      <c r="K49" s="322"/>
      <c r="L49" s="322"/>
      <c r="M49" s="322"/>
      <c r="N49" s="322"/>
      <c r="O49" s="322"/>
      <c r="P49" s="322"/>
      <c r="Q49" s="322"/>
      <c r="R49" s="322"/>
      <c r="S49" s="322"/>
      <c r="T49" s="322"/>
      <c r="U49" s="322"/>
      <c r="V49" s="322"/>
      <c r="W49" s="322"/>
      <c r="X49" s="322"/>
      <c r="Y49" s="322"/>
      <c r="Z49" s="322"/>
      <c r="AA49" s="322"/>
      <c r="AB49" s="322"/>
      <c r="AC49" s="322"/>
      <c r="AD49" s="322"/>
      <c r="AE49" s="322"/>
      <c r="AF49" s="322"/>
      <c r="AG49" s="322"/>
      <c r="AH49" s="322"/>
      <c r="AI49" s="322"/>
      <c r="AJ49" s="322"/>
      <c r="AK49" s="322"/>
    </row>
    <row r="50" spans="1:37">
      <c r="A50" s="324" t="s">
        <v>274</v>
      </c>
      <c r="B50" s="326">
        <v>270</v>
      </c>
      <c r="C50" s="326"/>
      <c r="D50" s="326"/>
      <c r="E50" s="326"/>
      <c r="F50" s="326"/>
      <c r="G50" s="326"/>
      <c r="H50" s="326"/>
      <c r="I50" s="326"/>
      <c r="J50" s="326"/>
      <c r="K50" s="326"/>
      <c r="L50" s="326"/>
      <c r="M50" s="326"/>
      <c r="N50" s="326"/>
      <c r="O50" s="326"/>
      <c r="P50" s="326"/>
      <c r="Q50" s="326"/>
      <c r="R50" s="326"/>
      <c r="S50" s="326"/>
      <c r="T50" s="326"/>
      <c r="U50" s="326"/>
      <c r="V50" s="326"/>
      <c r="W50" s="326"/>
      <c r="X50" s="326"/>
      <c r="Y50" s="326"/>
      <c r="Z50" s="326"/>
      <c r="AA50" s="326"/>
      <c r="AB50" s="326"/>
      <c r="AC50" s="326"/>
      <c r="AD50" s="326"/>
      <c r="AE50" s="326"/>
      <c r="AF50" s="326"/>
      <c r="AG50" s="326"/>
      <c r="AH50" s="326"/>
      <c r="AI50" s="326"/>
      <c r="AJ50" s="326"/>
      <c r="AK50" s="326"/>
    </row>
    <row r="51" spans="1:37">
      <c r="A51" s="324" t="s">
        <v>275</v>
      </c>
      <c r="B51" s="326">
        <v>179.6</v>
      </c>
      <c r="C51" s="326"/>
      <c r="D51" s="326"/>
      <c r="E51" s="326"/>
      <c r="F51" s="326"/>
      <c r="G51" s="326"/>
      <c r="H51" s="326"/>
      <c r="I51" s="326"/>
      <c r="J51" s="326"/>
      <c r="K51" s="326"/>
      <c r="L51" s="326"/>
      <c r="M51" s="326"/>
      <c r="N51" s="326"/>
      <c r="O51" s="326"/>
      <c r="P51" s="326"/>
      <c r="Q51" s="326"/>
      <c r="R51" s="326"/>
      <c r="S51" s="326"/>
      <c r="T51" s="326"/>
      <c r="U51" s="326"/>
      <c r="V51" s="326"/>
      <c r="W51" s="326"/>
      <c r="X51" s="326"/>
      <c r="Y51" s="326"/>
      <c r="Z51" s="326"/>
      <c r="AA51" s="326"/>
      <c r="AB51" s="326"/>
      <c r="AC51" s="326"/>
      <c r="AD51" s="326"/>
      <c r="AE51" s="326"/>
      <c r="AF51" s="326"/>
      <c r="AG51" s="326"/>
      <c r="AH51" s="326"/>
      <c r="AI51" s="326"/>
      <c r="AJ51" s="326"/>
      <c r="AK51" s="326"/>
    </row>
    <row r="52" spans="1:37">
      <c r="A52" s="324" t="s">
        <v>276</v>
      </c>
      <c r="B52" s="326">
        <v>233</v>
      </c>
      <c r="C52" s="326"/>
      <c r="D52" s="326"/>
      <c r="E52" s="326"/>
      <c r="F52" s="326"/>
      <c r="G52" s="326"/>
      <c r="H52" s="326"/>
      <c r="I52" s="326"/>
      <c r="J52" s="326"/>
      <c r="K52" s="326"/>
      <c r="L52" s="326"/>
      <c r="M52" s="326"/>
      <c r="N52" s="326"/>
      <c r="O52" s="326"/>
      <c r="P52" s="326"/>
      <c r="Q52" s="326"/>
      <c r="R52" s="326"/>
      <c r="S52" s="326"/>
      <c r="T52" s="326"/>
      <c r="U52" s="326"/>
      <c r="V52" s="326"/>
      <c r="W52" s="326"/>
      <c r="X52" s="326"/>
      <c r="Y52" s="326"/>
      <c r="Z52" s="326"/>
      <c r="AA52" s="326"/>
      <c r="AB52" s="326"/>
      <c r="AC52" s="326"/>
      <c r="AD52" s="326"/>
      <c r="AE52" s="326"/>
      <c r="AF52" s="326"/>
      <c r="AG52" s="326"/>
      <c r="AH52" s="326"/>
      <c r="AI52" s="326"/>
      <c r="AJ52" s="326"/>
      <c r="AK52" s="326"/>
    </row>
    <row r="53" spans="1:37">
      <c r="A53" s="324" t="s">
        <v>15</v>
      </c>
      <c r="B53" s="326">
        <v>257</v>
      </c>
      <c r="C53" s="326"/>
      <c r="D53" s="326"/>
      <c r="E53" s="326"/>
      <c r="F53" s="326"/>
      <c r="G53" s="326"/>
      <c r="H53" s="326"/>
      <c r="I53" s="326"/>
      <c r="J53" s="326"/>
      <c r="K53" s="326"/>
      <c r="L53" s="326"/>
      <c r="M53" s="326"/>
      <c r="N53" s="326"/>
      <c r="O53" s="326"/>
      <c r="P53" s="326"/>
      <c r="Q53" s="326"/>
      <c r="R53" s="326"/>
      <c r="S53" s="326"/>
      <c r="T53" s="326"/>
      <c r="U53" s="326"/>
      <c r="V53" s="326"/>
      <c r="W53" s="326"/>
      <c r="X53" s="326"/>
      <c r="Y53" s="326"/>
      <c r="Z53" s="326"/>
      <c r="AA53" s="326"/>
      <c r="AB53" s="326"/>
      <c r="AC53" s="326"/>
      <c r="AD53" s="326"/>
      <c r="AE53" s="326"/>
      <c r="AF53" s="326"/>
      <c r="AG53" s="326"/>
      <c r="AH53" s="326"/>
      <c r="AI53" s="326"/>
      <c r="AJ53" s="326"/>
      <c r="AK53" s="326"/>
    </row>
    <row r="54" spans="1:37">
      <c r="A54" s="324" t="s">
        <v>279</v>
      </c>
      <c r="B54" s="326">
        <v>226</v>
      </c>
      <c r="C54" s="326"/>
      <c r="D54" s="326"/>
      <c r="E54" s="326"/>
      <c r="F54" s="326"/>
      <c r="G54" s="326"/>
      <c r="H54" s="326"/>
      <c r="I54" s="326"/>
      <c r="J54" s="326"/>
      <c r="K54" s="326"/>
      <c r="L54" s="326"/>
      <c r="M54" s="326"/>
      <c r="N54" s="326"/>
      <c r="O54" s="326"/>
      <c r="P54" s="326"/>
      <c r="Q54" s="326"/>
      <c r="R54" s="326"/>
      <c r="S54" s="326"/>
      <c r="T54" s="326"/>
      <c r="U54" s="326"/>
      <c r="V54" s="326"/>
      <c r="W54" s="326"/>
      <c r="X54" s="326"/>
      <c r="Y54" s="326"/>
      <c r="Z54" s="326"/>
      <c r="AA54" s="326"/>
      <c r="AB54" s="326"/>
      <c r="AC54" s="326"/>
      <c r="AD54" s="326"/>
      <c r="AE54" s="326"/>
      <c r="AF54" s="326"/>
      <c r="AG54" s="326"/>
      <c r="AH54" s="326"/>
      <c r="AI54" s="326"/>
      <c r="AJ54" s="326"/>
      <c r="AK54" s="326"/>
    </row>
    <row r="55" spans="1:37">
      <c r="A55" s="324" t="s">
        <v>18</v>
      </c>
      <c r="B55" s="326">
        <v>459</v>
      </c>
      <c r="C55" s="326"/>
      <c r="D55" s="326"/>
      <c r="E55" s="326"/>
      <c r="F55" s="326"/>
      <c r="G55" s="326"/>
      <c r="H55" s="326"/>
      <c r="I55" s="326"/>
      <c r="J55" s="326"/>
      <c r="K55" s="326"/>
      <c r="L55" s="326"/>
      <c r="M55" s="326"/>
      <c r="N55" s="326"/>
      <c r="O55" s="326"/>
      <c r="P55" s="326"/>
      <c r="Q55" s="326"/>
      <c r="R55" s="326"/>
      <c r="S55" s="326"/>
      <c r="T55" s="326"/>
      <c r="U55" s="326"/>
      <c r="V55" s="326"/>
      <c r="W55" s="326"/>
      <c r="X55" s="326"/>
      <c r="Y55" s="326"/>
      <c r="Z55" s="326"/>
      <c r="AA55" s="326"/>
      <c r="AB55" s="326"/>
      <c r="AC55" s="326"/>
      <c r="AD55" s="326"/>
      <c r="AE55" s="326"/>
      <c r="AF55" s="326"/>
      <c r="AG55" s="326"/>
      <c r="AH55" s="326"/>
      <c r="AI55" s="326"/>
      <c r="AJ55" s="326"/>
      <c r="AK55" s="326"/>
    </row>
    <row r="60" spans="1:37">
      <c r="C60" t="s">
        <v>198</v>
      </c>
      <c r="E60" s="253">
        <v>0.14000000000000001</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B2:N66"/>
  <sheetViews>
    <sheetView topLeftCell="L1" workbookViewId="0">
      <selection activeCell="E11" sqref="E11"/>
    </sheetView>
  </sheetViews>
  <sheetFormatPr baseColWidth="10" defaultRowHeight="16"/>
  <cols>
    <col min="1" max="1" width="5.1640625" style="3" bestFit="1" customWidth="1"/>
    <col min="2" max="2" width="22.6640625" style="3" bestFit="1" customWidth="1"/>
    <col min="3" max="3" width="14.5" style="3" customWidth="1"/>
    <col min="4" max="4" width="35" style="3" bestFit="1" customWidth="1"/>
    <col min="5" max="5" width="69" style="3" bestFit="1" customWidth="1"/>
    <col min="6" max="6" width="12.5" style="3" customWidth="1"/>
    <col min="7" max="7" width="14.5" style="3" customWidth="1"/>
    <col min="8" max="8" width="16" style="3" customWidth="1"/>
    <col min="9" max="16384" width="10.83203125" style="3"/>
  </cols>
  <sheetData>
    <row r="2" spans="2:11" ht="17" thickBot="1"/>
    <row r="3" spans="2:11" ht="17" thickBot="1">
      <c r="B3" s="170" t="s">
        <v>183</v>
      </c>
      <c r="C3" s="171" t="s">
        <v>184</v>
      </c>
      <c r="D3" s="171" t="s">
        <v>185</v>
      </c>
      <c r="E3" s="191" t="s">
        <v>186</v>
      </c>
    </row>
    <row r="4" spans="2:11" ht="17" thickBot="1">
      <c r="B4" s="259">
        <v>0</v>
      </c>
      <c r="C4" s="194" t="s">
        <v>169</v>
      </c>
      <c r="D4" s="194" t="s">
        <v>177</v>
      </c>
      <c r="E4" s="195" t="s">
        <v>259</v>
      </c>
    </row>
    <row r="5" spans="2:11" ht="17" thickBot="1">
      <c r="B5" s="165">
        <v>100</v>
      </c>
      <c r="C5" s="194" t="s">
        <v>169</v>
      </c>
      <c r="D5" s="194" t="s">
        <v>228</v>
      </c>
      <c r="E5" s="195" t="s">
        <v>259</v>
      </c>
    </row>
    <row r="6" spans="2:11">
      <c r="B6" s="196">
        <v>0</v>
      </c>
      <c r="C6" s="194" t="s">
        <v>124</v>
      </c>
      <c r="D6" s="194" t="s">
        <v>180</v>
      </c>
      <c r="E6" s="195" t="s">
        <v>293</v>
      </c>
    </row>
    <row r="7" spans="2:11" ht="17" thickBot="1">
      <c r="B7" s="198">
        <f>E10</f>
        <v>4367.9373985131397</v>
      </c>
      <c r="C7" s="199" t="s">
        <v>124</v>
      </c>
      <c r="D7" s="199" t="s">
        <v>229</v>
      </c>
      <c r="E7" s="195" t="s">
        <v>293</v>
      </c>
    </row>
    <row r="9" spans="2:11">
      <c r="B9">
        <v>1</v>
      </c>
      <c r="C9" t="s">
        <v>260</v>
      </c>
      <c r="D9" t="s">
        <v>261</v>
      </c>
      <c r="E9">
        <v>41868</v>
      </c>
      <c r="F9" t="s">
        <v>295</v>
      </c>
    </row>
    <row r="10" spans="2:11">
      <c r="B10">
        <v>0.09</v>
      </c>
      <c r="C10" t="s">
        <v>260</v>
      </c>
      <c r="D10" t="s">
        <v>261</v>
      </c>
      <c r="E10">
        <f>'Residential data'!X40</f>
        <v>4367.9373985131397</v>
      </c>
      <c r="F10" t="s">
        <v>294</v>
      </c>
    </row>
    <row r="11" spans="2:11" ht="17" thickBot="1"/>
    <row r="12" spans="2:11" ht="52" thickBot="1">
      <c r="B12" s="170" t="s">
        <v>113</v>
      </c>
      <c r="C12" s="167" t="s">
        <v>114</v>
      </c>
      <c r="D12" s="152" t="s">
        <v>123</v>
      </c>
      <c r="E12" s="152" t="s">
        <v>115</v>
      </c>
      <c r="F12" s="152" t="s">
        <v>157</v>
      </c>
      <c r="G12" s="152" t="s">
        <v>116</v>
      </c>
      <c r="H12" s="171" t="s">
        <v>158</v>
      </c>
      <c r="I12" s="152" t="s">
        <v>159</v>
      </c>
      <c r="J12" s="171" t="s">
        <v>182</v>
      </c>
      <c r="K12" s="191" t="s">
        <v>181</v>
      </c>
    </row>
    <row r="13" spans="2:11" ht="17" thickBot="1">
      <c r="B13" s="193" t="s">
        <v>65</v>
      </c>
      <c r="C13" s="165">
        <v>0.02</v>
      </c>
      <c r="D13" s="200">
        <f>'Final demand per energy carrier'!M53</f>
        <v>0.55000000000000004</v>
      </c>
      <c r="E13" s="194">
        <f>C13/D13</f>
        <v>3.6363636363636362E-2</v>
      </c>
      <c r="F13" s="194">
        <f>E13/SUM($E$13:$E$15)</f>
        <v>9.7328244274809142E-2</v>
      </c>
      <c r="G13" s="201">
        <f>B7</f>
        <v>4367.9373985131397</v>
      </c>
      <c r="H13" s="202">
        <f>F13*$G$13</f>
        <v>425.12367809956123</v>
      </c>
      <c r="I13" s="194"/>
      <c r="J13" s="194">
        <f>H13*D13</f>
        <v>233.8180229547587</v>
      </c>
      <c r="K13" s="203">
        <f>J13/(SUM(J$13:J$16))</f>
        <v>8.3333333333333329E-2</v>
      </c>
    </row>
    <row r="14" spans="2:11" ht="17" thickBot="1">
      <c r="B14" s="168" t="s">
        <v>66</v>
      </c>
      <c r="C14" s="165">
        <v>0.16</v>
      </c>
      <c r="D14" s="200">
        <f>'Final demand per energy carrier'!M54</f>
        <v>0.6</v>
      </c>
      <c r="E14" s="194">
        <f>C14/D14</f>
        <v>0.26666666666666666</v>
      </c>
      <c r="F14" s="194">
        <f>E14/SUM($E$13:$E$15)</f>
        <v>0.71374045801526709</v>
      </c>
      <c r="G14" s="194"/>
      <c r="H14" s="202">
        <f>F14*$G$13</f>
        <v>3117.5736393967827</v>
      </c>
      <c r="I14" s="194"/>
      <c r="J14" s="194">
        <f>H14*D14</f>
        <v>1870.5441836380696</v>
      </c>
      <c r="K14" s="203">
        <f>J14/(SUM(J$13:J$16))</f>
        <v>0.66666666666666663</v>
      </c>
    </row>
    <row r="15" spans="2:11" ht="17" thickBot="1">
      <c r="B15" s="168" t="s">
        <v>67</v>
      </c>
      <c r="C15" s="165">
        <v>0.06</v>
      </c>
      <c r="D15" s="200">
        <f>'Final demand per energy carrier'!M55</f>
        <v>0.85</v>
      </c>
      <c r="E15" s="194">
        <f>C15/D15</f>
        <v>7.0588235294117646E-2</v>
      </c>
      <c r="F15" s="194">
        <f>E15/SUM($E$13:$E$15)</f>
        <v>0.18893129770992365</v>
      </c>
      <c r="G15" s="194"/>
      <c r="H15" s="202">
        <f>F15*$G$13</f>
        <v>825.24008101679544</v>
      </c>
      <c r="I15" s="194"/>
      <c r="J15" s="194">
        <f>H15*D15</f>
        <v>701.45406886427611</v>
      </c>
      <c r="K15" s="203">
        <f>J15/(SUM(J$13:J$16))</f>
        <v>0.25</v>
      </c>
    </row>
    <row r="16" spans="2:11" ht="17" thickBot="1">
      <c r="B16" s="192" t="s">
        <v>64</v>
      </c>
      <c r="C16" s="199">
        <v>76</v>
      </c>
      <c r="D16" s="204">
        <f>'Final demand per energy carrier'!M52</f>
        <v>0.4</v>
      </c>
      <c r="E16" s="204">
        <f>C16/D16</f>
        <v>190</v>
      </c>
      <c r="F16" s="199"/>
      <c r="G16" s="199"/>
      <c r="H16" s="199"/>
      <c r="I16" s="204">
        <f>B6</f>
        <v>0</v>
      </c>
      <c r="J16" s="199">
        <f>I16*D16</f>
        <v>0</v>
      </c>
      <c r="K16" s="205">
        <f>J16/(SUM(J$13:J$16))</f>
        <v>0</v>
      </c>
    </row>
    <row r="18" spans="2:14" ht="17" thickBot="1"/>
    <row r="19" spans="2:14">
      <c r="B19" s="248" t="s">
        <v>190</v>
      </c>
      <c r="C19" s="249"/>
      <c r="D19" s="249"/>
      <c r="E19" s="250"/>
      <c r="M19" s="3" t="s">
        <v>118</v>
      </c>
      <c r="N19" s="3" t="s">
        <v>122</v>
      </c>
    </row>
    <row r="20" spans="2:14">
      <c r="B20" s="206" t="s">
        <v>183</v>
      </c>
      <c r="C20" s="207" t="s">
        <v>184</v>
      </c>
      <c r="D20" s="207" t="s">
        <v>185</v>
      </c>
      <c r="E20" s="208" t="s">
        <v>186</v>
      </c>
      <c r="M20" s="3" t="s">
        <v>119</v>
      </c>
      <c r="N20" s="3" t="s">
        <v>120</v>
      </c>
    </row>
    <row r="21" spans="2:14" ht="17" thickBot="1">
      <c r="B21" s="209">
        <v>65</v>
      </c>
      <c r="C21" s="210" t="s">
        <v>165</v>
      </c>
      <c r="D21" s="210" t="s">
        <v>174</v>
      </c>
      <c r="E21" s="211" t="s">
        <v>187</v>
      </c>
    </row>
    <row r="22" spans="2:14" ht="17" thickBot="1">
      <c r="B22" s="212">
        <f>31.65/10^6</f>
        <v>3.1649999999999997E-5</v>
      </c>
      <c r="C22" s="210" t="s">
        <v>175</v>
      </c>
      <c r="D22" s="210" t="s">
        <v>176</v>
      </c>
      <c r="E22" s="211" t="s">
        <v>189</v>
      </c>
    </row>
    <row r="23" spans="2:14">
      <c r="B23" s="213">
        <f>B21*B22</f>
        <v>2.0572499999999996E-3</v>
      </c>
      <c r="C23" s="210" t="s">
        <v>124</v>
      </c>
      <c r="D23" s="210" t="s">
        <v>166</v>
      </c>
      <c r="E23" s="211"/>
    </row>
    <row r="24" spans="2:14" ht="17" thickBot="1">
      <c r="B24" s="213">
        <f>B23*D16</f>
        <v>8.2289999999999989E-4</v>
      </c>
      <c r="C24" s="210" t="s">
        <v>124</v>
      </c>
      <c r="D24" s="210" t="s">
        <v>167</v>
      </c>
      <c r="E24" s="211"/>
    </row>
    <row r="25" spans="2:14" ht="17" thickBot="1">
      <c r="B25" s="214">
        <v>7449298</v>
      </c>
      <c r="C25" s="210" t="s">
        <v>171</v>
      </c>
      <c r="D25" s="210" t="s">
        <v>170</v>
      </c>
      <c r="E25" s="211" t="s">
        <v>188</v>
      </c>
    </row>
    <row r="26" spans="2:14">
      <c r="B26" s="213">
        <f>B24*B25</f>
        <v>6130.0273241999994</v>
      </c>
      <c r="C26" s="210" t="s">
        <v>124</v>
      </c>
      <c r="D26" s="210" t="s">
        <v>179</v>
      </c>
      <c r="E26" s="211"/>
    </row>
    <row r="27" spans="2:14">
      <c r="B27" s="213">
        <f>SUMPRODUCT(C13:C15,D13:D15)/SUM(C13:C15)</f>
        <v>0.65833333333333333</v>
      </c>
      <c r="C27" s="210" t="s">
        <v>169</v>
      </c>
      <c r="D27" s="210" t="s">
        <v>168</v>
      </c>
      <c r="E27" s="211"/>
    </row>
    <row r="28" spans="2:14">
      <c r="B28" s="213">
        <f>G13*B27</f>
        <v>2875.5587873544837</v>
      </c>
      <c r="C28" s="210" t="s">
        <v>124</v>
      </c>
      <c r="D28" s="210" t="s">
        <v>172</v>
      </c>
      <c r="E28" s="215"/>
    </row>
    <row r="29" spans="2:14">
      <c r="B29" s="213">
        <f>B26-B28</f>
        <v>3254.4685368455157</v>
      </c>
      <c r="C29" s="210" t="s">
        <v>124</v>
      </c>
      <c r="D29" s="210" t="s">
        <v>173</v>
      </c>
      <c r="E29" s="216"/>
      <c r="L29" s="178"/>
    </row>
    <row r="30" spans="2:14">
      <c r="B30" s="213">
        <f>B29/D16</f>
        <v>8136.1713421137893</v>
      </c>
      <c r="C30" s="210"/>
      <c r="D30" s="210" t="s">
        <v>178</v>
      </c>
      <c r="E30" s="215"/>
      <c r="L30" s="178"/>
    </row>
    <row r="31" spans="2:14" ht="17" thickBot="1">
      <c r="B31" s="217">
        <f>B29/B26</f>
        <v>0.530906040825885</v>
      </c>
      <c r="C31" s="218" t="s">
        <v>169</v>
      </c>
      <c r="D31" s="218" t="s">
        <v>177</v>
      </c>
      <c r="E31" s="219"/>
      <c r="L31" s="178"/>
    </row>
    <row r="32" spans="2:14">
      <c r="L32" s="178"/>
    </row>
    <row r="36" spans="4:13">
      <c r="M36" s="3" t="s">
        <v>284</v>
      </c>
    </row>
    <row r="39" spans="4:13">
      <c r="D39" s="187"/>
      <c r="E39" s="179"/>
      <c r="G39" s="186"/>
      <c r="M39" s="160" t="s">
        <v>285</v>
      </c>
    </row>
    <row r="40" spans="4:13">
      <c r="D40" s="187"/>
      <c r="E40" s="179"/>
      <c r="F40" s="186"/>
      <c r="G40" s="186"/>
    </row>
    <row r="41" spans="4:13">
      <c r="F41" s="186"/>
      <c r="G41" s="186"/>
    </row>
    <row r="58" spans="3:13">
      <c r="D58" s="188"/>
      <c r="E58" s="179"/>
      <c r="G58" s="186"/>
    </row>
    <row r="59" spans="3:13">
      <c r="D59" s="188"/>
      <c r="E59" s="179"/>
      <c r="F59" s="186"/>
      <c r="G59" s="186"/>
      <c r="M59" s="160" t="s">
        <v>285</v>
      </c>
    </row>
    <row r="60" spans="3:13">
      <c r="F60" s="186"/>
      <c r="G60" s="186"/>
    </row>
    <row r="62" spans="3:13">
      <c r="C62" s="186"/>
      <c r="D62" s="188"/>
      <c r="E62" s="179"/>
      <c r="G62" s="189"/>
    </row>
    <row r="63" spans="3:13">
      <c r="C63" s="190"/>
      <c r="D63" s="188"/>
      <c r="E63" s="179"/>
      <c r="F63" s="189"/>
      <c r="G63" s="186"/>
    </row>
    <row r="64" spans="3:13">
      <c r="F64" s="186"/>
      <c r="G64" s="186"/>
    </row>
    <row r="65" spans="4:7">
      <c r="D65" s="188"/>
      <c r="E65" s="179"/>
      <c r="G65" s="186"/>
    </row>
    <row r="66" spans="4:7">
      <c r="D66" s="188"/>
      <c r="E66" s="179"/>
      <c r="F66" s="186"/>
      <c r="G66" s="186"/>
    </row>
  </sheetData>
  <dataValidations count="1">
    <dataValidation type="decimal" operator="greaterThanOrEqual" allowBlank="1" showInputMessage="1" showErrorMessage="1" errorTitle="Number Range" error="You may only enter positive numbers here. " sqref="B22" xr:uid="{00000000-0002-0000-0600-000000000000}">
      <formula1>0</formula1>
    </dataValidation>
  </dataValidations>
  <hyperlinks>
    <hyperlink ref="M39" r:id="rId1" xr:uid="{DF627D2B-FF50-C84C-8196-D796E7791644}"/>
    <hyperlink ref="M59" r:id="rId2" xr:uid="{99B00809-ABC9-324C-9853-2312337F5B80}"/>
  </hyperlinks>
  <pageMargins left="0.75" right="0.75" top="1" bottom="1" header="0.5" footer="0.5"/>
  <pageSetup paperSize="9" orientation="portrait" horizontalDpi="4294967292" verticalDpi="429496729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C1:N41"/>
  <sheetViews>
    <sheetView zoomScale="113" workbookViewId="0">
      <selection activeCell="D32" sqref="D32"/>
    </sheetView>
  </sheetViews>
  <sheetFormatPr baseColWidth="10" defaultRowHeight="16"/>
  <cols>
    <col min="1" max="1" width="3.1640625" style="3" customWidth="1"/>
    <col min="2" max="2" width="13.33203125" style="3" customWidth="1"/>
    <col min="3" max="3" width="23.33203125" style="3" bestFit="1" customWidth="1"/>
    <col min="4" max="4" width="19.5" style="3" customWidth="1"/>
    <col min="5" max="5" width="18.6640625" style="3" customWidth="1"/>
    <col min="6" max="6" width="12.5" style="3" customWidth="1"/>
    <col min="7" max="7" width="19.5" style="3" customWidth="1"/>
    <col min="8" max="8" width="22" style="3" bestFit="1" customWidth="1"/>
    <col min="9" max="9" width="17.1640625" style="3" customWidth="1"/>
    <col min="10" max="10" width="24.1640625" style="3" bestFit="1" customWidth="1"/>
    <col min="11" max="12" width="23" style="3" bestFit="1" customWidth="1"/>
    <col min="13" max="13" width="24.1640625" style="3" bestFit="1" customWidth="1"/>
    <col min="14" max="14" width="51.83203125" style="3" bestFit="1" customWidth="1"/>
    <col min="15" max="15" width="110.6640625" style="3" bestFit="1" customWidth="1"/>
    <col min="16" max="16384" width="10.83203125" style="3"/>
  </cols>
  <sheetData>
    <row r="1" spans="3:14" ht="17" thickBot="1"/>
    <row r="2" spans="3:14" ht="16" customHeight="1">
      <c r="C2" s="398" t="s">
        <v>145</v>
      </c>
      <c r="D2" s="399"/>
      <c r="E2" s="399"/>
      <c r="F2" s="399"/>
      <c r="G2" s="399"/>
      <c r="H2" s="400"/>
    </row>
    <row r="3" spans="3:14" ht="52" thickBot="1">
      <c r="C3" s="235"/>
      <c r="D3" s="241"/>
      <c r="E3" s="243" t="s">
        <v>110</v>
      </c>
      <c r="F3" s="244" t="s">
        <v>138</v>
      </c>
      <c r="G3" s="243" t="s">
        <v>147</v>
      </c>
      <c r="H3" s="245" t="s">
        <v>138</v>
      </c>
    </row>
    <row r="4" spans="3:14" ht="17" thickBot="1">
      <c r="C4" s="10" t="s">
        <v>143</v>
      </c>
      <c r="D4" s="149" t="s">
        <v>139</v>
      </c>
      <c r="E4" s="220">
        <v>0.63199000312402398</v>
      </c>
      <c r="F4" s="150">
        <f>SUM(E5,E6/E7)</f>
        <v>0.35624001051686416</v>
      </c>
      <c r="G4" s="162">
        <v>0.44444444444444497</v>
      </c>
      <c r="H4" s="151">
        <f>SUM(G5,G6/G7)</f>
        <v>0.59259259259259189</v>
      </c>
      <c r="I4" s="150"/>
      <c r="J4" s="150"/>
    </row>
    <row r="5" spans="3:14" ht="17" thickBot="1">
      <c r="C5" s="10"/>
      <c r="D5" s="149" t="s">
        <v>140</v>
      </c>
      <c r="E5" s="220">
        <v>0.18056857232115001</v>
      </c>
      <c r="F5" s="2"/>
      <c r="G5" s="162">
        <v>0.22222222222222199</v>
      </c>
      <c r="H5" s="11"/>
      <c r="N5" s="160" t="s">
        <v>131</v>
      </c>
    </row>
    <row r="6" spans="3:14" ht="17" thickBot="1">
      <c r="C6" s="10"/>
      <c r="D6" s="149" t="s">
        <v>141</v>
      </c>
      <c r="E6" s="220">
        <v>0.18744142455482701</v>
      </c>
      <c r="F6" s="2"/>
      <c r="G6" s="162">
        <v>0.33333333333333298</v>
      </c>
      <c r="H6" s="11"/>
    </row>
    <row r="7" spans="3:14" ht="35" thickBot="1">
      <c r="C7" s="10"/>
      <c r="D7" s="242" t="s">
        <v>160</v>
      </c>
      <c r="E7" s="224">
        <v>1.0669999999999999</v>
      </c>
      <c r="F7" s="2"/>
      <c r="G7" s="162">
        <v>0.9</v>
      </c>
      <c r="H7" s="11"/>
    </row>
    <row r="8" spans="3:14" ht="17" thickBot="1">
      <c r="C8" s="10"/>
      <c r="D8" s="149"/>
      <c r="E8" s="150"/>
      <c r="F8" s="2"/>
      <c r="G8" s="150"/>
      <c r="H8" s="11"/>
    </row>
    <row r="9" spans="3:14" ht="17" thickBot="1">
      <c r="C9" s="10" t="s">
        <v>144</v>
      </c>
      <c r="D9" s="149" t="s">
        <v>142</v>
      </c>
      <c r="E9" s="162">
        <v>0.77777777777777801</v>
      </c>
      <c r="F9" s="150">
        <f>E10</f>
        <v>0.22222222222222199</v>
      </c>
      <c r="G9" s="162">
        <v>0.66666666666666696</v>
      </c>
      <c r="H9" s="151">
        <f>G10</f>
        <v>0.33333333333333298</v>
      </c>
      <c r="I9" s="150"/>
      <c r="J9" s="150"/>
    </row>
    <row r="10" spans="3:14" ht="17" thickBot="1">
      <c r="C10" s="10"/>
      <c r="D10" s="149" t="s">
        <v>140</v>
      </c>
      <c r="E10" s="162">
        <v>0.22222222222222199</v>
      </c>
      <c r="F10" s="2"/>
      <c r="G10" s="162">
        <v>0.33333333333333298</v>
      </c>
      <c r="H10" s="11"/>
      <c r="I10" s="2"/>
      <c r="J10" s="2"/>
    </row>
    <row r="11" spans="3:14" ht="17" thickBot="1">
      <c r="C11" s="10"/>
      <c r="D11" s="149"/>
      <c r="E11" s="150"/>
      <c r="F11" s="2"/>
      <c r="G11" s="150"/>
      <c r="H11" s="11"/>
      <c r="I11" s="2"/>
      <c r="J11" s="2"/>
    </row>
    <row r="12" spans="3:14" ht="17" thickBot="1">
      <c r="C12" s="10" t="s">
        <v>137</v>
      </c>
      <c r="D12" s="2" t="s">
        <v>139</v>
      </c>
      <c r="E12" s="224">
        <v>0.79166666666666696</v>
      </c>
      <c r="F12" s="150">
        <f>E13</f>
        <v>0.20833333333333301</v>
      </c>
      <c r="G12" s="162">
        <v>0.66666700000000001</v>
      </c>
      <c r="H12" s="151">
        <f>G13</f>
        <v>0.33333000000000002</v>
      </c>
      <c r="I12" s="150"/>
      <c r="J12" s="150"/>
    </row>
    <row r="13" spans="3:14" ht="17" thickBot="1">
      <c r="C13" s="53"/>
      <c r="D13" s="54" t="s">
        <v>140</v>
      </c>
      <c r="E13" s="224">
        <v>0.20833333333333301</v>
      </c>
      <c r="F13" s="54"/>
      <c r="G13" s="162">
        <v>0.33333000000000002</v>
      </c>
      <c r="H13" s="84"/>
      <c r="I13" s="2"/>
      <c r="J13" s="2"/>
    </row>
    <row r="14" spans="3:14" ht="17" thickBot="1"/>
    <row r="15" spans="3:14" ht="51">
      <c r="C15" s="155"/>
      <c r="D15" s="158" t="s">
        <v>135</v>
      </c>
      <c r="E15" s="158" t="s">
        <v>161</v>
      </c>
      <c r="F15" s="158" t="s">
        <v>162</v>
      </c>
      <c r="G15" s="158" t="s">
        <v>138</v>
      </c>
      <c r="H15" s="158" t="s">
        <v>152</v>
      </c>
      <c r="I15" s="172" t="s">
        <v>153</v>
      </c>
      <c r="J15" s="158" t="s">
        <v>148</v>
      </c>
      <c r="K15" s="158" t="s">
        <v>149</v>
      </c>
      <c r="L15" s="158" t="s">
        <v>150</v>
      </c>
      <c r="M15" s="156" t="s">
        <v>151</v>
      </c>
    </row>
    <row r="16" spans="3:14" ht="18" thickBot="1">
      <c r="C16" s="159"/>
      <c r="D16" s="157" t="s">
        <v>136</v>
      </c>
      <c r="E16" s="163"/>
      <c r="F16" s="163"/>
      <c r="G16" s="157" t="s">
        <v>124</v>
      </c>
      <c r="H16" s="163" t="s">
        <v>124</v>
      </c>
      <c r="I16" s="173" t="s">
        <v>124</v>
      </c>
      <c r="J16" s="163"/>
      <c r="K16" s="163"/>
      <c r="L16" s="163"/>
      <c r="M16" s="164"/>
    </row>
    <row r="17" spans="3:13" ht="17" thickBot="1">
      <c r="C17" s="10" t="s">
        <v>132</v>
      </c>
      <c r="D17" s="161">
        <v>50000</v>
      </c>
      <c r="E17" s="2"/>
      <c r="F17" s="2"/>
      <c r="G17" s="161">
        <f>Electricity!G31</f>
        <v>1877.6439547113605</v>
      </c>
      <c r="H17" s="150">
        <f>G17*'Application split'!G11</f>
        <v>1561.7209354302295</v>
      </c>
      <c r="I17" s="240">
        <f>G17*'Application split'!G10</f>
        <v>313.41569373128101</v>
      </c>
      <c r="J17" s="2"/>
      <c r="K17" s="2"/>
      <c r="L17" s="2"/>
      <c r="M17" s="11"/>
    </row>
    <row r="18" spans="3:13" ht="17" thickBot="1">
      <c r="C18" s="10" t="s">
        <v>133</v>
      </c>
      <c r="D18" s="161">
        <v>0</v>
      </c>
      <c r="E18" s="150">
        <f>D18*F4/(D18*F4+D19*F9)</f>
        <v>0</v>
      </c>
      <c r="F18" s="150">
        <f>D18*H4/(D18*H4+D19*H9)</f>
        <v>0</v>
      </c>
      <c r="G18" s="153"/>
      <c r="H18" s="153">
        <f>H17*$E18</f>
        <v>0</v>
      </c>
      <c r="I18" s="175">
        <f>I17*$F18</f>
        <v>0</v>
      </c>
      <c r="J18" s="233">
        <f>D26*H18</f>
        <v>0</v>
      </c>
      <c r="K18" s="233">
        <f>H18*E26</f>
        <v>0</v>
      </c>
      <c r="L18" s="233">
        <f>I18*D28</f>
        <v>0</v>
      </c>
      <c r="M18" s="239">
        <f>I18*E28</f>
        <v>0</v>
      </c>
    </row>
    <row r="19" spans="3:13">
      <c r="C19" s="10" t="s">
        <v>134</v>
      </c>
      <c r="D19" s="2">
        <f>D17-D18</f>
        <v>50000</v>
      </c>
      <c r="E19" s="150">
        <f>D19*F9/(D18*F4+D19*F9)</f>
        <v>1</v>
      </c>
      <c r="F19" s="150">
        <f>D19*H9/(D18*H4+D19*H9)</f>
        <v>1</v>
      </c>
      <c r="G19" s="153"/>
      <c r="H19" s="153">
        <f>E19*$H17</f>
        <v>1561.7209354302295</v>
      </c>
      <c r="I19" s="175">
        <f>F19*$I17</f>
        <v>313.41569373128101</v>
      </c>
      <c r="J19" s="233">
        <f>H19</f>
        <v>1561.7209354302295</v>
      </c>
      <c r="K19" s="233"/>
      <c r="L19" s="233">
        <f>I19</f>
        <v>313.41569373128101</v>
      </c>
      <c r="M19" s="151"/>
    </row>
    <row r="20" spans="3:13" ht="17" thickBot="1">
      <c r="C20" s="10"/>
      <c r="D20" s="2"/>
      <c r="E20" s="2"/>
      <c r="F20" s="2"/>
      <c r="G20" s="2"/>
      <c r="H20" s="150"/>
      <c r="I20" s="174"/>
      <c r="J20" s="2"/>
      <c r="K20" s="2"/>
      <c r="L20" s="2"/>
      <c r="M20" s="11"/>
    </row>
    <row r="21" spans="3:13" ht="17" thickBot="1">
      <c r="C21" s="53" t="s">
        <v>137</v>
      </c>
      <c r="D21" s="161">
        <v>0</v>
      </c>
      <c r="E21" s="54"/>
      <c r="F21" s="54"/>
      <c r="G21" s="161">
        <v>0</v>
      </c>
      <c r="H21" s="169">
        <f>G21*'Application split'!G11</f>
        <v>0</v>
      </c>
      <c r="I21" s="176">
        <f>G21*'Application split'!G10</f>
        <v>0</v>
      </c>
      <c r="J21" s="154">
        <f>H21/F12*E13</f>
        <v>0</v>
      </c>
      <c r="K21" s="154"/>
      <c r="L21" s="154">
        <f>I21/H12*G13</f>
        <v>0</v>
      </c>
      <c r="M21" s="84"/>
    </row>
    <row r="22" spans="3:13" ht="17" thickBot="1">
      <c r="J22" s="185"/>
      <c r="K22" s="185"/>
      <c r="L22" s="185"/>
      <c r="M22" s="185"/>
    </row>
    <row r="23" spans="3:13">
      <c r="C23" s="398" t="s">
        <v>194</v>
      </c>
      <c r="D23" s="399"/>
      <c r="E23" s="400"/>
    </row>
    <row r="24" spans="3:13" ht="17">
      <c r="C24" s="235"/>
      <c r="D24" s="234" t="s">
        <v>164</v>
      </c>
      <c r="E24" s="236" t="s">
        <v>163</v>
      </c>
    </row>
    <row r="25" spans="3:13">
      <c r="C25" s="43" t="s">
        <v>191</v>
      </c>
      <c r="D25" s="2"/>
      <c r="E25" s="11"/>
    </row>
    <row r="26" spans="3:13">
      <c r="C26" s="10" t="s">
        <v>193</v>
      </c>
      <c r="D26" s="229">
        <f>E5/SUM(E5:E6)</f>
        <v>0.49066213921901525</v>
      </c>
      <c r="E26" s="232">
        <f>E6/SUM(E5:E6)</f>
        <v>0.50933786078098475</v>
      </c>
    </row>
    <row r="27" spans="3:13" ht="17">
      <c r="C27" s="43" t="s">
        <v>192</v>
      </c>
      <c r="D27" s="229"/>
      <c r="E27" s="232"/>
      <c r="I27" s="221"/>
      <c r="J27" s="222"/>
      <c r="K27" s="222"/>
    </row>
    <row r="28" spans="3:13" ht="17" thickBot="1">
      <c r="C28" s="53" t="s">
        <v>193</v>
      </c>
      <c r="D28" s="237">
        <f>G5/SUM(G5:G6)</f>
        <v>0.4</v>
      </c>
      <c r="E28" s="238">
        <f>G6/SUM(G5:G6)</f>
        <v>0.60000000000000009</v>
      </c>
      <c r="H28" s="247"/>
    </row>
    <row r="29" spans="3:13">
      <c r="H29" s="247"/>
    </row>
    <row r="30" spans="3:13">
      <c r="H30" s="247"/>
    </row>
    <row r="31" spans="3:13">
      <c r="H31" s="247"/>
    </row>
    <row r="32" spans="3:13">
      <c r="H32" s="247"/>
    </row>
    <row r="33" spans="4:8">
      <c r="D33" s="223"/>
      <c r="E33" s="223"/>
      <c r="H33" s="247"/>
    </row>
    <row r="34" spans="4:8">
      <c r="D34" s="223"/>
      <c r="E34" s="223"/>
      <c r="H34" s="247"/>
    </row>
    <row r="35" spans="4:8">
      <c r="H35" s="247"/>
    </row>
    <row r="36" spans="4:8">
      <c r="H36" s="247"/>
    </row>
    <row r="37" spans="4:8">
      <c r="H37" s="247"/>
    </row>
    <row r="38" spans="4:8">
      <c r="H38" s="247"/>
    </row>
    <row r="39" spans="4:8">
      <c r="H39" s="247"/>
    </row>
    <row r="40" spans="4:8">
      <c r="H40" s="247"/>
    </row>
    <row r="41" spans="4:8">
      <c r="D41" s="225"/>
      <c r="E41" s="246"/>
      <c r="F41" s="225"/>
      <c r="G41" s="228"/>
      <c r="H41" s="247"/>
    </row>
  </sheetData>
  <mergeCells count="2">
    <mergeCell ref="C23:E23"/>
    <mergeCell ref="C2:H2"/>
  </mergeCells>
  <hyperlinks>
    <hyperlink ref="N5" r:id="rId1" xr:uid="{00000000-0004-0000-0700-000000000000}"/>
  </hyperlinks>
  <pageMargins left="0.75" right="0.75" top="1" bottom="1" header="0.5" footer="0.5"/>
  <pageSetup paperSize="9" orientation="portrait" horizontalDpi="4294967292" verticalDpi="429496729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311B-07A3-3E4E-8261-89FFC7782736}">
  <sheetPr>
    <tabColor rgb="FFFFFF00"/>
  </sheetPr>
  <dimension ref="D2:L30"/>
  <sheetViews>
    <sheetView workbookViewId="0">
      <selection activeCell="D29" sqref="D29"/>
    </sheetView>
  </sheetViews>
  <sheetFormatPr baseColWidth="10" defaultRowHeight="16"/>
  <cols>
    <col min="4" max="4" width="13.6640625" customWidth="1"/>
    <col min="6" max="6" width="38.6640625" customWidth="1"/>
  </cols>
  <sheetData>
    <row r="2" spans="4:7">
      <c r="G2" t="s">
        <v>242</v>
      </c>
    </row>
    <row r="3" spans="4:7" ht="17" thickBot="1">
      <c r="D3">
        <v>9800.39</v>
      </c>
      <c r="E3" t="s">
        <v>124</v>
      </c>
      <c r="F3" t="s">
        <v>264</v>
      </c>
      <c r="G3" s="195" t="s">
        <v>265</v>
      </c>
    </row>
    <row r="4" spans="4:7" ht="17" thickBot="1">
      <c r="D4" s="197">
        <v>7449298</v>
      </c>
      <c r="E4" s="194" t="s">
        <v>171</v>
      </c>
      <c r="F4" s="194" t="s">
        <v>217</v>
      </c>
      <c r="G4" s="195" t="s">
        <v>215</v>
      </c>
    </row>
    <row r="5" spans="4:7" ht="17" thickBot="1">
      <c r="D5" s="256">
        <v>2775000</v>
      </c>
      <c r="E5" s="194" t="s">
        <v>171</v>
      </c>
      <c r="F5" s="194" t="s">
        <v>257</v>
      </c>
      <c r="G5" s="195" t="s">
        <v>216</v>
      </c>
    </row>
    <row r="7" spans="4:7">
      <c r="D7" s="271">
        <v>1662</v>
      </c>
      <c r="E7" t="s">
        <v>245</v>
      </c>
      <c r="F7" t="s">
        <v>238</v>
      </c>
      <c r="G7" t="s">
        <v>243</v>
      </c>
    </row>
    <row r="8" spans="4:7">
      <c r="D8" s="271">
        <v>1539</v>
      </c>
      <c r="E8" t="s">
        <v>245</v>
      </c>
      <c r="F8" t="s">
        <v>239</v>
      </c>
      <c r="G8" t="s">
        <v>243</v>
      </c>
    </row>
    <row r="9" spans="4:7">
      <c r="D9" s="268">
        <f>8760-D7</f>
        <v>7098</v>
      </c>
      <c r="E9" t="s">
        <v>245</v>
      </c>
      <c r="F9" t="s">
        <v>240</v>
      </c>
    </row>
    <row r="10" spans="4:7">
      <c r="D10" s="268">
        <f>8760-D8</f>
        <v>7221</v>
      </c>
      <c r="E10" t="s">
        <v>245</v>
      </c>
      <c r="F10" t="s">
        <v>241</v>
      </c>
    </row>
    <row r="12" spans="4:7">
      <c r="D12">
        <f>D10/D9</f>
        <v>1.0173288250211328</v>
      </c>
      <c r="E12" t="s">
        <v>246</v>
      </c>
      <c r="F12" t="s">
        <v>244</v>
      </c>
    </row>
    <row r="14" spans="4:7">
      <c r="D14">
        <f>D3/D4*D5*D12</f>
        <v>3714.0893545365725</v>
      </c>
      <c r="E14" t="s">
        <v>124</v>
      </c>
      <c r="F14" t="s">
        <v>112</v>
      </c>
    </row>
    <row r="21" spans="4:12">
      <c r="D21" s="143" t="s">
        <v>370</v>
      </c>
    </row>
    <row r="22" spans="4:12">
      <c r="D22">
        <v>1</v>
      </c>
      <c r="E22" t="s">
        <v>260</v>
      </c>
      <c r="F22" t="s">
        <v>261</v>
      </c>
      <c r="G22">
        <v>41868</v>
      </c>
      <c r="H22" t="s">
        <v>124</v>
      </c>
      <c r="I22" t="s">
        <v>262</v>
      </c>
    </row>
    <row r="23" spans="4:12">
      <c r="D23">
        <v>0.28000000000000003</v>
      </c>
      <c r="E23" t="s">
        <v>260</v>
      </c>
      <c r="F23" t="s">
        <v>261</v>
      </c>
      <c r="G23">
        <f>D23*G22</f>
        <v>11723.04</v>
      </c>
      <c r="H23" t="s">
        <v>124</v>
      </c>
    </row>
    <row r="24" spans="4:12">
      <c r="L24" t="s">
        <v>263</v>
      </c>
    </row>
    <row r="29" spans="4:12">
      <c r="D29" s="143" t="s">
        <v>371</v>
      </c>
    </row>
    <row r="30" spans="4:12">
      <c r="D30" t="s">
        <v>372</v>
      </c>
      <c r="E30">
        <f>Electricity!H18</f>
        <v>7599.6154333998675</v>
      </c>
      <c r="F30" t="s">
        <v>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Changelog</vt:lpstr>
      <vt:lpstr>Sources and assumptions</vt:lpstr>
      <vt:lpstr>Final demand per energy carrier</vt:lpstr>
      <vt:lpstr>Residential data</vt:lpstr>
      <vt:lpstr>Electricity</vt:lpstr>
      <vt:lpstr>Cooking</vt:lpstr>
      <vt:lpstr>Heat pumps</vt:lpstr>
      <vt:lpstr>Lighting</vt:lpstr>
      <vt:lpstr>Cooling</vt:lpstr>
      <vt:lpstr>Application split</vt:lpstr>
      <vt:lpstr>Old new houses split</vt:lpstr>
    </vt:vector>
  </TitlesOfParts>
  <Company>Quintel Intelligence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Chael Kruip</cp:lastModifiedBy>
  <dcterms:created xsi:type="dcterms:W3CDTF">2015-12-01T15:18:13Z</dcterms:created>
  <dcterms:modified xsi:type="dcterms:W3CDTF">2018-08-22T11:40:34Z</dcterms:modified>
</cp:coreProperties>
</file>