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analyses/"/>
    </mc:Choice>
  </mc:AlternateContent>
  <bookViews>
    <workbookView xWindow="28800" yWindow="-12500" windowWidth="49840" windowHeight="28340" tabRatio="932" activeTab="8"/>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solar_thermal_heater" sheetId="79" r:id="rId32"/>
    <sheet name="csv_cooling_old-new" sheetId="76" r:id="rId33"/>
    <sheet name="csv_heating_old-new" sheetId="77" r:id="rId34"/>
    <sheet name="csv_cooling_insulation_old" sheetId="91" r:id="rId35"/>
    <sheet name="csv_cooling_insulation_new" sheetId="92" r:id="rId36"/>
    <sheet name="csv_heating_insulation_new" sheetId="93" r:id="rId37"/>
    <sheet name="csv_heating_insulation_old" sheetId="94" r:id="rId38"/>
    <sheet name="csv_heating_micro_chp_gas" sheetId="95" r:id="rId39"/>
    <sheet name="csv_water_micro_chp_gas" sheetId="96" r:id="rId40"/>
    <sheet name="csv_water_fuell_cell_gas" sheetId="97" r:id="rId41"/>
    <sheet name="csv_solar_space_heating_chld" sheetId="101" r:id="rId42"/>
    <sheet name="csv_solar_hot_water_chld" sheetId="102" r:id="rId43"/>
    <sheet name="csv_solar_heater_and_p2h_parent" sheetId="104" r:id="rId44"/>
    <sheet name="csv_hot_water_p2h_child" sheetId="106" r:id="rId45"/>
    <sheet name="csv_export_to_area_analysis" sheetId="107" r:id="rId46"/>
  </sheets>
  <externalReferences>
    <externalReference r:id="rId47"/>
  </externalReferences>
  <definedNames>
    <definedName name="base_year">Dashboard!$E$12</definedName>
    <definedName name="country">Dashboard!$E$11</definedName>
    <definedName name="Eff_cooking_biomass">technical_specs!$P$51</definedName>
    <definedName name="Eff_cooking_electric">technical_specs!$P$48</definedName>
    <definedName name="Eff_cooking_gas">technical_specs!$P$47</definedName>
    <definedName name="Eff_cooking_halogen">technical_specs!$P$49</definedName>
    <definedName name="Eff_cooking_induction">technical_specs!$P$50</definedName>
    <definedName name="Eff_cooling_airco">technical_specs!$P$44</definedName>
    <definedName name="Eff_cooling_pump_air">technical_specs!$P$43</definedName>
    <definedName name="Eff_cooling_pump_ground">technical_specs!$P$42</definedName>
    <definedName name="Eff_hot_water_coal">technical_specs!$P$36</definedName>
    <definedName name="Eff_hot_water_combi_boiler">technical_specs!$P$26</definedName>
    <definedName name="Eff_hot_water_district">technical_specs!$P$30</definedName>
    <definedName name="Eff_hot_water_electric">technical_specs!$P$33</definedName>
    <definedName name="Eff_hot_water_fuel_cell">technical_specs!$P$37</definedName>
    <definedName name="Eff_hot_water_gas">technical_specs!$P$34</definedName>
    <definedName name="Eff_hot_water_hhp_gas">technical_specs!$P$39</definedName>
    <definedName name="Eff_hot_water_hhp_heatpump">technical_specs!$P$38</definedName>
    <definedName name="Eff_hot_water_micro_CHP">technical_specs!$P$29</definedName>
    <definedName name="Eff_hot_water_oil">technical_specs!$P$35</definedName>
    <definedName name="Eff_hot_water_pump_air">technical_specs!$P$31</definedName>
    <definedName name="Eff_hot_water_pump_ground">technical_specs!$P$28</definedName>
    <definedName name="Eff_hot_water_solar_thermal_panel">technical_specs!$P$27</definedName>
    <definedName name="Eff_hot_water_woodpellets">technical_specs!$P$32</definedName>
    <definedName name="Eff_lighting_fluorescent">technical_specs!$P$55</definedName>
    <definedName name="Eff_lighting_incandescent">technical_specs!$P$54</definedName>
    <definedName name="Eff_lighting_led">technical_specs!$P$56</definedName>
    <definedName name="Eff_space_heating_coal">technical_specs!$P$21</definedName>
    <definedName name="Eff_space_heating_combi_boiler">technical_specs!$P$11</definedName>
    <definedName name="Eff_space_heating_district">technical_specs!$P$15</definedName>
    <definedName name="Eff_space_heating_electric">technical_specs!$P$18</definedName>
    <definedName name="Eff_space_heating_gas">technical_specs!$P$19</definedName>
    <definedName name="Eff_space_heating_hhp_gas">technical_specs!$P$23</definedName>
    <definedName name="Eff_space_heating_hhp_heatpump">technical_specs!$P$22</definedName>
    <definedName name="Eff_space_heating_micro_CHP">technical_specs!$P$14</definedName>
    <definedName name="Eff_space_heating_oil">technical_specs!$P$20</definedName>
    <definedName name="Eff_space_heating_pump_add_on">technical_specs!$P$22</definedName>
    <definedName name="Eff_space_heating_pump_air">technical_specs!$P$16</definedName>
    <definedName name="Eff_space_heating_pump_ground">technical_specs!$P$13</definedName>
    <definedName name="Eff_space_heating_solar_thermal">technical_specs!$P$12</definedName>
    <definedName name="Eff_space_heating_woodpellets">technical_specs!$P$17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39" i="13" l="1"/>
  <c r="I39" i="13"/>
  <c r="H39" i="13"/>
  <c r="O39" i="13"/>
  <c r="G23" i="13"/>
  <c r="I23" i="13"/>
  <c r="H23" i="13"/>
  <c r="O23" i="13"/>
  <c r="L39" i="13"/>
  <c r="L23" i="13"/>
  <c r="D38" i="32"/>
  <c r="E39" i="32"/>
  <c r="D22" i="32"/>
  <c r="E22" i="32"/>
  <c r="M22" i="13"/>
  <c r="P22" i="13"/>
  <c r="F22" i="32"/>
  <c r="H22" i="32"/>
  <c r="D11" i="32"/>
  <c r="E11" i="32"/>
  <c r="L11" i="13"/>
  <c r="P11" i="13"/>
  <c r="F11" i="32"/>
  <c r="H11" i="32"/>
  <c r="I22" i="32"/>
  <c r="D22" i="84"/>
  <c r="E22" i="84"/>
  <c r="F22" i="84"/>
  <c r="G22" i="84"/>
  <c r="E23" i="32"/>
  <c r="F23" i="13"/>
  <c r="P23" i="13"/>
  <c r="F23" i="32"/>
  <c r="H23" i="32"/>
  <c r="I23" i="32"/>
  <c r="D23" i="84"/>
  <c r="E23" i="84"/>
  <c r="F23" i="84"/>
  <c r="G23" i="84"/>
  <c r="H23" i="84"/>
  <c r="I11" i="32"/>
  <c r="D11" i="84"/>
  <c r="E11" i="84"/>
  <c r="F11" i="84"/>
  <c r="G11" i="84"/>
  <c r="H11" i="84"/>
  <c r="I23" i="84"/>
  <c r="E38" i="32"/>
  <c r="M38" i="13"/>
  <c r="P38" i="13"/>
  <c r="F38" i="32"/>
  <c r="H38" i="32"/>
  <c r="D26" i="32"/>
  <c r="E26" i="32"/>
  <c r="L26" i="13"/>
  <c r="P26" i="13"/>
  <c r="F26" i="32"/>
  <c r="H26" i="32"/>
  <c r="I38" i="32"/>
  <c r="D38" i="84"/>
  <c r="E38" i="84"/>
  <c r="F38" i="84"/>
  <c r="G38" i="84"/>
  <c r="F39" i="13"/>
  <c r="P39" i="13"/>
  <c r="F39" i="32"/>
  <c r="H39" i="32"/>
  <c r="I39" i="32"/>
  <c r="D39" i="84"/>
  <c r="E39" i="84"/>
  <c r="F39" i="84"/>
  <c r="G39" i="84"/>
  <c r="H39" i="84"/>
  <c r="I26" i="32"/>
  <c r="D26" i="84"/>
  <c r="E26" i="84"/>
  <c r="F26" i="84"/>
  <c r="G26" i="84"/>
  <c r="H26" i="84"/>
  <c r="I39" i="84"/>
  <c r="D31" i="32"/>
  <c r="E31" i="32"/>
  <c r="M31" i="13"/>
  <c r="P31" i="13"/>
  <c r="F31" i="32"/>
  <c r="H31" i="32"/>
  <c r="I31" i="32"/>
  <c r="E26" i="83"/>
  <c r="F29" i="83"/>
  <c r="B6" i="72"/>
  <c r="E20" i="83"/>
  <c r="F24" i="83"/>
  <c r="B7" i="71"/>
  <c r="P55" i="13"/>
  <c r="F58" i="84"/>
  <c r="D55" i="32"/>
  <c r="E55" i="32"/>
  <c r="F55" i="32"/>
  <c r="H55" i="32"/>
  <c r="D54" i="32"/>
  <c r="E54" i="32"/>
  <c r="P54" i="13"/>
  <c r="F54" i="32"/>
  <c r="H54" i="32"/>
  <c r="I55" i="32"/>
  <c r="D58" i="84"/>
  <c r="E58" i="84"/>
  <c r="G58" i="84"/>
  <c r="H58" i="84"/>
  <c r="P56" i="13"/>
  <c r="F59" i="84"/>
  <c r="D56" i="32"/>
  <c r="E56" i="32"/>
  <c r="F56" i="32"/>
  <c r="H56" i="32"/>
  <c r="I56" i="32"/>
  <c r="D59" i="84"/>
  <c r="E59" i="84"/>
  <c r="G59" i="84"/>
  <c r="H59" i="84"/>
  <c r="F57" i="84"/>
  <c r="I54" i="32"/>
  <c r="D57" i="84"/>
  <c r="E57" i="84"/>
  <c r="G57" i="84"/>
  <c r="H57" i="84"/>
  <c r="L48" i="13"/>
  <c r="P48" i="13"/>
  <c r="F50" i="84"/>
  <c r="D48" i="32"/>
  <c r="E48" i="32"/>
  <c r="F48" i="32"/>
  <c r="H48" i="32"/>
  <c r="D47" i="32"/>
  <c r="E47" i="32"/>
  <c r="L47" i="13"/>
  <c r="P47" i="13"/>
  <c r="F47" i="32"/>
  <c r="H47" i="32"/>
  <c r="I48" i="32"/>
  <c r="D50" i="84"/>
  <c r="E50" i="84"/>
  <c r="G50" i="84"/>
  <c r="H50" i="84"/>
  <c r="L49" i="13"/>
  <c r="P49" i="13"/>
  <c r="F51" i="84"/>
  <c r="D49" i="32"/>
  <c r="E49" i="32"/>
  <c r="F49" i="32"/>
  <c r="H49" i="32"/>
  <c r="I49" i="32"/>
  <c r="D51" i="84"/>
  <c r="E51" i="84"/>
  <c r="G51" i="84"/>
  <c r="H51" i="84"/>
  <c r="L50" i="13"/>
  <c r="P50" i="13"/>
  <c r="F52" i="84"/>
  <c r="D50" i="32"/>
  <c r="E50" i="32"/>
  <c r="F50" i="32"/>
  <c r="H50" i="32"/>
  <c r="I50" i="32"/>
  <c r="D52" i="84"/>
  <c r="E52" i="84"/>
  <c r="G52" i="84"/>
  <c r="H52" i="84"/>
  <c r="L51" i="13"/>
  <c r="P51" i="13"/>
  <c r="F53" i="84"/>
  <c r="D51" i="32"/>
  <c r="E51" i="32"/>
  <c r="F51" i="32"/>
  <c r="H51" i="32"/>
  <c r="I51" i="32"/>
  <c r="D53" i="84"/>
  <c r="E53" i="84"/>
  <c r="G53" i="84"/>
  <c r="H53" i="84"/>
  <c r="F49" i="84"/>
  <c r="I47" i="32"/>
  <c r="D49" i="84"/>
  <c r="E49" i="84"/>
  <c r="G49" i="84"/>
  <c r="H49" i="84"/>
  <c r="M43" i="13"/>
  <c r="P43" i="13"/>
  <c r="F44" i="84"/>
  <c r="D43" i="32"/>
  <c r="E43" i="32"/>
  <c r="F43" i="32"/>
  <c r="H43" i="32"/>
  <c r="D42" i="32"/>
  <c r="E42" i="32"/>
  <c r="M42" i="13"/>
  <c r="P42" i="13"/>
  <c r="F42" i="32"/>
  <c r="H42" i="32"/>
  <c r="I43" i="32"/>
  <c r="D44" i="84"/>
  <c r="E44" i="84"/>
  <c r="G44" i="84"/>
  <c r="H44" i="84"/>
  <c r="M44" i="13"/>
  <c r="P44" i="13"/>
  <c r="F45" i="84"/>
  <c r="D44" i="32"/>
  <c r="E44" i="32"/>
  <c r="F44" i="32"/>
  <c r="H44" i="32"/>
  <c r="I44" i="32"/>
  <c r="D45" i="84"/>
  <c r="E45" i="84"/>
  <c r="G45" i="84"/>
  <c r="H45" i="84"/>
  <c r="F43" i="84"/>
  <c r="I42" i="32"/>
  <c r="D43" i="84"/>
  <c r="E43" i="84"/>
  <c r="G43" i="84"/>
  <c r="H43" i="84"/>
  <c r="D27" i="32"/>
  <c r="E27" i="32"/>
  <c r="L27" i="13"/>
  <c r="P27" i="13"/>
  <c r="F27" i="32"/>
  <c r="H27" i="32"/>
  <c r="I27" i="32"/>
  <c r="D27" i="84"/>
  <c r="E27" i="84"/>
  <c r="F27" i="84"/>
  <c r="G27" i="84"/>
  <c r="H27" i="84"/>
  <c r="I27" i="84"/>
  <c r="D28" i="32"/>
  <c r="E28" i="32"/>
  <c r="M28" i="13"/>
  <c r="P28" i="13"/>
  <c r="F28" i="32"/>
  <c r="H28" i="32"/>
  <c r="I28" i="32"/>
  <c r="D28" i="84"/>
  <c r="E28" i="84"/>
  <c r="F28" i="84"/>
  <c r="G28" i="84"/>
  <c r="H28" i="84"/>
  <c r="I28" i="84"/>
  <c r="D29" i="32"/>
  <c r="E29" i="32"/>
  <c r="L29" i="13"/>
  <c r="P29" i="13"/>
  <c r="F29" i="32"/>
  <c r="C12" i="98"/>
  <c r="N29" i="13"/>
  <c r="D12" i="98"/>
  <c r="F12" i="98"/>
  <c r="G29" i="32"/>
  <c r="H29" i="32"/>
  <c r="I29" i="32"/>
  <c r="D29" i="84"/>
  <c r="E29" i="84"/>
  <c r="F29" i="84"/>
  <c r="G29" i="84"/>
  <c r="H29" i="84"/>
  <c r="I29" i="84"/>
  <c r="D30" i="32"/>
  <c r="E30" i="32"/>
  <c r="L30" i="13"/>
  <c r="P30" i="13"/>
  <c r="F30" i="32"/>
  <c r="H30" i="32"/>
  <c r="I30" i="32"/>
  <c r="D30" i="84"/>
  <c r="E30" i="84"/>
  <c r="F30" i="84"/>
  <c r="G30" i="84"/>
  <c r="H30" i="84"/>
  <c r="I30" i="84"/>
  <c r="D31" i="84"/>
  <c r="E31" i="84"/>
  <c r="F31" i="84"/>
  <c r="G31" i="84"/>
  <c r="H31" i="84"/>
  <c r="I31" i="84"/>
  <c r="D32" i="32"/>
  <c r="E32" i="32"/>
  <c r="L32" i="13"/>
  <c r="P32" i="13"/>
  <c r="F32" i="32"/>
  <c r="H32" i="32"/>
  <c r="I32" i="32"/>
  <c r="D32" i="84"/>
  <c r="E32" i="84"/>
  <c r="F32" i="84"/>
  <c r="G32" i="84"/>
  <c r="H32" i="84"/>
  <c r="I32" i="84"/>
  <c r="D33" i="32"/>
  <c r="E33" i="32"/>
  <c r="L33" i="13"/>
  <c r="P33" i="13"/>
  <c r="F33" i="32"/>
  <c r="H33" i="32"/>
  <c r="I33" i="32"/>
  <c r="D33" i="84"/>
  <c r="E33" i="84"/>
  <c r="F33" i="84"/>
  <c r="G33" i="84"/>
  <c r="H33" i="84"/>
  <c r="I33" i="84"/>
  <c r="D34" i="32"/>
  <c r="E34" i="32"/>
  <c r="L34" i="13"/>
  <c r="P34" i="13"/>
  <c r="F34" i="32"/>
  <c r="H34" i="32"/>
  <c r="I34" i="32"/>
  <c r="D34" i="84"/>
  <c r="E34" i="84"/>
  <c r="F34" i="84"/>
  <c r="G34" i="84"/>
  <c r="H34" i="84"/>
  <c r="I34" i="84"/>
  <c r="D35" i="32"/>
  <c r="E35" i="32"/>
  <c r="L35" i="13"/>
  <c r="P35" i="13"/>
  <c r="F35" i="32"/>
  <c r="H35" i="32"/>
  <c r="I35" i="32"/>
  <c r="D35" i="84"/>
  <c r="E35" i="84"/>
  <c r="F35" i="84"/>
  <c r="G35" i="84"/>
  <c r="H35" i="84"/>
  <c r="I35" i="84"/>
  <c r="D36" i="32"/>
  <c r="E36" i="32"/>
  <c r="L36" i="13"/>
  <c r="P36" i="13"/>
  <c r="F36" i="32"/>
  <c r="H36" i="32"/>
  <c r="I36" i="32"/>
  <c r="D36" i="84"/>
  <c r="E36" i="84"/>
  <c r="F36" i="84"/>
  <c r="G36" i="84"/>
  <c r="H36" i="84"/>
  <c r="I36" i="84"/>
  <c r="D37" i="32"/>
  <c r="E37" i="32"/>
  <c r="L37" i="13"/>
  <c r="P37" i="13"/>
  <c r="F37" i="32"/>
  <c r="C13" i="98"/>
  <c r="N37" i="13"/>
  <c r="D13" i="98"/>
  <c r="F13" i="98"/>
  <c r="G37" i="32"/>
  <c r="H37" i="32"/>
  <c r="I37" i="32"/>
  <c r="D37" i="84"/>
  <c r="E37" i="84"/>
  <c r="F37" i="84"/>
  <c r="G37" i="84"/>
  <c r="H37" i="84"/>
  <c r="I37" i="84"/>
  <c r="H38" i="84"/>
  <c r="I38" i="84"/>
  <c r="I26" i="84"/>
  <c r="C39" i="32"/>
  <c r="C39" i="84"/>
  <c r="C38" i="32"/>
  <c r="C38" i="84"/>
  <c r="D34" i="30"/>
  <c r="K34" i="30"/>
  <c r="D37" i="82"/>
  <c r="D32" i="30"/>
  <c r="F32" i="30"/>
  <c r="D29" i="82"/>
  <c r="D36" i="30"/>
  <c r="J36" i="30"/>
  <c r="D24" i="82"/>
  <c r="D30" i="30"/>
  <c r="E30" i="30"/>
  <c r="D18" i="82"/>
  <c r="D39" i="30"/>
  <c r="I39" i="30"/>
  <c r="D14" i="82"/>
  <c r="D40" i="30"/>
  <c r="H40" i="30"/>
  <c r="D10" i="82"/>
  <c r="E24" i="83"/>
  <c r="E29" i="83"/>
  <c r="E28" i="83"/>
  <c r="E32" i="83"/>
  <c r="F33" i="83"/>
  <c r="F27" i="83"/>
  <c r="F28" i="83"/>
  <c r="F26" i="83"/>
  <c r="F21" i="83"/>
  <c r="F22" i="83"/>
  <c r="F23" i="83"/>
  <c r="F20" i="83"/>
  <c r="D29" i="83"/>
  <c r="D24" i="83"/>
  <c r="D27" i="30"/>
  <c r="E27" i="30"/>
  <c r="D26" i="30"/>
  <c r="F26" i="30"/>
  <c r="D41" i="30"/>
  <c r="F41" i="30"/>
  <c r="D43" i="30"/>
  <c r="E43" i="30"/>
  <c r="C43" i="30"/>
  <c r="D42" i="30"/>
  <c r="F42" i="30"/>
  <c r="C42" i="30"/>
  <c r="L44" i="28"/>
  <c r="L29" i="28"/>
  <c r="C22" i="32"/>
  <c r="C23" i="32"/>
  <c r="K39" i="13"/>
  <c r="J39" i="13"/>
  <c r="L15" i="13"/>
  <c r="P15" i="13"/>
  <c r="F15" i="32"/>
  <c r="D15" i="32"/>
  <c r="E15" i="32"/>
  <c r="H15" i="32"/>
  <c r="I15" i="32"/>
  <c r="D19" i="30"/>
  <c r="K19" i="30"/>
  <c r="D36" i="82"/>
  <c r="M13" i="13"/>
  <c r="P13" i="13"/>
  <c r="F13" i="32"/>
  <c r="D13" i="32"/>
  <c r="E13" i="32"/>
  <c r="H13" i="32"/>
  <c r="I13" i="32"/>
  <c r="D17" i="30"/>
  <c r="F17" i="30"/>
  <c r="D28" i="82"/>
  <c r="L17" i="13"/>
  <c r="P17" i="13"/>
  <c r="F17" i="32"/>
  <c r="D17" i="32"/>
  <c r="E17" i="32"/>
  <c r="H17" i="32"/>
  <c r="I17" i="32"/>
  <c r="D21" i="30"/>
  <c r="J21" i="30"/>
  <c r="D23" i="82"/>
  <c r="D15" i="30"/>
  <c r="E15" i="30"/>
  <c r="D17" i="82"/>
  <c r="L20" i="13"/>
  <c r="P20" i="13"/>
  <c r="F20" i="32"/>
  <c r="D20" i="32"/>
  <c r="E20" i="32"/>
  <c r="H20" i="32"/>
  <c r="I20" i="32"/>
  <c r="D24" i="30"/>
  <c r="I24" i="30"/>
  <c r="D13" i="82"/>
  <c r="L21" i="13"/>
  <c r="P21" i="13"/>
  <c r="F21" i="32"/>
  <c r="D21" i="32"/>
  <c r="E21" i="32"/>
  <c r="H21" i="32"/>
  <c r="I21" i="32"/>
  <c r="D25" i="30"/>
  <c r="H25" i="30"/>
  <c r="D9" i="82"/>
  <c r="L12" i="13"/>
  <c r="P12" i="13"/>
  <c r="F12" i="84"/>
  <c r="F12" i="32"/>
  <c r="D12" i="32"/>
  <c r="E12" i="32"/>
  <c r="H12" i="32"/>
  <c r="I12" i="32"/>
  <c r="D12" i="84"/>
  <c r="E12" i="84"/>
  <c r="G12" i="84"/>
  <c r="H12" i="84"/>
  <c r="I12" i="84"/>
  <c r="F13" i="84"/>
  <c r="D13" i="84"/>
  <c r="E13" i="84"/>
  <c r="G13" i="84"/>
  <c r="H13" i="84"/>
  <c r="I13" i="84"/>
  <c r="L14" i="13"/>
  <c r="P14" i="13"/>
  <c r="F14" i="84"/>
  <c r="F14" i="32"/>
  <c r="C11" i="98"/>
  <c r="N14" i="13"/>
  <c r="D11" i="98"/>
  <c r="F11" i="98"/>
  <c r="G14" i="32"/>
  <c r="D14" i="32"/>
  <c r="E14" i="32"/>
  <c r="H14" i="32"/>
  <c r="I14" i="32"/>
  <c r="D14" i="84"/>
  <c r="E14" i="84"/>
  <c r="G14" i="84"/>
  <c r="H14" i="84"/>
  <c r="I14" i="84"/>
  <c r="F15" i="84"/>
  <c r="D15" i="84"/>
  <c r="E15" i="84"/>
  <c r="G15" i="84"/>
  <c r="H15" i="84"/>
  <c r="I15" i="84"/>
  <c r="M16" i="13"/>
  <c r="P16" i="13"/>
  <c r="F16" i="84"/>
  <c r="F16" i="32"/>
  <c r="D16" i="32"/>
  <c r="E16" i="32"/>
  <c r="H16" i="32"/>
  <c r="I16" i="32"/>
  <c r="D16" i="84"/>
  <c r="E16" i="84"/>
  <c r="G16" i="84"/>
  <c r="H16" i="84"/>
  <c r="I16" i="84"/>
  <c r="F17" i="84"/>
  <c r="D17" i="84"/>
  <c r="E17" i="84"/>
  <c r="G17" i="84"/>
  <c r="H17" i="84"/>
  <c r="I17" i="84"/>
  <c r="L18" i="13"/>
  <c r="P18" i="13"/>
  <c r="F18" i="84"/>
  <c r="F18" i="32"/>
  <c r="D18" i="32"/>
  <c r="E18" i="32"/>
  <c r="H18" i="32"/>
  <c r="I18" i="32"/>
  <c r="D18" i="84"/>
  <c r="E18" i="84"/>
  <c r="G18" i="84"/>
  <c r="H18" i="84"/>
  <c r="I18" i="84"/>
  <c r="L19" i="13"/>
  <c r="P19" i="13"/>
  <c r="F19" i="84"/>
  <c r="F19" i="32"/>
  <c r="D19" i="32"/>
  <c r="E19" i="32"/>
  <c r="H19" i="32"/>
  <c r="I19" i="32"/>
  <c r="D19" i="84"/>
  <c r="E19" i="84"/>
  <c r="G19" i="84"/>
  <c r="H19" i="84"/>
  <c r="I19" i="84"/>
  <c r="F20" i="84"/>
  <c r="D20" i="84"/>
  <c r="E20" i="84"/>
  <c r="G20" i="84"/>
  <c r="H20" i="84"/>
  <c r="I20" i="84"/>
  <c r="F21" i="84"/>
  <c r="D21" i="84"/>
  <c r="E21" i="84"/>
  <c r="G21" i="84"/>
  <c r="H21" i="84"/>
  <c r="I21" i="84"/>
  <c r="H22" i="84"/>
  <c r="I22" i="84"/>
  <c r="I11" i="84"/>
  <c r="E14" i="83"/>
  <c r="F17" i="83"/>
  <c r="E9" i="83"/>
  <c r="F12" i="83"/>
  <c r="D12" i="83"/>
  <c r="D17" i="83"/>
  <c r="C23" i="84"/>
  <c r="F14" i="83"/>
  <c r="F9" i="83"/>
  <c r="F10" i="83"/>
  <c r="F11" i="83"/>
  <c r="B6" i="69"/>
  <c r="K23" i="13"/>
  <c r="J23" i="13"/>
  <c r="E12" i="83"/>
  <c r="E37" i="82"/>
  <c r="E36" i="82"/>
  <c r="E33" i="82"/>
  <c r="E32" i="82"/>
  <c r="E31" i="82"/>
  <c r="E30" i="82"/>
  <c r="E29" i="82"/>
  <c r="E28" i="82"/>
  <c r="E25" i="82"/>
  <c r="E24" i="82"/>
  <c r="E23" i="82"/>
  <c r="E20" i="82"/>
  <c r="E19" i="82"/>
  <c r="E18" i="82"/>
  <c r="E17" i="82"/>
  <c r="E14" i="82"/>
  <c r="E13" i="82"/>
  <c r="E10" i="82"/>
  <c r="E9" i="82"/>
  <c r="D66" i="30"/>
  <c r="E53" i="83"/>
  <c r="D67" i="30"/>
  <c r="E54" i="83"/>
  <c r="D68" i="30"/>
  <c r="E55" i="83"/>
  <c r="D69" i="30"/>
  <c r="E56" i="83"/>
  <c r="D70" i="30"/>
  <c r="E57" i="83"/>
  <c r="D71" i="30"/>
  <c r="E58" i="83"/>
  <c r="D72" i="30"/>
  <c r="E59" i="83"/>
  <c r="D73" i="30"/>
  <c r="E60" i="83"/>
  <c r="F60" i="83"/>
  <c r="F54" i="83"/>
  <c r="F55" i="83"/>
  <c r="F56" i="83"/>
  <c r="F57" i="83"/>
  <c r="F58" i="83"/>
  <c r="F59" i="83"/>
  <c r="F53" i="83"/>
  <c r="E47" i="83"/>
  <c r="F47" i="83"/>
  <c r="F48" i="83"/>
  <c r="F49" i="83"/>
  <c r="E41" i="83"/>
  <c r="F43" i="83"/>
  <c r="F42" i="83"/>
  <c r="F41" i="83"/>
  <c r="E36" i="83"/>
  <c r="F36" i="83"/>
  <c r="F37" i="83"/>
  <c r="F38" i="83"/>
  <c r="F32" i="83"/>
  <c r="F16" i="83"/>
  <c r="F15" i="83"/>
  <c r="B5" i="107"/>
  <c r="B6" i="107"/>
  <c r="B4" i="107"/>
  <c r="B3" i="107"/>
  <c r="A6" i="107"/>
  <c r="A5" i="107"/>
  <c r="A4" i="107"/>
  <c r="A3" i="107"/>
  <c r="L11" i="37"/>
  <c r="E17" i="28"/>
  <c r="E27" i="28"/>
  <c r="L12" i="28"/>
  <c r="P12" i="28"/>
  <c r="L80" i="28"/>
  <c r="L99" i="28"/>
  <c r="P98" i="28"/>
  <c r="P79" i="28"/>
  <c r="L72" i="28"/>
  <c r="P71" i="28"/>
  <c r="L66" i="28"/>
  <c r="P65" i="28"/>
  <c r="L60" i="28"/>
  <c r="P59" i="28"/>
  <c r="P44" i="28"/>
  <c r="P29" i="28"/>
  <c r="L27" i="28"/>
  <c r="M27" i="28"/>
  <c r="M99" i="28"/>
  <c r="M80" i="28"/>
  <c r="M72" i="28"/>
  <c r="M66" i="28"/>
  <c r="M60" i="28"/>
  <c r="M44" i="28"/>
  <c r="M29" i="28"/>
  <c r="L10" i="28"/>
  <c r="F11" i="37"/>
  <c r="C11" i="37"/>
  <c r="D11" i="37"/>
  <c r="E11" i="37"/>
  <c r="G11" i="37"/>
  <c r="H11" i="37"/>
  <c r="I11" i="37"/>
  <c r="J11" i="37"/>
  <c r="K11" i="37"/>
  <c r="E13" i="86"/>
  <c r="D13" i="86"/>
  <c r="D11" i="86"/>
  <c r="D15" i="86"/>
  <c r="D17" i="86"/>
  <c r="E11" i="86"/>
  <c r="E15" i="86"/>
  <c r="E17" i="86"/>
  <c r="D19" i="86"/>
  <c r="B4" i="76"/>
  <c r="E19" i="86"/>
  <c r="B3" i="76"/>
  <c r="B4" i="77"/>
  <c r="B3" i="77"/>
  <c r="G11" i="98"/>
  <c r="E10" i="83"/>
  <c r="E11" i="83"/>
  <c r="E15" i="83"/>
  <c r="E16" i="83"/>
  <c r="E17" i="83"/>
  <c r="D46" i="30"/>
  <c r="F46" i="30"/>
  <c r="D47" i="30"/>
  <c r="F47" i="30"/>
  <c r="D48" i="30"/>
  <c r="F48" i="30"/>
  <c r="D33" i="82"/>
  <c r="D20" i="30"/>
  <c r="F20" i="30"/>
  <c r="D22" i="30"/>
  <c r="F22" i="30"/>
  <c r="D35" i="30"/>
  <c r="F35" i="30"/>
  <c r="D37" i="30"/>
  <c r="F37" i="30"/>
  <c r="D53" i="30"/>
  <c r="F53" i="30"/>
  <c r="D54" i="30"/>
  <c r="F54" i="30"/>
  <c r="D55" i="30"/>
  <c r="F55" i="30"/>
  <c r="D30" i="82"/>
  <c r="D60" i="30"/>
  <c r="F60" i="30"/>
  <c r="D61" i="30"/>
  <c r="F61" i="30"/>
  <c r="D62" i="30"/>
  <c r="F62" i="30"/>
  <c r="D31" i="82"/>
  <c r="F66" i="30"/>
  <c r="F67" i="30"/>
  <c r="F68" i="30"/>
  <c r="F69" i="30"/>
  <c r="F70" i="30"/>
  <c r="F71" i="30"/>
  <c r="F72" i="30"/>
  <c r="F73" i="30"/>
  <c r="D32" i="82"/>
  <c r="D56" i="30"/>
  <c r="J56" i="30"/>
  <c r="D25" i="82"/>
  <c r="D52" i="30"/>
  <c r="E52" i="30"/>
  <c r="D20" i="82"/>
  <c r="D18" i="30"/>
  <c r="E18" i="30"/>
  <c r="D23" i="30"/>
  <c r="E23" i="30"/>
  <c r="D33" i="30"/>
  <c r="E33" i="30"/>
  <c r="D38" i="30"/>
  <c r="E38" i="30"/>
  <c r="D19" i="82"/>
  <c r="E33" i="83"/>
  <c r="L40" i="28"/>
  <c r="B3" i="102"/>
  <c r="B4" i="102"/>
  <c r="B3" i="101"/>
  <c r="B4" i="101"/>
  <c r="C6" i="34"/>
  <c r="C7" i="34"/>
  <c r="C4" i="34"/>
  <c r="C8" i="34"/>
  <c r="C5" i="34"/>
  <c r="L23" i="37"/>
  <c r="K19" i="37"/>
  <c r="K18" i="37"/>
  <c r="B4" i="75"/>
  <c r="B5" i="75"/>
  <c r="B6" i="75"/>
  <c r="B7" i="75"/>
  <c r="B8" i="75"/>
  <c r="B9" i="75"/>
  <c r="B10" i="75"/>
  <c r="B3" i="75"/>
  <c r="C27" i="32"/>
  <c r="D32" i="83"/>
  <c r="E48" i="83"/>
  <c r="E49" i="83"/>
  <c r="E42" i="83"/>
  <c r="E43" i="83"/>
  <c r="E37" i="83"/>
  <c r="E38" i="83"/>
  <c r="D54" i="83"/>
  <c r="D55" i="83"/>
  <c r="D56" i="83"/>
  <c r="D57" i="83"/>
  <c r="D58" i="83"/>
  <c r="D59" i="83"/>
  <c r="D60" i="83"/>
  <c r="D53" i="83"/>
  <c r="I60" i="32"/>
  <c r="I61" i="32"/>
  <c r="I62" i="32"/>
  <c r="I63" i="32"/>
  <c r="I64" i="32"/>
  <c r="I65" i="32"/>
  <c r="I66" i="32"/>
  <c r="I59" i="32"/>
  <c r="I59" i="84"/>
  <c r="I53" i="84"/>
  <c r="I49" i="84"/>
  <c r="C54" i="32"/>
  <c r="C57" i="84"/>
  <c r="C55" i="32"/>
  <c r="C58" i="84"/>
  <c r="C56" i="32"/>
  <c r="C59" i="84"/>
  <c r="C12" i="32"/>
  <c r="C12" i="84"/>
  <c r="C13" i="32"/>
  <c r="C13" i="84"/>
  <c r="C14" i="32"/>
  <c r="C14" i="84"/>
  <c r="C15" i="32"/>
  <c r="C15" i="84"/>
  <c r="C16" i="32"/>
  <c r="C16" i="84"/>
  <c r="C17" i="32"/>
  <c r="C17" i="84"/>
  <c r="C18" i="32"/>
  <c r="C18" i="84"/>
  <c r="C19" i="32"/>
  <c r="C19" i="84"/>
  <c r="C20" i="32"/>
  <c r="C20" i="84"/>
  <c r="C21" i="32"/>
  <c r="C21" i="84"/>
  <c r="C22" i="84"/>
  <c r="C26" i="32"/>
  <c r="C26" i="84"/>
  <c r="C27" i="84"/>
  <c r="C28" i="32"/>
  <c r="C28" i="84"/>
  <c r="C29" i="32"/>
  <c r="C29" i="84"/>
  <c r="C30" i="32"/>
  <c r="C30" i="84"/>
  <c r="C31" i="32"/>
  <c r="C31" i="84"/>
  <c r="C32" i="32"/>
  <c r="C32" i="84"/>
  <c r="C33" i="32"/>
  <c r="C33" i="84"/>
  <c r="C34" i="32"/>
  <c r="C34" i="84"/>
  <c r="C35" i="32"/>
  <c r="C35" i="84"/>
  <c r="C36" i="32"/>
  <c r="C36" i="84"/>
  <c r="C37" i="32"/>
  <c r="C37" i="84"/>
  <c r="C42" i="32"/>
  <c r="C43" i="84"/>
  <c r="C43" i="32"/>
  <c r="C44" i="84"/>
  <c r="C44" i="32"/>
  <c r="C45" i="84"/>
  <c r="C47" i="32"/>
  <c r="C49" i="84"/>
  <c r="C48" i="32"/>
  <c r="C50" i="84"/>
  <c r="C49" i="32"/>
  <c r="C51" i="84"/>
  <c r="C50" i="32"/>
  <c r="C52" i="84"/>
  <c r="C51" i="32"/>
  <c r="C53" i="84"/>
  <c r="C11" i="32"/>
  <c r="C11" i="84"/>
  <c r="I58" i="84"/>
  <c r="I57" i="84"/>
  <c r="I50" i="84"/>
  <c r="I51" i="84"/>
  <c r="I52" i="84"/>
  <c r="G13" i="98"/>
  <c r="B3" i="97"/>
  <c r="B4" i="97"/>
  <c r="B4" i="96"/>
  <c r="G12" i="98"/>
  <c r="B3" i="96"/>
  <c r="B4" i="95"/>
  <c r="B3" i="95"/>
  <c r="E11" i="98"/>
  <c r="E12" i="98"/>
  <c r="E13" i="98"/>
  <c r="C9" i="98"/>
  <c r="D9" i="98"/>
  <c r="B9" i="98"/>
  <c r="B13" i="98"/>
  <c r="B12" i="98"/>
  <c r="B11" i="98"/>
  <c r="D9" i="83"/>
  <c r="D10" i="83"/>
  <c r="D11" i="83"/>
  <c r="D14" i="83"/>
  <c r="D15" i="83"/>
  <c r="D16" i="83"/>
  <c r="D20" i="83"/>
  <c r="D21" i="83"/>
  <c r="D22" i="83"/>
  <c r="D23" i="83"/>
  <c r="D26" i="83"/>
  <c r="D27" i="83"/>
  <c r="D28" i="83"/>
  <c r="D36" i="83"/>
  <c r="D37" i="83"/>
  <c r="D38" i="83"/>
  <c r="D41" i="83"/>
  <c r="D42" i="83"/>
  <c r="D43" i="83"/>
  <c r="D47" i="83"/>
  <c r="D48" i="83"/>
  <c r="D49" i="83"/>
  <c r="D33" i="83"/>
  <c r="K11" i="30"/>
  <c r="E11" i="30"/>
  <c r="G11" i="30"/>
  <c r="H11" i="30"/>
  <c r="I11" i="30"/>
  <c r="J11" i="30"/>
  <c r="K19" i="28" a="1"/>
  <c r="K19" i="28"/>
  <c r="K20" i="28"/>
  <c r="K21" i="28"/>
  <c r="K22" i="28"/>
  <c r="K23" i="28"/>
  <c r="K24" i="28"/>
  <c r="K25" i="28"/>
  <c r="I44" i="84"/>
  <c r="I45" i="84"/>
  <c r="I43" i="84"/>
  <c r="F11" i="30"/>
  <c r="D16" i="30"/>
  <c r="G16" i="30"/>
  <c r="C15" i="30"/>
  <c r="C16" i="30"/>
  <c r="C17" i="30"/>
  <c r="C18" i="30"/>
  <c r="C19" i="30"/>
  <c r="C20" i="30"/>
  <c r="C21" i="30"/>
  <c r="C22" i="30"/>
  <c r="C23" i="30"/>
  <c r="C24" i="30"/>
  <c r="C25" i="30"/>
  <c r="B29" i="30"/>
  <c r="C30" i="30"/>
  <c r="C31" i="30"/>
  <c r="C32" i="30"/>
  <c r="C33" i="30"/>
  <c r="C34" i="30"/>
  <c r="C35" i="30"/>
  <c r="C36" i="30"/>
  <c r="C37" i="30"/>
  <c r="C38" i="30"/>
  <c r="C39" i="30"/>
  <c r="C40" i="30"/>
  <c r="C41" i="30"/>
  <c r="B45" i="30"/>
  <c r="C46" i="30"/>
  <c r="C47" i="30"/>
  <c r="C48" i="30"/>
  <c r="B51" i="30"/>
  <c r="C52" i="30"/>
  <c r="C53" i="30"/>
  <c r="C54" i="30"/>
  <c r="C55" i="30"/>
  <c r="C56" i="30"/>
  <c r="B59" i="30"/>
  <c r="C60" i="30"/>
  <c r="C61" i="30"/>
  <c r="C62" i="30"/>
  <c r="B14" i="30"/>
  <c r="B4" i="74"/>
  <c r="B5" i="74"/>
  <c r="B3" i="74"/>
  <c r="B4" i="73"/>
  <c r="B5" i="73"/>
  <c r="B3" i="73"/>
  <c r="B4" i="70"/>
  <c r="B5" i="70"/>
  <c r="B6" i="70"/>
  <c r="B3" i="70"/>
  <c r="B4" i="69"/>
  <c r="B5" i="69"/>
  <c r="B3" i="69"/>
  <c r="B4" i="68"/>
  <c r="B5" i="68"/>
  <c r="B3" i="68"/>
  <c r="B3" i="66"/>
  <c r="L41" i="28"/>
  <c r="B4" i="67"/>
  <c r="B3" i="67"/>
  <c r="B7" i="66"/>
  <c r="B8" i="66"/>
  <c r="B5" i="66"/>
  <c r="B6" i="66"/>
  <c r="B4" i="66"/>
  <c r="B5" i="64"/>
  <c r="B4" i="64"/>
  <c r="B3" i="64"/>
  <c r="B6" i="63"/>
  <c r="B5" i="63"/>
  <c r="B4" i="63"/>
  <c r="B3" i="63"/>
  <c r="B4" i="62"/>
  <c r="B3" i="62"/>
  <c r="B4" i="21"/>
  <c r="B3" i="21"/>
  <c r="F77" i="30"/>
  <c r="F78" i="30"/>
  <c r="F79" i="30"/>
  <c r="D31" i="30"/>
  <c r="G31" i="30"/>
  <c r="G77" i="30"/>
  <c r="G78" i="30"/>
  <c r="G79" i="30"/>
  <c r="H77" i="30"/>
  <c r="H78" i="30"/>
  <c r="H79" i="30"/>
  <c r="I77" i="30"/>
  <c r="I78" i="30"/>
  <c r="I79" i="30"/>
  <c r="J77" i="30"/>
  <c r="J78" i="30"/>
  <c r="J79" i="30"/>
  <c r="K77" i="30"/>
  <c r="K78" i="30"/>
  <c r="K79" i="30"/>
  <c r="E77" i="30"/>
  <c r="E78" i="30"/>
  <c r="E79" i="30"/>
  <c r="B4" i="79"/>
  <c r="B3" i="79"/>
  <c r="E27" i="83"/>
  <c r="B4" i="72"/>
  <c r="B5" i="72"/>
  <c r="B3" i="72"/>
  <c r="E21" i="83"/>
  <c r="E22" i="83"/>
  <c r="E23" i="83"/>
  <c r="B4" i="71"/>
  <c r="B5" i="71"/>
  <c r="B6" i="71"/>
  <c r="B3" i="71"/>
  <c r="L19" i="28" a="1"/>
  <c r="L19" i="28"/>
  <c r="M19" i="28"/>
  <c r="L20" i="28"/>
  <c r="M20" i="28"/>
  <c r="L21" i="28"/>
  <c r="M21" i="28"/>
  <c r="L22" i="28"/>
  <c r="M22" i="28"/>
  <c r="L23" i="28"/>
  <c r="M23" i="28"/>
  <c r="L24" i="28"/>
  <c r="M24" i="28"/>
  <c r="L25" i="28"/>
  <c r="M25" i="28"/>
</calcChain>
</file>

<file path=xl/sharedStrings.xml><?xml version="1.0" encoding="utf-8"?>
<sst xmlns="http://schemas.openxmlformats.org/spreadsheetml/2006/main" count="1250" uniqueCount="894">
  <si>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</si>
  <si>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</si>
  <si>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</si>
  <si>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</si>
  <si>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</si>
  <si>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</si>
  <si>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</si>
  <si>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</si>
  <si>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</si>
  <si>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</si>
  <si>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</si>
  <si>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</si>
  <si>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</si>
  <si>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</si>
  <si>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</si>
  <si>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</si>
  <si>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</si>
  <si>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</si>
  <si>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</si>
  <si>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</si>
  <si>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</si>
  <si>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</si>
  <si>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</si>
  <si>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</si>
  <si>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</si>
  <si>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</si>
  <si>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</si>
  <si>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</si>
  <si>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</si>
  <si>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</si>
  <si>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</si>
  <si>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</si>
  <si>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</si>
  <si>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</si>
  <si>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</si>
  <si>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</si>
  <si>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</si>
  <si>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</si>
  <si>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</si>
  <si>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</si>
  <si>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</si>
  <si>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</si>
  <si>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</si>
  <si>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</si>
  <si>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</si>
  <si>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</si>
  <si>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</si>
  <si>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</si>
  <si>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</si>
  <si>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</si>
  <si>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</si>
  <si>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</si>
  <si>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</si>
  <si>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</si>
  <si>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</si>
  <si>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</si>
  <si>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</si>
  <si>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</si>
  <si>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</si>
  <si>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</si>
  <si>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</si>
  <si>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</si>
  <si>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</si>
  <si>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</si>
  <si>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</si>
  <si>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</si>
  <si>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</si>
  <si>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</si>
  <si>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</si>
  <si>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</si>
  <si>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</si>
  <si>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</si>
  <si>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</si>
  <si>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</si>
  <si>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</si>
  <si>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</si>
  <si>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</si>
  <si>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</si>
  <si>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</si>
  <si>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</si>
  <si>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</si>
  <si>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</si>
  <si>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</si>
  <si>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</si>
  <si>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</si>
  <si>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</si>
  <si>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</si>
  <si>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</si>
  <si>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</si>
  <si>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</si>
  <si>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</si>
  <si>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</si>
  <si>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</si>
  <si>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</si>
  <si>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</si>
  <si>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</si>
  <si>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</si>
  <si>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</si>
  <si>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</si>
  <si>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</si>
  <si>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</si>
  <si>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</si>
  <si>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</si>
  <si>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</si>
  <si>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</si>
  <si>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</si>
  <si>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</si>
  <si>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</si>
  <si>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</si>
  <si>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</si>
  <si>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</si>
  <si>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</si>
  <si>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</si>
  <si>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</si>
  <si>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</si>
  <si>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</si>
  <si>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</si>
  <si>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</si>
  <si>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</si>
  <si>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</si>
  <si>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</si>
  <si>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</si>
  <si>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</si>
  <si>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</si>
  <si>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</si>
  <si>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</si>
  <si>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</si>
  <si>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</si>
  <si>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</si>
  <si>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</si>
  <si>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</si>
  <si>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</si>
  <si>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</si>
  <si>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</si>
  <si>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</si>
  <si>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</si>
  <si>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</si>
  <si>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</si>
  <si>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</si>
  <si>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</si>
  <si>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</si>
  <si>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</si>
  <si>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</si>
  <si>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</si>
  <si>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</si>
  <si>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</si>
  <si>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</si>
  <si>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</si>
  <si>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</si>
  <si>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</si>
  <si>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</si>
  <si>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</si>
  <si>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</si>
  <si>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</si>
  <si>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</si>
  <si>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</si>
  <si>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</si>
  <si>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</si>
  <si>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</si>
  <si>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</si>
  <si>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</si>
  <si>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</si>
  <si>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</si>
  <si>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</si>
  <si>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</si>
  <si>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</si>
  <si>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</si>
  <si>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</si>
  <si>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</si>
  <si>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</si>
  <si>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</si>
  <si>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</si>
  <si>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</si>
  <si>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</si>
  <si>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</si>
  <si>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</si>
  <si>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</si>
  <si>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</si>
  <si>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</si>
  <si>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</si>
  <si>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</si>
  <si>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</si>
  <si>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</si>
  <si>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</si>
  <si>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</si>
  <si>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</si>
  <si>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</si>
  <si>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</si>
  <si>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</si>
  <si>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</si>
  <si>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</si>
  <si>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</si>
  <si>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</si>
  <si>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</si>
  <si>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</si>
  <si>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</si>
  <si>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</si>
  <si>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</si>
  <si>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</si>
  <si>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</si>
  <si>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</si>
  <si>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</si>
  <si>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</si>
  <si>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</si>
  <si>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</si>
  <si>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</si>
  <si>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</si>
  <si>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</si>
  <si>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</si>
  <si>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</si>
  <si>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</si>
  <si>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</si>
  <si>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</si>
  <si>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</si>
  <si>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</si>
  <si>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</si>
  <si>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</si>
  <si>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</si>
  <si>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</si>
  <si>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</si>
  <si>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</si>
  <si>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</si>
  <si>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</si>
  <si>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</si>
  <si>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</si>
  <si>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</si>
  <si>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</si>
  <si>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</si>
  <si>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</si>
  <si>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</si>
  <si>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</si>
  <si>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</si>
  <si>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</si>
  <si>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</si>
  <si>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</si>
  <si>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</si>
  <si>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</si>
  <si>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</si>
  <si>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</si>
  <si>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</si>
  <si>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</si>
  <si>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</si>
  <si>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</si>
  <si>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</si>
  <si>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</si>
  <si>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</si>
  <si>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</si>
  <si>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</si>
  <si>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</si>
  <si>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</si>
  <si>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</si>
  <si>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</si>
  <si>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</si>
  <si>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</si>
  <si>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</si>
  <si>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</si>
  <si>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</si>
  <si>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</si>
  <si>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</si>
  <si>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</si>
  <si>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</si>
  <si>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</si>
  <si>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</si>
  <si>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</si>
  <si>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</si>
  <si>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</si>
  <si>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</si>
  <si>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</si>
  <si>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</si>
  <si>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</si>
  <si>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</si>
  <si>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</si>
  <si>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</si>
  <si>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</si>
  <si>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</si>
  <si>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</si>
  <si>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</si>
  <si>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</si>
  <si>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</si>
  <si>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</si>
  <si>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</si>
  <si>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</si>
  <si>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</si>
  <si>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</si>
  <si>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</si>
  <si>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</si>
  <si>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</si>
  <si>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</si>
  <si>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</si>
  <si>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</si>
  <si>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</si>
  <si>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</si>
  <si>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</si>
  <si>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</si>
  <si>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</si>
  <si>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</si>
  <si>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</si>
  <si>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</si>
  <si>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</si>
  <si>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</si>
  <si>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</si>
  <si>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</si>
  <si>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</si>
  <si>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</si>
  <si>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</si>
  <si>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</si>
  <si>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</si>
  <si>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</si>
  <si>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</si>
  <si>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</si>
  <si>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</si>
  <si>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</si>
  <si>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</si>
  <si>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</si>
  <si>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</si>
  <si>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</si>
  <si>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</si>
  <si>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</si>
  <si>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</si>
  <si>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</si>
  <si>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</si>
  <si>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</si>
  <si>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</si>
  <si>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</si>
  <si>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</si>
  <si>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</si>
  <si>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</si>
  <si>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</si>
  <si>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</si>
  <si>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</si>
  <si>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</si>
  <si>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</si>
  <si>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</si>
  <si>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</si>
  <si>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</si>
  <si>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</si>
  <si>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</si>
  <si>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</si>
  <si>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</si>
  <si>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</si>
  <si>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</si>
  <si>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</si>
  <si>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</si>
  <si>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</si>
  <si>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</si>
  <si>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</si>
  <si>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</si>
  <si>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</si>
  <si>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</si>
  <si>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</si>
  <si>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</si>
  <si>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</si>
  <si>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</si>
  <si>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</si>
  <si>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</si>
  <si>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</si>
  <si>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</si>
  <si>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</si>
  <si>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</si>
  <si>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</si>
  <si>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</si>
  <si>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</si>
  <si>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</si>
  <si>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</si>
  <si>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</si>
  <si>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</si>
  <si>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</si>
  <si>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</si>
  <si>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</si>
  <si>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</si>
  <si>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</si>
  <si>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</si>
  <si>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</si>
  <si>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</si>
  <si>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</si>
  <si>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</si>
  <si>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</si>
  <si>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</si>
  <si>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</si>
  <si>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</si>
  <si>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</si>
  <si>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</si>
  <si>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</si>
  <si>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</si>
  <si>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</si>
  <si>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</si>
  <si>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</si>
  <si>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</si>
  <si>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</si>
  <si>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</si>
  <si>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</si>
  <si>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</si>
  <si>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</si>
  <si>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</si>
  <si>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</si>
  <si>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</si>
  <si>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</si>
  <si>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</si>
  <si>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</si>
  <si>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</si>
  <si>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</si>
  <si>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</si>
  <si>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</si>
  <si>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</si>
  <si>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</si>
  <si>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</si>
  <si>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</si>
  <si>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</si>
  <si>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</si>
  <si>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</si>
  <si>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</si>
  <si>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</si>
  <si>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</si>
  <si>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</si>
  <si>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</si>
  <si>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</si>
  <si>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</si>
  <si>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</si>
  <si>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</si>
  <si>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</si>
  <si>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</si>
  <si>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</si>
  <si>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</si>
  <si>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</si>
  <si>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</si>
  <si>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</si>
  <si>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</si>
  <si>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</si>
  <si>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</si>
  <si>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</si>
  <si>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</si>
  <si>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</si>
  <si>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</si>
  <si>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</si>
  <si>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</si>
  <si>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</si>
  <si>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</si>
  <si>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</si>
  <si>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</si>
  <si>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</si>
  <si>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</si>
  <si>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</si>
  <si>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</si>
  <si>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</si>
  <si>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</si>
  <si>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</si>
  <si>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</si>
  <si>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</si>
  <si>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</si>
  <si>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</si>
  <si>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</si>
  <si>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</si>
  <si>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</si>
  <si>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</si>
  <si>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</si>
  <si>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</si>
  <si>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</si>
  <si>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</si>
  <si>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</si>
  <si>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</si>
  <si>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</si>
  <si>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</si>
  <si>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</si>
  <si>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</si>
  <si>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</si>
  <si>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</si>
  <si>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</si>
  <si>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</si>
  <si>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</si>
  <si>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</si>
  <si>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</si>
  <si>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</si>
  <si>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</si>
  <si>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</si>
  <si>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</si>
  <si>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</si>
  <si>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</si>
  <si>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</si>
  <si>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</si>
  <si>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</si>
  <si>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</si>
  <si>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</si>
  <si>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</si>
  <si>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</si>
  <si>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</si>
  <si>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</si>
  <si>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</si>
  <si>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</si>
  <si>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</si>
  <si>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</si>
  <si>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</si>
  <si>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</si>
  <si>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</si>
  <si>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</si>
  <si>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</si>
  <si>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</si>
  <si>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</si>
  <si>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</si>
  <si>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</si>
  <si>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</si>
  <si>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</si>
  <si>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</si>
  <si>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</si>
  <si>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</si>
  <si>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</si>
  <si>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</si>
  <si>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</si>
  <si>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</si>
  <si>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</si>
  <si>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</si>
  <si>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</si>
  <si>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</si>
  <si>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</si>
  <si>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</si>
  <si>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</si>
  <si>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</si>
  <si>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</si>
  <si>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</si>
  <si>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</si>
  <si>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</si>
  <si>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</si>
  <si>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</si>
  <si>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</si>
  <si>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</si>
  <si>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</si>
  <si>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</si>
  <si>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</si>
  <si>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</si>
  <si>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</si>
  <si>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</si>
  <si>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</si>
  <si>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</si>
  <si>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</si>
  <si>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</si>
  <si>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</si>
  <si>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</si>
  <si>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</si>
  <si>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</si>
  <si>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</si>
  <si>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</si>
  <si>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</si>
  <si>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</si>
  <si>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</si>
  <si>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</si>
  <si>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</si>
  <si>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</si>
  <si>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</si>
  <si>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</si>
  <si>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</si>
  <si>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</si>
  <si>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</si>
  <si>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</si>
  <si>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</si>
  <si>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</si>
  <si>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</si>
  <si>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</si>
  <si>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</si>
  <si>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</si>
  <si>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</si>
  <si>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</si>
  <si>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</si>
  <si>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</si>
  <si>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</si>
  <si>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</si>
  <si>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</si>
  <si>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</si>
  <si>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</si>
  <si>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</si>
  <si>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</si>
  <si>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</si>
  <si>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</si>
  <si>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</si>
  <si>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</si>
  <si>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</si>
  <si>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</si>
  <si>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</si>
  <si>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</si>
  <si>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</si>
  <si>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</si>
  <si>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</si>
  <si>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</si>
  <si>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</si>
  <si>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</si>
  <si>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</si>
  <si>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</si>
  <si>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</si>
  <si>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</si>
  <si>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</si>
  <si>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</si>
  <si>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</si>
  <si>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</si>
  <si>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</si>
  <si>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</si>
  <si>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</si>
  <si>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</si>
  <si>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</si>
  <si>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</si>
  <si>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</si>
  <si>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</si>
  <si>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</si>
  <si>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</si>
  <si>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</si>
  <si>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</si>
  <si>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</si>
  <si>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</si>
  <si>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</si>
  <si>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</si>
  <si>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</si>
  <si>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</si>
  <si>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</si>
  <si>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</si>
  <si>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</si>
  <si>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</si>
  <si>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</si>
  <si>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</si>
  <si>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</si>
  <si>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</si>
  <si>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</si>
  <si>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</si>
  <si>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</si>
  <si>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</si>
  <si>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</si>
  <si>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</si>
  <si>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</si>
  <si>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</si>
  <si>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</si>
  <si>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</si>
  <si>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</si>
  <si>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</si>
  <si>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</si>
  <si>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</si>
  <si>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</si>
  <si>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</si>
  <si>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</si>
  <si>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</si>
  <si>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</si>
  <si>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</si>
  <si>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</si>
  <si>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</si>
  <si>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</si>
  <si>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</si>
  <si>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</si>
  <si>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</si>
  <si>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</si>
  <si>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</si>
  <si>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</si>
  <si>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</si>
  <si>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</si>
  <si>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</si>
  <si>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</si>
  <si>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</si>
  <si>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</si>
  <si>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</si>
  <si>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</si>
  <si>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</si>
  <si>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</si>
  <si>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</si>
  <si>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</si>
  <si>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</si>
  <si>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</si>
  <si>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</si>
  <si>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</si>
  <si>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</si>
  <si>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</si>
  <si>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</si>
  <si>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</si>
  <si>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</si>
  <si>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</si>
  <si>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</si>
  <si>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</si>
  <si>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</si>
  <si>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</si>
  <si>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</si>
  <si>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</si>
  <si>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</si>
  <si>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</si>
  <si>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</si>
  <si>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</si>
  <si>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</si>
  <si>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</si>
  <si>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</si>
  <si>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</si>
  <si>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</si>
  <si>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</si>
  <si>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</si>
  <si>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</si>
  <si>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</si>
  <si>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</si>
  <si>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</si>
  <si>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</si>
  <si>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</si>
  <si>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</si>
  <si>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</si>
  <si>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</si>
  <si>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</si>
  <si>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</si>
  <si>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</si>
  <si>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</si>
  <si>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</si>
  <si>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</si>
  <si>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</si>
  <si>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</si>
  <si>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</si>
  <si>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</si>
  <si>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</si>
  <si>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</si>
  <si>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</si>
  <si>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</si>
  <si>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</si>
  <si>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</si>
  <si>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</si>
  <si>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</si>
  <si>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</si>
  <si>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</si>
  <si>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</si>
  <si>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</si>
  <si>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</si>
  <si>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</si>
  <si>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</si>
  <si>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</si>
  <si>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</si>
  <si>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</si>
  <si>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</si>
  <si>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</si>
  <si>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</si>
  <si>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</si>
  <si>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</si>
  <si>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</si>
  <si>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</si>
  <si>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</si>
  <si>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</si>
  <si>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</si>
  <si>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</si>
  <si>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</si>
  <si>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</si>
  <si>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</si>
  <si>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</si>
  <si>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</si>
  <si>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</si>
  <si>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</si>
  <si>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</si>
  <si>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</si>
  <si>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</si>
  <si>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</si>
  <si>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</si>
  <si>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</si>
  <si>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</si>
  <si>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</si>
  <si>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</si>
  <si>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</si>
  <si>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</si>
  <si>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</si>
  <si>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</si>
  <si>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</si>
  <si>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</si>
  <si>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</si>
  <si>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</si>
  <si>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</si>
  <si>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</si>
  <si>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</si>
  <si>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</si>
  <si>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</si>
  <si>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</si>
  <si>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</si>
  <si>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</si>
  <si>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</si>
  <si>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</si>
  <si>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</si>
  <si>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</si>
  <si>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</si>
  <si>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</si>
  <si>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</si>
  <si>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</si>
  <si>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</si>
  <si>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</si>
  <si>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</si>
  <si>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</si>
  <si>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</si>
  <si>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</si>
  <si>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</si>
  <si>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</si>
  <si>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</si>
  <si>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</si>
  <si>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</si>
  <si>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</si>
  <si>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</si>
  <si>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</si>
  <si>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</si>
  <si>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</si>
  <si>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</si>
  <si>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</si>
  <si>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</si>
  <si>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</si>
  <si>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</si>
  <si>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</si>
  <si>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</si>
  <si>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</si>
  <si>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</si>
  <si>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</si>
  <si>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</si>
  <si>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</si>
  <si>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</si>
  <si>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</si>
  <si>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</si>
  <si>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</si>
  <si>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</si>
  <si>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</si>
  <si>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</si>
  <si>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</si>
  <si>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</si>
  <si>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</si>
  <si>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</si>
  <si>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</si>
  <si>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</si>
  <si>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</si>
  <si>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</si>
  <si>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</si>
  <si>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</si>
  <si>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</si>
  <si>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</si>
  <si>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</si>
  <si>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</si>
  <si>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</si>
  <si>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</si>
  <si>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</si>
  <si>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</si>
  <si>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</si>
  <si>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</si>
  <si>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</si>
  <si>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</si>
  <si>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</si>
  <si>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</si>
  <si>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</si>
  <si>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</si>
  <si>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</si>
  <si>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</si>
  <si>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</si>
  <si>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</si>
  <si>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</si>
  <si>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</si>
  <si>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</si>
  <si>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</si>
  <si>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</si>
  <si>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</si>
  <si>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</si>
  <si>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</si>
  <si>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</si>
  <si>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</si>
  <si>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</si>
  <si>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</si>
  <si>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</si>
  <si>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</si>
  <si>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</si>
  <si>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</si>
  <si>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</si>
  <si>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</si>
  <si>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Percentage of old houses (built before 1992)</t>
  </si>
  <si>
    <t>Percentage of new houses (built after 1991)</t>
  </si>
  <si>
    <t>electricity-driven heat pump (air)</t>
  </si>
  <si>
    <t>Percentage of useful heat in space heating delivered by solar thermal panel (if household is equipped)</t>
  </si>
  <si>
    <t>residences_useful_demand_for_hot_water_after_solar_heater_and_p2h_parent_share</t>
  </si>
  <si>
    <t>households_useful_demand_for_hot_water_for_houses_with_p2h</t>
  </si>
  <si>
    <t>residences_useful_demand_for_hot_water_for_houses_with_p2h_child_share</t>
  </si>
  <si>
    <t>households_flexibility_p2h_electricity</t>
  </si>
  <si>
    <t>households_useful_demand_for_hot_water_after_solar_heater_and_p2h</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</si>
  <si>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</si>
  <si>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</si>
  <si>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</si>
  <si>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</si>
  <si>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</si>
  <si>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</si>
  <si>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</si>
  <si>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</si>
  <si>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</si>
  <si>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</si>
  <si>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</si>
  <si>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</si>
  <si>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</si>
  <si>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</si>
  <si>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</si>
  <si>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</si>
  <si>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</si>
  <si>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</si>
  <si>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</si>
  <si>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</si>
  <si>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</si>
  <si>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</si>
  <si>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</si>
  <si>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</si>
  <si>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</si>
  <si>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</si>
  <si>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</si>
  <si>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example</t>
  </si>
  <si>
    <t>UD share network_gas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</si>
</sst>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40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7">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165" fontId="17" fillId="0" borderId="33"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68"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167" fontId="0" fillId="0" borderId="5" xfId="0" applyNumberFormat="1" applyBorder="1"/>
    <xf numFmtId="2" fontId="0" fillId="0" borderId="8" xfId="1" applyNumberFormat="1" applyFont="1" applyBorder="1"/>
    <xf numFmtId="0" fontId="7" fillId="0" borderId="14" xfId="1" applyNumberFormat="1" applyFont="1" applyFill="1" applyBorder="1"/>
    <xf numFmtId="0" fontId="11" fillId="2" borderId="7" xfId="0" quotePrefix="1" applyFont="1" applyFill="1" applyBorder="1"/>
    <xf numFmtId="9" fontId="0" fillId="0" borderId="5" xfId="1" applyNumberFormat="1" applyFont="1" applyBorder="1"/>
    <xf numFmtId="0" fontId="13" fillId="2" borderId="2" xfId="0" applyFont="1" applyFill="1" applyBorder="1"/>
    <xf numFmtId="0" fontId="13" fillId="2" borderId="33" xfId="0" applyFont="1" applyFill="1" applyBorder="1"/>
    <xf numFmtId="3" fontId="17" fillId="0" borderId="2" xfId="1524" applyNumberFormat="1" applyFont="1" applyBorder="1"/>
    <xf numFmtId="2" fontId="24" fillId="0" borderId="0" xfId="818" applyNumberFormat="1" applyFont="1" applyBorder="1"/>
    <xf numFmtId="2" fontId="24" fillId="0" borderId="7" xfId="818" applyNumberFormat="1" applyFont="1" applyBorder="1"/>
    <xf numFmtId="2" fontId="24" fillId="8" borderId="7" xfId="0" applyNumberFormat="1" applyFont="1" applyFill="1" applyBorder="1"/>
    <xf numFmtId="2" fontId="24" fillId="2" borderId="0" xfId="818" applyNumberFormat="1" applyFont="1" applyFill="1" applyBorder="1"/>
    <xf numFmtId="2" fontId="24" fillId="3" borderId="0" xfId="0" applyNumberFormat="1" applyFont="1" applyFill="1" applyBorder="1"/>
    <xf numFmtId="2" fontId="24" fillId="8" borderId="39" xfId="0" applyNumberFormat="1" applyFont="1" applyFill="1" applyBorder="1"/>
    <xf numFmtId="2" fontId="24" fillId="2" borderId="2" xfId="818" applyNumberFormat="1" applyFont="1" applyFill="1" applyBorder="1"/>
    <xf numFmtId="2" fontId="24" fillId="3" borderId="7" xfId="0" applyNumberFormat="1" applyFont="1" applyFill="1" applyBorder="1"/>
    <xf numFmtId="2" fontId="24" fillId="2" borderId="7" xfId="0" applyNumberFormat="1" applyFont="1" applyFill="1" applyBorder="1"/>
    <xf numFmtId="2" fontId="13" fillId="3" borderId="18" xfId="0"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externalLink" Target="externalLinks/externalLink1.xml"/><Relationship Id="rId48" Type="http://schemas.openxmlformats.org/officeDocument/2006/relationships/theme" Target="theme/theme1.xml"/><Relationship Id="rId49" Type="http://schemas.openxmlformats.org/officeDocument/2006/relationships/styles" Target="style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haredStrings" Target="sharedStrings.xml"/><Relationship Id="rId5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198</v>
      </c>
    </row>
    <row r="4" spans="2:4" x14ac:dyDescent="0.2">
      <c r="B4" s="3" t="s">
        <v>1</v>
      </c>
      <c r="C4" s="4" t="str">
        <f>"Residence analysis "&amp;C6&amp;" "&amp;C7</f>
        <v>Residence analysis example 2011</v>
      </c>
      <c r="D4" s="5"/>
    </row>
    <row r="5" spans="2:4" x14ac:dyDescent="0.2">
      <c r="B5" s="6" t="s">
        <v>2</v>
      </c>
      <c r="C5" s="446">
        <f>MAX(Changelog!D:D)</f>
        <v>2.1800000000000002</v>
      </c>
      <c r="D5" s="7"/>
    </row>
    <row r="6" spans="2:4" x14ac:dyDescent="0.2">
      <c r="B6" s="146" t="s">
        <v>321</v>
      </c>
      <c r="C6" s="147" t="str">
        <f>Dashboard!E11</f>
        <v>example</v>
      </c>
      <c r="D6" s="7"/>
    </row>
    <row r="7" spans="2:4" x14ac:dyDescent="0.2">
      <c r="B7" s="146" t="s">
        <v>322</v>
      </c>
      <c r="C7" s="148">
        <f>Dashboard!E12</f>
        <v>2011</v>
      </c>
      <c r="D7" s="7"/>
    </row>
    <row r="8" spans="2:4" x14ac:dyDescent="0.2">
      <c r="B8" s="6" t="s">
        <v>3</v>
      </c>
      <c r="C8" s="403">
        <f>MAX(Changelog!B:B)</f>
        <v>41618</v>
      </c>
      <c r="D8" s="7"/>
    </row>
    <row r="9" spans="2:4" x14ac:dyDescent="0.2">
      <c r="B9" s="6" t="s">
        <v>4</v>
      </c>
      <c r="C9" s="8" t="s">
        <v>231</v>
      </c>
      <c r="D9" s="7"/>
    </row>
    <row r="10" spans="2:4" x14ac:dyDescent="0.2">
      <c r="B10" s="9" t="s">
        <v>19</v>
      </c>
      <c r="C10" s="10" t="s">
        <v>5</v>
      </c>
      <c r="D10" s="11"/>
    </row>
    <row r="12" spans="2:4" x14ac:dyDescent="0.2">
      <c r="B12" s="3" t="s">
        <v>9</v>
      </c>
      <c r="C12" s="4"/>
      <c r="D12" s="5"/>
    </row>
    <row r="13" spans="2:4" x14ac:dyDescent="0.2">
      <c r="B13" s="22"/>
      <c r="C13" s="8"/>
      <c r="D13" s="7"/>
    </row>
    <row r="14" spans="2:4" x14ac:dyDescent="0.2">
      <c r="B14" s="22" t="s">
        <v>10</v>
      </c>
      <c r="C14" s="23" t="s">
        <v>11</v>
      </c>
      <c r="D14" s="7"/>
    </row>
    <row r="15" spans="2:4" ht="17" thickBot="1" x14ac:dyDescent="0.25">
      <c r="B15" s="22"/>
      <c r="C15" s="15" t="s">
        <v>12</v>
      </c>
      <c r="D15" s="7"/>
    </row>
    <row r="16" spans="2:4" ht="17" thickBot="1" x14ac:dyDescent="0.25">
      <c r="B16" s="22"/>
      <c r="C16" s="24" t="s">
        <v>13</v>
      </c>
      <c r="D16" s="7"/>
    </row>
    <row r="17" spans="2:4" x14ac:dyDescent="0.2">
      <c r="B17" s="22"/>
      <c r="C17" s="8" t="s">
        <v>14</v>
      </c>
      <c r="D17" s="7"/>
    </row>
    <row r="18" spans="2:4" x14ac:dyDescent="0.2">
      <c r="B18" s="22"/>
      <c r="C18" s="8"/>
      <c r="D18" s="7"/>
    </row>
    <row r="19" spans="2:4" x14ac:dyDescent="0.2">
      <c r="B19" s="22" t="s">
        <v>673</v>
      </c>
      <c r="C19" s="25" t="s">
        <v>217</v>
      </c>
      <c r="D19" s="7"/>
    </row>
    <row r="20" spans="2:4" x14ac:dyDescent="0.2">
      <c r="B20" s="22"/>
      <c r="C20" s="124" t="s">
        <v>17</v>
      </c>
      <c r="D20" s="7"/>
    </row>
    <row r="21" spans="2:4" x14ac:dyDescent="0.2">
      <c r="B21" s="22"/>
      <c r="C21" s="125" t="s">
        <v>218</v>
      </c>
      <c r="D21" s="7"/>
    </row>
    <row r="22" spans="2:4" x14ac:dyDescent="0.2">
      <c r="B22" s="22"/>
      <c r="C22" s="126" t="s">
        <v>27</v>
      </c>
      <c r="D22" s="7"/>
    </row>
    <row r="23" spans="2:4" x14ac:dyDescent="0.2">
      <c r="B23" s="20"/>
      <c r="C23" s="26" t="s">
        <v>15</v>
      </c>
      <c r="D23" s="7"/>
    </row>
    <row r="24" spans="2:4" x14ac:dyDescent="0.2">
      <c r="B24" s="20"/>
      <c r="C24" s="127" t="s">
        <v>219</v>
      </c>
      <c r="D24" s="7"/>
    </row>
    <row r="25" spans="2:4" x14ac:dyDescent="0.2">
      <c r="B25" s="20"/>
      <c r="C25" s="128" t="s">
        <v>16</v>
      </c>
      <c r="D25" s="7"/>
    </row>
    <row r="26" spans="2:4" x14ac:dyDescent="0.2">
      <c r="B26" s="20"/>
      <c r="C26" s="98" t="s">
        <v>230</v>
      </c>
      <c r="D26" s="7"/>
    </row>
    <row r="27" spans="2:4" x14ac:dyDescent="0.2">
      <c r="B27" s="21"/>
      <c r="C27" s="462"/>
      <c r="D27" s="11"/>
    </row>
    <row r="29" spans="2:4" x14ac:dyDescent="0.2">
      <c r="B29" s="3" t="s">
        <v>18</v>
      </c>
      <c r="C29" s="4"/>
      <c r="D29" s="5"/>
    </row>
    <row r="30" spans="2:4" ht="64" x14ac:dyDescent="0.2">
      <c r="B30" s="20"/>
      <c r="C30" s="463" t="s">
        <v>717</v>
      </c>
      <c r="D30" s="7"/>
    </row>
    <row r="31" spans="2:4" x14ac:dyDescent="0.2">
      <c r="B31" s="20"/>
      <c r="C31" s="8"/>
      <c r="D31" s="7"/>
    </row>
    <row r="32" spans="2:4" x14ac:dyDescent="0.2">
      <c r="B32" s="20"/>
      <c r="C32" s="8"/>
      <c r="D32" s="7"/>
    </row>
    <row r="33" spans="2:4" x14ac:dyDescent="0.2">
      <c r="B33" s="20"/>
      <c r="C33" s="8"/>
      <c r="D33" s="7"/>
    </row>
    <row r="34" spans="2:4" x14ac:dyDescent="0.2">
      <c r="B34" s="20"/>
      <c r="C34" s="8"/>
      <c r="D34" s="7"/>
    </row>
    <row r="35" spans="2:4" x14ac:dyDescent="0.2">
      <c r="B35" s="20"/>
      <c r="C35" s="8"/>
      <c r="D35" s="7"/>
    </row>
    <row r="36" spans="2:4" x14ac:dyDescent="0.2">
      <c r="B36" s="20"/>
      <c r="C36" s="8"/>
      <c r="D36" s="7"/>
    </row>
    <row r="37" spans="2:4" x14ac:dyDescent="0.2">
      <c r="B37" s="20"/>
      <c r="C37" s="8"/>
      <c r="D37" s="7"/>
    </row>
    <row r="38" spans="2:4" x14ac:dyDescent="0.2">
      <c r="B38" s="20"/>
      <c r="C38" s="8"/>
      <c r="D38" s="7"/>
    </row>
    <row r="39" spans="2:4" x14ac:dyDescent="0.2">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election activeCell="C36" sqref="C36"/>
    </sheetView>
  </sheetViews>
  <sheetFormatPr baseColWidth="10" defaultRowHeight="16" x14ac:dyDescent="0.2"/>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x14ac:dyDescent="0.25">
      <c r="B2" s="2" t="s">
        <v>0</v>
      </c>
    </row>
    <row r="4" spans="2:4" x14ac:dyDescent="0.2">
      <c r="B4" s="12" t="s">
        <v>3</v>
      </c>
      <c r="C4" s="13" t="s">
        <v>6</v>
      </c>
      <c r="D4" s="14" t="s">
        <v>7</v>
      </c>
    </row>
    <row r="5" spans="2:4" x14ac:dyDescent="0.2">
      <c r="B5" s="6"/>
      <c r="C5" s="15"/>
      <c r="D5" s="16"/>
    </row>
    <row r="6" spans="2:4" x14ac:dyDescent="0.2">
      <c r="B6" s="402">
        <v>41474</v>
      </c>
      <c r="C6" s="17" t="s">
        <v>8</v>
      </c>
      <c r="D6" s="27">
        <v>1</v>
      </c>
    </row>
    <row r="7" spans="2:4" x14ac:dyDescent="0.2">
      <c r="B7" s="402">
        <v>41484</v>
      </c>
      <c r="C7" s="17" t="s">
        <v>500</v>
      </c>
      <c r="D7" s="27">
        <v>1</v>
      </c>
    </row>
    <row r="8" spans="2:4" x14ac:dyDescent="0.2">
      <c r="B8" s="402">
        <v>41485</v>
      </c>
      <c r="C8" s="17" t="s">
        <v>517</v>
      </c>
      <c r="D8" s="27">
        <v>1.01</v>
      </c>
    </row>
    <row r="9" spans="2:4" x14ac:dyDescent="0.2">
      <c r="B9" s="19"/>
      <c r="C9" s="17" t="s">
        <v>518</v>
      </c>
      <c r="D9" s="27"/>
    </row>
    <row r="10" spans="2:4" x14ac:dyDescent="0.2">
      <c r="B10" s="402">
        <v>41486</v>
      </c>
      <c r="C10" s="71" t="s">
        <v>579</v>
      </c>
      <c r="D10" s="27"/>
    </row>
    <row r="11" spans="2:4" x14ac:dyDescent="0.2">
      <c r="B11" s="116"/>
      <c r="C11" s="17" t="s">
        <v>529</v>
      </c>
      <c r="D11" s="27"/>
    </row>
    <row r="12" spans="2:4" x14ac:dyDescent="0.2">
      <c r="B12" s="402">
        <v>41490</v>
      </c>
      <c r="C12" s="17" t="s">
        <v>569</v>
      </c>
      <c r="D12" s="27">
        <v>2</v>
      </c>
    </row>
    <row r="13" spans="2:4" x14ac:dyDescent="0.2">
      <c r="B13" s="19"/>
      <c r="C13" s="17" t="s">
        <v>570</v>
      </c>
      <c r="D13" s="27"/>
    </row>
    <row r="14" spans="2:4" x14ac:dyDescent="0.2">
      <c r="B14" s="19"/>
      <c r="C14" s="17" t="s">
        <v>571</v>
      </c>
      <c r="D14" s="27"/>
    </row>
    <row r="15" spans="2:4" x14ac:dyDescent="0.2">
      <c r="B15" s="19"/>
      <c r="C15" s="40" t="s">
        <v>572</v>
      </c>
      <c r="D15" s="27"/>
    </row>
    <row r="16" spans="2:4" x14ac:dyDescent="0.2">
      <c r="B16" s="402">
        <v>41491</v>
      </c>
      <c r="C16" s="17" t="s">
        <v>587</v>
      </c>
      <c r="D16" s="27">
        <v>2.0099999999999998</v>
      </c>
    </row>
    <row r="17" spans="2:4" x14ac:dyDescent="0.2">
      <c r="B17" s="402">
        <v>41492</v>
      </c>
      <c r="C17" s="40" t="s">
        <v>644</v>
      </c>
      <c r="D17" s="27">
        <v>2.02</v>
      </c>
    </row>
    <row r="18" spans="2:4" x14ac:dyDescent="0.2">
      <c r="B18" s="402">
        <v>41494</v>
      </c>
      <c r="C18" s="17" t="s">
        <v>692</v>
      </c>
      <c r="D18" s="27">
        <v>2.02</v>
      </c>
    </row>
    <row r="19" spans="2:4" x14ac:dyDescent="0.2">
      <c r="B19" s="402">
        <v>41495</v>
      </c>
      <c r="C19" s="40" t="s">
        <v>702</v>
      </c>
      <c r="D19" s="27">
        <v>2.0299999999999998</v>
      </c>
    </row>
    <row r="20" spans="2:4" x14ac:dyDescent="0.2">
      <c r="B20" s="402">
        <v>41500</v>
      </c>
      <c r="C20" s="40" t="s">
        <v>716</v>
      </c>
      <c r="D20" s="27">
        <v>2.04</v>
      </c>
    </row>
    <row r="21" spans="2:4" x14ac:dyDescent="0.2">
      <c r="B21" s="402">
        <v>41505</v>
      </c>
      <c r="C21" s="40" t="s">
        <v>721</v>
      </c>
      <c r="D21" s="27">
        <v>2.0499999999999998</v>
      </c>
    </row>
    <row r="22" spans="2:4" x14ac:dyDescent="0.2">
      <c r="B22" s="402">
        <v>41507</v>
      </c>
      <c r="C22" s="40" t="s">
        <v>736</v>
      </c>
      <c r="D22" s="27" t="s">
        <v>479</v>
      </c>
    </row>
    <row r="23" spans="2:4" ht="32" x14ac:dyDescent="0.2">
      <c r="B23" s="402">
        <v>41507</v>
      </c>
      <c r="C23" s="40" t="s">
        <v>728</v>
      </c>
      <c r="D23" s="27">
        <v>2.06</v>
      </c>
    </row>
    <row r="24" spans="2:4" ht="32" x14ac:dyDescent="0.2">
      <c r="B24" s="402">
        <v>41512</v>
      </c>
      <c r="C24" s="40" t="s">
        <v>737</v>
      </c>
      <c r="D24" s="27">
        <v>2.0699999999999998</v>
      </c>
    </row>
    <row r="25" spans="2:4" x14ac:dyDescent="0.2">
      <c r="B25" s="402">
        <v>41534</v>
      </c>
      <c r="C25" s="40" t="s">
        <v>750</v>
      </c>
      <c r="D25" s="27">
        <v>2.08</v>
      </c>
    </row>
    <row r="26" spans="2:4" x14ac:dyDescent="0.2">
      <c r="B26" s="402">
        <v>41535</v>
      </c>
      <c r="C26" s="40" t="s">
        <v>791</v>
      </c>
      <c r="D26" s="27">
        <v>2.09</v>
      </c>
    </row>
    <row r="27" spans="2:4" x14ac:dyDescent="0.2">
      <c r="B27" s="402">
        <v>41535</v>
      </c>
      <c r="C27" s="40" t="s">
        <v>798</v>
      </c>
      <c r="D27" s="27">
        <v>2.1</v>
      </c>
    </row>
    <row r="28" spans="2:4" x14ac:dyDescent="0.2">
      <c r="B28" s="402">
        <v>41561</v>
      </c>
      <c r="C28" s="40" t="s">
        <v>801</v>
      </c>
      <c r="D28" s="18">
        <v>2.11</v>
      </c>
    </row>
    <row r="29" spans="2:4" x14ac:dyDescent="0.2">
      <c r="B29" s="614">
        <v>41562</v>
      </c>
      <c r="C29" s="615" t="s">
        <v>803</v>
      </c>
      <c r="D29" s="18">
        <v>2.12</v>
      </c>
    </row>
    <row r="30" spans="2:4" x14ac:dyDescent="0.2">
      <c r="B30" s="614">
        <v>41578</v>
      </c>
      <c r="C30" s="40" t="s">
        <v>807</v>
      </c>
      <c r="D30" s="18">
        <v>2.13</v>
      </c>
    </row>
    <row r="31" spans="2:4" x14ac:dyDescent="0.2">
      <c r="B31" s="614">
        <v>41618</v>
      </c>
      <c r="C31" s="40" t="s">
        <v>844</v>
      </c>
      <c r="D31" s="18">
        <v>2.14</v>
      </c>
    </row>
    <row r="32" spans="2:4" ht="32" x14ac:dyDescent="0.2">
      <c r="B32" s="402" t="s">
        <v>850</v>
      </c>
      <c r="C32" s="40" t="s">
        <v>851</v>
      </c>
      <c r="D32" s="18">
        <v>2.15</v>
      </c>
    </row>
    <row r="33" spans="2:4" ht="32" x14ac:dyDescent="0.2">
      <c r="B33" s="402" t="s">
        <v>853</v>
      </c>
      <c r="C33" s="40" t="s">
        <v>852</v>
      </c>
      <c r="D33" s="18">
        <v>2.16</v>
      </c>
    </row>
    <row r="34" spans="2:4" x14ac:dyDescent="0.2">
      <c r="B34" s="402" t="s">
        <v>854</v>
      </c>
      <c r="C34" s="40" t="s">
        <v>855</v>
      </c>
      <c r="D34" s="18">
        <v>2.17</v>
      </c>
    </row>
    <row r="35" spans="2:4" ht="32" x14ac:dyDescent="0.2">
      <c r="B35" s="19" t="s">
        <v>887</v>
      </c>
      <c r="C35" s="40" t="s">
        <v>888</v>
      </c>
      <c r="D35" s="18">
        <v>2.1800000000000002</v>
      </c>
    </row>
    <row r="36" spans="2:4" x14ac:dyDescent="0.2">
      <c r="B36" s="21"/>
      <c r="C36" s="10"/>
      <c r="D36" s="11"/>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topLeftCell="A30" workbookViewId="0">
      <selection activeCell="B51" sqref="B51:C51"/>
    </sheetView>
  </sheetViews>
  <sheetFormatPr baseColWidth="10" defaultRowHeight="16" x14ac:dyDescent="0.2"/>
  <cols>
    <col min="1" max="1" width="10.83203125" style="1"/>
    <col min="2" max="2" width="56.1640625" style="1" bestFit="1" customWidth="1"/>
    <col min="3" max="3" width="136.1640625" style="1" bestFit="1" customWidth="1"/>
    <col min="4" max="16384" width="10.83203125" style="1"/>
  </cols>
  <sheetData>
    <row r="2" spans="2:3" ht="21" x14ac:dyDescent="0.25">
      <c r="B2" s="2" t="s">
        <v>20</v>
      </c>
    </row>
    <row r="4" spans="2:3" x14ac:dyDescent="0.2">
      <c r="B4" s="85" t="s">
        <v>21</v>
      </c>
      <c r="C4" s="14" t="s">
        <v>22</v>
      </c>
    </row>
    <row r="5" spans="2:3" x14ac:dyDescent="0.2">
      <c r="B5" s="54"/>
      <c r="C5" s="16"/>
    </row>
    <row r="6" spans="2:3" ht="28" customHeight="1" x14ac:dyDescent="0.2">
      <c r="B6" s="479" t="s">
        <v>198</v>
      </c>
      <c r="C6" s="480" t="s">
        <v>200</v>
      </c>
    </row>
    <row r="7" spans="2:3" ht="28" customHeight="1" x14ac:dyDescent="0.2">
      <c r="B7" s="479" t="s">
        <v>0</v>
      </c>
      <c r="C7" s="481" t="s">
        <v>201</v>
      </c>
    </row>
    <row r="8" spans="2:3" ht="28" customHeight="1" x14ac:dyDescent="0.2">
      <c r="B8" s="479" t="s">
        <v>468</v>
      </c>
      <c r="C8" s="482" t="s">
        <v>469</v>
      </c>
    </row>
    <row r="9" spans="2:3" ht="28" customHeight="1" x14ac:dyDescent="0.2">
      <c r="B9" s="479" t="s">
        <v>20</v>
      </c>
      <c r="C9" s="481" t="s">
        <v>23</v>
      </c>
    </row>
    <row r="10" spans="2:3" ht="28" customHeight="1" x14ac:dyDescent="0.2">
      <c r="B10" s="479" t="s">
        <v>24</v>
      </c>
      <c r="C10" s="481" t="s">
        <v>467</v>
      </c>
    </row>
    <row r="11" spans="2:3" ht="28" customHeight="1" x14ac:dyDescent="0.2">
      <c r="B11" s="479" t="s">
        <v>199</v>
      </c>
      <c r="C11" s="481" t="s">
        <v>197</v>
      </c>
    </row>
    <row r="12" spans="2:3" ht="28" customHeight="1" x14ac:dyDescent="0.2">
      <c r="B12" s="479" t="s">
        <v>25</v>
      </c>
      <c r="C12" s="481" t="s">
        <v>26</v>
      </c>
    </row>
    <row r="13" spans="2:3" ht="28" customHeight="1" x14ac:dyDescent="0.2">
      <c r="B13" s="483" t="s">
        <v>715</v>
      </c>
      <c r="C13" s="481" t="s">
        <v>225</v>
      </c>
    </row>
    <row r="14" spans="2:3" ht="28" customHeight="1" x14ac:dyDescent="0.2">
      <c r="B14" s="483" t="s">
        <v>188</v>
      </c>
      <c r="C14" s="481" t="s">
        <v>220</v>
      </c>
    </row>
    <row r="15" spans="2:3" ht="28" customHeight="1" x14ac:dyDescent="0.2">
      <c r="B15" s="484" t="s">
        <v>27</v>
      </c>
      <c r="C15" s="481" t="s">
        <v>28</v>
      </c>
    </row>
    <row r="16" spans="2:3" ht="28" customHeight="1" x14ac:dyDescent="0.2">
      <c r="B16" s="488" t="s">
        <v>472</v>
      </c>
      <c r="C16" s="489" t="s">
        <v>474</v>
      </c>
    </row>
    <row r="17" spans="2:3" ht="28" customHeight="1" x14ac:dyDescent="0.2">
      <c r="B17" s="488" t="s">
        <v>473</v>
      </c>
      <c r="C17" s="489" t="s">
        <v>475</v>
      </c>
    </row>
    <row r="18" spans="2:3" ht="28" customHeight="1" x14ac:dyDescent="0.2">
      <c r="B18" s="488" t="s">
        <v>476</v>
      </c>
      <c r="C18" s="489" t="s">
        <v>477</v>
      </c>
    </row>
    <row r="19" spans="2:3" ht="28" customHeight="1" x14ac:dyDescent="0.2">
      <c r="B19" s="486" t="s">
        <v>184</v>
      </c>
      <c r="C19" s="481" t="s">
        <v>471</v>
      </c>
    </row>
    <row r="20" spans="2:3" ht="28" customHeight="1" x14ac:dyDescent="0.2">
      <c r="B20" s="486" t="s">
        <v>720</v>
      </c>
      <c r="C20" s="481" t="s">
        <v>223</v>
      </c>
    </row>
    <row r="21" spans="2:3" ht="28" customHeight="1" x14ac:dyDescent="0.2">
      <c r="B21" s="485" t="s">
        <v>519</v>
      </c>
      <c r="C21" s="489" t="s">
        <v>520</v>
      </c>
    </row>
    <row r="22" spans="2:3" ht="28" customHeight="1" x14ac:dyDescent="0.2">
      <c r="B22" s="486" t="s">
        <v>213</v>
      </c>
      <c r="C22" s="481" t="s">
        <v>470</v>
      </c>
    </row>
    <row r="23" spans="2:3" ht="28" customHeight="1" x14ac:dyDescent="0.2">
      <c r="B23" s="487" t="s">
        <v>714</v>
      </c>
      <c r="C23" s="481" t="s">
        <v>224</v>
      </c>
    </row>
    <row r="24" spans="2:3" ht="28" customHeight="1" x14ac:dyDescent="0.2">
      <c r="B24" s="490" t="s">
        <v>645</v>
      </c>
      <c r="C24" s="481" t="s">
        <v>497</v>
      </c>
    </row>
    <row r="25" spans="2:3" ht="28" customHeight="1" x14ac:dyDescent="0.2">
      <c r="B25" s="490" t="s">
        <v>646</v>
      </c>
      <c r="C25" s="481" t="s">
        <v>497</v>
      </c>
    </row>
    <row r="26" spans="2:3" ht="28" customHeight="1" x14ac:dyDescent="0.2">
      <c r="B26" s="490" t="s">
        <v>647</v>
      </c>
      <c r="C26" s="481" t="s">
        <v>497</v>
      </c>
    </row>
    <row r="27" spans="2:3" ht="28" customHeight="1" x14ac:dyDescent="0.2">
      <c r="B27" s="490" t="s">
        <v>648</v>
      </c>
      <c r="C27" s="481" t="s">
        <v>497</v>
      </c>
    </row>
    <row r="28" spans="2:3" ht="28" customHeight="1" x14ac:dyDescent="0.2">
      <c r="B28" s="490" t="s">
        <v>649</v>
      </c>
      <c r="C28" s="481" t="s">
        <v>497</v>
      </c>
    </row>
    <row r="29" spans="2:3" ht="28" customHeight="1" x14ac:dyDescent="0.2">
      <c r="B29" s="490" t="s">
        <v>650</v>
      </c>
      <c r="C29" s="481" t="s">
        <v>497</v>
      </c>
    </row>
    <row r="30" spans="2:3" ht="28" customHeight="1" x14ac:dyDescent="0.2">
      <c r="B30" s="490" t="s">
        <v>651</v>
      </c>
      <c r="C30" s="481" t="s">
        <v>497</v>
      </c>
    </row>
    <row r="31" spans="2:3" ht="28" customHeight="1" x14ac:dyDescent="0.2">
      <c r="B31" s="490" t="s">
        <v>652</v>
      </c>
      <c r="C31" s="481" t="s">
        <v>497</v>
      </c>
    </row>
    <row r="32" spans="2:3" ht="28" customHeight="1" x14ac:dyDescent="0.2">
      <c r="B32" s="490" t="s">
        <v>653</v>
      </c>
      <c r="C32" s="481" t="s">
        <v>497</v>
      </c>
    </row>
    <row r="33" spans="2:3" ht="28" customHeight="1" x14ac:dyDescent="0.2">
      <c r="B33" s="490" t="s">
        <v>654</v>
      </c>
      <c r="C33" s="481" t="s">
        <v>497</v>
      </c>
    </row>
    <row r="34" spans="2:3" ht="28" customHeight="1" x14ac:dyDescent="0.2">
      <c r="B34" s="490" t="s">
        <v>655</v>
      </c>
      <c r="C34" s="481" t="s">
        <v>497</v>
      </c>
    </row>
    <row r="35" spans="2:3" ht="28" customHeight="1" x14ac:dyDescent="0.2">
      <c r="B35" s="490" t="s">
        <v>656</v>
      </c>
      <c r="C35" s="481" t="s">
        <v>497</v>
      </c>
    </row>
    <row r="36" spans="2:3" ht="28" customHeight="1" x14ac:dyDescent="0.2">
      <c r="B36" s="490" t="s">
        <v>657</v>
      </c>
      <c r="C36" s="481" t="s">
        <v>497</v>
      </c>
    </row>
    <row r="37" spans="2:3" ht="28" customHeight="1" x14ac:dyDescent="0.2">
      <c r="B37" s="490" t="s">
        <v>658</v>
      </c>
      <c r="C37" s="481" t="s">
        <v>497</v>
      </c>
    </row>
    <row r="38" spans="2:3" ht="28" customHeight="1" x14ac:dyDescent="0.2">
      <c r="B38" s="490" t="s">
        <v>659</v>
      </c>
      <c r="C38" s="481" t="s">
        <v>497</v>
      </c>
    </row>
    <row r="39" spans="2:3" ht="28" customHeight="1" x14ac:dyDescent="0.2">
      <c r="B39" s="490" t="s">
        <v>660</v>
      </c>
      <c r="C39" s="481" t="s">
        <v>497</v>
      </c>
    </row>
    <row r="40" spans="2:3" ht="28" customHeight="1" x14ac:dyDescent="0.2">
      <c r="B40" s="490" t="s">
        <v>661</v>
      </c>
      <c r="C40" s="481" t="s">
        <v>497</v>
      </c>
    </row>
    <row r="41" spans="2:3" ht="28" customHeight="1" x14ac:dyDescent="0.2">
      <c r="B41" s="490" t="s">
        <v>662</v>
      </c>
      <c r="C41" s="481" t="s">
        <v>497</v>
      </c>
    </row>
    <row r="42" spans="2:3" ht="28" customHeight="1" x14ac:dyDescent="0.2">
      <c r="B42" s="490" t="s">
        <v>663</v>
      </c>
      <c r="C42" s="481" t="s">
        <v>672</v>
      </c>
    </row>
    <row r="43" spans="2:3" ht="28" customHeight="1" x14ac:dyDescent="0.2">
      <c r="B43" s="490" t="s">
        <v>664</v>
      </c>
      <c r="C43" s="481" t="s">
        <v>672</v>
      </c>
    </row>
    <row r="44" spans="2:3" ht="28" customHeight="1" x14ac:dyDescent="0.2">
      <c r="B44" s="490" t="s">
        <v>665</v>
      </c>
      <c r="C44" s="481" t="s">
        <v>672</v>
      </c>
    </row>
    <row r="45" spans="2:3" ht="28" customHeight="1" x14ac:dyDescent="0.2">
      <c r="B45" s="490" t="s">
        <v>666</v>
      </c>
      <c r="C45" s="481" t="s">
        <v>672</v>
      </c>
    </row>
    <row r="46" spans="2:3" ht="28" customHeight="1" x14ac:dyDescent="0.2">
      <c r="B46" s="490" t="s">
        <v>667</v>
      </c>
      <c r="C46" s="481" t="s">
        <v>672</v>
      </c>
    </row>
    <row r="47" spans="2:3" ht="28" customHeight="1" x14ac:dyDescent="0.2">
      <c r="B47" s="490" t="s">
        <v>668</v>
      </c>
      <c r="C47" s="481" t="s">
        <v>672</v>
      </c>
    </row>
    <row r="48" spans="2:3" ht="28" customHeight="1" x14ac:dyDescent="0.2">
      <c r="B48" s="490" t="s">
        <v>669</v>
      </c>
      <c r="C48" s="481" t="s">
        <v>672</v>
      </c>
    </row>
    <row r="49" spans="2:4" ht="28" customHeight="1" x14ac:dyDescent="0.2">
      <c r="B49" s="490" t="s">
        <v>685</v>
      </c>
      <c r="C49" s="481" t="s">
        <v>698</v>
      </c>
    </row>
    <row r="50" spans="2:4" ht="28" customHeight="1" x14ac:dyDescent="0.2">
      <c r="B50" s="490" t="s">
        <v>688</v>
      </c>
      <c r="C50" s="481" t="s">
        <v>698</v>
      </c>
    </row>
    <row r="51" spans="2:4" ht="28" customHeight="1" x14ac:dyDescent="0.2">
      <c r="B51" s="490" t="s">
        <v>689</v>
      </c>
      <c r="C51" s="481" t="s">
        <v>699</v>
      </c>
    </row>
    <row r="52" spans="2:4" ht="28" customHeight="1" x14ac:dyDescent="0.2">
      <c r="B52" s="490" t="s">
        <v>697</v>
      </c>
      <c r="C52" s="491" t="s">
        <v>712</v>
      </c>
    </row>
    <row r="53" spans="2:4" ht="28" customHeight="1" x14ac:dyDescent="0.2">
      <c r="B53" s="490" t="s">
        <v>670</v>
      </c>
      <c r="C53" s="481" t="s">
        <v>498</v>
      </c>
      <c r="D53" s="20"/>
    </row>
    <row r="54" spans="2:4" ht="28" customHeight="1" x14ac:dyDescent="0.2">
      <c r="B54" s="490" t="s">
        <v>671</v>
      </c>
      <c r="C54" s="481" t="s">
        <v>499</v>
      </c>
    </row>
    <row r="55" spans="2:4" ht="28" customHeight="1" x14ac:dyDescent="0.2"/>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24</v>
      </c>
    </row>
    <row r="4" spans="2:2" x14ac:dyDescent="0.2">
      <c r="B4" s="85" t="s">
        <v>31</v>
      </c>
    </row>
    <row r="5" spans="2:2" x14ac:dyDescent="0.2">
      <c r="B5" s="60"/>
    </row>
    <row r="6" spans="2:2" ht="96" x14ac:dyDescent="0.2">
      <c r="B6" s="87" t="s">
        <v>847</v>
      </c>
    </row>
    <row r="7" spans="2:2" x14ac:dyDescent="0.2">
      <c r="B7" s="99"/>
    </row>
    <row r="8" spans="2:2" x14ac:dyDescent="0.2">
      <c r="B8" s="100" t="s">
        <v>202</v>
      </c>
    </row>
    <row r="9" spans="2:2" x14ac:dyDescent="0.2">
      <c r="B9" s="101"/>
    </row>
    <row r="10" spans="2:2" x14ac:dyDescent="0.2">
      <c r="B10" s="102" t="s">
        <v>674</v>
      </c>
    </row>
    <row r="11" spans="2:2" x14ac:dyDescent="0.2">
      <c r="B11" s="102" t="s">
        <v>675</v>
      </c>
    </row>
    <row r="12" spans="2:2" x14ac:dyDescent="0.2">
      <c r="B12" s="102" t="s">
        <v>676</v>
      </c>
    </row>
    <row r="13" spans="2:2" x14ac:dyDescent="0.2">
      <c r="B13" s="102" t="s">
        <v>677</v>
      </c>
    </row>
    <row r="14" spans="2:2" x14ac:dyDescent="0.2">
      <c r="B14" s="102" t="s">
        <v>678</v>
      </c>
    </row>
    <row r="15" spans="2:2" x14ac:dyDescent="0.2">
      <c r="B15" s="102" t="s">
        <v>679</v>
      </c>
    </row>
    <row r="16" spans="2:2" x14ac:dyDescent="0.2">
      <c r="B16" s="57"/>
    </row>
    <row r="18" spans="2:2" x14ac:dyDescent="0.2">
      <c r="B18" s="85" t="s">
        <v>30</v>
      </c>
    </row>
    <row r="19" spans="2:2" x14ac:dyDescent="0.2">
      <c r="B19" s="60"/>
    </row>
    <row r="20" spans="2:2" ht="96" x14ac:dyDescent="0.2">
      <c r="B20" s="86" t="s">
        <v>724</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6" x14ac:dyDescent="0.2"/>
  <cols>
    <col min="1" max="16384" width="2.83203125" style="1"/>
  </cols>
  <sheetData>
    <row r="2" spans="2:81" ht="31" x14ac:dyDescent="0.2">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1" x14ac:dyDescent="0.2">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x14ac:dyDescent="0.2">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x14ac:dyDescent="0.2">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4" x14ac:dyDescent="0.2">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x14ac:dyDescent="0.2">
      <c r="CC8" s="81"/>
    </row>
    <row r="54" spans="96:96" x14ac:dyDescent="0.2">
      <c r="CR54" s="1" t="s">
        <v>460</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election activeCell="C34" sqref="C34"/>
    </sheetView>
  </sheetViews>
  <sheetFormatPr baseColWidth="10" defaultRowHeight="16" x14ac:dyDescent="0.2"/>
  <cols>
    <col min="1" max="1" width="10.83203125" style="1"/>
    <col min="2" max="2" width="25.5" style="1" customWidth="1"/>
    <col min="3" max="3" width="79.33203125" style="1" customWidth="1"/>
    <col min="4" max="4" width="78.33203125" style="1" customWidth="1"/>
    <col min="5" max="16384" width="10.83203125" style="1"/>
  </cols>
  <sheetData>
    <row r="2" spans="2:4" ht="21" x14ac:dyDescent="0.25">
      <c r="B2" s="2" t="s">
        <v>25</v>
      </c>
      <c r="C2" s="2"/>
    </row>
    <row r="4" spans="2:4" x14ac:dyDescent="0.2">
      <c r="B4" s="3" t="s">
        <v>79</v>
      </c>
      <c r="C4" s="5"/>
    </row>
    <row r="5" spans="2:4" ht="79" customHeight="1" x14ac:dyDescent="0.2">
      <c r="B5" s="654" t="s">
        <v>190</v>
      </c>
      <c r="C5" s="655"/>
    </row>
    <row r="6" spans="2:4" ht="17" thickBot="1" x14ac:dyDescent="0.25"/>
    <row r="7" spans="2:4" x14ac:dyDescent="0.2">
      <c r="B7" s="28" t="s">
        <v>32</v>
      </c>
      <c r="C7" s="29"/>
      <c r="D7" s="30"/>
    </row>
    <row r="8" spans="2:4" x14ac:dyDescent="0.2">
      <c r="B8" s="31"/>
      <c r="C8" s="8"/>
      <c r="D8" s="32"/>
    </row>
    <row r="9" spans="2:4" x14ac:dyDescent="0.2">
      <c r="B9" s="33" t="s">
        <v>33</v>
      </c>
      <c r="C9" s="34" t="s">
        <v>34</v>
      </c>
      <c r="D9" s="35" t="s">
        <v>35</v>
      </c>
    </row>
    <row r="10" spans="2:4" x14ac:dyDescent="0.2">
      <c r="B10" s="38" t="s">
        <v>36</v>
      </c>
      <c r="C10" s="15"/>
      <c r="D10" s="37"/>
    </row>
    <row r="11" spans="2:4" ht="32" x14ac:dyDescent="0.2">
      <c r="B11" s="31"/>
      <c r="C11" s="40" t="s">
        <v>584</v>
      </c>
      <c r="D11" s="41"/>
    </row>
    <row r="12" spans="2:4" x14ac:dyDescent="0.2">
      <c r="B12" s="31"/>
      <c r="C12" s="40"/>
      <c r="D12" s="42"/>
    </row>
    <row r="13" spans="2:4" x14ac:dyDescent="0.2">
      <c r="B13" s="39"/>
      <c r="C13" s="74"/>
      <c r="D13" s="41"/>
    </row>
    <row r="14" spans="2:4" x14ac:dyDescent="0.2">
      <c r="B14" s="39"/>
      <c r="C14" s="74" t="s">
        <v>187</v>
      </c>
      <c r="D14" s="41"/>
    </row>
    <row r="15" spans="2:4" x14ac:dyDescent="0.2">
      <c r="B15" s="39"/>
      <c r="C15" s="74"/>
      <c r="D15" s="41"/>
    </row>
    <row r="16" spans="2:4" ht="15" customHeight="1" x14ac:dyDescent="0.2">
      <c r="B16" s="39"/>
      <c r="C16" s="74" t="s">
        <v>704</v>
      </c>
      <c r="D16" s="41"/>
    </row>
    <row r="17" spans="2:4" ht="15" customHeight="1" x14ac:dyDescent="0.2">
      <c r="B17" s="39"/>
      <c r="C17" s="74"/>
      <c r="D17" s="41"/>
    </row>
    <row r="18" spans="2:4" ht="16" customHeight="1" x14ac:dyDescent="0.2">
      <c r="B18" s="39"/>
      <c r="C18" s="74" t="s">
        <v>478</v>
      </c>
      <c r="D18" s="41" t="s">
        <v>705</v>
      </c>
    </row>
    <row r="19" spans="2:4" ht="14" customHeight="1" x14ac:dyDescent="0.2">
      <c r="B19" s="39"/>
      <c r="C19" s="74"/>
      <c r="D19" s="41"/>
    </row>
    <row r="20" spans="2:4" ht="47" customHeight="1" x14ac:dyDescent="0.2">
      <c r="B20" s="39"/>
      <c r="C20" s="74" t="s">
        <v>586</v>
      </c>
      <c r="D20" s="41"/>
    </row>
    <row r="21" spans="2:4" ht="14" customHeight="1" x14ac:dyDescent="0.2">
      <c r="B21" s="39"/>
      <c r="C21" t="s">
        <v>505</v>
      </c>
      <c r="D21" s="41" t="s">
        <v>703</v>
      </c>
    </row>
    <row r="22" spans="2:4" ht="14" customHeight="1" x14ac:dyDescent="0.2">
      <c r="B22" s="39"/>
      <c r="C22" t="s">
        <v>506</v>
      </c>
      <c r="D22" s="41" t="s">
        <v>703</v>
      </c>
    </row>
    <row r="23" spans="2:4" ht="14" customHeight="1" x14ac:dyDescent="0.2">
      <c r="B23" s="39"/>
      <c r="C23" t="s">
        <v>507</v>
      </c>
      <c r="D23" s="41" t="s">
        <v>703</v>
      </c>
    </row>
    <row r="24" spans="2:4" ht="14" customHeight="1" x14ac:dyDescent="0.2">
      <c r="B24" s="39"/>
      <c r="C24" t="s">
        <v>508</v>
      </c>
      <c r="D24" s="41" t="s">
        <v>703</v>
      </c>
    </row>
    <row r="25" spans="2:4" ht="14" customHeight="1" x14ac:dyDescent="0.2">
      <c r="B25" s="39"/>
      <c r="C25"/>
      <c r="D25" s="41"/>
    </row>
    <row r="26" spans="2:4" ht="80" x14ac:dyDescent="0.2">
      <c r="B26" s="39"/>
      <c r="C26" s="40" t="s">
        <v>748</v>
      </c>
      <c r="D26" s="41"/>
    </row>
    <row r="27" spans="2:4" x14ac:dyDescent="0.2">
      <c r="B27" s="39"/>
      <c r="C27" s="40"/>
      <c r="D27" s="41"/>
    </row>
    <row r="28" spans="2:4" ht="14" customHeight="1" x14ac:dyDescent="0.2">
      <c r="B28" s="39"/>
      <c r="C28" t="s">
        <v>792</v>
      </c>
      <c r="D28" s="41" t="s">
        <v>793</v>
      </c>
    </row>
    <row r="29" spans="2:4" ht="14" customHeight="1" x14ac:dyDescent="0.2">
      <c r="B29" s="39"/>
      <c r="C29"/>
      <c r="D29" s="41"/>
    </row>
    <row r="30" spans="2:4" ht="14" customHeight="1" x14ac:dyDescent="0.2">
      <c r="B30" s="39"/>
      <c r="C30" t="s">
        <v>706</v>
      </c>
      <c r="D30" s="41" t="s">
        <v>703</v>
      </c>
    </row>
    <row r="31" spans="2:4" ht="14" customHeight="1" x14ac:dyDescent="0.2">
      <c r="B31" s="39"/>
      <c r="C31" t="s">
        <v>299</v>
      </c>
      <c r="D31" s="41"/>
    </row>
    <row r="32" spans="2:4" ht="14" customHeight="1" x14ac:dyDescent="0.2">
      <c r="B32" s="39"/>
      <c r="C32" t="s">
        <v>707</v>
      </c>
      <c r="D32" s="41"/>
    </row>
    <row r="33" spans="2:4" ht="14" customHeight="1" x14ac:dyDescent="0.2">
      <c r="B33" s="39"/>
      <c r="C33" t="s">
        <v>708</v>
      </c>
      <c r="D33" s="41"/>
    </row>
    <row r="34" spans="2:4" ht="14" customHeight="1" x14ac:dyDescent="0.2">
      <c r="B34" s="39"/>
      <c r="C34" s="17" t="s">
        <v>709</v>
      </c>
      <c r="D34" s="41"/>
    </row>
    <row r="35" spans="2:4" ht="14" customHeight="1" x14ac:dyDescent="0.2">
      <c r="B35" s="39"/>
      <c r="C35"/>
      <c r="D35" s="41"/>
    </row>
    <row r="36" spans="2:4" ht="14" customHeight="1" x14ac:dyDescent="0.2">
      <c r="B36" s="39"/>
      <c r="C36"/>
      <c r="D36" s="41"/>
    </row>
    <row r="37" spans="2:4" ht="14" customHeight="1" x14ac:dyDescent="0.2">
      <c r="B37" s="39"/>
      <c r="C37"/>
      <c r="D37" s="41"/>
    </row>
    <row r="38" spans="2:4" ht="14" customHeight="1" x14ac:dyDescent="0.2">
      <c r="B38" s="39"/>
      <c r="C38" s="74"/>
      <c r="D38" s="41"/>
    </row>
    <row r="39" spans="2:4" ht="17" thickBot="1" x14ac:dyDescent="0.25">
      <c r="B39" s="47"/>
      <c r="C39" s="107"/>
      <c r="D39" s="108"/>
    </row>
    <row r="40" spans="2:4" s="8" customFormat="1" ht="17" thickBot="1" x14ac:dyDescent="0.25">
      <c r="C40" s="75"/>
      <c r="D40" s="76"/>
    </row>
    <row r="41" spans="2:4" x14ac:dyDescent="0.2">
      <c r="B41" s="28" t="s">
        <v>189</v>
      </c>
      <c r="C41" s="29"/>
      <c r="D41" s="191"/>
    </row>
    <row r="42" spans="2:4" x14ac:dyDescent="0.2">
      <c r="B42" s="73"/>
      <c r="C42" s="193"/>
      <c r="D42" s="192"/>
    </row>
    <row r="43" spans="2:4" x14ac:dyDescent="0.2">
      <c r="B43" s="33" t="s">
        <v>33</v>
      </c>
      <c r="C43" s="34" t="s">
        <v>34</v>
      </c>
      <c r="D43" s="35" t="s">
        <v>203</v>
      </c>
    </row>
    <row r="44" spans="2:4" x14ac:dyDescent="0.2">
      <c r="B44" s="38" t="s">
        <v>480</v>
      </c>
      <c r="C44" s="15"/>
      <c r="D44" s="37"/>
    </row>
    <row r="45" spans="2:4" x14ac:dyDescent="0.2">
      <c r="B45" s="195"/>
      <c r="C45" s="276" t="s">
        <v>87</v>
      </c>
      <c r="D45" s="196" t="s">
        <v>479</v>
      </c>
    </row>
    <row r="46" spans="2:4" x14ac:dyDescent="0.2">
      <c r="B46" s="195"/>
      <c r="C46" s="276" t="s">
        <v>279</v>
      </c>
      <c r="D46" s="196" t="s">
        <v>479</v>
      </c>
    </row>
    <row r="47" spans="2:4" x14ac:dyDescent="0.2">
      <c r="B47" s="195"/>
      <c r="C47" s="276" t="s">
        <v>90</v>
      </c>
      <c r="D47" s="196" t="s">
        <v>479</v>
      </c>
    </row>
    <row r="48" spans="2:4" x14ac:dyDescent="0.2">
      <c r="B48" s="195"/>
      <c r="C48" s="276" t="s">
        <v>88</v>
      </c>
      <c r="D48" s="196" t="s">
        <v>479</v>
      </c>
    </row>
    <row r="49" spans="2:6" x14ac:dyDescent="0.2">
      <c r="B49" s="195"/>
      <c r="C49" s="276" t="s">
        <v>280</v>
      </c>
      <c r="D49" s="196" t="s">
        <v>479</v>
      </c>
    </row>
    <row r="50" spans="2:6" x14ac:dyDescent="0.2">
      <c r="B50" s="195"/>
      <c r="C50" s="276" t="s">
        <v>210</v>
      </c>
      <c r="D50" s="196" t="s">
        <v>479</v>
      </c>
    </row>
    <row r="51" spans="2:6" x14ac:dyDescent="0.2">
      <c r="B51" s="195"/>
      <c r="C51" s="197"/>
      <c r="D51" s="198"/>
    </row>
    <row r="52" spans="2:6" x14ac:dyDescent="0.2">
      <c r="B52" s="104" t="s">
        <v>77</v>
      </c>
      <c r="C52" s="199"/>
      <c r="D52" s="200"/>
    </row>
    <row r="53" spans="2:6" x14ac:dyDescent="0.2">
      <c r="B53" s="38"/>
      <c r="C53" s="71" t="s">
        <v>285</v>
      </c>
      <c r="D53" s="201" t="s">
        <v>479</v>
      </c>
      <c r="F53" s="8"/>
    </row>
    <row r="54" spans="2:6" x14ac:dyDescent="0.2">
      <c r="B54" s="73"/>
      <c r="C54" s="71" t="s">
        <v>91</v>
      </c>
      <c r="D54" s="201" t="s">
        <v>479</v>
      </c>
      <c r="F54" s="8"/>
    </row>
    <row r="55" spans="2:6" x14ac:dyDescent="0.2">
      <c r="B55" s="73"/>
      <c r="C55" s="71" t="s">
        <v>286</v>
      </c>
      <c r="D55" s="201" t="s">
        <v>479</v>
      </c>
      <c r="F55" s="8"/>
    </row>
    <row r="56" spans="2:6" x14ac:dyDescent="0.2">
      <c r="B56" s="73"/>
      <c r="C56" s="71" t="s">
        <v>287</v>
      </c>
      <c r="D56" s="201" t="s">
        <v>479</v>
      </c>
      <c r="F56" s="8"/>
    </row>
    <row r="57" spans="2:6" x14ac:dyDescent="0.2">
      <c r="B57" s="73"/>
      <c r="C57" s="71" t="s">
        <v>288</v>
      </c>
      <c r="D57" s="201" t="s">
        <v>479</v>
      </c>
      <c r="F57" s="8"/>
    </row>
    <row r="58" spans="2:6" x14ac:dyDescent="0.2">
      <c r="B58" s="73"/>
      <c r="C58" s="71" t="s">
        <v>382</v>
      </c>
      <c r="D58" s="201" t="s">
        <v>479</v>
      </c>
      <c r="F58" s="8"/>
    </row>
    <row r="59" spans="2:6" x14ac:dyDescent="0.2">
      <c r="B59" s="73"/>
      <c r="C59" s="71" t="s">
        <v>289</v>
      </c>
      <c r="D59" s="201" t="s">
        <v>479</v>
      </c>
      <c r="F59" s="8"/>
    </row>
    <row r="60" spans="2:6" x14ac:dyDescent="0.2">
      <c r="B60" s="73"/>
      <c r="C60" s="71" t="s">
        <v>406</v>
      </c>
      <c r="D60" s="201" t="s">
        <v>479</v>
      </c>
      <c r="F60" s="8"/>
    </row>
    <row r="61" spans="2:6" x14ac:dyDescent="0.2">
      <c r="B61" s="73"/>
      <c r="C61" s="71" t="s">
        <v>296</v>
      </c>
      <c r="D61" s="201" t="s">
        <v>479</v>
      </c>
      <c r="F61" s="8"/>
    </row>
    <row r="62" spans="2:6" x14ac:dyDescent="0.2">
      <c r="B62" s="73"/>
      <c r="C62" s="71" t="s">
        <v>297</v>
      </c>
      <c r="D62" s="201" t="s">
        <v>479</v>
      </c>
      <c r="F62" s="8"/>
    </row>
    <row r="63" spans="2:6" x14ac:dyDescent="0.2">
      <c r="B63" s="73"/>
      <c r="C63" s="71" t="s">
        <v>298</v>
      </c>
      <c r="D63" s="201" t="s">
        <v>479</v>
      </c>
      <c r="F63" s="8"/>
    </row>
    <row r="64" spans="2:6" x14ac:dyDescent="0.2">
      <c r="B64" s="73"/>
      <c r="C64" s="71" t="s">
        <v>303</v>
      </c>
      <c r="D64" s="201" t="s">
        <v>479</v>
      </c>
      <c r="F64" s="8"/>
    </row>
    <row r="65" spans="2:6" x14ac:dyDescent="0.2">
      <c r="B65" s="73"/>
      <c r="C65" s="193"/>
      <c r="D65" s="192"/>
      <c r="F65" s="8"/>
    </row>
    <row r="66" spans="2:6" x14ac:dyDescent="0.2">
      <c r="B66" s="48" t="s">
        <v>89</v>
      </c>
      <c r="C66" s="202"/>
      <c r="D66" s="203"/>
      <c r="F66" s="8"/>
    </row>
    <row r="67" spans="2:6" x14ac:dyDescent="0.2">
      <c r="B67" s="73"/>
      <c r="C67" s="71" t="s">
        <v>305</v>
      </c>
      <c r="D67" s="201" t="s">
        <v>479</v>
      </c>
      <c r="F67" s="8"/>
    </row>
    <row r="68" spans="2:6" x14ac:dyDescent="0.2">
      <c r="B68" s="73"/>
      <c r="C68" s="71" t="s">
        <v>308</v>
      </c>
      <c r="D68" s="201" t="s">
        <v>479</v>
      </c>
      <c r="F68" s="8"/>
    </row>
    <row r="69" spans="2:6" x14ac:dyDescent="0.2">
      <c r="B69" s="73"/>
      <c r="C69" s="71" t="s">
        <v>306</v>
      </c>
      <c r="D69" s="201" t="s">
        <v>479</v>
      </c>
      <c r="F69" s="8"/>
    </row>
    <row r="70" spans="2:6" x14ac:dyDescent="0.2">
      <c r="B70" s="73"/>
      <c r="C70" s="71" t="s">
        <v>307</v>
      </c>
      <c r="D70" s="201" t="s">
        <v>479</v>
      </c>
      <c r="F70" s="8"/>
    </row>
    <row r="71" spans="2:6" x14ac:dyDescent="0.2">
      <c r="B71" s="73"/>
      <c r="C71" s="71" t="s">
        <v>309</v>
      </c>
      <c r="D71" s="201" t="s">
        <v>479</v>
      </c>
      <c r="F71" s="8"/>
    </row>
    <row r="72" spans="2:6" x14ac:dyDescent="0.2">
      <c r="B72" s="73"/>
      <c r="C72" s="71" t="s">
        <v>383</v>
      </c>
      <c r="D72" s="201" t="s">
        <v>479</v>
      </c>
      <c r="F72" s="8"/>
    </row>
    <row r="73" spans="2:6" x14ac:dyDescent="0.2">
      <c r="B73" s="73"/>
      <c r="C73" s="71" t="s">
        <v>310</v>
      </c>
      <c r="D73" s="201" t="s">
        <v>479</v>
      </c>
      <c r="F73" s="8"/>
    </row>
    <row r="74" spans="2:6" x14ac:dyDescent="0.2">
      <c r="B74" s="73"/>
      <c r="C74" s="71" t="s">
        <v>407</v>
      </c>
      <c r="D74" s="201" t="s">
        <v>479</v>
      </c>
      <c r="F74" s="8"/>
    </row>
    <row r="75" spans="2:6" x14ac:dyDescent="0.2">
      <c r="B75" s="73"/>
      <c r="C75" s="71" t="s">
        <v>311</v>
      </c>
      <c r="D75" s="201" t="s">
        <v>479</v>
      </c>
      <c r="F75" s="8"/>
    </row>
    <row r="76" spans="2:6" x14ac:dyDescent="0.2">
      <c r="B76" s="73"/>
      <c r="C76" s="71" t="s">
        <v>312</v>
      </c>
      <c r="D76" s="201" t="s">
        <v>479</v>
      </c>
      <c r="F76" s="8"/>
    </row>
    <row r="77" spans="2:6" x14ac:dyDescent="0.2">
      <c r="B77" s="73"/>
      <c r="C77" s="71" t="s">
        <v>313</v>
      </c>
      <c r="D77" s="201" t="s">
        <v>479</v>
      </c>
      <c r="F77" s="8"/>
    </row>
    <row r="78" spans="2:6" x14ac:dyDescent="0.2">
      <c r="B78" s="73"/>
      <c r="C78" s="71" t="s">
        <v>314</v>
      </c>
      <c r="D78" s="201" t="s">
        <v>479</v>
      </c>
      <c r="F78" s="8"/>
    </row>
    <row r="79" spans="2:6" x14ac:dyDescent="0.2">
      <c r="B79" s="73"/>
      <c r="C79" s="193"/>
      <c r="D79" s="192"/>
      <c r="F79" s="8"/>
    </row>
    <row r="80" spans="2:6" x14ac:dyDescent="0.2">
      <c r="B80" s="48" t="s">
        <v>76</v>
      </c>
      <c r="C80" s="202"/>
      <c r="D80" s="203"/>
      <c r="F80" s="8"/>
    </row>
    <row r="81" spans="2:6" x14ac:dyDescent="0.2">
      <c r="B81" s="73"/>
      <c r="C81" s="71" t="s">
        <v>185</v>
      </c>
      <c r="D81" s="201" t="s">
        <v>479</v>
      </c>
      <c r="F81" s="8"/>
    </row>
    <row r="82" spans="2:6" x14ac:dyDescent="0.2">
      <c r="B82" s="73"/>
      <c r="C82" s="71" t="s">
        <v>350</v>
      </c>
      <c r="D82" s="201" t="s">
        <v>479</v>
      </c>
      <c r="F82" s="8"/>
    </row>
    <row r="83" spans="2:6" x14ac:dyDescent="0.2">
      <c r="B83" s="73"/>
      <c r="C83" s="71" t="s">
        <v>186</v>
      </c>
      <c r="D83" s="201" t="s">
        <v>479</v>
      </c>
      <c r="F83" s="8"/>
    </row>
    <row r="84" spans="2:6" x14ac:dyDescent="0.2">
      <c r="B84" s="73"/>
      <c r="C84" s="193"/>
      <c r="D84" s="192"/>
      <c r="F84" s="8"/>
    </row>
    <row r="85" spans="2:6" x14ac:dyDescent="0.2">
      <c r="B85" s="48" t="s">
        <v>89</v>
      </c>
      <c r="C85" s="202"/>
      <c r="D85" s="203"/>
      <c r="F85" s="8"/>
    </row>
    <row r="86" spans="2:6" x14ac:dyDescent="0.2">
      <c r="B86" s="38"/>
      <c r="C86" s="71" t="s">
        <v>315</v>
      </c>
      <c r="D86" s="201" t="s">
        <v>479</v>
      </c>
      <c r="F86" s="8"/>
    </row>
    <row r="87" spans="2:6" x14ac:dyDescent="0.2">
      <c r="B87" s="73"/>
      <c r="C87" s="71" t="s">
        <v>316</v>
      </c>
      <c r="D87" s="201" t="s">
        <v>479</v>
      </c>
      <c r="F87" s="8"/>
    </row>
    <row r="88" spans="2:6" x14ac:dyDescent="0.2">
      <c r="B88" s="73"/>
      <c r="C88" s="106" t="s">
        <v>92</v>
      </c>
      <c r="D88" s="201" t="s">
        <v>479</v>
      </c>
      <c r="F88" s="8"/>
    </row>
    <row r="89" spans="2:6" x14ac:dyDescent="0.2">
      <c r="B89" s="73"/>
      <c r="C89" s="106"/>
      <c r="D89" s="201"/>
      <c r="F89" s="8"/>
    </row>
    <row r="90" spans="2:6" x14ac:dyDescent="0.2">
      <c r="B90" s="48" t="s">
        <v>93</v>
      </c>
      <c r="C90" s="202"/>
      <c r="D90" s="203"/>
      <c r="F90" s="8"/>
    </row>
    <row r="91" spans="2:6" x14ac:dyDescent="0.2">
      <c r="B91" s="73"/>
      <c r="C91" s="71" t="s">
        <v>94</v>
      </c>
      <c r="D91" s="201" t="s">
        <v>479</v>
      </c>
      <c r="F91" s="8"/>
    </row>
    <row r="92" spans="2:6" x14ac:dyDescent="0.2">
      <c r="B92" s="205"/>
      <c r="C92" s="197"/>
      <c r="D92" s="206"/>
      <c r="F92" s="8"/>
    </row>
    <row r="93" spans="2:6" x14ac:dyDescent="0.2">
      <c r="B93" s="38" t="s">
        <v>281</v>
      </c>
      <c r="C93" s="193"/>
      <c r="D93" s="192"/>
      <c r="F93" s="8"/>
    </row>
    <row r="94" spans="2:6" x14ac:dyDescent="0.2">
      <c r="B94" s="73"/>
      <c r="C94" s="71" t="s">
        <v>389</v>
      </c>
      <c r="D94" s="201" t="s">
        <v>479</v>
      </c>
      <c r="F94" s="8"/>
    </row>
    <row r="95" spans="2:6" x14ac:dyDescent="0.2">
      <c r="B95" s="73"/>
      <c r="C95" s="71" t="s">
        <v>408</v>
      </c>
      <c r="D95" s="201" t="s">
        <v>479</v>
      </c>
      <c r="F95" s="8"/>
    </row>
    <row r="96" spans="2:6" x14ac:dyDescent="0.2">
      <c r="B96" s="73"/>
      <c r="C96" s="71" t="s">
        <v>390</v>
      </c>
      <c r="D96" s="201" t="s">
        <v>479</v>
      </c>
      <c r="F96" s="8"/>
    </row>
    <row r="97" spans="2:6" x14ac:dyDescent="0.2">
      <c r="B97" s="73"/>
      <c r="C97" s="71" t="s">
        <v>391</v>
      </c>
      <c r="D97" s="201" t="s">
        <v>479</v>
      </c>
      <c r="F97" s="8"/>
    </row>
    <row r="98" spans="2:6" x14ac:dyDescent="0.2">
      <c r="B98" s="73"/>
      <c r="C98" s="71" t="s">
        <v>392</v>
      </c>
      <c r="D98" s="201" t="s">
        <v>479</v>
      </c>
      <c r="F98" s="8"/>
    </row>
    <row r="99" spans="2:6" x14ac:dyDescent="0.2">
      <c r="B99" s="73"/>
      <c r="C99" s="193"/>
      <c r="D99" s="192"/>
      <c r="F99" s="8"/>
    </row>
    <row r="100" spans="2:6" x14ac:dyDescent="0.2">
      <c r="B100" s="48" t="s">
        <v>398</v>
      </c>
      <c r="C100" s="202"/>
      <c r="D100" s="203"/>
      <c r="F100" s="8"/>
    </row>
    <row r="101" spans="2:6" x14ac:dyDescent="0.2">
      <c r="B101" s="73"/>
      <c r="C101" s="71" t="s">
        <v>384</v>
      </c>
      <c r="D101" s="201" t="s">
        <v>479</v>
      </c>
      <c r="F101" s="8"/>
    </row>
    <row r="102" spans="2:6" x14ac:dyDescent="0.2">
      <c r="B102" s="73"/>
      <c r="C102" s="71" t="s">
        <v>318</v>
      </c>
      <c r="D102" s="201" t="s">
        <v>479</v>
      </c>
      <c r="F102" s="8"/>
    </row>
    <row r="103" spans="2:6" x14ac:dyDescent="0.2">
      <c r="B103" s="73"/>
      <c r="C103" s="71" t="s">
        <v>319</v>
      </c>
      <c r="D103" s="201" t="s">
        <v>479</v>
      </c>
      <c r="F103" s="8"/>
    </row>
    <row r="104" spans="2:6" x14ac:dyDescent="0.2">
      <c r="B104" s="73"/>
      <c r="C104" s="71" t="s">
        <v>320</v>
      </c>
      <c r="D104" s="201" t="s">
        <v>479</v>
      </c>
      <c r="F104" s="8"/>
    </row>
    <row r="105" spans="2:6" x14ac:dyDescent="0.2">
      <c r="B105" s="73"/>
      <c r="C105" s="71" t="s">
        <v>385</v>
      </c>
      <c r="D105" s="201" t="s">
        <v>479</v>
      </c>
      <c r="F105" s="8"/>
    </row>
    <row r="106" spans="2:6" x14ac:dyDescent="0.2">
      <c r="B106" s="73"/>
      <c r="C106" s="71" t="s">
        <v>386</v>
      </c>
      <c r="D106" s="201" t="s">
        <v>479</v>
      </c>
      <c r="F106" s="8"/>
    </row>
    <row r="107" spans="2:6" x14ac:dyDescent="0.2">
      <c r="B107" s="73"/>
      <c r="C107" s="71" t="s">
        <v>387</v>
      </c>
      <c r="D107" s="201" t="s">
        <v>479</v>
      </c>
      <c r="F107" s="8"/>
    </row>
    <row r="108" spans="2:6" x14ac:dyDescent="0.2">
      <c r="B108" s="73"/>
      <c r="C108" s="71" t="s">
        <v>388</v>
      </c>
      <c r="D108" s="201" t="s">
        <v>479</v>
      </c>
      <c r="F108" s="8"/>
    </row>
    <row r="109" spans="2:6" x14ac:dyDescent="0.2">
      <c r="B109" s="73"/>
      <c r="C109" s="193"/>
      <c r="D109" s="192"/>
      <c r="F109" s="8"/>
    </row>
    <row r="110" spans="2:6" x14ac:dyDescent="0.2">
      <c r="B110" s="436"/>
      <c r="C110" s="437"/>
      <c r="D110" s="438"/>
      <c r="F110" s="8"/>
    </row>
    <row r="111" spans="2:6" x14ac:dyDescent="0.2">
      <c r="B111" s="38" t="s">
        <v>696</v>
      </c>
      <c r="C111" s="193"/>
      <c r="D111" s="439"/>
      <c r="F111" s="8"/>
    </row>
    <row r="112" spans="2:6" x14ac:dyDescent="0.2">
      <c r="B112" s="38"/>
      <c r="C112" s="391" t="s">
        <v>693</v>
      </c>
      <c r="D112" s="440"/>
      <c r="F112" s="8"/>
    </row>
    <row r="113" spans="2:6" x14ac:dyDescent="0.2">
      <c r="B113" s="38"/>
      <c r="C113" s="391" t="s">
        <v>695</v>
      </c>
      <c r="D113" s="440"/>
      <c r="F113" s="8"/>
    </row>
    <row r="114" spans="2:6" x14ac:dyDescent="0.2">
      <c r="B114" s="38"/>
      <c r="C114" s="391"/>
      <c r="D114" s="440"/>
      <c r="F114" s="8"/>
    </row>
    <row r="115" spans="2:6" x14ac:dyDescent="0.2">
      <c r="B115" s="38"/>
      <c r="C115" s="391" t="s">
        <v>694</v>
      </c>
      <c r="D115" s="440"/>
      <c r="F115" s="8"/>
    </row>
    <row r="116" spans="2:6" x14ac:dyDescent="0.2">
      <c r="B116" s="38"/>
      <c r="C116" s="193"/>
      <c r="D116" s="439"/>
      <c r="F116" s="8"/>
    </row>
    <row r="117" spans="2:6" x14ac:dyDescent="0.2">
      <c r="B117" s="111"/>
      <c r="C117" s="197"/>
      <c r="D117" s="441"/>
      <c r="F117" s="8"/>
    </row>
    <row r="118" spans="2:6" x14ac:dyDescent="0.2">
      <c r="B118" s="38" t="s">
        <v>440</v>
      </c>
      <c r="C118" s="72"/>
      <c r="D118" s="439"/>
      <c r="F118" s="8"/>
    </row>
    <row r="119" spans="2:6" x14ac:dyDescent="0.2">
      <c r="B119" s="38"/>
      <c r="C119" s="391" t="s">
        <v>441</v>
      </c>
      <c r="D119" s="444" t="s">
        <v>479</v>
      </c>
      <c r="F119" s="8"/>
    </row>
    <row r="120" spans="2:6" x14ac:dyDescent="0.2">
      <c r="B120" s="38"/>
      <c r="C120" s="391" t="s">
        <v>442</v>
      </c>
      <c r="D120" s="444" t="s">
        <v>479</v>
      </c>
      <c r="F120" s="8"/>
    </row>
    <row r="121" spans="2:6" x14ac:dyDescent="0.2">
      <c r="B121" s="38"/>
      <c r="C121" s="72"/>
      <c r="D121" s="443"/>
      <c r="F121" s="8"/>
    </row>
    <row r="122" spans="2:6" x14ac:dyDescent="0.2">
      <c r="B122" s="38"/>
      <c r="C122" s="391" t="s">
        <v>564</v>
      </c>
      <c r="D122" s="444" t="s">
        <v>479</v>
      </c>
      <c r="F122" s="8"/>
    </row>
    <row r="123" spans="2:6" x14ac:dyDescent="0.2">
      <c r="B123" s="38"/>
      <c r="C123" s="391" t="s">
        <v>565</v>
      </c>
      <c r="D123" s="444" t="s">
        <v>479</v>
      </c>
      <c r="F123" s="8"/>
    </row>
    <row r="124" spans="2:6" x14ac:dyDescent="0.2">
      <c r="B124" s="38"/>
      <c r="C124" s="72"/>
      <c r="D124" s="443"/>
      <c r="F124" s="8"/>
    </row>
    <row r="125" spans="2:6" x14ac:dyDescent="0.2">
      <c r="B125" s="38"/>
      <c r="C125" s="391" t="s">
        <v>566</v>
      </c>
      <c r="D125" s="444" t="s">
        <v>479</v>
      </c>
      <c r="F125" s="8"/>
    </row>
    <row r="126" spans="2:6" x14ac:dyDescent="0.2">
      <c r="B126" s="38"/>
      <c r="C126" s="391" t="s">
        <v>567</v>
      </c>
      <c r="D126" s="444" t="s">
        <v>479</v>
      </c>
      <c r="F126" s="8"/>
    </row>
    <row r="127" spans="2:6" ht="17" thickBot="1" x14ac:dyDescent="0.25">
      <c r="B127" s="435"/>
      <c r="C127" s="204"/>
      <c r="D127" s="442"/>
      <c r="F127" s="8"/>
    </row>
    <row r="128" spans="2:6" ht="17" thickBot="1" x14ac:dyDescent="0.25">
      <c r="F128" s="8"/>
    </row>
    <row r="129" spans="2:6" x14ac:dyDescent="0.2">
      <c r="B129" s="28" t="s">
        <v>204</v>
      </c>
      <c r="C129" s="30"/>
      <c r="F129" s="8"/>
    </row>
    <row r="130" spans="2:6" x14ac:dyDescent="0.2">
      <c r="B130" s="31"/>
      <c r="C130" s="32"/>
      <c r="F130" s="8"/>
    </row>
    <row r="131" spans="2:6" x14ac:dyDescent="0.2">
      <c r="B131" s="33" t="s">
        <v>226</v>
      </c>
      <c r="C131" s="109" t="s">
        <v>205</v>
      </c>
      <c r="F131" s="8"/>
    </row>
    <row r="132" spans="2:6" x14ac:dyDescent="0.2">
      <c r="B132" s="38" t="s">
        <v>206</v>
      </c>
      <c r="C132" s="43" t="s">
        <v>37</v>
      </c>
      <c r="F132" s="8"/>
    </row>
    <row r="133" spans="2:6" x14ac:dyDescent="0.2">
      <c r="B133" s="31"/>
      <c r="C133" s="43" t="s">
        <v>38</v>
      </c>
      <c r="F133" s="8"/>
    </row>
    <row r="134" spans="2:6" x14ac:dyDescent="0.2">
      <c r="B134" s="31"/>
      <c r="C134" s="43" t="s">
        <v>39</v>
      </c>
      <c r="F134" s="8"/>
    </row>
    <row r="135" spans="2:6" x14ac:dyDescent="0.2">
      <c r="B135" s="31"/>
      <c r="C135" s="43" t="s">
        <v>40</v>
      </c>
    </row>
    <row r="136" spans="2:6" x14ac:dyDescent="0.2">
      <c r="B136" s="31"/>
      <c r="C136" s="43" t="s">
        <v>41</v>
      </c>
    </row>
    <row r="137" spans="2:6" x14ac:dyDescent="0.2">
      <c r="B137" s="31"/>
      <c r="C137" s="43" t="s">
        <v>42</v>
      </c>
    </row>
    <row r="138" spans="2:6" x14ac:dyDescent="0.2">
      <c r="B138" s="31"/>
      <c r="C138" s="110" t="s">
        <v>43</v>
      </c>
    </row>
    <row r="139" spans="2:6" x14ac:dyDescent="0.2">
      <c r="B139" s="49"/>
      <c r="C139" s="110" t="s">
        <v>49</v>
      </c>
    </row>
    <row r="140" spans="2:6" x14ac:dyDescent="0.2">
      <c r="B140" s="31"/>
      <c r="C140" s="43" t="s">
        <v>44</v>
      </c>
    </row>
    <row r="141" spans="2:6" x14ac:dyDescent="0.2">
      <c r="B141" s="31"/>
      <c r="C141" s="43" t="s">
        <v>45</v>
      </c>
    </row>
    <row r="142" spans="2:6" x14ac:dyDescent="0.2">
      <c r="B142" s="31"/>
      <c r="C142" s="43" t="s">
        <v>46</v>
      </c>
    </row>
    <row r="143" spans="2:6" x14ac:dyDescent="0.2">
      <c r="B143" s="31"/>
      <c r="C143" s="43" t="s">
        <v>47</v>
      </c>
    </row>
    <row r="144" spans="2:6" x14ac:dyDescent="0.2">
      <c r="B144" s="31"/>
      <c r="C144" s="43" t="s">
        <v>48</v>
      </c>
    </row>
    <row r="145" spans="2:3" x14ac:dyDescent="0.2">
      <c r="B145" s="44"/>
      <c r="C145" s="536"/>
    </row>
    <row r="146" spans="2:3" x14ac:dyDescent="0.2">
      <c r="B146" s="38" t="s">
        <v>404</v>
      </c>
      <c r="C146" s="43" t="s">
        <v>207</v>
      </c>
    </row>
    <row r="147" spans="2:3" x14ac:dyDescent="0.2">
      <c r="B147" s="38"/>
      <c r="C147" s="43" t="s">
        <v>73</v>
      </c>
    </row>
    <row r="148" spans="2:3" x14ac:dyDescent="0.2">
      <c r="B148" s="111"/>
      <c r="C148" s="536"/>
    </row>
    <row r="149" spans="2:3" x14ac:dyDescent="0.2">
      <c r="B149" s="38" t="s">
        <v>208</v>
      </c>
      <c r="C149" s="43" t="s">
        <v>50</v>
      </c>
    </row>
    <row r="150" spans="2:3" x14ac:dyDescent="0.2">
      <c r="B150" s="38"/>
      <c r="C150" s="43" t="s">
        <v>51</v>
      </c>
    </row>
    <row r="151" spans="2:3" x14ac:dyDescent="0.2">
      <c r="B151" s="31"/>
      <c r="C151" s="43" t="s">
        <v>52</v>
      </c>
    </row>
    <row r="152" spans="2:3" x14ac:dyDescent="0.2">
      <c r="B152" s="31"/>
      <c r="C152" s="43" t="s">
        <v>53</v>
      </c>
    </row>
    <row r="153" spans="2:3" x14ac:dyDescent="0.2">
      <c r="B153" s="31"/>
      <c r="C153" s="43" t="s">
        <v>54</v>
      </c>
    </row>
    <row r="154" spans="2:3" x14ac:dyDescent="0.2">
      <c r="B154" s="31"/>
      <c r="C154" s="43" t="s">
        <v>55</v>
      </c>
    </row>
    <row r="155" spans="2:3" x14ac:dyDescent="0.2">
      <c r="B155" s="31"/>
      <c r="C155" s="43" t="s">
        <v>56</v>
      </c>
    </row>
    <row r="156" spans="2:3" x14ac:dyDescent="0.2">
      <c r="B156" s="31"/>
      <c r="C156" s="43" t="s">
        <v>57</v>
      </c>
    </row>
    <row r="157" spans="2:3" x14ac:dyDescent="0.2">
      <c r="B157" s="31"/>
      <c r="C157" s="43" t="s">
        <v>58</v>
      </c>
    </row>
    <row r="158" spans="2:3" x14ac:dyDescent="0.2">
      <c r="B158" s="31"/>
      <c r="C158" s="43" t="s">
        <v>59</v>
      </c>
    </row>
    <row r="159" spans="2:3" x14ac:dyDescent="0.2">
      <c r="B159" s="31"/>
      <c r="C159" s="43" t="s">
        <v>60</v>
      </c>
    </row>
    <row r="160" spans="2:3" x14ac:dyDescent="0.2">
      <c r="B160" s="31"/>
      <c r="C160" s="43" t="s">
        <v>61</v>
      </c>
    </row>
    <row r="161" spans="2:3" x14ac:dyDescent="0.2">
      <c r="B161" s="31"/>
      <c r="C161" s="43" t="s">
        <v>62</v>
      </c>
    </row>
    <row r="162" spans="2:3" x14ac:dyDescent="0.2">
      <c r="B162" s="31"/>
      <c r="C162" s="43" t="s">
        <v>63</v>
      </c>
    </row>
    <row r="163" spans="2:3" x14ac:dyDescent="0.2">
      <c r="B163" s="31"/>
      <c r="C163" s="43" t="s">
        <v>64</v>
      </c>
    </row>
    <row r="164" spans="2:3" x14ac:dyDescent="0.2">
      <c r="B164" s="31"/>
      <c r="C164" s="43" t="s">
        <v>65</v>
      </c>
    </row>
    <row r="165" spans="2:3" x14ac:dyDescent="0.2">
      <c r="B165" s="31"/>
      <c r="C165" s="43" t="s">
        <v>66</v>
      </c>
    </row>
    <row r="166" spans="2:3" x14ac:dyDescent="0.2">
      <c r="B166" s="31"/>
      <c r="C166" s="43" t="s">
        <v>67</v>
      </c>
    </row>
    <row r="167" spans="2:3" x14ac:dyDescent="0.2">
      <c r="B167" s="31"/>
      <c r="C167" s="43" t="s">
        <v>68</v>
      </c>
    </row>
    <row r="168" spans="2:3" x14ac:dyDescent="0.2">
      <c r="B168" s="31"/>
      <c r="C168" s="43" t="s">
        <v>69</v>
      </c>
    </row>
    <row r="169" spans="2:3" x14ac:dyDescent="0.2">
      <c r="B169" s="31"/>
      <c r="C169" s="43" t="s">
        <v>70</v>
      </c>
    </row>
    <row r="170" spans="2:3" x14ac:dyDescent="0.2">
      <c r="B170" s="31"/>
      <c r="C170" s="43" t="s">
        <v>71</v>
      </c>
    </row>
    <row r="171" spans="2:3" x14ac:dyDescent="0.2">
      <c r="B171" s="31"/>
      <c r="C171" s="43" t="s">
        <v>72</v>
      </c>
    </row>
    <row r="172" spans="2:3" x14ac:dyDescent="0.2">
      <c r="B172" s="44"/>
      <c r="C172" s="536"/>
    </row>
    <row r="173" spans="2:3" x14ac:dyDescent="0.2">
      <c r="B173" s="38" t="s">
        <v>209</v>
      </c>
      <c r="C173" s="43" t="s">
        <v>74</v>
      </c>
    </row>
    <row r="174" spans="2:3" x14ac:dyDescent="0.2">
      <c r="B174" s="31"/>
      <c r="C174" s="43" t="s">
        <v>75</v>
      </c>
    </row>
    <row r="175" spans="2:3" x14ac:dyDescent="0.2">
      <c r="B175" s="31"/>
      <c r="C175" s="32"/>
    </row>
    <row r="176" spans="2:3" x14ac:dyDescent="0.2">
      <c r="B176" s="48" t="s">
        <v>212</v>
      </c>
      <c r="C176" s="117" t="s">
        <v>212</v>
      </c>
    </row>
    <row r="177" spans="2:3" x14ac:dyDescent="0.2">
      <c r="B177" s="38"/>
      <c r="C177" s="32"/>
    </row>
    <row r="178" spans="2:3" x14ac:dyDescent="0.2">
      <c r="B178" s="48" t="s">
        <v>107</v>
      </c>
      <c r="C178" s="117" t="s">
        <v>107</v>
      </c>
    </row>
    <row r="179" spans="2:3" x14ac:dyDescent="0.2">
      <c r="B179" s="38"/>
      <c r="C179" s="32"/>
    </row>
    <row r="180" spans="2:3" x14ac:dyDescent="0.2">
      <c r="B180" s="48" t="s">
        <v>106</v>
      </c>
      <c r="C180" s="117" t="s">
        <v>106</v>
      </c>
    </row>
    <row r="181" spans="2:3" x14ac:dyDescent="0.2">
      <c r="B181" s="111"/>
      <c r="C181" s="536"/>
    </row>
    <row r="182" spans="2:3" x14ac:dyDescent="0.2">
      <c r="B182" s="49" t="s">
        <v>800</v>
      </c>
      <c r="C182" s="43" t="s">
        <v>104</v>
      </c>
    </row>
    <row r="183" spans="2:3" x14ac:dyDescent="0.2">
      <c r="B183" s="31"/>
      <c r="C183" s="43"/>
    </row>
    <row r="184" spans="2:3" x14ac:dyDescent="0.2">
      <c r="B184" s="31"/>
      <c r="C184" s="32"/>
    </row>
    <row r="185" spans="2:3" ht="17" thickBot="1" x14ac:dyDescent="0.25">
      <c r="B185" s="47"/>
      <c r="C185" s="50"/>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5"/>
  <sheetViews>
    <sheetView workbookViewId="0"/>
  </sheetViews>
  <sheetFormatPr baseColWidth="10" defaultRowHeight="16" x14ac:dyDescent="0.2"/>
  <cols>
    <col min="1" max="1" width="10.83203125" style="1"/>
    <col min="2" max="2" width="17.1640625" style="72" customWidth="1"/>
    <col min="3" max="3" width="83.6640625" style="72" bestFit="1" customWidth="1"/>
    <col min="4" max="4" width="7.1640625" style="247" bestFit="1" customWidth="1"/>
    <col min="5" max="5" width="17.1640625" style="263" customWidth="1"/>
    <col min="6" max="6" width="3.83203125" style="263"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x14ac:dyDescent="0.25">
      <c r="B2" s="2" t="s">
        <v>27</v>
      </c>
      <c r="I2" s="447" t="s">
        <v>710</v>
      </c>
      <c r="J2" s="13"/>
      <c r="K2" s="4"/>
      <c r="L2" s="5"/>
    </row>
    <row r="3" spans="2:16" x14ac:dyDescent="0.2">
      <c r="B3" s="262"/>
      <c r="I3" s="448"/>
      <c r="J3" s="8"/>
      <c r="K3" s="8"/>
      <c r="L3" s="7"/>
    </row>
    <row r="4" spans="2:16" x14ac:dyDescent="0.2">
      <c r="B4" s="51" t="s">
        <v>79</v>
      </c>
      <c r="C4" s="202"/>
      <c r="D4" s="248"/>
      <c r="E4" s="264"/>
      <c r="F4" s="246"/>
      <c r="I4" s="449"/>
      <c r="J4" s="8"/>
      <c r="K4" s="8"/>
      <c r="L4" s="7"/>
    </row>
    <row r="5" spans="2:16" ht="45" customHeight="1" x14ac:dyDescent="0.2">
      <c r="B5" s="656" t="s">
        <v>227</v>
      </c>
      <c r="C5" s="657"/>
      <c r="D5" s="657"/>
      <c r="E5" s="658"/>
      <c r="F5" s="404"/>
      <c r="I5" s="450"/>
      <c r="J5" s="10"/>
      <c r="K5" s="10"/>
      <c r="L5" s="11"/>
    </row>
    <row r="6" spans="2:16" ht="17" thickBot="1" x14ac:dyDescent="0.25"/>
    <row r="7" spans="2:16" x14ac:dyDescent="0.2">
      <c r="B7" s="28" t="s">
        <v>25</v>
      </c>
      <c r="C7" s="245"/>
      <c r="D7" s="249"/>
      <c r="E7" s="265"/>
      <c r="F7" s="265"/>
      <c r="G7" s="52"/>
      <c r="H7" s="52"/>
      <c r="I7" s="52"/>
      <c r="J7" s="52"/>
      <c r="K7" s="122" t="s">
        <v>80</v>
      </c>
      <c r="L7" s="52"/>
      <c r="M7" s="30"/>
      <c r="N7" s="8"/>
      <c r="O7" s="452"/>
      <c r="P7" s="453"/>
    </row>
    <row r="8" spans="2:16" x14ac:dyDescent="0.2">
      <c r="B8" s="73"/>
      <c r="C8" s="193"/>
      <c r="D8" s="250"/>
      <c r="E8" s="246"/>
      <c r="F8" s="246"/>
      <c r="G8" s="8"/>
      <c r="H8" s="8"/>
      <c r="I8" s="8"/>
      <c r="J8" s="8"/>
      <c r="K8" s="20"/>
      <c r="L8" s="8"/>
      <c r="M8" s="32"/>
      <c r="N8" s="8"/>
      <c r="O8" s="449"/>
      <c r="P8" s="451"/>
    </row>
    <row r="9" spans="2:16" x14ac:dyDescent="0.2">
      <c r="B9" s="553" t="s">
        <v>81</v>
      </c>
      <c r="C9" s="554" t="s">
        <v>34</v>
      </c>
      <c r="D9" s="554" t="s">
        <v>83</v>
      </c>
      <c r="E9" s="554" t="s">
        <v>82</v>
      </c>
      <c r="F9" s="554"/>
      <c r="G9" s="554" t="s">
        <v>749</v>
      </c>
      <c r="H9" s="554"/>
      <c r="I9" s="554" t="s">
        <v>35</v>
      </c>
      <c r="J9" s="554"/>
      <c r="K9" s="54" t="s">
        <v>84</v>
      </c>
      <c r="L9" s="54" t="s">
        <v>85</v>
      </c>
      <c r="M9" s="55" t="s">
        <v>79</v>
      </c>
      <c r="N9" s="15"/>
      <c r="O9" s="457" t="s">
        <v>799</v>
      </c>
      <c r="P9" s="458" t="s">
        <v>684</v>
      </c>
    </row>
    <row r="10" spans="2:16" x14ac:dyDescent="0.2">
      <c r="B10" s="555" t="s">
        <v>36</v>
      </c>
      <c r="C10" s="15"/>
      <c r="D10" s="251"/>
      <c r="E10" s="255"/>
      <c r="F10" s="255"/>
      <c r="G10" s="15"/>
      <c r="H10" s="15"/>
      <c r="I10" s="15"/>
      <c r="J10" s="16"/>
      <c r="K10" s="556" t="s">
        <v>680</v>
      </c>
      <c r="L10" s="617" t="b">
        <f>IF(COUNTIF(P:P,0)+COUNTIF(P:P,FALSE)=0,TRUE,FALSE)</f>
        <v>0</v>
      </c>
      <c r="M10" s="61"/>
      <c r="N10" s="15"/>
      <c r="O10" s="449"/>
      <c r="P10" s="451"/>
    </row>
    <row r="11" spans="2:16" x14ac:dyDescent="0.2">
      <c r="B11" s="36"/>
      <c r="C11" s="71" t="s">
        <v>321</v>
      </c>
      <c r="D11" s="430"/>
      <c r="E11" s="71" t="s">
        <v>892</v>
      </c>
      <c r="F11" s="193"/>
      <c r="G11" s="23" t="s">
        <v>723</v>
      </c>
      <c r="H11" s="15"/>
      <c r="I11" s="15"/>
      <c r="J11" s="16"/>
      <c r="K11" s="8"/>
      <c r="L11" s="56"/>
      <c r="M11" s="349"/>
      <c r="N11" s="432"/>
      <c r="O11" s="449" t="s">
        <v>683</v>
      </c>
      <c r="P11" s="451"/>
    </row>
    <row r="12" spans="2:16" x14ac:dyDescent="0.2">
      <c r="B12" s="36"/>
      <c r="C12" s="71" t="s">
        <v>681</v>
      </c>
      <c r="D12" s="430"/>
      <c r="E12" s="71">
        <v>2011</v>
      </c>
      <c r="F12" s="193"/>
      <c r="G12" s="23" t="s">
        <v>682</v>
      </c>
      <c r="H12" s="15"/>
      <c r="I12" s="15"/>
      <c r="J12" s="16"/>
      <c r="K12" s="60" t="s">
        <v>216</v>
      </c>
      <c r="L12" s="618" t="b">
        <f>IF(COUNTBLANK(E11:E95)-COUNTBLANK(C11:C95)=7,TRUE,FALSE)</f>
        <v>0</v>
      </c>
      <c r="M12" s="349"/>
      <c r="N12" s="432"/>
      <c r="O12" s="449" t="s">
        <v>682</v>
      </c>
      <c r="P12" s="451">
        <f>IF(L12=TRUE,1,0)</f>
        <v>0</v>
      </c>
    </row>
    <row r="13" spans="2:16" x14ac:dyDescent="0.2">
      <c r="B13" s="36"/>
      <c r="C13" s="15"/>
      <c r="D13" s="251"/>
      <c r="E13" s="255"/>
      <c r="F13" s="255"/>
      <c r="G13" s="15"/>
      <c r="H13" s="15"/>
      <c r="I13" s="15"/>
      <c r="J13" s="16"/>
      <c r="K13" s="62"/>
      <c r="L13" s="121"/>
      <c r="M13" s="349"/>
      <c r="N13" s="432"/>
      <c r="O13" s="449"/>
      <c r="P13" s="451"/>
    </row>
    <row r="14" spans="2:16" x14ac:dyDescent="0.2">
      <c r="B14" s="36"/>
      <c r="C14" s="15"/>
      <c r="D14" s="251"/>
      <c r="E14" s="255"/>
      <c r="F14" s="255"/>
      <c r="G14" s="15"/>
      <c r="H14" s="15"/>
      <c r="I14" s="15"/>
      <c r="J14" s="16"/>
      <c r="K14" s="62"/>
      <c r="L14" s="121"/>
      <c r="M14" s="140"/>
      <c r="N14" s="433"/>
      <c r="O14" s="449"/>
      <c r="P14" s="451"/>
    </row>
    <row r="15" spans="2:16" x14ac:dyDescent="0.2">
      <c r="B15" s="33"/>
      <c r="C15" s="53"/>
      <c r="D15" s="252"/>
      <c r="E15" s="254"/>
      <c r="F15" s="254"/>
      <c r="G15" s="53"/>
      <c r="H15" s="53"/>
      <c r="I15" s="53"/>
      <c r="J15" s="123"/>
      <c r="K15" s="54"/>
      <c r="L15" s="54"/>
      <c r="M15" s="55"/>
      <c r="N15" s="15"/>
      <c r="O15" s="449"/>
      <c r="P15" s="451"/>
    </row>
    <row r="16" spans="2:16" x14ac:dyDescent="0.2">
      <c r="B16" s="38" t="s">
        <v>86</v>
      </c>
      <c r="C16" s="15"/>
      <c r="D16" s="251"/>
      <c r="E16" s="255"/>
      <c r="F16" s="255"/>
      <c r="G16" s="15"/>
      <c r="H16" s="15"/>
      <c r="I16" s="15"/>
      <c r="J16" s="15"/>
      <c r="K16" s="60"/>
      <c r="L16" s="60"/>
      <c r="M16" s="61"/>
      <c r="N16" s="15"/>
      <c r="O16" s="449"/>
      <c r="P16" s="451"/>
    </row>
    <row r="17" spans="2:16" ht="15" customHeight="1" x14ac:dyDescent="0.2">
      <c r="B17" s="31"/>
      <c r="C17" s="71" t="s">
        <v>371</v>
      </c>
      <c r="D17" s="430" t="s">
        <v>214</v>
      </c>
      <c r="E17" s="405">
        <f>Final_demand_residences</f>
        <v>0</v>
      </c>
      <c r="F17" s="17"/>
      <c r="G17" s="421"/>
      <c r="H17" s="413"/>
      <c r="I17" s="17" t="s">
        <v>461</v>
      </c>
      <c r="J17" s="8"/>
      <c r="K17" s="659" t="s">
        <v>805</v>
      </c>
      <c r="L17" s="350"/>
      <c r="M17" s="351"/>
      <c r="N17" s="75"/>
      <c r="O17" s="449"/>
      <c r="P17" s="451"/>
    </row>
    <row r="18" spans="2:16" x14ac:dyDescent="0.2">
      <c r="B18" s="38"/>
      <c r="C18" s="193"/>
      <c r="D18" s="392"/>
      <c r="E18" s="269"/>
      <c r="F18" s="269"/>
      <c r="G18" s="420"/>
      <c r="H18" s="408"/>
      <c r="I18" s="8"/>
      <c r="J18" s="8"/>
      <c r="K18" s="660"/>
      <c r="L18" s="414"/>
      <c r="M18" s="351"/>
      <c r="N18" s="75"/>
      <c r="O18" s="449"/>
      <c r="P18" s="451"/>
    </row>
    <row r="19" spans="2:16" ht="16" customHeight="1" thickBot="1" x14ac:dyDescent="0.25">
      <c r="B19" s="38"/>
      <c r="C19" s="620" t="s">
        <v>808</v>
      </c>
      <c r="D19" s="392"/>
      <c r="E19" s="269"/>
      <c r="F19" s="269"/>
      <c r="G19" s="420"/>
      <c r="H19" s="408"/>
      <c r="I19" s="8"/>
      <c r="J19" s="8"/>
      <c r="K19" s="622" t="str">
        <f t="array" ref="K19:K25">TRANSPOSE('Final demand per energy carrier'!E76:K76)</f>
        <v>Network gas</v>
      </c>
      <c r="L19" s="632" t="e">
        <f t="array" ref="L19:L25">TRANSPOSE('Final demand per energy carrier'!E79:K79)</f>
        <v>#DIV/0!</v>
      </c>
      <c r="M19" s="358" t="e">
        <f>IF(ABS(L19)&lt;0.03," ","Consider adjusting your inputs that influence the demand for gas.")</f>
        <v>#DIV/0!</v>
      </c>
      <c r="N19" s="75"/>
      <c r="O19" s="449"/>
      <c r="P19" s="451"/>
    </row>
    <row r="20" spans="2:16" ht="17" thickBot="1" x14ac:dyDescent="0.25">
      <c r="B20" s="38"/>
      <c r="C20" s="619" t="s">
        <v>77</v>
      </c>
      <c r="D20" s="393" t="s">
        <v>214</v>
      </c>
      <c r="E20" s="388"/>
      <c r="F20" s="405"/>
      <c r="G20" s="421" t="s">
        <v>365</v>
      </c>
      <c r="H20" s="413"/>
      <c r="I20" s="415"/>
      <c r="J20" s="7"/>
      <c r="K20" s="623" t="str">
        <v>Electricity</v>
      </c>
      <c r="L20" s="632" t="e">
        <v>#DIV/0!</v>
      </c>
      <c r="M20" s="358" t="e">
        <f>IF(ABS(L20)&lt;0.03," ","Consider adjusting your inputs that influence the demand for electricity.")</f>
        <v>#DIV/0!</v>
      </c>
      <c r="N20" s="75"/>
      <c r="O20" s="449" t="s">
        <v>588</v>
      </c>
      <c r="P20" s="451"/>
    </row>
    <row r="21" spans="2:16" ht="17" thickBot="1" x14ac:dyDescent="0.25">
      <c r="B21" s="38"/>
      <c r="C21" s="619" t="s">
        <v>304</v>
      </c>
      <c r="D21" s="393" t="s">
        <v>214</v>
      </c>
      <c r="E21" s="388"/>
      <c r="F21" s="405"/>
      <c r="G21" s="421" t="s">
        <v>366</v>
      </c>
      <c r="H21" s="413"/>
      <c r="I21" s="415"/>
      <c r="J21" s="7"/>
      <c r="K21" s="623" t="str">
        <v>Solar thermal</v>
      </c>
      <c r="L21" s="632" t="e">
        <v>#DIV/0!</v>
      </c>
      <c r="M21" s="358" t="e">
        <f>IF(ABS(L21)&lt;0.03," ","Consider adjusting your inputs that influence the demand for solar thermal energy.")</f>
        <v>#DIV/0!</v>
      </c>
      <c r="N21" s="75"/>
      <c r="O21" s="449" t="s">
        <v>589</v>
      </c>
      <c r="P21" s="451"/>
    </row>
    <row r="22" spans="2:16" ht="17" thickBot="1" x14ac:dyDescent="0.25">
      <c r="B22" s="38"/>
      <c r="C22" s="619" t="s">
        <v>89</v>
      </c>
      <c r="D22" s="393" t="s">
        <v>214</v>
      </c>
      <c r="E22" s="388"/>
      <c r="F22" s="405"/>
      <c r="G22" s="421" t="s">
        <v>367</v>
      </c>
      <c r="H22" s="413"/>
      <c r="I22" s="415"/>
      <c r="J22" s="7"/>
      <c r="K22" s="623" t="str">
        <v>Coal</v>
      </c>
      <c r="L22" s="632" t="e">
        <v>#DIV/0!</v>
      </c>
      <c r="M22" s="358" t="e">
        <f>IF(ABS(L22)&lt;0.03," ","Consider adjusting your inputs that influence the demand for coal.")</f>
        <v>#DIV/0!</v>
      </c>
      <c r="N22" s="75"/>
      <c r="O22" s="449" t="s">
        <v>590</v>
      </c>
      <c r="P22" s="451"/>
    </row>
    <row r="23" spans="2:16" ht="17" thickBot="1" x14ac:dyDescent="0.25">
      <c r="B23" s="38"/>
      <c r="C23" s="619" t="s">
        <v>76</v>
      </c>
      <c r="D23" s="393" t="s">
        <v>214</v>
      </c>
      <c r="E23" s="388"/>
      <c r="F23" s="405"/>
      <c r="G23" s="421" t="s">
        <v>368</v>
      </c>
      <c r="H23" s="413"/>
      <c r="I23" s="415"/>
      <c r="J23" s="7"/>
      <c r="K23" s="623" t="str">
        <v>Oil</v>
      </c>
      <c r="L23" s="632" t="e">
        <v>#DIV/0!</v>
      </c>
      <c r="M23" s="358" t="e">
        <f>IF(ABS(L23)&lt;0.03," ","Consider adjusting your inputs that influence the demand for oil.")</f>
        <v>#DIV/0!</v>
      </c>
      <c r="N23" s="75"/>
      <c r="O23" s="449" t="s">
        <v>591</v>
      </c>
      <c r="P23" s="451"/>
    </row>
    <row r="24" spans="2:16" ht="17" thickBot="1" x14ac:dyDescent="0.25">
      <c r="B24" s="38"/>
      <c r="C24" s="619" t="s">
        <v>281</v>
      </c>
      <c r="D24" s="393" t="s">
        <v>214</v>
      </c>
      <c r="E24" s="388"/>
      <c r="F24" s="405"/>
      <c r="G24" s="421" t="s">
        <v>369</v>
      </c>
      <c r="H24" s="413"/>
      <c r="I24" s="415"/>
      <c r="J24" s="8"/>
      <c r="K24" s="623" t="str">
        <v>Woodpellets</v>
      </c>
      <c r="L24" s="632" t="e">
        <v>#DIV/0!</v>
      </c>
      <c r="M24" s="358" t="e">
        <f>IF(ABS(L24)&lt;0.03," ","Consider adjusting your inputs that influence the demand for wood pellets.")</f>
        <v>#DIV/0!</v>
      </c>
      <c r="N24" s="75"/>
      <c r="O24" s="449" t="s">
        <v>592</v>
      </c>
      <c r="P24" s="451"/>
    </row>
    <row r="25" spans="2:16" ht="17" thickBot="1" x14ac:dyDescent="0.25">
      <c r="B25" s="38"/>
      <c r="C25" s="619" t="s">
        <v>398</v>
      </c>
      <c r="D25" s="393" t="s">
        <v>214</v>
      </c>
      <c r="E25" s="388"/>
      <c r="F25" s="405"/>
      <c r="G25" s="421" t="s">
        <v>370</v>
      </c>
      <c r="H25" s="413"/>
      <c r="I25" s="415"/>
      <c r="J25" s="8"/>
      <c r="K25" s="622" t="str">
        <v>District heat</v>
      </c>
      <c r="L25" s="632" t="e">
        <v>#DIV/0!</v>
      </c>
      <c r="M25" s="358" t="e">
        <f>IF(ABS(L25)&lt;0.03," ","Consider adjusting your inputs that influence the demand for district heat.")</f>
        <v>#DIV/0!</v>
      </c>
      <c r="N25" s="75"/>
      <c r="O25" s="449" t="s">
        <v>593</v>
      </c>
      <c r="P25" s="451"/>
    </row>
    <row r="26" spans="2:16" x14ac:dyDescent="0.2">
      <c r="B26" s="38"/>
      <c r="C26" s="193"/>
      <c r="D26" s="392"/>
      <c r="E26" s="246"/>
      <c r="F26" s="246"/>
      <c r="G26" s="422"/>
      <c r="H26" s="149"/>
      <c r="I26" s="8"/>
      <c r="J26" s="8"/>
      <c r="K26" s="350"/>
      <c r="L26" s="354"/>
      <c r="M26" s="351"/>
      <c r="N26" s="75"/>
      <c r="O26" s="449"/>
      <c r="P26" s="451"/>
    </row>
    <row r="27" spans="2:16" x14ac:dyDescent="0.2">
      <c r="B27" s="38"/>
      <c r="C27" s="193" t="s">
        <v>804</v>
      </c>
      <c r="D27" s="392" t="s">
        <v>214</v>
      </c>
      <c r="E27" s="621">
        <f>E17-SUM(E20:E25)</f>
        <v>0</v>
      </c>
      <c r="F27" s="257"/>
      <c r="G27" s="422"/>
      <c r="H27" s="149"/>
      <c r="I27" s="8"/>
      <c r="J27" s="8"/>
      <c r="K27" s="350" t="s">
        <v>568</v>
      </c>
      <c r="L27" s="633" t="e">
        <f>IF(ABS(E27)/E17&lt;0.05,TRUE,E27/E17)</f>
        <v>#DIV/0!</v>
      </c>
      <c r="M27" s="358" t="e">
        <f>IF(L27=TRUE," ","Consider adjusting the final demands for space heating, space cooling....")</f>
        <v>#DIV/0!</v>
      </c>
      <c r="N27" s="75"/>
      <c r="O27" s="449"/>
      <c r="P27" s="451"/>
    </row>
    <row r="28" spans="2:16" x14ac:dyDescent="0.2">
      <c r="B28" s="111"/>
      <c r="C28" s="197"/>
      <c r="D28" s="394"/>
      <c r="E28" s="266"/>
      <c r="F28" s="266"/>
      <c r="G28" s="423"/>
      <c r="H28" s="586"/>
      <c r="I28" s="10"/>
      <c r="J28" s="10"/>
      <c r="K28" s="355"/>
      <c r="L28" s="355"/>
      <c r="M28" s="352"/>
      <c r="N28" s="75"/>
      <c r="O28" s="449"/>
      <c r="P28" s="451"/>
    </row>
    <row r="29" spans="2:16" ht="16" customHeight="1" x14ac:dyDescent="0.2">
      <c r="B29" s="38" t="s">
        <v>77</v>
      </c>
      <c r="C29" s="193"/>
      <c r="D29" s="392"/>
      <c r="E29" s="258"/>
      <c r="F29" s="256"/>
      <c r="G29" s="422"/>
      <c r="H29" s="149"/>
      <c r="I29" s="8"/>
      <c r="J29" s="8"/>
      <c r="K29" s="616" t="s">
        <v>191</v>
      </c>
      <c r="L29" s="625">
        <f>IF(SUM(E31:E42)=1,TRUE,SUM(E31:E42))</f>
        <v>0</v>
      </c>
      <c r="M29" s="358"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34"/>
      <c r="O29" s="449"/>
      <c r="P29" s="451">
        <f>IF(L29=TRUE,1,0)</f>
        <v>0</v>
      </c>
    </row>
    <row r="30" spans="2:16" ht="16" customHeight="1" thickBot="1" x14ac:dyDescent="0.25">
      <c r="B30" s="38"/>
      <c r="C30" s="620" t="s">
        <v>843</v>
      </c>
      <c r="D30" s="392"/>
      <c r="E30" s="256"/>
      <c r="F30" s="256"/>
      <c r="G30" s="422"/>
      <c r="H30" s="149"/>
      <c r="I30" s="8"/>
      <c r="J30" s="8"/>
      <c r="K30" s="616"/>
      <c r="L30" s="353"/>
      <c r="M30" s="358"/>
      <c r="N30" s="434"/>
      <c r="O30" s="449"/>
      <c r="P30" s="451"/>
    </row>
    <row r="31" spans="2:16" ht="17" thickBot="1" x14ac:dyDescent="0.25">
      <c r="B31" s="38"/>
      <c r="C31" s="619" t="s">
        <v>809</v>
      </c>
      <c r="D31" s="395"/>
      <c r="E31" s="389"/>
      <c r="F31" s="406"/>
      <c r="G31" s="424"/>
      <c r="H31" s="410"/>
      <c r="I31" s="415"/>
      <c r="J31" s="8"/>
      <c r="K31" s="350"/>
      <c r="L31" s="353"/>
      <c r="M31" s="358"/>
      <c r="N31" s="434"/>
      <c r="O31" s="449" t="s">
        <v>594</v>
      </c>
      <c r="P31" s="451"/>
    </row>
    <row r="32" spans="2:16" ht="17" thickBot="1" x14ac:dyDescent="0.25">
      <c r="B32" s="38"/>
      <c r="C32" s="619" t="s">
        <v>810</v>
      </c>
      <c r="D32" s="395"/>
      <c r="E32" s="389"/>
      <c r="F32" s="406"/>
      <c r="G32" s="424"/>
      <c r="H32" s="410"/>
      <c r="I32" s="415"/>
      <c r="J32" s="8"/>
      <c r="K32" s="350"/>
      <c r="L32" s="353"/>
      <c r="M32" s="358"/>
      <c r="N32" s="434"/>
      <c r="O32" s="449" t="s">
        <v>595</v>
      </c>
      <c r="P32" s="451"/>
    </row>
    <row r="33" spans="2:16" ht="17" thickBot="1" x14ac:dyDescent="0.25">
      <c r="B33" s="38"/>
      <c r="C33" s="619" t="s">
        <v>811</v>
      </c>
      <c r="D33" s="395"/>
      <c r="E33" s="389"/>
      <c r="F33" s="406"/>
      <c r="G33" s="424"/>
      <c r="H33" s="410"/>
      <c r="I33" s="415"/>
      <c r="J33" s="8"/>
      <c r="K33" s="350"/>
      <c r="L33" s="353"/>
      <c r="M33" s="358"/>
      <c r="N33" s="434"/>
      <c r="O33" s="449" t="s">
        <v>596</v>
      </c>
      <c r="P33" s="451"/>
    </row>
    <row r="34" spans="2:16" ht="17" thickBot="1" x14ac:dyDescent="0.25">
      <c r="B34" s="38"/>
      <c r="C34" s="619" t="s">
        <v>812</v>
      </c>
      <c r="D34" s="395"/>
      <c r="E34" s="389"/>
      <c r="F34" s="406"/>
      <c r="G34" s="424"/>
      <c r="H34" s="410"/>
      <c r="I34" s="415"/>
      <c r="J34" s="8"/>
      <c r="K34" s="350"/>
      <c r="L34" s="354"/>
      <c r="M34" s="613"/>
      <c r="N34" s="434"/>
      <c r="O34" s="449" t="s">
        <v>597</v>
      </c>
      <c r="P34" s="451"/>
    </row>
    <row r="35" spans="2:16" ht="17" thickBot="1" x14ac:dyDescent="0.25">
      <c r="B35" s="38"/>
      <c r="C35" s="619" t="s">
        <v>813</v>
      </c>
      <c r="D35" s="395"/>
      <c r="E35" s="389"/>
      <c r="F35" s="406"/>
      <c r="G35" s="424"/>
      <c r="H35" s="410"/>
      <c r="I35" s="415"/>
      <c r="J35" s="8"/>
      <c r="K35" s="350"/>
      <c r="L35" s="353"/>
      <c r="M35" s="351"/>
      <c r="N35" s="75"/>
      <c r="O35" s="449" t="s">
        <v>600</v>
      </c>
      <c r="P35" s="451"/>
    </row>
    <row r="36" spans="2:16" ht="17" thickBot="1" x14ac:dyDescent="0.25">
      <c r="B36" s="38"/>
      <c r="C36" s="619" t="s">
        <v>814</v>
      </c>
      <c r="D36" s="395"/>
      <c r="E36" s="389"/>
      <c r="F36" s="406"/>
      <c r="G36" s="424"/>
      <c r="H36" s="410"/>
      <c r="I36" s="415"/>
      <c r="J36" s="8"/>
      <c r="K36" s="350"/>
      <c r="L36" s="353"/>
      <c r="M36" s="351"/>
      <c r="N36" s="75"/>
      <c r="O36" s="449" t="s">
        <v>598</v>
      </c>
      <c r="P36" s="451"/>
    </row>
    <row r="37" spans="2:16" ht="17" thickBot="1" x14ac:dyDescent="0.25">
      <c r="B37" s="38"/>
      <c r="C37" s="619" t="s">
        <v>815</v>
      </c>
      <c r="D37" s="395"/>
      <c r="E37" s="389"/>
      <c r="F37" s="406"/>
      <c r="G37" s="424"/>
      <c r="H37" s="410"/>
      <c r="I37" s="415"/>
      <c r="J37" s="8"/>
      <c r="K37" s="350"/>
      <c r="L37" s="353"/>
      <c r="M37" s="351"/>
      <c r="N37" s="75"/>
      <c r="O37" s="449" t="s">
        <v>599</v>
      </c>
      <c r="P37" s="451"/>
    </row>
    <row r="38" spans="2:16" ht="17" thickBot="1" x14ac:dyDescent="0.25">
      <c r="B38" s="38"/>
      <c r="C38" s="619" t="s">
        <v>816</v>
      </c>
      <c r="D38" s="395"/>
      <c r="E38" s="389"/>
      <c r="F38" s="406"/>
      <c r="G38" s="424"/>
      <c r="H38" s="410"/>
      <c r="I38" s="415"/>
      <c r="J38" s="8"/>
      <c r="K38" s="350"/>
      <c r="L38" s="353"/>
      <c r="M38" s="351"/>
      <c r="N38" s="75"/>
      <c r="O38" s="454" t="s">
        <v>601</v>
      </c>
      <c r="P38" s="451"/>
    </row>
    <row r="39" spans="2:16" ht="17" thickBot="1" x14ac:dyDescent="0.25">
      <c r="B39" s="38"/>
      <c r="C39" s="619" t="s">
        <v>817</v>
      </c>
      <c r="D39" s="395"/>
      <c r="E39" s="389"/>
      <c r="F39" s="406"/>
      <c r="G39" s="424"/>
      <c r="H39" s="410"/>
      <c r="I39" s="415"/>
      <c r="J39" s="8"/>
      <c r="K39" s="350" t="s">
        <v>464</v>
      </c>
      <c r="L39" s="353"/>
      <c r="M39" s="351"/>
      <c r="N39" s="75"/>
      <c r="O39" s="454" t="s">
        <v>603</v>
      </c>
      <c r="P39" s="451"/>
    </row>
    <row r="40" spans="2:16" ht="17" thickBot="1" x14ac:dyDescent="0.25">
      <c r="B40" s="38"/>
      <c r="C40" s="619" t="s">
        <v>818</v>
      </c>
      <c r="D40" s="395"/>
      <c r="E40" s="389"/>
      <c r="F40" s="406"/>
      <c r="G40" s="424"/>
      <c r="H40" s="410"/>
      <c r="I40" s="415"/>
      <c r="J40" s="8"/>
      <c r="K40" s="350" t="s">
        <v>465</v>
      </c>
      <c r="L40" s="628" t="e">
        <f>'Technology Shares'!F33</f>
        <v>#DIV/0!</v>
      </c>
      <c r="M40" s="351" t="s">
        <v>806</v>
      </c>
      <c r="N40" s="75"/>
      <c r="O40" s="454" t="s">
        <v>602</v>
      </c>
      <c r="P40" s="451"/>
    </row>
    <row r="41" spans="2:16" ht="17" thickBot="1" x14ac:dyDescent="0.25">
      <c r="B41" s="38"/>
      <c r="C41" s="619" t="s">
        <v>819</v>
      </c>
      <c r="D41" s="395"/>
      <c r="E41" s="389"/>
      <c r="F41" s="406"/>
      <c r="G41" s="424"/>
      <c r="H41" s="410"/>
      <c r="I41" s="415"/>
      <c r="J41" s="8"/>
      <c r="K41" s="350" t="s">
        <v>466</v>
      </c>
      <c r="L41" s="628" t="e">
        <f>'Technology Shares'!F32</f>
        <v>#DIV/0!</v>
      </c>
      <c r="M41" s="358"/>
      <c r="O41" s="454" t="s">
        <v>604</v>
      </c>
      <c r="P41" s="451"/>
    </row>
    <row r="42" spans="2:16" ht="17" thickBot="1" x14ac:dyDescent="0.25">
      <c r="B42" s="38"/>
      <c r="C42" s="619" t="s">
        <v>867</v>
      </c>
      <c r="D42" s="395"/>
      <c r="E42" s="389"/>
      <c r="F42" s="406"/>
      <c r="G42" s="424"/>
      <c r="H42" s="410"/>
      <c r="I42" s="415"/>
      <c r="J42" s="8"/>
      <c r="K42" s="350"/>
      <c r="L42" s="75"/>
      <c r="M42" s="351"/>
      <c r="N42" s="75"/>
      <c r="O42" s="454" t="s">
        <v>876</v>
      </c>
      <c r="P42" s="451"/>
    </row>
    <row r="43" spans="2:16" x14ac:dyDescent="0.2">
      <c r="B43" s="111"/>
      <c r="C43" s="197"/>
      <c r="D43" s="394"/>
      <c r="E43" s="259"/>
      <c r="F43" s="259"/>
      <c r="G43" s="425"/>
      <c r="H43" s="411"/>
      <c r="I43" s="10"/>
      <c r="J43" s="10"/>
      <c r="K43" s="355"/>
      <c r="L43" s="355"/>
      <c r="M43" s="352"/>
      <c r="N43" s="75"/>
      <c r="O43" s="455"/>
      <c r="P43" s="451"/>
    </row>
    <row r="44" spans="2:16" ht="16" customHeight="1" x14ac:dyDescent="0.2">
      <c r="B44" s="38" t="s">
        <v>304</v>
      </c>
      <c r="C44" s="193"/>
      <c r="D44" s="392"/>
      <c r="E44" s="260"/>
      <c r="F44" s="260"/>
      <c r="G44" s="422"/>
      <c r="H44" s="149"/>
      <c r="I44" s="8"/>
      <c r="J44" s="8"/>
      <c r="K44" s="616" t="s">
        <v>191</v>
      </c>
      <c r="L44" s="625">
        <f>IF(SUM(E46:E58)=1,TRUE,SUM(E46:E58))</f>
        <v>0</v>
      </c>
      <c r="M44" s="358"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34"/>
      <c r="O44" s="449"/>
      <c r="P44" s="451">
        <f>IF(L44=TRUE,1,0)</f>
        <v>0</v>
      </c>
    </row>
    <row r="45" spans="2:16" ht="16" customHeight="1" thickBot="1" x14ac:dyDescent="0.25">
      <c r="B45" s="38"/>
      <c r="C45" s="620" t="s">
        <v>842</v>
      </c>
      <c r="D45" s="392"/>
      <c r="E45" s="260"/>
      <c r="F45" s="260"/>
      <c r="G45" s="422"/>
      <c r="H45" s="149"/>
      <c r="I45" s="8"/>
      <c r="J45" s="8"/>
      <c r="K45" s="616"/>
      <c r="L45" s="353"/>
      <c r="M45" s="358"/>
      <c r="N45" s="434"/>
      <c r="O45" s="449"/>
      <c r="P45" s="451"/>
    </row>
    <row r="46" spans="2:16" ht="17" thickBot="1" x14ac:dyDescent="0.25">
      <c r="B46" s="38"/>
      <c r="C46" s="619" t="s">
        <v>809</v>
      </c>
      <c r="D46" s="395"/>
      <c r="E46" s="389"/>
      <c r="F46" s="406"/>
      <c r="G46" s="424"/>
      <c r="H46" s="410"/>
      <c r="I46" s="415"/>
      <c r="J46" s="8"/>
      <c r="K46" s="350"/>
      <c r="L46" s="353"/>
      <c r="M46" s="351"/>
      <c r="N46" s="434"/>
      <c r="O46" s="449" t="s">
        <v>605</v>
      </c>
      <c r="P46" s="451"/>
    </row>
    <row r="47" spans="2:16" ht="17" thickBot="1" x14ac:dyDescent="0.25">
      <c r="B47" s="38"/>
      <c r="C47" s="619" t="s">
        <v>810</v>
      </c>
      <c r="D47" s="395"/>
      <c r="E47" s="389"/>
      <c r="F47" s="406"/>
      <c r="G47" s="424"/>
      <c r="H47" s="410"/>
      <c r="I47" s="417"/>
      <c r="J47" s="8"/>
      <c r="K47" s="350"/>
      <c r="L47" s="353"/>
      <c r="M47" s="32"/>
      <c r="N47" s="434"/>
      <c r="O47" s="449" t="s">
        <v>606</v>
      </c>
      <c r="P47" s="451"/>
    </row>
    <row r="48" spans="2:16" ht="17" thickBot="1" x14ac:dyDescent="0.25">
      <c r="B48" s="38"/>
      <c r="C48" s="619" t="s">
        <v>820</v>
      </c>
      <c r="D48" s="395"/>
      <c r="E48" s="389"/>
      <c r="F48" s="406"/>
      <c r="G48" s="424"/>
      <c r="H48" s="410"/>
      <c r="I48" s="417"/>
      <c r="J48" s="8"/>
      <c r="K48" s="350"/>
      <c r="L48" s="353"/>
      <c r="M48" s="32"/>
      <c r="N48" s="434"/>
      <c r="O48" s="449" t="s">
        <v>607</v>
      </c>
      <c r="P48" s="451"/>
    </row>
    <row r="49" spans="2:16" ht="17" thickBot="1" x14ac:dyDescent="0.25">
      <c r="B49" s="38"/>
      <c r="C49" s="619" t="s">
        <v>812</v>
      </c>
      <c r="D49" s="395"/>
      <c r="E49" s="389"/>
      <c r="F49" s="406"/>
      <c r="G49" s="424"/>
      <c r="H49" s="410"/>
      <c r="I49" s="417"/>
      <c r="J49" s="8"/>
      <c r="K49" s="350"/>
      <c r="L49" s="354"/>
      <c r="M49" s="32"/>
      <c r="N49" s="434"/>
      <c r="O49" s="449" t="s">
        <v>608</v>
      </c>
      <c r="P49" s="451"/>
    </row>
    <row r="50" spans="2:16" ht="17" thickBot="1" x14ac:dyDescent="0.25">
      <c r="B50" s="38"/>
      <c r="C50" s="619" t="s">
        <v>821</v>
      </c>
      <c r="D50" s="395"/>
      <c r="E50" s="389"/>
      <c r="F50" s="406"/>
      <c r="G50" s="424"/>
      <c r="H50" s="410"/>
      <c r="I50" s="417"/>
      <c r="J50" s="8"/>
      <c r="K50" s="350"/>
      <c r="L50" s="353"/>
      <c r="M50" s="32"/>
      <c r="N50" s="75"/>
      <c r="O50" s="449" t="s">
        <v>609</v>
      </c>
      <c r="P50" s="451"/>
    </row>
    <row r="51" spans="2:16" ht="17" thickBot="1" x14ac:dyDescent="0.25">
      <c r="B51" s="38"/>
      <c r="C51" s="619" t="s">
        <v>858</v>
      </c>
      <c r="D51" s="395"/>
      <c r="E51" s="389"/>
      <c r="F51" s="406"/>
      <c r="G51" s="424"/>
      <c r="H51" s="410"/>
      <c r="I51" s="417"/>
      <c r="J51" s="8"/>
      <c r="K51" s="350"/>
      <c r="L51" s="353"/>
      <c r="M51" s="32"/>
      <c r="N51" s="75"/>
      <c r="O51" s="449" t="s">
        <v>610</v>
      </c>
      <c r="P51" s="451"/>
    </row>
    <row r="52" spans="2:16" ht="17" thickBot="1" x14ac:dyDescent="0.25">
      <c r="B52" s="38"/>
      <c r="C52" s="619" t="s">
        <v>822</v>
      </c>
      <c r="D52" s="395"/>
      <c r="E52" s="389"/>
      <c r="F52" s="406"/>
      <c r="G52" s="424"/>
      <c r="H52" s="410"/>
      <c r="I52" s="416"/>
      <c r="J52" s="8"/>
      <c r="K52" s="350"/>
      <c r="L52" s="353"/>
      <c r="M52" s="351"/>
      <c r="N52" s="75"/>
      <c r="O52" s="449" t="s">
        <v>611</v>
      </c>
      <c r="P52" s="451"/>
    </row>
    <row r="53" spans="2:16" ht="17" thickBot="1" x14ac:dyDescent="0.25">
      <c r="B53" s="38"/>
      <c r="C53" s="619" t="s">
        <v>823</v>
      </c>
      <c r="D53" s="395"/>
      <c r="E53" s="389"/>
      <c r="F53" s="406"/>
      <c r="G53" s="424"/>
      <c r="H53" s="410"/>
      <c r="I53" s="417"/>
      <c r="J53" s="8"/>
      <c r="K53" s="350"/>
      <c r="L53" s="353"/>
      <c r="M53" s="351"/>
      <c r="N53" s="75"/>
      <c r="O53" s="454" t="s">
        <v>612</v>
      </c>
      <c r="P53" s="451"/>
    </row>
    <row r="54" spans="2:16" ht="17" thickBot="1" x14ac:dyDescent="0.25">
      <c r="B54" s="38"/>
      <c r="C54" s="619" t="s">
        <v>824</v>
      </c>
      <c r="D54" s="395"/>
      <c r="E54" s="389"/>
      <c r="F54" s="406"/>
      <c r="G54" s="424"/>
      <c r="H54" s="410"/>
      <c r="I54" s="417"/>
      <c r="J54" s="8"/>
      <c r="K54" s="350"/>
      <c r="L54" s="353"/>
      <c r="M54" s="351"/>
      <c r="N54" s="75"/>
      <c r="O54" s="454" t="s">
        <v>613</v>
      </c>
      <c r="P54" s="451"/>
    </row>
    <row r="55" spans="2:16" ht="17" thickBot="1" x14ac:dyDescent="0.25">
      <c r="B55" s="38"/>
      <c r="C55" s="619" t="s">
        <v>825</v>
      </c>
      <c r="D55" s="395"/>
      <c r="E55" s="389"/>
      <c r="F55" s="406"/>
      <c r="G55" s="424"/>
      <c r="H55" s="410"/>
      <c r="I55" s="417"/>
      <c r="J55" s="8"/>
      <c r="K55" s="350"/>
      <c r="L55" s="353"/>
      <c r="M55" s="351"/>
      <c r="N55" s="75"/>
      <c r="O55" s="454" t="s">
        <v>614</v>
      </c>
      <c r="P55" s="451"/>
    </row>
    <row r="56" spans="2:16" ht="17" thickBot="1" x14ac:dyDescent="0.25">
      <c r="B56" s="38"/>
      <c r="C56" s="619" t="s">
        <v>826</v>
      </c>
      <c r="D56" s="395"/>
      <c r="E56" s="389"/>
      <c r="F56" s="406"/>
      <c r="G56" s="424"/>
      <c r="H56" s="410"/>
      <c r="I56" s="417"/>
      <c r="J56" s="8"/>
      <c r="K56" s="350"/>
      <c r="L56" s="353"/>
      <c r="M56" s="351"/>
      <c r="N56" s="75"/>
      <c r="O56" s="454" t="s">
        <v>615</v>
      </c>
      <c r="P56" s="451"/>
    </row>
    <row r="57" spans="2:16" ht="17" thickBot="1" x14ac:dyDescent="0.25">
      <c r="B57" s="38"/>
      <c r="C57" s="619" t="s">
        <v>827</v>
      </c>
      <c r="D57" s="395"/>
      <c r="E57" s="389"/>
      <c r="F57" s="406"/>
      <c r="G57" s="424"/>
      <c r="H57" s="410"/>
      <c r="I57" s="417"/>
      <c r="J57" s="8"/>
      <c r="K57" s="350"/>
      <c r="L57" s="350"/>
      <c r="M57" s="351"/>
      <c r="N57" s="75"/>
      <c r="O57" s="454" t="s">
        <v>616</v>
      </c>
      <c r="P57" s="451"/>
    </row>
    <row r="58" spans="2:16" ht="17" thickBot="1" x14ac:dyDescent="0.25">
      <c r="B58" s="38"/>
      <c r="C58" s="619" t="s">
        <v>867</v>
      </c>
      <c r="D58" s="395"/>
      <c r="E58" s="389"/>
      <c r="F58" s="406"/>
      <c r="G58" s="424"/>
      <c r="H58" s="410"/>
      <c r="I58" s="417"/>
      <c r="J58" s="8"/>
      <c r="K58" s="350"/>
      <c r="L58" s="350"/>
      <c r="M58" s="351"/>
      <c r="N58" s="75"/>
      <c r="O58" s="454" t="s">
        <v>885</v>
      </c>
      <c r="P58" s="451"/>
    </row>
    <row r="59" spans="2:16" x14ac:dyDescent="0.2">
      <c r="B59" s="111"/>
      <c r="C59" s="197"/>
      <c r="D59" s="394"/>
      <c r="E59" s="261"/>
      <c r="F59" s="261"/>
      <c r="G59" s="423"/>
      <c r="H59" s="586"/>
      <c r="I59" s="10"/>
      <c r="J59" s="10"/>
      <c r="K59" s="356"/>
      <c r="L59" s="356"/>
      <c r="M59" s="352"/>
      <c r="N59" s="75"/>
      <c r="O59" s="449"/>
      <c r="P59" s="451">
        <f>IF(L60=TRUE,1,0)</f>
        <v>0</v>
      </c>
    </row>
    <row r="60" spans="2:16" x14ac:dyDescent="0.2">
      <c r="B60" s="38" t="s">
        <v>89</v>
      </c>
      <c r="C60" s="59"/>
      <c r="D60" s="396"/>
      <c r="E60" s="629"/>
      <c r="F60" s="629"/>
      <c r="G60" s="422"/>
      <c r="H60" s="149"/>
      <c r="I60" s="8"/>
      <c r="J60" s="8"/>
      <c r="K60" s="616" t="s">
        <v>191</v>
      </c>
      <c r="L60" s="625">
        <f>IF(SUM(E62:E64)=1,TRUE,SUM(E62:E64))</f>
        <v>0</v>
      </c>
      <c r="M60" s="624" t="str">
        <f>IF(L60=TRUE," ","Please adjust the percentages on the left. ")</f>
        <v xml:space="preserve">Please adjust the percentages on the left. </v>
      </c>
      <c r="N60" s="75"/>
      <c r="O60" s="449"/>
      <c r="P60" s="451"/>
    </row>
    <row r="61" spans="2:16" ht="17" thickBot="1" x14ac:dyDescent="0.25">
      <c r="B61" s="38"/>
      <c r="C61" s="620" t="s">
        <v>841</v>
      </c>
      <c r="D61" s="396"/>
      <c r="E61" s="629"/>
      <c r="F61" s="629"/>
      <c r="G61" s="422"/>
      <c r="H61" s="149"/>
      <c r="I61" s="8"/>
      <c r="J61" s="8"/>
      <c r="K61" s="616"/>
      <c r="L61" s="353"/>
      <c r="M61" s="627"/>
      <c r="N61" s="75"/>
      <c r="O61" s="449"/>
      <c r="P61" s="451"/>
    </row>
    <row r="62" spans="2:16" ht="17" thickBot="1" x14ac:dyDescent="0.25">
      <c r="B62" s="38"/>
      <c r="C62" s="619" t="s">
        <v>828</v>
      </c>
      <c r="D62" s="397"/>
      <c r="E62" s="390"/>
      <c r="F62" s="407"/>
      <c r="G62" s="424"/>
      <c r="H62" s="410"/>
      <c r="I62" s="416"/>
      <c r="J62" s="8"/>
      <c r="K62" s="350"/>
      <c r="L62" s="353"/>
      <c r="M62" s="351"/>
      <c r="N62" s="75"/>
      <c r="O62" s="454" t="s">
        <v>617</v>
      </c>
      <c r="P62" s="451"/>
    </row>
    <row r="63" spans="2:16" ht="17" thickBot="1" x14ac:dyDescent="0.25">
      <c r="B63" s="38"/>
      <c r="C63" s="619" t="s">
        <v>829</v>
      </c>
      <c r="D63" s="397"/>
      <c r="E63" s="390"/>
      <c r="F63" s="407"/>
      <c r="G63" s="424"/>
      <c r="H63" s="410"/>
      <c r="I63" s="417"/>
      <c r="J63" s="8"/>
      <c r="K63" s="350"/>
      <c r="L63" s="353"/>
      <c r="M63" s="351"/>
      <c r="N63" s="75"/>
      <c r="O63" s="454" t="s">
        <v>618</v>
      </c>
      <c r="P63" s="451"/>
    </row>
    <row r="64" spans="2:16" ht="17" thickBot="1" x14ac:dyDescent="0.25">
      <c r="B64" s="38"/>
      <c r="C64" s="619" t="s">
        <v>830</v>
      </c>
      <c r="D64" s="398"/>
      <c r="E64" s="390"/>
      <c r="F64" s="407"/>
      <c r="G64" s="426"/>
      <c r="H64" s="630"/>
      <c r="I64" s="417"/>
      <c r="J64" s="8"/>
      <c r="K64" s="350"/>
      <c r="L64" s="353"/>
      <c r="M64" s="351"/>
      <c r="N64" s="75"/>
      <c r="O64" s="456" t="s">
        <v>619</v>
      </c>
      <c r="P64" s="451"/>
    </row>
    <row r="65" spans="2:16" x14ac:dyDescent="0.2">
      <c r="B65" s="111"/>
      <c r="C65" s="197"/>
      <c r="D65" s="394"/>
      <c r="E65" s="261"/>
      <c r="F65" s="261"/>
      <c r="G65" s="423"/>
      <c r="H65" s="586"/>
      <c r="I65" s="10"/>
      <c r="J65" s="10"/>
      <c r="K65" s="356"/>
      <c r="L65" s="355"/>
      <c r="M65" s="352"/>
      <c r="N65" s="75"/>
      <c r="O65" s="449"/>
      <c r="P65" s="451">
        <f>IF(L66=TRUE,1,0)</f>
        <v>0</v>
      </c>
    </row>
    <row r="66" spans="2:16" x14ac:dyDescent="0.2">
      <c r="B66" s="38" t="s">
        <v>76</v>
      </c>
      <c r="C66" s="193"/>
      <c r="D66" s="392"/>
      <c r="E66" s="629"/>
      <c r="F66" s="407"/>
      <c r="G66" s="424"/>
      <c r="H66" s="410"/>
      <c r="I66" s="8"/>
      <c r="J66" s="8"/>
      <c r="K66" s="616" t="s">
        <v>191</v>
      </c>
      <c r="L66" s="625">
        <f>IF(SUM(E68:E70)=1,TRUE,SUM(E68:E70))</f>
        <v>0</v>
      </c>
      <c r="M66" s="624" t="str">
        <f>IF(L66=TRUE," ","Please adjust the percentages on the left. ")</f>
        <v xml:space="preserve">Please adjust the percentages on the left. </v>
      </c>
      <c r="N66" s="75"/>
      <c r="O66" s="449"/>
      <c r="P66" s="451"/>
    </row>
    <row r="67" spans="2:16" ht="17" thickBot="1" x14ac:dyDescent="0.25">
      <c r="B67" s="38"/>
      <c r="C67" s="620" t="s">
        <v>840</v>
      </c>
      <c r="D67" s="392"/>
      <c r="E67" s="629"/>
      <c r="F67" s="407"/>
      <c r="G67" s="424"/>
      <c r="H67" s="410"/>
      <c r="I67" s="8"/>
      <c r="J67" s="8"/>
      <c r="K67" s="616"/>
      <c r="L67" s="353"/>
      <c r="M67" s="627"/>
      <c r="N67" s="75"/>
      <c r="O67" s="449"/>
      <c r="P67" s="451"/>
    </row>
    <row r="68" spans="2:16" ht="17" thickBot="1" x14ac:dyDescent="0.25">
      <c r="B68" s="38"/>
      <c r="C68" s="619" t="s">
        <v>831</v>
      </c>
      <c r="D68" s="397"/>
      <c r="E68" s="390"/>
      <c r="F68" s="407"/>
      <c r="G68" s="424"/>
      <c r="H68" s="410"/>
      <c r="I68" s="416"/>
      <c r="J68" s="8"/>
      <c r="K68" s="350"/>
      <c r="L68" s="350"/>
      <c r="M68" s="351"/>
      <c r="N68" s="75"/>
      <c r="O68" s="454" t="s">
        <v>620</v>
      </c>
      <c r="P68" s="451"/>
    </row>
    <row r="69" spans="2:16" ht="17" thickBot="1" x14ac:dyDescent="0.25">
      <c r="B69" s="38"/>
      <c r="C69" s="619" t="s">
        <v>832</v>
      </c>
      <c r="D69" s="397"/>
      <c r="E69" s="390"/>
      <c r="F69" s="407"/>
      <c r="G69" s="424"/>
      <c r="H69" s="410"/>
      <c r="I69" s="416"/>
      <c r="J69" s="8"/>
      <c r="K69" s="350"/>
      <c r="L69" s="350"/>
      <c r="M69" s="351"/>
      <c r="N69" s="75"/>
      <c r="O69" s="454" t="s">
        <v>621</v>
      </c>
      <c r="P69" s="451"/>
    </row>
    <row r="70" spans="2:16" ht="17" thickBot="1" x14ac:dyDescent="0.25">
      <c r="B70" s="38"/>
      <c r="C70" s="619" t="s">
        <v>100</v>
      </c>
      <c r="D70" s="397"/>
      <c r="E70" s="390"/>
      <c r="F70" s="407"/>
      <c r="G70" s="426"/>
      <c r="H70" s="630"/>
      <c r="I70" s="416"/>
      <c r="J70" s="8"/>
      <c r="K70" s="350"/>
      <c r="L70" s="350"/>
      <c r="M70" s="351"/>
      <c r="N70" s="75"/>
      <c r="O70" s="456" t="s">
        <v>622</v>
      </c>
      <c r="P70" s="451"/>
    </row>
    <row r="71" spans="2:16" x14ac:dyDescent="0.2">
      <c r="B71" s="111"/>
      <c r="C71" s="197"/>
      <c r="D71" s="394"/>
      <c r="E71" s="261"/>
      <c r="F71" s="261"/>
      <c r="G71" s="423"/>
      <c r="H71" s="586"/>
      <c r="I71" s="10"/>
      <c r="J71" s="10"/>
      <c r="K71" s="356"/>
      <c r="L71" s="356"/>
      <c r="M71" s="352"/>
      <c r="N71" s="75"/>
      <c r="O71" s="449"/>
      <c r="P71" s="451">
        <f>IF(L72=TRUE,1,0)</f>
        <v>0</v>
      </c>
    </row>
    <row r="72" spans="2:16" x14ac:dyDescent="0.2">
      <c r="B72" s="38" t="s">
        <v>281</v>
      </c>
      <c r="C72" s="193"/>
      <c r="D72" s="392"/>
      <c r="E72" s="629"/>
      <c r="F72" s="629"/>
      <c r="G72" s="422"/>
      <c r="H72" s="149"/>
      <c r="I72" s="8"/>
      <c r="J72" s="8"/>
      <c r="K72" s="616" t="s">
        <v>191</v>
      </c>
      <c r="L72" s="625">
        <f>IF(SUM(E74:E78)=1,TRUE,SUM(E74:E78))</f>
        <v>0</v>
      </c>
      <c r="M72" s="624" t="str">
        <f>IF(L72=TRUE," ","Please adjust the percentages on the left. ")</f>
        <v xml:space="preserve">Please adjust the percentages on the left. </v>
      </c>
      <c r="N72" s="75"/>
      <c r="O72" s="449"/>
      <c r="P72" s="451"/>
    </row>
    <row r="73" spans="2:16" ht="17" thickBot="1" x14ac:dyDescent="0.25">
      <c r="B73" s="38"/>
      <c r="C73" s="620" t="s">
        <v>839</v>
      </c>
      <c r="D73" s="392"/>
      <c r="E73" s="629"/>
      <c r="F73" s="629"/>
      <c r="G73" s="422"/>
      <c r="H73" s="149"/>
      <c r="I73" s="8"/>
      <c r="J73" s="8"/>
      <c r="K73" s="616"/>
      <c r="L73" s="353"/>
      <c r="M73" s="627"/>
      <c r="N73" s="75"/>
      <c r="O73" s="449"/>
      <c r="P73" s="451"/>
    </row>
    <row r="74" spans="2:16" ht="17" thickBot="1" x14ac:dyDescent="0.25">
      <c r="B74" s="38"/>
      <c r="C74" s="619" t="s">
        <v>833</v>
      </c>
      <c r="D74" s="397"/>
      <c r="E74" s="390"/>
      <c r="F74" s="407"/>
      <c r="G74" s="424"/>
      <c r="H74" s="410"/>
      <c r="I74" s="416"/>
      <c r="J74" s="8"/>
      <c r="K74" s="350"/>
      <c r="L74" s="350"/>
      <c r="M74" s="351"/>
      <c r="N74" s="75"/>
      <c r="O74" s="454" t="s">
        <v>624</v>
      </c>
      <c r="P74" s="451"/>
    </row>
    <row r="75" spans="2:16" ht="17" thickBot="1" x14ac:dyDescent="0.25">
      <c r="B75" s="38"/>
      <c r="C75" s="619" t="s">
        <v>834</v>
      </c>
      <c r="D75" s="397"/>
      <c r="E75" s="390"/>
      <c r="F75" s="407"/>
      <c r="G75" s="424"/>
      <c r="H75" s="410"/>
      <c r="I75" s="416"/>
      <c r="J75" s="8"/>
      <c r="K75" s="350"/>
      <c r="L75" s="350"/>
      <c r="M75" s="351"/>
      <c r="N75" s="75"/>
      <c r="O75" s="454" t="s">
        <v>623</v>
      </c>
      <c r="P75" s="451"/>
    </row>
    <row r="76" spans="2:16" ht="17" thickBot="1" x14ac:dyDescent="0.25">
      <c r="B76" s="38"/>
      <c r="C76" s="619" t="s">
        <v>835</v>
      </c>
      <c r="D76" s="397"/>
      <c r="E76" s="390"/>
      <c r="F76" s="407"/>
      <c r="G76" s="426"/>
      <c r="H76" s="630"/>
      <c r="I76" s="416"/>
      <c r="J76" s="8"/>
      <c r="K76" s="350"/>
      <c r="L76" s="350"/>
      <c r="M76" s="351"/>
      <c r="N76" s="75"/>
      <c r="O76" s="456" t="s">
        <v>625</v>
      </c>
      <c r="P76" s="451"/>
    </row>
    <row r="77" spans="2:16" ht="17" thickBot="1" x14ac:dyDescent="0.25">
      <c r="B77" s="38"/>
      <c r="C77" s="619" t="s">
        <v>836</v>
      </c>
      <c r="D77" s="397"/>
      <c r="E77" s="390"/>
      <c r="F77" s="407"/>
      <c r="G77" s="426"/>
      <c r="H77" s="630"/>
      <c r="I77" s="416"/>
      <c r="J77" s="8"/>
      <c r="K77" s="350"/>
      <c r="L77" s="350"/>
      <c r="M77" s="351"/>
      <c r="N77" s="75"/>
      <c r="O77" s="456" t="s">
        <v>626</v>
      </c>
      <c r="P77" s="451"/>
    </row>
    <row r="78" spans="2:16" ht="17" thickBot="1" x14ac:dyDescent="0.25">
      <c r="B78" s="38"/>
      <c r="C78" s="619" t="s">
        <v>837</v>
      </c>
      <c r="D78" s="397"/>
      <c r="E78" s="390"/>
      <c r="F78" s="407"/>
      <c r="G78" s="426"/>
      <c r="H78" s="630"/>
      <c r="I78" s="416"/>
      <c r="J78" s="8"/>
      <c r="K78" s="350"/>
      <c r="L78" s="350"/>
      <c r="M78" s="351"/>
      <c r="N78" s="75"/>
      <c r="O78" s="456" t="s">
        <v>627</v>
      </c>
      <c r="P78" s="451"/>
    </row>
    <row r="79" spans="2:16" x14ac:dyDescent="0.2">
      <c r="B79" s="111"/>
      <c r="C79" s="197"/>
      <c r="D79" s="394"/>
      <c r="E79" s="261"/>
      <c r="F79" s="261"/>
      <c r="G79" s="423"/>
      <c r="H79" s="586"/>
      <c r="I79" s="10"/>
      <c r="J79" s="10"/>
      <c r="K79" s="356"/>
      <c r="L79" s="356"/>
      <c r="M79" s="352"/>
      <c r="N79" s="75"/>
      <c r="O79" s="449"/>
      <c r="P79" s="451">
        <f>IF(L80=TRUE,1,0)</f>
        <v>0</v>
      </c>
    </row>
    <row r="80" spans="2:16" x14ac:dyDescent="0.2">
      <c r="B80" s="38" t="s">
        <v>317</v>
      </c>
      <c r="C80" s="193"/>
      <c r="D80" s="392"/>
      <c r="E80" s="629"/>
      <c r="F80" s="629"/>
      <c r="G80" s="422"/>
      <c r="H80" s="149"/>
      <c r="I80" s="8"/>
      <c r="J80" s="8"/>
      <c r="K80" s="616" t="s">
        <v>191</v>
      </c>
      <c r="L80" s="625">
        <f>IF(SUM(E82:E89)=1,TRUE,SUM(E82:E89))</f>
        <v>0</v>
      </c>
      <c r="M80" s="624" t="str">
        <f>IF(L80=TRUE," ","Please adjust the percentages on the left. ")</f>
        <v xml:space="preserve">Please adjust the percentages on the left. </v>
      </c>
      <c r="N80" s="75"/>
      <c r="O80" s="449"/>
      <c r="P80" s="451"/>
    </row>
    <row r="81" spans="2:16" ht="17" thickBot="1" x14ac:dyDescent="0.25">
      <c r="B81" s="38"/>
      <c r="C81" s="620" t="s">
        <v>838</v>
      </c>
      <c r="D81" s="392"/>
      <c r="E81" s="629"/>
      <c r="F81" s="629"/>
      <c r="G81" s="422"/>
      <c r="H81" s="149"/>
      <c r="I81" s="8"/>
      <c r="J81" s="8"/>
      <c r="K81" s="616"/>
      <c r="L81" s="353"/>
      <c r="M81" s="627"/>
      <c r="N81" s="75"/>
      <c r="O81" s="449"/>
      <c r="P81" s="451"/>
    </row>
    <row r="82" spans="2:16" ht="17" thickBot="1" x14ac:dyDescent="0.25">
      <c r="B82" s="38"/>
      <c r="C82" s="619" t="s">
        <v>563</v>
      </c>
      <c r="D82" s="397"/>
      <c r="E82" s="390"/>
      <c r="F82" s="407"/>
      <c r="G82" s="431"/>
      <c r="H82" s="631"/>
      <c r="I82" s="416"/>
      <c r="J82" s="8"/>
      <c r="K82" s="350"/>
      <c r="L82" s="350"/>
      <c r="M82" s="351"/>
      <c r="N82" s="75"/>
      <c r="O82" s="456" t="s">
        <v>628</v>
      </c>
      <c r="P82" s="451"/>
    </row>
    <row r="83" spans="2:16" ht="17" thickBot="1" x14ac:dyDescent="0.25">
      <c r="B83" s="38"/>
      <c r="C83" s="619" t="s">
        <v>318</v>
      </c>
      <c r="D83" s="397"/>
      <c r="E83" s="390"/>
      <c r="F83" s="407"/>
      <c r="G83" s="424"/>
      <c r="H83" s="410"/>
      <c r="I83" s="416"/>
      <c r="J83" s="8"/>
      <c r="K83" s="350"/>
      <c r="L83" s="350"/>
      <c r="M83" s="351"/>
      <c r="N83" s="75"/>
      <c r="O83" s="454" t="s">
        <v>629</v>
      </c>
      <c r="P83" s="451"/>
    </row>
    <row r="84" spans="2:16" ht="17" thickBot="1" x14ac:dyDescent="0.25">
      <c r="B84" s="38"/>
      <c r="C84" s="619" t="s">
        <v>319</v>
      </c>
      <c r="D84" s="397"/>
      <c r="E84" s="390"/>
      <c r="F84" s="407"/>
      <c r="G84" s="424"/>
      <c r="H84" s="410"/>
      <c r="I84" s="416"/>
      <c r="J84" s="8"/>
      <c r="K84" s="350"/>
      <c r="L84" s="350"/>
      <c r="M84" s="351"/>
      <c r="N84" s="75"/>
      <c r="O84" s="454" t="s">
        <v>631</v>
      </c>
      <c r="P84" s="451"/>
    </row>
    <row r="85" spans="2:16" ht="17" thickBot="1" x14ac:dyDescent="0.25">
      <c r="B85" s="38"/>
      <c r="C85" s="619" t="s">
        <v>320</v>
      </c>
      <c r="D85" s="397"/>
      <c r="E85" s="390"/>
      <c r="F85" s="407"/>
      <c r="G85" s="424"/>
      <c r="H85" s="410"/>
      <c r="I85" s="416"/>
      <c r="J85" s="8"/>
      <c r="K85" s="350"/>
      <c r="L85" s="350"/>
      <c r="M85" s="351"/>
      <c r="N85" s="75"/>
      <c r="O85" s="454" t="s">
        <v>630</v>
      </c>
      <c r="P85" s="451"/>
    </row>
    <row r="86" spans="2:16" ht="17" thickBot="1" x14ac:dyDescent="0.25">
      <c r="B86" s="38"/>
      <c r="C86" s="619" t="s">
        <v>385</v>
      </c>
      <c r="D86" s="397"/>
      <c r="E86" s="390"/>
      <c r="F86" s="407"/>
      <c r="G86" s="424"/>
      <c r="H86" s="410"/>
      <c r="I86" s="416"/>
      <c r="J86" s="8"/>
      <c r="K86" s="350"/>
      <c r="L86" s="350"/>
      <c r="M86" s="351"/>
      <c r="N86" s="75"/>
      <c r="O86" s="454" t="s">
        <v>632</v>
      </c>
      <c r="P86" s="451"/>
    </row>
    <row r="87" spans="2:16" ht="17" thickBot="1" x14ac:dyDescent="0.25">
      <c r="B87" s="38"/>
      <c r="C87" s="619" t="s">
        <v>386</v>
      </c>
      <c r="D87" s="397"/>
      <c r="E87" s="390"/>
      <c r="F87" s="407"/>
      <c r="G87" s="424"/>
      <c r="H87" s="410"/>
      <c r="I87" s="416"/>
      <c r="J87" s="8"/>
      <c r="K87" s="350"/>
      <c r="L87" s="350"/>
      <c r="M87" s="351"/>
      <c r="N87" s="75"/>
      <c r="O87" s="454" t="s">
        <v>633</v>
      </c>
      <c r="P87" s="451"/>
    </row>
    <row r="88" spans="2:16" ht="17" thickBot="1" x14ac:dyDescent="0.25">
      <c r="B88" s="38"/>
      <c r="C88" s="619" t="s">
        <v>387</v>
      </c>
      <c r="D88" s="397"/>
      <c r="E88" s="390"/>
      <c r="F88" s="407"/>
      <c r="G88" s="424"/>
      <c r="H88" s="410"/>
      <c r="I88" s="416"/>
      <c r="J88" s="8"/>
      <c r="K88" s="350"/>
      <c r="L88" s="350"/>
      <c r="M88" s="351"/>
      <c r="N88" s="75"/>
      <c r="O88" s="454" t="s">
        <v>634</v>
      </c>
      <c r="P88" s="451"/>
    </row>
    <row r="89" spans="2:16" ht="17" thickBot="1" x14ac:dyDescent="0.25">
      <c r="B89" s="38"/>
      <c r="C89" s="619" t="s">
        <v>388</v>
      </c>
      <c r="D89" s="397"/>
      <c r="E89" s="390"/>
      <c r="F89" s="407"/>
      <c r="G89" s="424"/>
      <c r="H89" s="410"/>
      <c r="I89" s="416"/>
      <c r="J89" s="8"/>
      <c r="K89" s="350"/>
      <c r="L89" s="350"/>
      <c r="M89" s="351"/>
      <c r="N89" s="75"/>
      <c r="O89" s="454" t="s">
        <v>635</v>
      </c>
      <c r="P89" s="451"/>
    </row>
    <row r="90" spans="2:16" x14ac:dyDescent="0.2">
      <c r="B90" s="111"/>
      <c r="C90" s="197"/>
      <c r="D90" s="394"/>
      <c r="E90" s="266"/>
      <c r="F90" s="266"/>
      <c r="G90" s="423"/>
      <c r="H90" s="586"/>
      <c r="I90" s="10"/>
      <c r="J90" s="10"/>
      <c r="K90" s="356"/>
      <c r="L90" s="356"/>
      <c r="M90" s="352"/>
      <c r="N90" s="75"/>
      <c r="O90" s="449"/>
      <c r="P90" s="451"/>
    </row>
    <row r="91" spans="2:16" x14ac:dyDescent="0.2">
      <c r="B91" s="48"/>
      <c r="C91" s="202"/>
      <c r="D91" s="248"/>
      <c r="E91" s="580"/>
      <c r="F91" s="580"/>
      <c r="G91" s="576"/>
      <c r="H91" s="576"/>
      <c r="I91" s="4"/>
      <c r="J91" s="4"/>
      <c r="K91" s="577"/>
      <c r="L91" s="577"/>
      <c r="M91" s="581"/>
      <c r="N91" s="75"/>
      <c r="O91" s="449"/>
      <c r="P91" s="451"/>
    </row>
    <row r="92" spans="2:16" x14ac:dyDescent="0.2">
      <c r="B92" s="111"/>
      <c r="C92" s="197"/>
      <c r="D92" s="582"/>
      <c r="E92" s="266"/>
      <c r="F92" s="266"/>
      <c r="G92" s="586"/>
      <c r="H92" s="586"/>
      <c r="I92" s="10"/>
      <c r="J92" s="10"/>
      <c r="K92" s="356"/>
      <c r="L92" s="356"/>
      <c r="M92" s="583"/>
      <c r="N92" s="75"/>
      <c r="O92" s="449"/>
      <c r="P92" s="451"/>
    </row>
    <row r="93" spans="2:16" ht="17" thickBot="1" x14ac:dyDescent="0.25">
      <c r="B93" s="38" t="s">
        <v>696</v>
      </c>
      <c r="C93" s="193"/>
      <c r="D93" s="392"/>
      <c r="E93" s="246"/>
      <c r="F93" s="246"/>
      <c r="G93" s="422"/>
      <c r="H93" s="149"/>
      <c r="I93" s="8"/>
      <c r="J93" s="8"/>
      <c r="K93" s="350"/>
      <c r="L93" s="350"/>
      <c r="M93" s="351"/>
      <c r="N93" s="75"/>
      <c r="O93" s="449"/>
      <c r="P93" s="451"/>
    </row>
    <row r="94" spans="2:16" ht="17" thickBot="1" x14ac:dyDescent="0.25">
      <c r="B94" s="38"/>
      <c r="C94" s="71" t="s">
        <v>859</v>
      </c>
      <c r="D94" s="397"/>
      <c r="E94" s="390"/>
      <c r="F94" s="407"/>
      <c r="G94" s="431"/>
      <c r="H94" s="631"/>
      <c r="I94" s="416"/>
      <c r="J94" s="8"/>
      <c r="K94" s="350"/>
      <c r="L94" s="350"/>
      <c r="M94" s="351"/>
      <c r="N94" s="75"/>
      <c r="O94" s="456" t="s">
        <v>701</v>
      </c>
      <c r="P94" s="451"/>
    </row>
    <row r="95" spans="2:16" ht="17" thickBot="1" x14ac:dyDescent="0.25">
      <c r="B95" s="38"/>
      <c r="C95" s="71" t="s">
        <v>889</v>
      </c>
      <c r="D95" s="397"/>
      <c r="E95" s="390"/>
      <c r="F95" s="407"/>
      <c r="G95" s="424"/>
      <c r="H95" s="410"/>
      <c r="I95" s="417"/>
      <c r="J95" s="8"/>
      <c r="K95" s="350"/>
      <c r="L95" s="350"/>
      <c r="M95" s="351"/>
      <c r="N95" s="75"/>
      <c r="O95" s="456" t="s">
        <v>700</v>
      </c>
      <c r="P95" s="451"/>
    </row>
    <row r="96" spans="2:16" x14ac:dyDescent="0.2">
      <c r="B96" s="38"/>
      <c r="C96" s="193"/>
      <c r="D96" s="392"/>
      <c r="E96" s="246"/>
      <c r="F96" s="246"/>
      <c r="G96" s="422"/>
      <c r="H96" s="149"/>
      <c r="I96" s="8"/>
      <c r="J96" s="8"/>
      <c r="K96" s="350"/>
      <c r="L96" s="350"/>
      <c r="M96" s="351"/>
      <c r="N96" s="75"/>
      <c r="O96" s="449"/>
      <c r="P96" s="451"/>
    </row>
    <row r="97" spans="2:16" x14ac:dyDescent="0.2">
      <c r="B97" s="111"/>
      <c r="C97" s="197"/>
      <c r="D97" s="394"/>
      <c r="E97" s="266"/>
      <c r="F97" s="266"/>
      <c r="G97" s="423"/>
      <c r="H97" s="586"/>
      <c r="I97" s="10"/>
      <c r="J97" s="10"/>
      <c r="K97" s="356"/>
      <c r="L97" s="356"/>
      <c r="M97" s="352"/>
      <c r="N97" s="75"/>
      <c r="O97" s="449"/>
      <c r="P97" s="451"/>
    </row>
    <row r="98" spans="2:16" ht="17" thickBot="1" x14ac:dyDescent="0.25">
      <c r="B98" s="48" t="s">
        <v>440</v>
      </c>
      <c r="C98" s="202"/>
      <c r="D98" s="573"/>
      <c r="E98" s="574"/>
      <c r="F98" s="574"/>
      <c r="G98" s="575"/>
      <c r="H98" s="576"/>
      <c r="I98" s="4"/>
      <c r="J98" s="4"/>
      <c r="K98" s="577"/>
      <c r="L98" s="626"/>
      <c r="M98" s="578"/>
      <c r="N98" s="75"/>
      <c r="O98" s="449"/>
      <c r="P98" s="451">
        <f>IF(L99=TRUE,1,0)</f>
        <v>0</v>
      </c>
    </row>
    <row r="99" spans="2:16" ht="17" thickBot="1" x14ac:dyDescent="0.25">
      <c r="B99" s="38"/>
      <c r="C99" s="71" t="s">
        <v>856</v>
      </c>
      <c r="D99" s="397"/>
      <c r="E99" s="390"/>
      <c r="F99" s="407"/>
      <c r="G99" s="424"/>
      <c r="H99" s="410"/>
      <c r="I99" s="418"/>
      <c r="J99" s="8"/>
      <c r="K99" s="616" t="s">
        <v>191</v>
      </c>
      <c r="L99" s="625">
        <f>IF(SUM(E99:E100)=1,TRUE,SUM(E99:E100))</f>
        <v>0</v>
      </c>
      <c r="M99" s="627" t="str">
        <f>IF(L99=TRUE," ","Please adjust the percentages on the left. ")</f>
        <v xml:space="preserve">Please adjust the percentages on the left. </v>
      </c>
      <c r="N99" s="75"/>
      <c r="O99" s="454" t="s">
        <v>637</v>
      </c>
      <c r="P99" s="451"/>
    </row>
    <row r="100" spans="2:16" ht="17" thickBot="1" x14ac:dyDescent="0.25">
      <c r="B100" s="38"/>
      <c r="C100" s="71" t="s">
        <v>857</v>
      </c>
      <c r="D100" s="397"/>
      <c r="E100" s="390"/>
      <c r="F100" s="407"/>
      <c r="G100" s="424"/>
      <c r="H100" s="410"/>
      <c r="I100" s="415"/>
      <c r="J100" s="8"/>
      <c r="K100" s="350"/>
      <c r="L100" s="350"/>
      <c r="M100" s="351"/>
      <c r="N100" s="75"/>
      <c r="O100" s="454" t="s">
        <v>636</v>
      </c>
      <c r="P100" s="7"/>
    </row>
    <row r="101" spans="2:16" ht="17" thickBot="1" x14ac:dyDescent="0.25">
      <c r="B101" s="73"/>
      <c r="C101" s="193"/>
      <c r="D101" s="250"/>
      <c r="E101" s="246"/>
      <c r="F101" s="246"/>
      <c r="G101" s="422"/>
      <c r="H101" s="149"/>
      <c r="I101" s="8"/>
      <c r="J101" s="8"/>
      <c r="K101" s="56"/>
      <c r="L101" s="56"/>
      <c r="M101" s="32"/>
      <c r="O101" s="20"/>
      <c r="P101" s="7"/>
    </row>
    <row r="102" spans="2:16" ht="20" thickBot="1" x14ac:dyDescent="0.25">
      <c r="B102" s="73"/>
      <c r="C102" s="17" t="s">
        <v>739</v>
      </c>
      <c r="D102" s="397" t="s">
        <v>740</v>
      </c>
      <c r="E102" s="635"/>
      <c r="F102" s="407"/>
      <c r="G102" s="424"/>
      <c r="H102" s="410"/>
      <c r="I102" s="415"/>
      <c r="J102" s="8"/>
      <c r="K102" s="56"/>
      <c r="L102" s="56"/>
      <c r="M102" s="32"/>
      <c r="O102" s="454" t="s">
        <v>849</v>
      </c>
      <c r="P102" s="7"/>
    </row>
    <row r="103" spans="2:16" ht="20" thickBot="1" x14ac:dyDescent="0.25">
      <c r="B103" s="73"/>
      <c r="C103" s="17" t="s">
        <v>738</v>
      </c>
      <c r="D103" s="397" t="s">
        <v>740</v>
      </c>
      <c r="E103" s="635"/>
      <c r="F103" s="407"/>
      <c r="G103" s="424"/>
      <c r="H103" s="410"/>
      <c r="I103" s="419"/>
      <c r="J103" s="8"/>
      <c r="K103" s="56"/>
      <c r="L103" s="56"/>
      <c r="M103" s="32"/>
      <c r="O103" s="454" t="s">
        <v>848</v>
      </c>
      <c r="P103" s="11"/>
    </row>
    <row r="104" spans="2:16" ht="17" thickBot="1" x14ac:dyDescent="0.25">
      <c r="B104" s="579"/>
      <c r="C104" s="204"/>
      <c r="D104" s="253"/>
      <c r="E104" s="267"/>
      <c r="F104" s="267"/>
      <c r="G104" s="427"/>
      <c r="H104" s="412"/>
      <c r="I104" s="77"/>
      <c r="J104" s="77"/>
      <c r="K104" s="584"/>
      <c r="L104" s="584"/>
      <c r="M104" s="78"/>
      <c r="O104" s="21"/>
    </row>
    <row r="105" spans="2:16" x14ac:dyDescent="0.2">
      <c r="G105" s="422"/>
      <c r="H105" s="409"/>
    </row>
    <row r="106" spans="2:16" x14ac:dyDescent="0.2">
      <c r="G106" s="422"/>
      <c r="H106" s="409"/>
    </row>
    <row r="107" spans="2:16" x14ac:dyDescent="0.2">
      <c r="G107" s="428"/>
    </row>
    <row r="108" spans="2:16" x14ac:dyDescent="0.2">
      <c r="G108" s="428"/>
    </row>
    <row r="109" spans="2:16" x14ac:dyDescent="0.2">
      <c r="G109" s="429"/>
      <c r="H109" s="162"/>
      <c r="I109" s="162"/>
      <c r="J109" s="162"/>
      <c r="K109" s="162"/>
    </row>
    <row r="110" spans="2:16" x14ac:dyDescent="0.2">
      <c r="G110" s="429"/>
      <c r="H110" s="162"/>
      <c r="I110" s="162"/>
      <c r="J110" s="162"/>
      <c r="K110" s="162"/>
    </row>
    <row r="111" spans="2:16" x14ac:dyDescent="0.2">
      <c r="G111" s="429"/>
      <c r="H111" s="162"/>
      <c r="I111" s="162"/>
      <c r="J111" s="162"/>
      <c r="K111" s="162"/>
    </row>
    <row r="112" spans="2:16" x14ac:dyDescent="0.2">
      <c r="G112" s="429"/>
      <c r="H112" s="162"/>
      <c r="I112" s="162"/>
      <c r="J112" s="162"/>
      <c r="K112" s="162"/>
    </row>
    <row r="113" spans="7:11" x14ac:dyDescent="0.2">
      <c r="G113" s="429"/>
      <c r="H113" s="162"/>
      <c r="I113" s="162"/>
      <c r="J113" s="162"/>
      <c r="K113" s="162"/>
    </row>
    <row r="114" spans="7:11" x14ac:dyDescent="0.2">
      <c r="G114" s="429"/>
      <c r="H114" s="162"/>
      <c r="I114" s="162"/>
      <c r="J114" s="162"/>
      <c r="K114" s="162"/>
    </row>
    <row r="115" spans="7:11" x14ac:dyDescent="0.2">
      <c r="G115" s="429"/>
      <c r="H115" s="162"/>
      <c r="I115" s="162"/>
      <c r="J115" s="162"/>
      <c r="K115"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60">
    <cfRule type="cellIs" dxfId="11" priority="9" operator="equal">
      <formula>TRUE</formula>
    </cfRule>
  </conditionalFormatting>
  <conditionalFormatting sqref="L66">
    <cfRule type="cellIs" dxfId="10" priority="8" operator="equal">
      <formula>TRUE</formula>
    </cfRule>
  </conditionalFormatting>
  <conditionalFormatting sqref="L99">
    <cfRule type="cellIs" dxfId="9" priority="4" operator="equal">
      <formula>TRUE</formula>
    </cfRule>
  </conditionalFormatting>
  <conditionalFormatting sqref="L72">
    <cfRule type="cellIs" dxfId="8" priority="3" operator="equal">
      <formula>TRUE</formula>
    </cfRule>
  </conditionalFormatting>
  <conditionalFormatting sqref="L80">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96:E100 E31:E93">
      <formula1>0</formula1>
    </dataValidation>
    <dataValidation type="decimal" showInputMessage="1" showErrorMessage="1" errorTitle="Number Range" error="You may only  instert a number between 0 and 100%_x000d_" sqref="E94:E95">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1]!import_data_button">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macro="[1]!export_data_button">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macro="[1]!select_dashboard_values">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x14ac:dyDescent="0.2"/>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x14ac:dyDescent="0.25">
      <c r="B2" s="2" t="s">
        <v>715</v>
      </c>
    </row>
    <row r="3" spans="2:67" ht="15" customHeight="1" x14ac:dyDescent="0.25">
      <c r="B3" s="2"/>
    </row>
    <row r="4" spans="2:67" ht="15" customHeight="1" x14ac:dyDescent="0.2">
      <c r="B4" s="69" t="s">
        <v>79</v>
      </c>
      <c r="C4" s="4"/>
      <c r="D4" s="4"/>
      <c r="E4" s="4"/>
      <c r="F4" s="4"/>
      <c r="G4" s="4"/>
      <c r="H4" s="5"/>
    </row>
    <row r="5" spans="2:67" ht="30" customHeight="1" x14ac:dyDescent="0.2">
      <c r="B5" s="661"/>
      <c r="C5" s="662"/>
      <c r="D5" s="662"/>
      <c r="E5" s="662"/>
      <c r="F5" s="662"/>
      <c r="G5" s="662"/>
      <c r="H5" s="663"/>
    </row>
    <row r="6" spans="2:67" ht="15" customHeight="1" thickBot="1" x14ac:dyDescent="0.3">
      <c r="B6" s="2"/>
    </row>
    <row r="7" spans="2:67" ht="30" customHeight="1" x14ac:dyDescent="0.2">
      <c r="B7" s="367" t="s">
        <v>103</v>
      </c>
      <c r="C7" s="368" t="s">
        <v>37</v>
      </c>
      <c r="D7" s="368" t="s">
        <v>38</v>
      </c>
      <c r="E7" s="368" t="s">
        <v>39</v>
      </c>
      <c r="F7" s="368" t="s">
        <v>40</v>
      </c>
      <c r="G7" s="368" t="s">
        <v>41</v>
      </c>
      <c r="H7" s="368" t="s">
        <v>42</v>
      </c>
      <c r="I7" s="368" t="s">
        <v>49</v>
      </c>
      <c r="J7" s="368" t="s">
        <v>44</v>
      </c>
      <c r="K7" s="368" t="s">
        <v>45</v>
      </c>
      <c r="L7" s="368" t="s">
        <v>46</v>
      </c>
      <c r="M7" s="368" t="s">
        <v>47</v>
      </c>
      <c r="N7" s="368" t="s">
        <v>48</v>
      </c>
      <c r="O7" s="368" t="s">
        <v>531</v>
      </c>
      <c r="P7" s="368" t="s">
        <v>532</v>
      </c>
      <c r="Q7" s="368" t="s">
        <v>533</v>
      </c>
      <c r="R7" s="368" t="s">
        <v>534</v>
      </c>
      <c r="S7" s="368" t="s">
        <v>43</v>
      </c>
      <c r="T7" s="368" t="s">
        <v>535</v>
      </c>
      <c r="U7" s="368" t="s">
        <v>50</v>
      </c>
      <c r="V7" s="368" t="s">
        <v>51</v>
      </c>
      <c r="W7" s="368" t="s">
        <v>52</v>
      </c>
      <c r="X7" s="368" t="s">
        <v>53</v>
      </c>
      <c r="Y7" s="368" t="s">
        <v>54</v>
      </c>
      <c r="Z7" s="368" t="s">
        <v>55</v>
      </c>
      <c r="AA7" s="368" t="s">
        <v>56</v>
      </c>
      <c r="AB7" s="368" t="s">
        <v>57</v>
      </c>
      <c r="AC7" s="368" t="s">
        <v>58</v>
      </c>
      <c r="AD7" s="368" t="s">
        <v>59</v>
      </c>
      <c r="AE7" s="368" t="s">
        <v>60</v>
      </c>
      <c r="AF7" s="368" t="s">
        <v>61</v>
      </c>
      <c r="AG7" s="368" t="s">
        <v>62</v>
      </c>
      <c r="AH7" s="368" t="s">
        <v>63</v>
      </c>
      <c r="AI7" s="368" t="s">
        <v>64</v>
      </c>
      <c r="AJ7" s="368" t="s">
        <v>65</v>
      </c>
      <c r="AK7" s="368" t="s">
        <v>66</v>
      </c>
      <c r="AL7" s="368" t="s">
        <v>67</v>
      </c>
      <c r="AM7" s="368" t="s">
        <v>68</v>
      </c>
      <c r="AN7" s="368" t="s">
        <v>69</v>
      </c>
      <c r="AO7" s="368" t="s">
        <v>70</v>
      </c>
      <c r="AP7" s="368" t="s">
        <v>71</v>
      </c>
      <c r="AQ7" s="368" t="s">
        <v>72</v>
      </c>
      <c r="AR7" s="368" t="s">
        <v>536</v>
      </c>
      <c r="AS7" s="368" t="s">
        <v>537</v>
      </c>
      <c r="AT7" s="368" t="s">
        <v>538</v>
      </c>
      <c r="AU7" s="368" t="s">
        <v>74</v>
      </c>
      <c r="AV7" s="368" t="s">
        <v>73</v>
      </c>
      <c r="AW7" s="368" t="s">
        <v>539</v>
      </c>
      <c r="AX7" s="368" t="s">
        <v>540</v>
      </c>
      <c r="AY7" s="368" t="s">
        <v>541</v>
      </c>
      <c r="AZ7" s="368" t="s">
        <v>75</v>
      </c>
      <c r="BA7" s="368" t="s">
        <v>104</v>
      </c>
      <c r="BB7" s="368" t="s">
        <v>542</v>
      </c>
      <c r="BC7" s="368" t="s">
        <v>543</v>
      </c>
      <c r="BD7" s="368" t="s">
        <v>544</v>
      </c>
      <c r="BE7" s="368" t="s">
        <v>545</v>
      </c>
      <c r="BF7" s="368" t="s">
        <v>546</v>
      </c>
      <c r="BG7" s="368" t="s">
        <v>547</v>
      </c>
      <c r="BH7" s="368" t="s">
        <v>105</v>
      </c>
      <c r="BI7" s="368" t="s">
        <v>548</v>
      </c>
      <c r="BJ7" s="368" t="s">
        <v>549</v>
      </c>
      <c r="BK7" s="368" t="s">
        <v>550</v>
      </c>
      <c r="BL7" s="368" t="s">
        <v>106</v>
      </c>
      <c r="BM7" s="368" t="s">
        <v>107</v>
      </c>
      <c r="BN7" s="369" t="s">
        <v>101</v>
      </c>
      <c r="BO7" s="370" t="s">
        <v>551</v>
      </c>
    </row>
    <row r="8" spans="2:67" x14ac:dyDescent="0.2">
      <c r="B8" s="371" t="s">
        <v>108</v>
      </c>
      <c r="C8" s="372"/>
      <c r="D8" s="372"/>
      <c r="E8" s="372"/>
      <c r="F8" s="372"/>
      <c r="G8" s="372"/>
      <c r="H8" s="372"/>
      <c r="I8" s="372"/>
      <c r="J8" s="372"/>
      <c r="K8" s="372"/>
      <c r="L8" s="372"/>
      <c r="M8" s="372"/>
      <c r="N8" s="372"/>
      <c r="O8" s="372"/>
      <c r="P8" s="372"/>
      <c r="Q8" s="372"/>
      <c r="R8" s="372"/>
      <c r="S8" s="372"/>
      <c r="T8" s="372"/>
      <c r="U8" s="372"/>
      <c r="V8" s="372"/>
      <c r="W8" s="372"/>
      <c r="X8" s="372"/>
      <c r="Y8" s="372"/>
      <c r="Z8" s="372"/>
      <c r="AA8" s="372"/>
      <c r="AB8" s="372"/>
      <c r="AC8" s="372"/>
      <c r="AD8" s="372"/>
      <c r="AE8" s="372"/>
      <c r="AF8" s="372"/>
      <c r="AG8" s="372"/>
      <c r="AH8" s="372"/>
      <c r="AI8" s="372"/>
      <c r="AJ8" s="372"/>
      <c r="AK8" s="372"/>
      <c r="AL8" s="372"/>
      <c r="AM8" s="372"/>
      <c r="AN8" s="372"/>
      <c r="AO8" s="372"/>
      <c r="AP8" s="372"/>
      <c r="AQ8" s="372"/>
      <c r="AR8" s="372"/>
      <c r="AS8" s="372"/>
      <c r="AT8" s="372"/>
      <c r="AU8" s="372"/>
      <c r="AV8" s="372"/>
      <c r="AW8" s="372"/>
      <c r="AX8" s="372"/>
      <c r="AY8" s="372"/>
      <c r="AZ8" s="372"/>
      <c r="BA8" s="372"/>
      <c r="BB8" s="372"/>
      <c r="BC8" s="372"/>
      <c r="BD8" s="372"/>
      <c r="BE8" s="372"/>
      <c r="BF8" s="372"/>
      <c r="BG8" s="372"/>
      <c r="BH8" s="372"/>
      <c r="BI8" s="372"/>
      <c r="BJ8" s="372"/>
      <c r="BK8" s="372"/>
      <c r="BL8" s="372"/>
      <c r="BM8" s="372"/>
      <c r="BN8" s="373"/>
      <c r="BO8" s="374"/>
    </row>
    <row r="9" spans="2:67" x14ac:dyDescent="0.2">
      <c r="B9" s="375"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76"/>
      <c r="BO9" s="43"/>
    </row>
    <row r="10" spans="2:67" x14ac:dyDescent="0.2">
      <c r="B10" s="375"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76"/>
      <c r="BO10" s="43"/>
    </row>
    <row r="11" spans="2:67" x14ac:dyDescent="0.2">
      <c r="B11" s="375"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76"/>
      <c r="BO11" s="43"/>
    </row>
    <row r="12" spans="2:67" x14ac:dyDescent="0.2">
      <c r="B12" s="375"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76"/>
      <c r="BO12" s="43"/>
    </row>
    <row r="13" spans="2:67" x14ac:dyDescent="0.2">
      <c r="B13" s="375"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76"/>
      <c r="BO13" s="43"/>
    </row>
    <row r="14" spans="2:67" ht="17" thickBot="1" x14ac:dyDescent="0.25">
      <c r="B14" s="375"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76"/>
      <c r="BO14" s="43"/>
    </row>
    <row r="15" spans="2:67" ht="17" thickBot="1" x14ac:dyDescent="0.25">
      <c r="B15" s="377" t="s">
        <v>115</v>
      </c>
      <c r="C15" s="378"/>
      <c r="D15" s="378"/>
      <c r="E15" s="378"/>
      <c r="F15" s="378"/>
      <c r="G15" s="378"/>
      <c r="H15" s="378"/>
      <c r="I15" s="378"/>
      <c r="J15" s="378"/>
      <c r="K15" s="378"/>
      <c r="L15" s="378"/>
      <c r="M15" s="378"/>
      <c r="N15" s="378"/>
      <c r="O15" s="378"/>
      <c r="P15" s="378"/>
      <c r="Q15" s="378"/>
      <c r="R15" s="378"/>
      <c r="S15" s="378"/>
      <c r="T15" s="378"/>
      <c r="U15" s="378"/>
      <c r="V15" s="378"/>
      <c r="W15" s="378"/>
      <c r="X15" s="379"/>
      <c r="Y15" s="378"/>
      <c r="Z15" s="378"/>
      <c r="AA15" s="378"/>
      <c r="AB15" s="378"/>
      <c r="AC15" s="378"/>
      <c r="AD15" s="378"/>
      <c r="AE15" s="378"/>
      <c r="AF15" s="378"/>
      <c r="AG15" s="378"/>
      <c r="AH15" s="378"/>
      <c r="AI15" s="378"/>
      <c r="AJ15" s="378"/>
      <c r="AK15" s="378"/>
      <c r="AL15" s="378"/>
      <c r="AM15" s="378"/>
      <c r="AN15" s="378"/>
      <c r="AO15" s="378"/>
      <c r="AP15" s="378"/>
      <c r="AQ15" s="378"/>
      <c r="AR15" s="378"/>
      <c r="AS15" s="378"/>
      <c r="AT15" s="378"/>
      <c r="AU15" s="378"/>
      <c r="AV15" s="378"/>
      <c r="AW15" s="378"/>
      <c r="AX15" s="378"/>
      <c r="AY15" s="378"/>
      <c r="AZ15" s="378"/>
      <c r="BA15" s="378"/>
      <c r="BB15" s="378"/>
      <c r="BC15" s="378"/>
      <c r="BD15" s="378"/>
      <c r="BE15" s="378"/>
      <c r="BF15" s="378"/>
      <c r="BG15" s="378"/>
      <c r="BH15" s="378"/>
      <c r="BI15" s="378"/>
      <c r="BJ15" s="378"/>
      <c r="BK15" s="378"/>
      <c r="BL15" s="378"/>
      <c r="BM15" s="378"/>
      <c r="BN15" s="380"/>
      <c r="BO15" s="381"/>
    </row>
    <row r="16" spans="2:67" x14ac:dyDescent="0.2">
      <c r="B16" s="375"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76"/>
      <c r="BO16" s="43"/>
    </row>
    <row r="17" spans="2:67" ht="17" thickBot="1" x14ac:dyDescent="0.25">
      <c r="B17" s="375"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76"/>
      <c r="BO17" s="43"/>
    </row>
    <row r="18" spans="2:67" ht="17" thickBot="1" x14ac:dyDescent="0.25">
      <c r="B18" s="377" t="s">
        <v>118</v>
      </c>
      <c r="C18" s="378"/>
      <c r="D18" s="378"/>
      <c r="E18" s="378"/>
      <c r="F18" s="378"/>
      <c r="G18" s="378"/>
      <c r="H18" s="378"/>
      <c r="I18" s="378"/>
      <c r="J18" s="378"/>
      <c r="K18" s="378"/>
      <c r="L18" s="378"/>
      <c r="M18" s="378"/>
      <c r="N18" s="378"/>
      <c r="O18" s="378"/>
      <c r="P18" s="378"/>
      <c r="Q18" s="378"/>
      <c r="R18" s="378"/>
      <c r="S18" s="378"/>
      <c r="T18" s="378"/>
      <c r="U18" s="378"/>
      <c r="V18" s="378"/>
      <c r="W18" s="378"/>
      <c r="X18" s="378"/>
      <c r="Y18" s="378"/>
      <c r="Z18" s="378"/>
      <c r="AA18" s="378"/>
      <c r="AB18" s="378"/>
      <c r="AC18" s="378"/>
      <c r="AD18" s="378"/>
      <c r="AE18" s="378"/>
      <c r="AF18" s="378"/>
      <c r="AG18" s="378"/>
      <c r="AH18" s="378"/>
      <c r="AI18" s="378"/>
      <c r="AJ18" s="378"/>
      <c r="AK18" s="378"/>
      <c r="AL18" s="378"/>
      <c r="AM18" s="378"/>
      <c r="AN18" s="378"/>
      <c r="AO18" s="378"/>
      <c r="AP18" s="378"/>
      <c r="AQ18" s="378"/>
      <c r="AR18" s="378"/>
      <c r="AS18" s="378"/>
      <c r="AT18" s="378"/>
      <c r="AU18" s="378"/>
      <c r="AV18" s="378"/>
      <c r="AW18" s="378"/>
      <c r="AX18" s="378"/>
      <c r="AY18" s="378"/>
      <c r="AZ18" s="378"/>
      <c r="BA18" s="378"/>
      <c r="BB18" s="378"/>
      <c r="BC18" s="378"/>
      <c r="BD18" s="378"/>
      <c r="BE18" s="378"/>
      <c r="BF18" s="378"/>
      <c r="BG18" s="378"/>
      <c r="BH18" s="378"/>
      <c r="BI18" s="378"/>
      <c r="BJ18" s="378"/>
      <c r="BK18" s="378"/>
      <c r="BL18" s="378"/>
      <c r="BM18" s="378"/>
      <c r="BN18" s="380"/>
      <c r="BO18" s="381"/>
    </row>
    <row r="19" spans="2:67" x14ac:dyDescent="0.2">
      <c r="B19" s="375"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76"/>
      <c r="BO19" s="43"/>
    </row>
    <row r="20" spans="2:67" x14ac:dyDescent="0.2">
      <c r="B20" s="375"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76"/>
      <c r="BO20" s="43"/>
    </row>
    <row r="21" spans="2:67" x14ac:dyDescent="0.2">
      <c r="B21" s="375"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76"/>
      <c r="BO21" s="43"/>
    </row>
    <row r="22" spans="2:67" x14ac:dyDescent="0.2">
      <c r="B22" s="375"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76"/>
      <c r="BO22" s="43"/>
    </row>
    <row r="23" spans="2:67" x14ac:dyDescent="0.2">
      <c r="B23" s="375"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76"/>
      <c r="BO23" s="43"/>
    </row>
    <row r="24" spans="2:67" x14ac:dyDescent="0.2">
      <c r="B24" s="382"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3"/>
      <c r="BO24" s="46"/>
    </row>
    <row r="25" spans="2:67" x14ac:dyDescent="0.2">
      <c r="B25" s="375"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76"/>
      <c r="BO25" s="43"/>
    </row>
    <row r="26" spans="2:67" x14ac:dyDescent="0.2">
      <c r="B26" s="375"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76"/>
      <c r="BO26" s="43"/>
    </row>
    <row r="27" spans="2:67" x14ac:dyDescent="0.2">
      <c r="B27" s="375"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76"/>
      <c r="BO27" s="43"/>
    </row>
    <row r="28" spans="2:67" x14ac:dyDescent="0.2">
      <c r="B28" s="375" t="s">
        <v>444</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76"/>
      <c r="BO28" s="43"/>
    </row>
    <row r="29" spans="2:67" x14ac:dyDescent="0.2">
      <c r="B29" s="375" t="s">
        <v>445</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76"/>
      <c r="BO29" s="43"/>
    </row>
    <row r="30" spans="2:67" x14ac:dyDescent="0.2">
      <c r="B30" s="375" t="s">
        <v>446</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76"/>
      <c r="BO30" s="43"/>
    </row>
    <row r="31" spans="2:67" x14ac:dyDescent="0.2">
      <c r="B31" s="375" t="s">
        <v>447</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76"/>
      <c r="BO31" s="43"/>
    </row>
    <row r="32" spans="2:67" x14ac:dyDescent="0.2">
      <c r="B32" s="375" t="s">
        <v>448</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76"/>
      <c r="BO32" s="43"/>
    </row>
    <row r="33" spans="2:67" x14ac:dyDescent="0.2">
      <c r="B33" s="375" t="s">
        <v>449</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76"/>
      <c r="BO33" s="43"/>
    </row>
    <row r="34" spans="2:67" x14ac:dyDescent="0.2">
      <c r="B34" s="375"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76"/>
      <c r="BO34" s="43"/>
    </row>
    <row r="35" spans="2:67" x14ac:dyDescent="0.2">
      <c r="B35" s="375" t="s">
        <v>450</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76"/>
      <c r="BO35" s="43"/>
    </row>
    <row r="36" spans="2:67" x14ac:dyDescent="0.2">
      <c r="B36" s="375" t="s">
        <v>451</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76"/>
      <c r="BO36" s="43"/>
    </row>
    <row r="37" spans="2:67" x14ac:dyDescent="0.2">
      <c r="B37" s="375"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76"/>
      <c r="BO37" s="43"/>
    </row>
    <row r="38" spans="2:67" x14ac:dyDescent="0.2">
      <c r="B38" s="375"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76"/>
      <c r="BO38" s="43"/>
    </row>
    <row r="39" spans="2:67" ht="17" thickBot="1" x14ac:dyDescent="0.25">
      <c r="B39" s="375"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76"/>
      <c r="BO39" s="43"/>
    </row>
    <row r="40" spans="2:67" ht="17" thickBot="1" x14ac:dyDescent="0.25">
      <c r="B40" s="377" t="s">
        <v>132</v>
      </c>
      <c r="C40" s="378"/>
      <c r="D40" s="378"/>
      <c r="E40" s="378"/>
      <c r="F40" s="378"/>
      <c r="G40" s="378"/>
      <c r="H40" s="378"/>
      <c r="I40" s="378"/>
      <c r="J40" s="378"/>
      <c r="K40" s="378"/>
      <c r="L40" s="378"/>
      <c r="M40" s="378"/>
      <c r="N40" s="378"/>
      <c r="O40" s="378"/>
      <c r="P40" s="378"/>
      <c r="Q40" s="378"/>
      <c r="R40" s="378"/>
      <c r="S40" s="378"/>
      <c r="T40" s="378"/>
      <c r="U40" s="378"/>
      <c r="V40" s="378"/>
      <c r="W40" s="378"/>
      <c r="X40" s="378"/>
      <c r="Y40" s="378"/>
      <c r="Z40" s="378"/>
      <c r="AA40" s="378"/>
      <c r="AB40" s="378"/>
      <c r="AC40" s="378"/>
      <c r="AD40" s="378"/>
      <c r="AE40" s="378"/>
      <c r="AF40" s="378"/>
      <c r="AG40" s="378"/>
      <c r="AH40" s="378"/>
      <c r="AI40" s="378"/>
      <c r="AJ40" s="378"/>
      <c r="AK40" s="378"/>
      <c r="AL40" s="378"/>
      <c r="AM40" s="378"/>
      <c r="AN40" s="378"/>
      <c r="AO40" s="378"/>
      <c r="AP40" s="378"/>
      <c r="AQ40" s="378"/>
      <c r="AR40" s="378"/>
      <c r="AS40" s="378"/>
      <c r="AT40" s="378"/>
      <c r="AU40" s="378"/>
      <c r="AV40" s="378"/>
      <c r="AW40" s="378"/>
      <c r="AX40" s="378"/>
      <c r="AY40" s="378"/>
      <c r="AZ40" s="378"/>
      <c r="BA40" s="378"/>
      <c r="BB40" s="378"/>
      <c r="BC40" s="378"/>
      <c r="BD40" s="378"/>
      <c r="BE40" s="378"/>
      <c r="BF40" s="378"/>
      <c r="BG40" s="378"/>
      <c r="BH40" s="378"/>
      <c r="BI40" s="378"/>
      <c r="BJ40" s="378"/>
      <c r="BK40" s="378"/>
      <c r="BL40" s="378"/>
      <c r="BM40" s="378"/>
      <c r="BN40" s="380"/>
      <c r="BO40" s="381"/>
    </row>
    <row r="41" spans="2:67" x14ac:dyDescent="0.2">
      <c r="B41" s="375"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76"/>
      <c r="BO41" s="43"/>
    </row>
    <row r="42" spans="2:67" x14ac:dyDescent="0.2">
      <c r="B42" s="375"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76"/>
      <c r="BO42" s="43"/>
    </row>
    <row r="43" spans="2:67" x14ac:dyDescent="0.2">
      <c r="B43" s="375" t="s">
        <v>452</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76"/>
      <c r="BO43" s="43"/>
    </row>
    <row r="44" spans="2:67" x14ac:dyDescent="0.2">
      <c r="B44" s="375" t="s">
        <v>453</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76"/>
      <c r="BO44" s="43"/>
    </row>
    <row r="45" spans="2:67" x14ac:dyDescent="0.2">
      <c r="B45" s="375"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76"/>
      <c r="BO45" s="43"/>
    </row>
    <row r="46" spans="2:67" x14ac:dyDescent="0.2">
      <c r="B46" s="375" t="s">
        <v>454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76"/>
      <c r="BO46" s="43"/>
    </row>
    <row r="47" spans="2:67" x14ac:dyDescent="0.2">
      <c r="B47" s="375" t="s">
        <v>455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76"/>
      <c r="BO47" s="43"/>
    </row>
    <row r="48" spans="2:67" x14ac:dyDescent="0.2">
      <c r="B48" s="375" t="s">
        <v>456</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76"/>
      <c r="BO48" s="43"/>
    </row>
    <row r="49" spans="2:67" x14ac:dyDescent="0.2">
      <c r="B49" s="375" t="s">
        <v>457</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76"/>
      <c r="BO49" s="43"/>
    </row>
    <row r="50" spans="2:67" x14ac:dyDescent="0.2">
      <c r="B50" s="375" t="s">
        <v>458</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76"/>
      <c r="BO50" s="43"/>
    </row>
    <row r="51" spans="2:67" x14ac:dyDescent="0.2">
      <c r="B51" s="375"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76"/>
      <c r="BO51" s="43"/>
    </row>
    <row r="52" spans="2:67" x14ac:dyDescent="0.2">
      <c r="B52" s="375" t="s">
        <v>459</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76"/>
      <c r="BO52" s="43"/>
    </row>
    <row r="53" spans="2:67" x14ac:dyDescent="0.2">
      <c r="B53" s="375"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76"/>
      <c r="BO53" s="43"/>
    </row>
    <row r="54" spans="2:67" x14ac:dyDescent="0.2">
      <c r="B54" s="375"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76"/>
      <c r="BO54" s="43"/>
    </row>
    <row r="55" spans="2:67" x14ac:dyDescent="0.2">
      <c r="B55" s="375"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76"/>
      <c r="BO55" s="43"/>
    </row>
    <row r="56" spans="2:67" x14ac:dyDescent="0.2">
      <c r="B56" s="375"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76"/>
      <c r="BO56" s="43"/>
    </row>
    <row r="57" spans="2:67" x14ac:dyDescent="0.2">
      <c r="B57" s="375"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76"/>
      <c r="BO57" s="43"/>
    </row>
    <row r="58" spans="2:67" ht="17" thickBot="1" x14ac:dyDescent="0.25">
      <c r="B58" s="375"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76"/>
      <c r="BO58" s="43"/>
    </row>
    <row r="59" spans="2:67" ht="17" thickBot="1" x14ac:dyDescent="0.25">
      <c r="B59" s="377" t="s">
        <v>142</v>
      </c>
      <c r="C59" s="378"/>
      <c r="D59" s="378"/>
      <c r="E59" s="378"/>
      <c r="F59" s="378"/>
      <c r="G59" s="378"/>
      <c r="H59" s="378"/>
      <c r="I59" s="378"/>
      <c r="J59" s="378"/>
      <c r="K59" s="378"/>
      <c r="L59" s="378"/>
      <c r="M59" s="378"/>
      <c r="N59" s="378"/>
      <c r="O59" s="378"/>
      <c r="P59" s="378"/>
      <c r="Q59" s="378"/>
      <c r="R59" s="378"/>
      <c r="S59" s="378"/>
      <c r="T59" s="378"/>
      <c r="U59" s="378"/>
      <c r="V59" s="378"/>
      <c r="W59" s="378"/>
      <c r="X59" s="378"/>
      <c r="Y59" s="378"/>
      <c r="Z59" s="378"/>
      <c r="AA59" s="378"/>
      <c r="AB59" s="378"/>
      <c r="AC59" s="378"/>
      <c r="AD59" s="378"/>
      <c r="AE59" s="378"/>
      <c r="AF59" s="378"/>
      <c r="AG59" s="378"/>
      <c r="AH59" s="378"/>
      <c r="AI59" s="378"/>
      <c r="AJ59" s="378"/>
      <c r="AK59" s="378"/>
      <c r="AL59" s="378"/>
      <c r="AM59" s="378"/>
      <c r="AN59" s="378"/>
      <c r="AO59" s="378"/>
      <c r="AP59" s="378"/>
      <c r="AQ59" s="378"/>
      <c r="AR59" s="378"/>
      <c r="AS59" s="378"/>
      <c r="AT59" s="378"/>
      <c r="AU59" s="378"/>
      <c r="AV59" s="378"/>
      <c r="AW59" s="378"/>
      <c r="AX59" s="378"/>
      <c r="AY59" s="378"/>
      <c r="AZ59" s="378"/>
      <c r="BA59" s="378"/>
      <c r="BB59" s="378"/>
      <c r="BC59" s="378"/>
      <c r="BD59" s="378"/>
      <c r="BE59" s="378"/>
      <c r="BF59" s="378"/>
      <c r="BG59" s="378"/>
      <c r="BH59" s="378"/>
      <c r="BI59" s="378"/>
      <c r="BJ59" s="378"/>
      <c r="BK59" s="378"/>
      <c r="BL59" s="378"/>
      <c r="BM59" s="378"/>
      <c r="BN59" s="380"/>
      <c r="BO59" s="381"/>
    </row>
    <row r="60" spans="2:67" ht="17" thickBot="1" x14ac:dyDescent="0.25">
      <c r="B60" s="377" t="s">
        <v>29</v>
      </c>
      <c r="C60" s="378"/>
      <c r="D60" s="378"/>
      <c r="E60" s="378"/>
      <c r="F60" s="378"/>
      <c r="G60" s="378"/>
      <c r="H60" s="378"/>
      <c r="I60" s="378"/>
      <c r="J60" s="378"/>
      <c r="K60" s="378"/>
      <c r="L60" s="378"/>
      <c r="M60" s="378"/>
      <c r="N60" s="378"/>
      <c r="O60" s="378"/>
      <c r="P60" s="378"/>
      <c r="Q60" s="378"/>
      <c r="R60" s="378"/>
      <c r="S60" s="378"/>
      <c r="T60" s="378"/>
      <c r="U60" s="378"/>
      <c r="V60" s="378"/>
      <c r="W60" s="378"/>
      <c r="X60" s="378"/>
      <c r="Y60" s="378"/>
      <c r="Z60" s="378"/>
      <c r="AA60" s="378"/>
      <c r="AB60" s="378"/>
      <c r="AC60" s="378"/>
      <c r="AD60" s="378"/>
      <c r="AE60" s="378"/>
      <c r="AF60" s="378"/>
      <c r="AG60" s="378"/>
      <c r="AH60" s="378"/>
      <c r="AI60" s="378"/>
      <c r="AJ60" s="378"/>
      <c r="AK60" s="378"/>
      <c r="AL60" s="378"/>
      <c r="AM60" s="378"/>
      <c r="AN60" s="378"/>
      <c r="AO60" s="378"/>
      <c r="AP60" s="378"/>
      <c r="AQ60" s="378"/>
      <c r="AR60" s="378"/>
      <c r="AS60" s="378"/>
      <c r="AT60" s="378"/>
      <c r="AU60" s="378"/>
      <c r="AV60" s="378"/>
      <c r="AW60" s="378"/>
      <c r="AX60" s="378"/>
      <c r="AY60" s="378"/>
      <c r="AZ60" s="378"/>
      <c r="BA60" s="378"/>
      <c r="BB60" s="378"/>
      <c r="BC60" s="378"/>
      <c r="BD60" s="378"/>
      <c r="BE60" s="378"/>
      <c r="BF60" s="378"/>
      <c r="BG60" s="378"/>
      <c r="BH60" s="378"/>
      <c r="BI60" s="378"/>
      <c r="BJ60" s="378"/>
      <c r="BK60" s="378"/>
      <c r="BL60" s="378"/>
      <c r="BM60" s="378"/>
      <c r="BN60" s="380"/>
      <c r="BO60" s="381"/>
    </row>
    <row r="61" spans="2:67" x14ac:dyDescent="0.2">
      <c r="B61" s="375"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76"/>
      <c r="BO61" s="43"/>
    </row>
    <row r="62" spans="2:67" x14ac:dyDescent="0.2">
      <c r="B62" s="375"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76"/>
      <c r="BO62" s="43"/>
    </row>
    <row r="63" spans="2:67" x14ac:dyDescent="0.2">
      <c r="B63" s="375"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76"/>
      <c r="BO63" s="43"/>
    </row>
    <row r="64" spans="2:67" x14ac:dyDescent="0.2">
      <c r="B64" s="375"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76"/>
      <c r="BO64" s="43"/>
    </row>
    <row r="65" spans="2:67" x14ac:dyDescent="0.2">
      <c r="B65" s="375"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76"/>
      <c r="BO65" s="43"/>
    </row>
    <row r="66" spans="2:67" x14ac:dyDescent="0.2">
      <c r="B66" s="375"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76"/>
      <c r="BO66" s="43"/>
    </row>
    <row r="67" spans="2:67" x14ac:dyDescent="0.2">
      <c r="B67" s="375"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76"/>
      <c r="BO67" s="43"/>
    </row>
    <row r="68" spans="2:67" x14ac:dyDescent="0.2">
      <c r="B68" s="375"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76"/>
      <c r="BO68" s="43"/>
    </row>
    <row r="69" spans="2:67" x14ac:dyDescent="0.2">
      <c r="B69" s="375"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76"/>
      <c r="BO69" s="43"/>
    </row>
    <row r="70" spans="2:67" x14ac:dyDescent="0.2">
      <c r="B70" s="375"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76"/>
      <c r="BO70" s="43"/>
    </row>
    <row r="71" spans="2:67" x14ac:dyDescent="0.2">
      <c r="B71" s="375"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76"/>
      <c r="BO71" s="43"/>
    </row>
    <row r="72" spans="2:67" x14ac:dyDescent="0.2">
      <c r="B72" s="375"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76"/>
      <c r="BO72" s="43"/>
    </row>
    <row r="73" spans="2:67" ht="17" thickBot="1" x14ac:dyDescent="0.25">
      <c r="B73" s="375"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76"/>
      <c r="BO73" s="43"/>
    </row>
    <row r="74" spans="2:67" ht="17" thickBot="1" x14ac:dyDescent="0.25">
      <c r="B74" s="377" t="s">
        <v>156</v>
      </c>
      <c r="C74" s="378"/>
      <c r="D74" s="378"/>
      <c r="E74" s="378"/>
      <c r="F74" s="378"/>
      <c r="G74" s="378"/>
      <c r="H74" s="378"/>
      <c r="I74" s="378"/>
      <c r="J74" s="378"/>
      <c r="K74" s="378"/>
      <c r="L74" s="378"/>
      <c r="M74" s="378"/>
      <c r="N74" s="378"/>
      <c r="O74" s="378"/>
      <c r="P74" s="378"/>
      <c r="Q74" s="378"/>
      <c r="R74" s="378"/>
      <c r="S74" s="378"/>
      <c r="T74" s="378"/>
      <c r="U74" s="378"/>
      <c r="V74" s="378"/>
      <c r="W74" s="378"/>
      <c r="X74" s="378"/>
      <c r="Y74" s="378"/>
      <c r="Z74" s="378"/>
      <c r="AA74" s="378"/>
      <c r="AB74" s="378"/>
      <c r="AC74" s="378"/>
      <c r="AD74" s="378"/>
      <c r="AE74" s="378"/>
      <c r="AF74" s="378"/>
      <c r="AG74" s="378"/>
      <c r="AH74" s="378"/>
      <c r="AI74" s="378"/>
      <c r="AJ74" s="378"/>
      <c r="AK74" s="378"/>
      <c r="AL74" s="378"/>
      <c r="AM74" s="378"/>
      <c r="AN74" s="378"/>
      <c r="AO74" s="378"/>
      <c r="AP74" s="378"/>
      <c r="AQ74" s="378"/>
      <c r="AR74" s="378"/>
      <c r="AS74" s="378"/>
      <c r="AT74" s="378"/>
      <c r="AU74" s="378"/>
      <c r="AV74" s="378"/>
      <c r="AW74" s="378"/>
      <c r="AX74" s="378"/>
      <c r="AY74" s="378"/>
      <c r="AZ74" s="378"/>
      <c r="BA74" s="378"/>
      <c r="BB74" s="378"/>
      <c r="BC74" s="378"/>
      <c r="BD74" s="378"/>
      <c r="BE74" s="378"/>
      <c r="BF74" s="378"/>
      <c r="BG74" s="378"/>
      <c r="BH74" s="378"/>
      <c r="BI74" s="378"/>
      <c r="BJ74" s="378"/>
      <c r="BK74" s="378"/>
      <c r="BL74" s="378"/>
      <c r="BM74" s="378"/>
      <c r="BN74" s="380"/>
      <c r="BO74" s="381"/>
    </row>
    <row r="75" spans="2:67" x14ac:dyDescent="0.2">
      <c r="B75" s="375"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76"/>
      <c r="BO75" s="43"/>
    </row>
    <row r="76" spans="2:67" x14ac:dyDescent="0.2">
      <c r="B76" s="375"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76"/>
      <c r="BO76" s="43"/>
    </row>
    <row r="77" spans="2:67" x14ac:dyDescent="0.2">
      <c r="B77" s="375"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76"/>
      <c r="BO77" s="43"/>
    </row>
    <row r="78" spans="2:67" x14ac:dyDescent="0.2">
      <c r="B78" s="375"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76"/>
      <c r="BO78" s="43"/>
    </row>
    <row r="79" spans="2:67" x14ac:dyDescent="0.2">
      <c r="B79" s="375"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76"/>
      <c r="BO79" s="43"/>
    </row>
    <row r="80" spans="2:67" ht="17" thickBot="1" x14ac:dyDescent="0.25">
      <c r="B80" s="375"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76"/>
      <c r="BO80" s="43"/>
    </row>
    <row r="81" spans="2:67" ht="17" thickBot="1" x14ac:dyDescent="0.25">
      <c r="B81" s="377" t="s">
        <v>78</v>
      </c>
      <c r="C81" s="378"/>
      <c r="D81" s="378"/>
      <c r="E81" s="378"/>
      <c r="F81" s="378"/>
      <c r="G81" s="378"/>
      <c r="H81" s="378"/>
      <c r="I81" s="378"/>
      <c r="J81" s="378"/>
      <c r="K81" s="378"/>
      <c r="L81" s="378"/>
      <c r="M81" s="378"/>
      <c r="N81" s="378"/>
      <c r="O81" s="378"/>
      <c r="P81" s="378"/>
      <c r="Q81" s="378"/>
      <c r="R81" s="378"/>
      <c r="S81" s="378"/>
      <c r="T81" s="378"/>
      <c r="U81" s="378"/>
      <c r="V81" s="378"/>
      <c r="W81" s="378"/>
      <c r="X81" s="378"/>
      <c r="Y81" s="378"/>
      <c r="Z81" s="378"/>
      <c r="AA81" s="378"/>
      <c r="AB81" s="378"/>
      <c r="AC81" s="378"/>
      <c r="AD81" s="378"/>
      <c r="AE81" s="378"/>
      <c r="AF81" s="378"/>
      <c r="AG81" s="378"/>
      <c r="AH81" s="378"/>
      <c r="AI81" s="378"/>
      <c r="AJ81" s="378"/>
      <c r="AK81" s="378"/>
      <c r="AL81" s="378"/>
      <c r="AM81" s="378"/>
      <c r="AN81" s="378"/>
      <c r="AO81" s="378"/>
      <c r="AP81" s="378"/>
      <c r="AQ81" s="378"/>
      <c r="AR81" s="378"/>
      <c r="AS81" s="378"/>
      <c r="AT81" s="378"/>
      <c r="AU81" s="378"/>
      <c r="AV81" s="378"/>
      <c r="AW81" s="378"/>
      <c r="AX81" s="378"/>
      <c r="AY81" s="378"/>
      <c r="AZ81" s="378"/>
      <c r="BA81" s="378"/>
      <c r="BB81" s="378"/>
      <c r="BC81" s="378"/>
      <c r="BD81" s="378"/>
      <c r="BE81" s="378"/>
      <c r="BF81" s="378"/>
      <c r="BG81" s="378"/>
      <c r="BH81" s="378"/>
      <c r="BI81" s="378"/>
      <c r="BJ81" s="378"/>
      <c r="BK81" s="378"/>
      <c r="BL81" s="378"/>
      <c r="BM81" s="378"/>
      <c r="BN81" s="380"/>
      <c r="BO81" s="381"/>
    </row>
    <row r="82" spans="2:67" x14ac:dyDescent="0.2">
      <c r="B82" s="375"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76"/>
      <c r="BO82" s="43"/>
    </row>
    <row r="83" spans="2:67" x14ac:dyDescent="0.2">
      <c r="B83" s="375"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76"/>
      <c r="BO83" s="43"/>
    </row>
    <row r="84" spans="2:67" x14ac:dyDescent="0.2">
      <c r="B84" s="375"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76"/>
      <c r="BO84" s="43"/>
    </row>
    <row r="85" spans="2:67" x14ac:dyDescent="0.2">
      <c r="B85" s="375"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76"/>
      <c r="BO85" s="43"/>
    </row>
    <row r="86" spans="2:67" ht="17" thickBot="1" x14ac:dyDescent="0.25">
      <c r="B86" s="375"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76"/>
      <c r="BO86" s="43"/>
    </row>
    <row r="87" spans="2:67" ht="17" thickBot="1" x14ac:dyDescent="0.25">
      <c r="B87" s="377" t="s">
        <v>168</v>
      </c>
      <c r="C87" s="378"/>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c r="AR87" s="378"/>
      <c r="AS87" s="378"/>
      <c r="AT87" s="378"/>
      <c r="AU87" s="378"/>
      <c r="AV87" s="378"/>
      <c r="AW87" s="378"/>
      <c r="AX87" s="378"/>
      <c r="AY87" s="378"/>
      <c r="AZ87" s="378"/>
      <c r="BA87" s="378"/>
      <c r="BB87" s="378"/>
      <c r="BC87" s="378"/>
      <c r="BD87" s="378"/>
      <c r="BE87" s="378"/>
      <c r="BF87" s="378"/>
      <c r="BG87" s="378"/>
      <c r="BH87" s="378"/>
      <c r="BI87" s="378"/>
      <c r="BJ87" s="378"/>
      <c r="BK87" s="378"/>
      <c r="BL87" s="378"/>
      <c r="BM87" s="378"/>
      <c r="BN87" s="380"/>
      <c r="BO87" s="381"/>
    </row>
    <row r="88" spans="2:67" x14ac:dyDescent="0.2">
      <c r="B88" s="375"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76"/>
      <c r="BO88" s="43"/>
    </row>
    <row r="89" spans="2:67" x14ac:dyDescent="0.2">
      <c r="B89" s="375"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76"/>
      <c r="BO89" s="43"/>
    </row>
    <row r="90" spans="2:67" x14ac:dyDescent="0.2">
      <c r="B90" s="375"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76"/>
      <c r="BO90" s="43"/>
    </row>
    <row r="91" spans="2:67" ht="17" thickBot="1" x14ac:dyDescent="0.25">
      <c r="B91" s="375"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76"/>
      <c r="BO91" s="43"/>
    </row>
    <row r="92" spans="2:67" ht="17" thickBot="1" x14ac:dyDescent="0.25">
      <c r="B92" s="377" t="s">
        <v>173</v>
      </c>
      <c r="C92" s="378"/>
      <c r="D92" s="378"/>
      <c r="E92" s="378"/>
      <c r="F92" s="378"/>
      <c r="G92" s="378"/>
      <c r="H92" s="378"/>
      <c r="I92" s="378"/>
      <c r="J92" s="378"/>
      <c r="K92" s="378"/>
      <c r="L92" s="378"/>
      <c r="M92" s="378"/>
      <c r="N92" s="378"/>
      <c r="O92" s="378"/>
      <c r="P92" s="378"/>
      <c r="Q92" s="378"/>
      <c r="R92" s="378"/>
      <c r="S92" s="378"/>
      <c r="T92" s="378"/>
      <c r="U92" s="378"/>
      <c r="V92" s="378"/>
      <c r="W92" s="378"/>
      <c r="X92" s="378"/>
      <c r="Y92" s="378"/>
      <c r="Z92" s="378"/>
      <c r="AA92" s="378"/>
      <c r="AB92" s="378"/>
      <c r="AC92" s="378"/>
      <c r="AD92" s="378"/>
      <c r="AE92" s="378"/>
      <c r="AF92" s="378"/>
      <c r="AG92" s="378"/>
      <c r="AH92" s="378"/>
      <c r="AI92" s="378"/>
      <c r="AJ92" s="378"/>
      <c r="AK92" s="378"/>
      <c r="AL92" s="378"/>
      <c r="AM92" s="378"/>
      <c r="AN92" s="378"/>
      <c r="AO92" s="378"/>
      <c r="AP92" s="378"/>
      <c r="AQ92" s="378"/>
      <c r="AR92" s="378"/>
      <c r="AS92" s="378"/>
      <c r="AT92" s="378"/>
      <c r="AU92" s="378"/>
      <c r="AV92" s="378"/>
      <c r="AW92" s="378"/>
      <c r="AX92" s="378"/>
      <c r="AY92" s="378"/>
      <c r="AZ92" s="378"/>
      <c r="BA92" s="378"/>
      <c r="BB92" s="378"/>
      <c r="BC92" s="378"/>
      <c r="BD92" s="378"/>
      <c r="BE92" s="378"/>
      <c r="BF92" s="378"/>
      <c r="BG92" s="378"/>
      <c r="BH92" s="378"/>
      <c r="BI92" s="378"/>
      <c r="BJ92" s="378"/>
      <c r="BK92" s="378"/>
      <c r="BL92" s="378"/>
      <c r="BM92" s="378"/>
      <c r="BN92" s="380"/>
      <c r="BO92" s="381"/>
    </row>
    <row r="93" spans="2:67" x14ac:dyDescent="0.2">
      <c r="B93" s="375"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76"/>
      <c r="BO93" s="43"/>
    </row>
    <row r="94" spans="2:67" x14ac:dyDescent="0.2">
      <c r="B94" s="375"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76"/>
      <c r="BO94" s="43"/>
    </row>
    <row r="95" spans="2:67" x14ac:dyDescent="0.2">
      <c r="B95" s="375"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76"/>
      <c r="BO95" s="43"/>
    </row>
    <row r="96" spans="2:67" ht="17" thickBot="1" x14ac:dyDescent="0.25">
      <c r="B96" s="375"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76"/>
      <c r="BO96" s="43"/>
    </row>
    <row r="97" spans="2:67" ht="17" thickBot="1" x14ac:dyDescent="0.25">
      <c r="B97" s="377" t="s">
        <v>178</v>
      </c>
      <c r="C97" s="378"/>
      <c r="D97" s="378"/>
      <c r="E97" s="378"/>
      <c r="F97" s="378"/>
      <c r="G97" s="378"/>
      <c r="H97" s="378"/>
      <c r="I97" s="378"/>
      <c r="J97" s="378"/>
      <c r="K97" s="378"/>
      <c r="L97" s="378"/>
      <c r="M97" s="378"/>
      <c r="N97" s="378"/>
      <c r="O97" s="378"/>
      <c r="P97" s="378"/>
      <c r="Q97" s="378"/>
      <c r="R97" s="378"/>
      <c r="S97" s="378"/>
      <c r="T97" s="378"/>
      <c r="U97" s="378"/>
      <c r="V97" s="378"/>
      <c r="W97" s="378"/>
      <c r="X97" s="378"/>
      <c r="Y97" s="378"/>
      <c r="Z97" s="378"/>
      <c r="AA97" s="378"/>
      <c r="AB97" s="378"/>
      <c r="AC97" s="378"/>
      <c r="AD97" s="378"/>
      <c r="AE97" s="378"/>
      <c r="AF97" s="378"/>
      <c r="AG97" s="378"/>
      <c r="AH97" s="378"/>
      <c r="AI97" s="378"/>
      <c r="AJ97" s="378"/>
      <c r="AK97" s="378"/>
      <c r="AL97" s="378"/>
      <c r="AM97" s="378"/>
      <c r="AN97" s="378"/>
      <c r="AO97" s="378"/>
      <c r="AP97" s="378"/>
      <c r="AQ97" s="378"/>
      <c r="AR97" s="378"/>
      <c r="AS97" s="378"/>
      <c r="AT97" s="378"/>
      <c r="AU97" s="378"/>
      <c r="AV97" s="378"/>
      <c r="AW97" s="378"/>
      <c r="AX97" s="378"/>
      <c r="AY97" s="378"/>
      <c r="AZ97" s="378"/>
      <c r="BA97" s="378"/>
      <c r="BB97" s="378"/>
      <c r="BC97" s="378"/>
      <c r="BD97" s="378"/>
      <c r="BE97" s="378"/>
      <c r="BF97" s="378"/>
      <c r="BG97" s="378"/>
      <c r="BH97" s="378"/>
      <c r="BI97" s="378"/>
      <c r="BJ97" s="378"/>
      <c r="BK97" s="378"/>
      <c r="BL97" s="378"/>
      <c r="BM97" s="378"/>
      <c r="BN97" s="380"/>
      <c r="BO97" s="381"/>
    </row>
    <row r="98" spans="2:67" x14ac:dyDescent="0.2">
      <c r="B98" s="375"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76"/>
      <c r="BO98" s="43"/>
    </row>
    <row r="99" spans="2:67" x14ac:dyDescent="0.2">
      <c r="B99" s="375"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76"/>
      <c r="BO99" s="43"/>
    </row>
    <row r="100" spans="2:67" x14ac:dyDescent="0.2">
      <c r="B100" s="375"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76"/>
      <c r="BO100" s="43"/>
    </row>
    <row r="101" spans="2:67" ht="17" thickBot="1" x14ac:dyDescent="0.25">
      <c r="B101" s="384" t="s">
        <v>182</v>
      </c>
      <c r="C101" s="385"/>
      <c r="D101" s="385"/>
      <c r="E101" s="385"/>
      <c r="F101" s="385"/>
      <c r="G101" s="385"/>
      <c r="H101" s="385"/>
      <c r="I101" s="385"/>
      <c r="J101" s="385"/>
      <c r="K101" s="385"/>
      <c r="L101" s="385"/>
      <c r="M101" s="385"/>
      <c r="N101" s="385"/>
      <c r="O101" s="385"/>
      <c r="P101" s="385"/>
      <c r="Q101" s="385"/>
      <c r="R101" s="385"/>
      <c r="S101" s="385"/>
      <c r="T101" s="385"/>
      <c r="U101" s="385"/>
      <c r="V101" s="385"/>
      <c r="W101" s="385"/>
      <c r="X101" s="385"/>
      <c r="Y101" s="385"/>
      <c r="Z101" s="385"/>
      <c r="AA101" s="385"/>
      <c r="AB101" s="385"/>
      <c r="AC101" s="385"/>
      <c r="AD101" s="385"/>
      <c r="AE101" s="385"/>
      <c r="AF101" s="385"/>
      <c r="AG101" s="385"/>
      <c r="AH101" s="385"/>
      <c r="AI101" s="385"/>
      <c r="AJ101" s="385"/>
      <c r="AK101" s="385"/>
      <c r="AL101" s="385"/>
      <c r="AM101" s="385"/>
      <c r="AN101" s="385"/>
      <c r="AO101" s="385"/>
      <c r="AP101" s="385"/>
      <c r="AQ101" s="385"/>
      <c r="AR101" s="385"/>
      <c r="AS101" s="385"/>
      <c r="AT101" s="385"/>
      <c r="AU101" s="385"/>
      <c r="AV101" s="385"/>
      <c r="AW101" s="385"/>
      <c r="AX101" s="385"/>
      <c r="AY101" s="385"/>
      <c r="AZ101" s="385"/>
      <c r="BA101" s="385"/>
      <c r="BB101" s="385"/>
      <c r="BC101" s="385"/>
      <c r="BD101" s="385"/>
      <c r="BE101" s="385"/>
      <c r="BF101" s="385"/>
      <c r="BG101" s="385"/>
      <c r="BH101" s="385"/>
      <c r="BI101" s="385"/>
      <c r="BJ101" s="385"/>
      <c r="BK101" s="385"/>
      <c r="BL101" s="385"/>
      <c r="BM101" s="385"/>
      <c r="BN101" s="386"/>
      <c r="BO101" s="50"/>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Q58"/>
  <sheetViews>
    <sheetView tabSelected="1" topLeftCell="E2" workbookViewId="0">
      <selection activeCell="O9" sqref="O9"/>
    </sheetView>
  </sheetViews>
  <sheetFormatPr baseColWidth="10" defaultRowHeight="16" x14ac:dyDescent="0.2"/>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 style="1" customWidth="1"/>
    <col min="13" max="13" width="16.83203125" style="1" customWidth="1"/>
    <col min="14" max="15" width="17.1640625" style="1" customWidth="1"/>
    <col min="16" max="16" width="22.83203125" style="119" customWidth="1"/>
    <col min="17" max="17" width="29.1640625" style="1" bestFit="1" customWidth="1"/>
    <col min="18" max="16384" width="10.83203125" style="1"/>
  </cols>
  <sheetData>
    <row r="2" spans="2:17" ht="21" x14ac:dyDescent="0.25">
      <c r="B2" s="63" t="s">
        <v>188</v>
      </c>
      <c r="C2" s="8"/>
      <c r="D2" s="8"/>
      <c r="E2" s="8"/>
      <c r="F2" s="8"/>
      <c r="G2" s="8"/>
      <c r="H2" s="8"/>
      <c r="I2" s="8"/>
      <c r="J2" s="8"/>
      <c r="K2" s="8"/>
    </row>
    <row r="4" spans="2:17" x14ac:dyDescent="0.2">
      <c r="B4" s="607" t="s">
        <v>79</v>
      </c>
      <c r="C4" s="608"/>
      <c r="D4" s="608"/>
      <c r="E4" s="609"/>
      <c r="F4" s="611"/>
      <c r="G4" s="612"/>
      <c r="H4" s="612"/>
      <c r="I4" s="612"/>
      <c r="J4" s="612"/>
      <c r="K4" s="612"/>
      <c r="L4" s="612"/>
      <c r="M4" s="612"/>
      <c r="N4" s="8"/>
      <c r="O4" s="8"/>
      <c r="P4" s="187"/>
    </row>
    <row r="5" spans="2:17" x14ac:dyDescent="0.2">
      <c r="B5" s="585" t="s">
        <v>797</v>
      </c>
      <c r="C5" s="586"/>
      <c r="D5" s="586"/>
      <c r="E5" s="610"/>
      <c r="F5" s="492"/>
      <c r="G5" s="149"/>
      <c r="H5" s="149"/>
      <c r="I5" s="149"/>
      <c r="J5" s="149"/>
      <c r="K5" s="149"/>
      <c r="L5" s="149"/>
      <c r="M5" s="149"/>
      <c r="N5" s="149"/>
      <c r="O5" s="149"/>
      <c r="P5" s="187"/>
    </row>
    <row r="6" spans="2:17" ht="17" thickBot="1" x14ac:dyDescent="0.25">
      <c r="B6" s="8"/>
      <c r="C6" s="8"/>
      <c r="D6" s="8"/>
      <c r="E6" s="8"/>
      <c r="F6" s="8"/>
      <c r="G6" s="8"/>
      <c r="H6" s="8"/>
      <c r="I6" s="8"/>
      <c r="J6" s="8"/>
      <c r="K6" s="8"/>
    </row>
    <row r="7" spans="2:17" x14ac:dyDescent="0.2">
      <c r="B7" s="564" t="s">
        <v>643</v>
      </c>
      <c r="C7" s="565"/>
      <c r="D7" s="565"/>
      <c r="E7" s="598" t="s">
        <v>796</v>
      </c>
      <c r="F7" s="558" t="s">
        <v>794</v>
      </c>
      <c r="G7" s="558"/>
      <c r="H7" s="557"/>
      <c r="I7" s="557"/>
      <c r="J7" s="558"/>
      <c r="K7" s="589"/>
      <c r="L7" s="592"/>
      <c r="M7" s="593"/>
      <c r="N7" s="593"/>
      <c r="O7" s="593"/>
      <c r="P7" s="594"/>
    </row>
    <row r="8" spans="2:17" ht="30" customHeight="1" x14ac:dyDescent="0.2">
      <c r="B8" s="587" t="s">
        <v>284</v>
      </c>
      <c r="C8" s="588" t="s">
        <v>183</v>
      </c>
      <c r="D8" s="8"/>
      <c r="E8" s="599" t="s">
        <v>233</v>
      </c>
      <c r="F8" s="8" t="s">
        <v>752</v>
      </c>
      <c r="G8" s="8" t="s">
        <v>890</v>
      </c>
      <c r="H8" s="8" t="s">
        <v>756</v>
      </c>
      <c r="I8" s="8" t="s">
        <v>870</v>
      </c>
      <c r="J8" s="8" t="s">
        <v>753</v>
      </c>
      <c r="K8" s="590" t="s">
        <v>795</v>
      </c>
      <c r="L8" s="595" t="s">
        <v>725</v>
      </c>
      <c r="M8" s="596" t="s">
        <v>726</v>
      </c>
      <c r="N8" s="596" t="s">
        <v>524</v>
      </c>
      <c r="O8" s="596" t="s">
        <v>893</v>
      </c>
      <c r="P8" s="597" t="s">
        <v>727</v>
      </c>
      <c r="Q8" s="268" t="s">
        <v>364</v>
      </c>
    </row>
    <row r="9" spans="2:17" ht="15" customHeight="1" x14ac:dyDescent="0.2">
      <c r="B9" s="44"/>
      <c r="C9" s="10"/>
      <c r="D9" s="68"/>
      <c r="E9" s="599"/>
      <c r="F9" s="559" t="s">
        <v>754</v>
      </c>
      <c r="G9" s="559" t="s">
        <v>891</v>
      </c>
      <c r="H9" s="559" t="s">
        <v>755</v>
      </c>
      <c r="I9" s="559" t="s">
        <v>869</v>
      </c>
      <c r="J9" s="559" t="s">
        <v>751</v>
      </c>
      <c r="K9" s="11" t="s">
        <v>790</v>
      </c>
      <c r="L9" s="21"/>
      <c r="M9" s="10"/>
      <c r="N9" s="10"/>
      <c r="O9" s="10"/>
      <c r="P9" s="591"/>
    </row>
    <row r="10" spans="2:17" x14ac:dyDescent="0.2">
      <c r="B10" s="49" t="s">
        <v>77</v>
      </c>
      <c r="C10" s="8"/>
      <c r="D10" s="8"/>
      <c r="E10" s="20"/>
      <c r="F10" s="8"/>
      <c r="G10" s="8"/>
      <c r="H10" s="8"/>
      <c r="I10" s="8"/>
      <c r="J10" s="8"/>
      <c r="K10" s="7"/>
      <c r="L10" s="70"/>
      <c r="M10" s="8"/>
      <c r="N10" s="8"/>
      <c r="O10" s="8"/>
      <c r="P10" s="138"/>
      <c r="Q10" s="268"/>
    </row>
    <row r="11" spans="2:17" x14ac:dyDescent="0.2">
      <c r="B11" s="49"/>
      <c r="C11" s="17" t="s">
        <v>409</v>
      </c>
      <c r="D11" s="17"/>
      <c r="E11" s="19" t="s">
        <v>757</v>
      </c>
      <c r="F11" s="566"/>
      <c r="G11" s="566"/>
      <c r="H11" s="566"/>
      <c r="I11" s="566"/>
      <c r="J11" s="566"/>
      <c r="K11" s="600"/>
      <c r="L11" s="221">
        <f>F11</f>
        <v>0</v>
      </c>
      <c r="M11" s="227"/>
      <c r="N11" s="71"/>
      <c r="O11" s="71"/>
      <c r="P11" s="228">
        <f>L11</f>
        <v>0</v>
      </c>
      <c r="Q11" s="268" t="s">
        <v>323</v>
      </c>
    </row>
    <row r="12" spans="2:17" x14ac:dyDescent="0.2">
      <c r="B12" s="49"/>
      <c r="C12" s="17" t="s">
        <v>415</v>
      </c>
      <c r="D12" s="17"/>
      <c r="E12" s="19" t="s">
        <v>758</v>
      </c>
      <c r="F12" s="566"/>
      <c r="G12" s="566"/>
      <c r="H12" s="566"/>
      <c r="I12" s="566"/>
      <c r="J12" s="566"/>
      <c r="K12" s="600"/>
      <c r="L12" s="221">
        <f>F12</f>
        <v>0</v>
      </c>
      <c r="M12" s="227"/>
      <c r="N12" s="71"/>
      <c r="O12" s="71"/>
      <c r="P12" s="228">
        <f>L12</f>
        <v>0</v>
      </c>
      <c r="Q12" s="268" t="s">
        <v>393</v>
      </c>
    </row>
    <row r="13" spans="2:17" x14ac:dyDescent="0.2">
      <c r="B13" s="49"/>
      <c r="C13" s="17" t="s">
        <v>411</v>
      </c>
      <c r="D13" s="17"/>
      <c r="E13" s="19" t="s">
        <v>759</v>
      </c>
      <c r="F13" s="566"/>
      <c r="G13" s="566"/>
      <c r="H13" s="566"/>
      <c r="I13" s="566"/>
      <c r="J13" s="566"/>
      <c r="K13" s="600"/>
      <c r="L13" s="221"/>
      <c r="M13" s="227" t="e">
        <f>1/H13</f>
        <v>#DIV/0!</v>
      </c>
      <c r="N13" s="71"/>
      <c r="O13" s="71"/>
      <c r="P13" s="228" t="e">
        <f>M13</f>
        <v>#DIV/0!</v>
      </c>
      <c r="Q13" s="268" t="s">
        <v>324</v>
      </c>
    </row>
    <row r="14" spans="2:17" x14ac:dyDescent="0.2">
      <c r="B14" s="49"/>
      <c r="C14" s="17" t="s">
        <v>429</v>
      </c>
      <c r="D14" s="17"/>
      <c r="E14" s="19" t="s">
        <v>760</v>
      </c>
      <c r="F14" s="566"/>
      <c r="G14" s="566"/>
      <c r="H14" s="566"/>
      <c r="I14" s="566"/>
      <c r="J14" s="566"/>
      <c r="K14" s="600"/>
      <c r="L14" s="221">
        <f>F14</f>
        <v>0</v>
      </c>
      <c r="M14" s="227"/>
      <c r="N14" s="493">
        <f>J14</f>
        <v>0</v>
      </c>
      <c r="O14" s="493"/>
      <c r="P14" s="228">
        <f>L14</f>
        <v>0</v>
      </c>
      <c r="Q14" s="268" t="s">
        <v>325</v>
      </c>
    </row>
    <row r="15" spans="2:17" x14ac:dyDescent="0.2">
      <c r="B15" s="49"/>
      <c r="C15" s="17" t="s">
        <v>414</v>
      </c>
      <c r="D15" s="17"/>
      <c r="E15" s="19" t="s">
        <v>761</v>
      </c>
      <c r="F15" s="566"/>
      <c r="G15" s="566"/>
      <c r="H15" s="566"/>
      <c r="I15" s="566"/>
      <c r="J15" s="566"/>
      <c r="K15" s="600"/>
      <c r="L15" s="221">
        <f>F15</f>
        <v>0</v>
      </c>
      <c r="M15" s="227"/>
      <c r="N15" s="71"/>
      <c r="O15" s="71"/>
      <c r="P15" s="228">
        <f>L15</f>
        <v>0</v>
      </c>
      <c r="Q15" s="268" t="s">
        <v>326</v>
      </c>
    </row>
    <row r="16" spans="2:17" x14ac:dyDescent="0.2">
      <c r="B16" s="67"/>
      <c r="C16" s="17" t="s">
        <v>416</v>
      </c>
      <c r="D16" s="17"/>
      <c r="E16" s="19" t="s">
        <v>762</v>
      </c>
      <c r="F16" s="566"/>
      <c r="G16" s="566"/>
      <c r="H16" s="566"/>
      <c r="I16" s="566"/>
      <c r="J16" s="566"/>
      <c r="K16" s="600"/>
      <c r="L16" s="221"/>
      <c r="M16" s="227" t="e">
        <f>1/H16</f>
        <v>#DIV/0!</v>
      </c>
      <c r="N16" s="71"/>
      <c r="O16" s="71"/>
      <c r="P16" s="228" t="e">
        <f>M16</f>
        <v>#DIV/0!</v>
      </c>
      <c r="Q16" s="268" t="s">
        <v>327</v>
      </c>
    </row>
    <row r="17" spans="2:17" x14ac:dyDescent="0.2">
      <c r="B17" s="67"/>
      <c r="C17" s="17" t="s">
        <v>418</v>
      </c>
      <c r="D17" s="17"/>
      <c r="E17" s="19" t="s">
        <v>763</v>
      </c>
      <c r="F17" s="566"/>
      <c r="G17" s="566"/>
      <c r="H17" s="566"/>
      <c r="I17" s="566"/>
      <c r="J17" s="566"/>
      <c r="K17" s="600"/>
      <c r="L17" s="221">
        <f>F17</f>
        <v>0</v>
      </c>
      <c r="M17" s="227"/>
      <c r="N17" s="71"/>
      <c r="O17" s="71"/>
      <c r="P17" s="228">
        <f>L17</f>
        <v>0</v>
      </c>
      <c r="Q17" s="268" t="s">
        <v>328</v>
      </c>
    </row>
    <row r="18" spans="2:17" x14ac:dyDescent="0.2">
      <c r="B18" s="67"/>
      <c r="C18" s="17" t="s">
        <v>419</v>
      </c>
      <c r="D18" s="17"/>
      <c r="E18" s="19" t="s">
        <v>764</v>
      </c>
      <c r="F18" s="566"/>
      <c r="G18" s="566"/>
      <c r="H18" s="566"/>
      <c r="I18" s="566"/>
      <c r="J18" s="566"/>
      <c r="K18" s="600"/>
      <c r="L18" s="221">
        <f>F18</f>
        <v>0</v>
      </c>
      <c r="M18" s="227"/>
      <c r="N18" s="71"/>
      <c r="O18" s="71"/>
      <c r="P18" s="228">
        <f>L18</f>
        <v>0</v>
      </c>
      <c r="Q18" s="268" t="s">
        <v>329</v>
      </c>
    </row>
    <row r="19" spans="2:17" x14ac:dyDescent="0.2">
      <c r="B19" s="67"/>
      <c r="C19" s="17" t="s">
        <v>420</v>
      </c>
      <c r="D19" s="17"/>
      <c r="E19" s="19" t="s">
        <v>765</v>
      </c>
      <c r="F19" s="566"/>
      <c r="G19" s="566"/>
      <c r="H19" s="566"/>
      <c r="I19" s="566"/>
      <c r="J19" s="566"/>
      <c r="K19" s="600"/>
      <c r="L19" s="221">
        <f>F19</f>
        <v>0</v>
      </c>
      <c r="M19" s="227"/>
      <c r="N19" s="71"/>
      <c r="O19" s="71"/>
      <c r="P19" s="228">
        <f>L19</f>
        <v>0</v>
      </c>
      <c r="Q19" s="268" t="s">
        <v>330</v>
      </c>
    </row>
    <row r="20" spans="2:17" x14ac:dyDescent="0.2">
      <c r="B20" s="67"/>
      <c r="C20" s="17" t="s">
        <v>421</v>
      </c>
      <c r="D20" s="17"/>
      <c r="E20" s="19" t="s">
        <v>766</v>
      </c>
      <c r="F20" s="566"/>
      <c r="G20" s="566"/>
      <c r="H20" s="566"/>
      <c r="I20" s="566"/>
      <c r="J20" s="566"/>
      <c r="K20" s="600"/>
      <c r="L20" s="221">
        <f>F20</f>
        <v>0</v>
      </c>
      <c r="M20" s="227"/>
      <c r="N20" s="71"/>
      <c r="O20" s="71"/>
      <c r="P20" s="228">
        <f>L20</f>
        <v>0</v>
      </c>
      <c r="Q20" s="268" t="s">
        <v>331</v>
      </c>
    </row>
    <row r="21" spans="2:17" x14ac:dyDescent="0.2">
      <c r="B21" s="67"/>
      <c r="C21" s="17" t="s">
        <v>422</v>
      </c>
      <c r="D21" s="17"/>
      <c r="E21" s="19" t="s">
        <v>767</v>
      </c>
      <c r="F21" s="566"/>
      <c r="G21" s="566"/>
      <c r="H21" s="566"/>
      <c r="I21" s="566"/>
      <c r="J21" s="566"/>
      <c r="K21" s="600"/>
      <c r="L21" s="221">
        <f>F21</f>
        <v>0</v>
      </c>
      <c r="M21" s="227"/>
      <c r="N21" s="71"/>
      <c r="O21" s="71"/>
      <c r="P21" s="228">
        <f>L21</f>
        <v>0</v>
      </c>
      <c r="Q21" s="268" t="s">
        <v>332</v>
      </c>
    </row>
    <row r="22" spans="2:17" x14ac:dyDescent="0.2">
      <c r="B22" s="67"/>
      <c r="C22" s="17" t="s">
        <v>874</v>
      </c>
      <c r="D22" s="17"/>
      <c r="E22" s="19" t="s">
        <v>865</v>
      </c>
      <c r="F22" s="566"/>
      <c r="G22" s="566"/>
      <c r="H22" s="566"/>
      <c r="I22" s="566"/>
      <c r="J22" s="566"/>
      <c r="K22" s="600"/>
      <c r="L22" s="221"/>
      <c r="M22" s="227" t="e">
        <f>(1-I22)/H22</f>
        <v>#DIV/0!</v>
      </c>
      <c r="N22" s="71"/>
      <c r="O22" s="71"/>
      <c r="P22" s="228" t="e">
        <f>M22</f>
        <v>#DIV/0!</v>
      </c>
      <c r="Q22" s="268" t="s">
        <v>868</v>
      </c>
    </row>
    <row r="23" spans="2:17" x14ac:dyDescent="0.2">
      <c r="B23" s="67"/>
      <c r="C23" s="17" t="s">
        <v>873</v>
      </c>
      <c r="D23" s="17"/>
      <c r="E23" s="19"/>
      <c r="F23" s="566">
        <f t="shared" ref="F23:K23" si="0">F22</f>
        <v>0</v>
      </c>
      <c r="G23" s="566">
        <f t="shared" si="0"/>
        <v>0</v>
      </c>
      <c r="H23" s="566">
        <f t="shared" si="0"/>
        <v>0</v>
      </c>
      <c r="I23" s="566">
        <f t="shared" si="0"/>
        <v>0</v>
      </c>
      <c r="J23" s="566">
        <f t="shared" si="0"/>
        <v>0</v>
      </c>
      <c r="K23" s="600">
        <f t="shared" si="0"/>
        <v>0</v>
      </c>
      <c r="L23" s="221">
        <f>G23</f>
        <v>0</v>
      </c>
      <c r="M23" s="227"/>
      <c r="N23" s="71"/>
      <c r="O23" s="566">
        <f>G23*I23/((G23*I23)+((1-(SUM(H23:I23))+H23)))</f>
        <v>0</v>
      </c>
      <c r="P23" s="228">
        <f>L23</f>
        <v>0</v>
      </c>
      <c r="Q23" s="268" t="s">
        <v>882</v>
      </c>
    </row>
    <row r="24" spans="2:17" x14ac:dyDescent="0.2">
      <c r="B24" s="44"/>
      <c r="C24" s="10"/>
      <c r="D24" s="10"/>
      <c r="E24" s="21"/>
      <c r="F24" s="567"/>
      <c r="G24" s="567"/>
      <c r="H24" s="567"/>
      <c r="I24" s="567"/>
      <c r="J24" s="567"/>
      <c r="K24" s="601"/>
      <c r="L24" s="222"/>
      <c r="M24" s="229"/>
      <c r="N24" s="197"/>
      <c r="O24" s="197"/>
      <c r="P24" s="230"/>
      <c r="Q24" s="220"/>
    </row>
    <row r="25" spans="2:17" x14ac:dyDescent="0.2">
      <c r="B25" s="49" t="s">
        <v>304</v>
      </c>
      <c r="C25" s="8"/>
      <c r="D25" s="8"/>
      <c r="E25" s="20"/>
      <c r="F25" s="568"/>
      <c r="G25" s="568"/>
      <c r="H25" s="568"/>
      <c r="I25" s="568"/>
      <c r="J25" s="568"/>
      <c r="K25" s="602"/>
      <c r="L25" s="223"/>
      <c r="M25" s="231"/>
      <c r="N25" s="193"/>
      <c r="O25" s="193"/>
      <c r="P25" s="232"/>
      <c r="Q25" s="220"/>
    </row>
    <row r="26" spans="2:17" x14ac:dyDescent="0.2">
      <c r="B26" s="49"/>
      <c r="C26" s="17" t="s">
        <v>410</v>
      </c>
      <c r="D26" s="17"/>
      <c r="E26" s="19" t="s">
        <v>768</v>
      </c>
      <c r="F26" s="566"/>
      <c r="G26" s="566"/>
      <c r="H26" s="566"/>
      <c r="I26" s="566"/>
      <c r="J26" s="566"/>
      <c r="K26" s="600"/>
      <c r="L26" s="221">
        <f>F26</f>
        <v>0</v>
      </c>
      <c r="M26" s="227"/>
      <c r="N26" s="71"/>
      <c r="O26" s="71"/>
      <c r="P26" s="228">
        <f>L26</f>
        <v>0</v>
      </c>
      <c r="Q26" s="268" t="s">
        <v>333</v>
      </c>
    </row>
    <row r="27" spans="2:17" x14ac:dyDescent="0.2">
      <c r="B27" s="49"/>
      <c r="C27" s="17" t="s">
        <v>412</v>
      </c>
      <c r="D27" s="17"/>
      <c r="E27" s="19" t="s">
        <v>758</v>
      </c>
      <c r="F27" s="566"/>
      <c r="G27" s="566"/>
      <c r="H27" s="566"/>
      <c r="I27" s="566"/>
      <c r="J27" s="566"/>
      <c r="K27" s="600"/>
      <c r="L27" s="221">
        <f>F27</f>
        <v>0</v>
      </c>
      <c r="M27" s="209"/>
      <c r="N27" s="142"/>
      <c r="O27" s="142"/>
      <c r="P27" s="228">
        <f>L27</f>
        <v>0</v>
      </c>
      <c r="Q27" s="268" t="s">
        <v>394</v>
      </c>
    </row>
    <row r="28" spans="2:17" x14ac:dyDescent="0.2">
      <c r="B28" s="49"/>
      <c r="C28" s="17" t="s">
        <v>431</v>
      </c>
      <c r="D28" s="17"/>
      <c r="E28" s="19" t="s">
        <v>769</v>
      </c>
      <c r="F28" s="566"/>
      <c r="G28" s="566"/>
      <c r="H28" s="566"/>
      <c r="I28" s="566"/>
      <c r="J28" s="566"/>
      <c r="K28" s="600"/>
      <c r="L28" s="221"/>
      <c r="M28" s="227" t="e">
        <f>1/H28</f>
        <v>#DIV/0!</v>
      </c>
      <c r="N28" s="71"/>
      <c r="O28" s="71"/>
      <c r="P28" s="228" t="e">
        <f>M28</f>
        <v>#DIV/0!</v>
      </c>
      <c r="Q28" s="268" t="s">
        <v>334</v>
      </c>
    </row>
    <row r="29" spans="2:17" x14ac:dyDescent="0.2">
      <c r="B29" s="49"/>
      <c r="C29" s="17" t="s">
        <v>430</v>
      </c>
      <c r="D29" s="17"/>
      <c r="E29" s="19" t="s">
        <v>770</v>
      </c>
      <c r="F29" s="566"/>
      <c r="G29" s="566"/>
      <c r="H29" s="566"/>
      <c r="I29" s="566"/>
      <c r="J29" s="566"/>
      <c r="K29" s="600"/>
      <c r="L29" s="221">
        <f>F29</f>
        <v>0</v>
      </c>
      <c r="M29" s="227"/>
      <c r="N29" s="493">
        <f>J29</f>
        <v>0</v>
      </c>
      <c r="O29" s="493"/>
      <c r="P29" s="228">
        <f>L29</f>
        <v>0</v>
      </c>
      <c r="Q29" s="268" t="s">
        <v>335</v>
      </c>
    </row>
    <row r="30" spans="2:17" x14ac:dyDescent="0.2">
      <c r="B30" s="49"/>
      <c r="C30" s="17" t="s">
        <v>413</v>
      </c>
      <c r="D30" s="17"/>
      <c r="E30" s="19" t="s">
        <v>771</v>
      </c>
      <c r="F30" s="566"/>
      <c r="G30" s="566"/>
      <c r="H30" s="566"/>
      <c r="I30" s="566"/>
      <c r="J30" s="566"/>
      <c r="K30" s="600"/>
      <c r="L30" s="221">
        <f>F30</f>
        <v>0</v>
      </c>
      <c r="M30" s="227"/>
      <c r="N30" s="71"/>
      <c r="O30" s="71"/>
      <c r="P30" s="228">
        <f>L30</f>
        <v>0</v>
      </c>
      <c r="Q30" s="268" t="s">
        <v>336</v>
      </c>
    </row>
    <row r="31" spans="2:17" x14ac:dyDescent="0.2">
      <c r="B31" s="67"/>
      <c r="C31" s="17" t="s">
        <v>417</v>
      </c>
      <c r="D31" s="17"/>
      <c r="E31" s="19" t="s">
        <v>772</v>
      </c>
      <c r="F31" s="566"/>
      <c r="G31" s="566"/>
      <c r="H31" s="566"/>
      <c r="I31" s="566"/>
      <c r="J31" s="566"/>
      <c r="K31" s="600"/>
      <c r="L31" s="221"/>
      <c r="M31" s="227" t="e">
        <f>1/H31</f>
        <v>#DIV/0!</v>
      </c>
      <c r="N31" s="71"/>
      <c r="O31" s="71"/>
      <c r="P31" s="228" t="e">
        <f>M31</f>
        <v>#DIV/0!</v>
      </c>
      <c r="Q31" s="268" t="s">
        <v>337</v>
      </c>
    </row>
    <row r="32" spans="2:17" x14ac:dyDescent="0.2">
      <c r="B32" s="67"/>
      <c r="C32" s="17" t="s">
        <v>423</v>
      </c>
      <c r="D32" s="17"/>
      <c r="E32" s="19" t="s">
        <v>773</v>
      </c>
      <c r="F32" s="566"/>
      <c r="G32" s="566"/>
      <c r="H32" s="566"/>
      <c r="I32" s="566"/>
      <c r="J32" s="566"/>
      <c r="K32" s="600"/>
      <c r="L32" s="221">
        <f t="shared" ref="L32:L37" si="1">F32</f>
        <v>0</v>
      </c>
      <c r="M32" s="227"/>
      <c r="N32" s="71"/>
      <c r="O32" s="71"/>
      <c r="P32" s="228">
        <f t="shared" ref="P32:P36" si="2">L32</f>
        <v>0</v>
      </c>
      <c r="Q32" s="268" t="s">
        <v>338</v>
      </c>
    </row>
    <row r="33" spans="2:17" x14ac:dyDescent="0.2">
      <c r="B33" s="67"/>
      <c r="C33" s="17" t="s">
        <v>424</v>
      </c>
      <c r="D33" s="17"/>
      <c r="E33" s="19" t="s">
        <v>774</v>
      </c>
      <c r="F33" s="566"/>
      <c r="G33" s="566"/>
      <c r="H33" s="566"/>
      <c r="I33" s="566"/>
      <c r="J33" s="566"/>
      <c r="K33" s="600"/>
      <c r="L33" s="221">
        <f t="shared" si="1"/>
        <v>0</v>
      </c>
      <c r="M33" s="227"/>
      <c r="N33" s="71"/>
      <c r="O33" s="71"/>
      <c r="P33" s="228">
        <f t="shared" si="2"/>
        <v>0</v>
      </c>
      <c r="Q33" s="268" t="s">
        <v>339</v>
      </c>
    </row>
    <row r="34" spans="2:17" x14ac:dyDescent="0.2">
      <c r="B34" s="67"/>
      <c r="C34" s="17" t="s">
        <v>425</v>
      </c>
      <c r="D34" s="17"/>
      <c r="E34" s="19" t="s">
        <v>775</v>
      </c>
      <c r="F34" s="566"/>
      <c r="G34" s="566"/>
      <c r="H34" s="566"/>
      <c r="I34" s="566"/>
      <c r="J34" s="566"/>
      <c r="K34" s="600"/>
      <c r="L34" s="221">
        <f t="shared" si="1"/>
        <v>0</v>
      </c>
      <c r="M34" s="227"/>
      <c r="N34" s="71"/>
      <c r="O34" s="71"/>
      <c r="P34" s="228">
        <f t="shared" si="2"/>
        <v>0</v>
      </c>
      <c r="Q34" s="268" t="s">
        <v>340</v>
      </c>
    </row>
    <row r="35" spans="2:17" x14ac:dyDescent="0.2">
      <c r="B35" s="67"/>
      <c r="C35" s="17" t="s">
        <v>426</v>
      </c>
      <c r="D35" s="17"/>
      <c r="E35" s="19" t="s">
        <v>776</v>
      </c>
      <c r="F35" s="566"/>
      <c r="G35" s="566"/>
      <c r="H35" s="566"/>
      <c r="I35" s="566"/>
      <c r="J35" s="566"/>
      <c r="K35" s="600"/>
      <c r="L35" s="221">
        <f t="shared" si="1"/>
        <v>0</v>
      </c>
      <c r="M35" s="227"/>
      <c r="N35" s="71"/>
      <c r="O35" s="71"/>
      <c r="P35" s="228">
        <f t="shared" si="2"/>
        <v>0</v>
      </c>
      <c r="Q35" s="268" t="s">
        <v>341</v>
      </c>
    </row>
    <row r="36" spans="2:17" x14ac:dyDescent="0.2">
      <c r="B36" s="67"/>
      <c r="C36" s="17" t="s">
        <v>427</v>
      </c>
      <c r="D36" s="17"/>
      <c r="E36" s="19" t="s">
        <v>777</v>
      </c>
      <c r="F36" s="566"/>
      <c r="G36" s="566"/>
      <c r="H36" s="566"/>
      <c r="I36" s="566"/>
      <c r="J36" s="566"/>
      <c r="K36" s="600"/>
      <c r="L36" s="221">
        <f t="shared" si="1"/>
        <v>0</v>
      </c>
      <c r="M36" s="227"/>
      <c r="N36" s="71"/>
      <c r="O36" s="71"/>
      <c r="P36" s="228">
        <f t="shared" si="2"/>
        <v>0</v>
      </c>
      <c r="Q36" s="268" t="s">
        <v>342</v>
      </c>
    </row>
    <row r="37" spans="2:17" x14ac:dyDescent="0.2">
      <c r="B37" s="67"/>
      <c r="C37" s="17" t="s">
        <v>428</v>
      </c>
      <c r="D37" s="17"/>
      <c r="E37" s="19" t="s">
        <v>778</v>
      </c>
      <c r="F37" s="566"/>
      <c r="G37" s="566"/>
      <c r="H37" s="566"/>
      <c r="I37" s="566"/>
      <c r="J37" s="566"/>
      <c r="K37" s="600"/>
      <c r="L37" s="221">
        <f t="shared" si="1"/>
        <v>0</v>
      </c>
      <c r="M37" s="227"/>
      <c r="N37" s="493">
        <f>J37</f>
        <v>0</v>
      </c>
      <c r="O37" s="493"/>
      <c r="P37" s="228">
        <f>L37</f>
        <v>0</v>
      </c>
      <c r="Q37" s="268" t="s">
        <v>343</v>
      </c>
    </row>
    <row r="38" spans="2:17" x14ac:dyDescent="0.2">
      <c r="B38" s="67"/>
      <c r="C38" s="17" t="s">
        <v>879</v>
      </c>
      <c r="D38" s="17"/>
      <c r="E38" s="19" t="s">
        <v>881</v>
      </c>
      <c r="F38" s="566"/>
      <c r="G38" s="566"/>
      <c r="H38" s="566"/>
      <c r="I38" s="566"/>
      <c r="J38" s="566"/>
      <c r="K38" s="600"/>
      <c r="L38" s="221"/>
      <c r="M38" s="227" t="e">
        <f>(1-I38)/H38</f>
        <v>#DIV/0!</v>
      </c>
      <c r="N38" s="493"/>
      <c r="O38" s="493"/>
      <c r="P38" s="228" t="e">
        <f>M38</f>
        <v>#DIV/0!</v>
      </c>
      <c r="Q38" s="268" t="s">
        <v>883</v>
      </c>
    </row>
    <row r="39" spans="2:17" x14ac:dyDescent="0.2">
      <c r="B39" s="67"/>
      <c r="C39" s="17" t="s">
        <v>880</v>
      </c>
      <c r="D39" s="17"/>
      <c r="E39" s="19"/>
      <c r="F39" s="566">
        <f t="shared" ref="F39:K39" si="3">F38</f>
        <v>0</v>
      </c>
      <c r="G39" s="566">
        <f t="shared" si="3"/>
        <v>0</v>
      </c>
      <c r="H39" s="566">
        <f t="shared" si="3"/>
        <v>0</v>
      </c>
      <c r="I39" s="566">
        <f t="shared" si="3"/>
        <v>0</v>
      </c>
      <c r="J39" s="566">
        <f t="shared" si="3"/>
        <v>0</v>
      </c>
      <c r="K39" s="600">
        <f t="shared" si="3"/>
        <v>0</v>
      </c>
      <c r="L39" s="221">
        <f>G39</f>
        <v>0</v>
      </c>
      <c r="M39" s="227"/>
      <c r="N39" s="71"/>
      <c r="O39" s="566">
        <f>G39*I39/((G39*I39)+((1-(SUM(H39:I39))+H39)))</f>
        <v>0</v>
      </c>
      <c r="P39" s="228">
        <f>L39</f>
        <v>0</v>
      </c>
      <c r="Q39" s="268" t="s">
        <v>884</v>
      </c>
    </row>
    <row r="40" spans="2:17" x14ac:dyDescent="0.2">
      <c r="B40" s="31"/>
      <c r="C40" s="8"/>
      <c r="D40" s="8"/>
      <c r="E40" s="20"/>
      <c r="F40" s="568"/>
      <c r="G40" s="568"/>
      <c r="H40" s="568"/>
      <c r="I40" s="568"/>
      <c r="J40" s="568"/>
      <c r="K40" s="602"/>
      <c r="L40" s="224"/>
      <c r="M40" s="231"/>
      <c r="N40" s="193"/>
      <c r="O40" s="193"/>
      <c r="P40" s="233"/>
      <c r="Q40" s="220"/>
    </row>
    <row r="41" spans="2:17" x14ac:dyDescent="0.2">
      <c r="B41" s="48" t="s">
        <v>89</v>
      </c>
      <c r="C41" s="4"/>
      <c r="D41" s="4"/>
      <c r="E41" s="335"/>
      <c r="F41" s="569"/>
      <c r="G41" s="569"/>
      <c r="H41" s="569"/>
      <c r="I41" s="569"/>
      <c r="J41" s="569"/>
      <c r="K41" s="603"/>
      <c r="L41" s="225"/>
      <c r="M41" s="234"/>
      <c r="N41" s="202"/>
      <c r="O41" s="202"/>
      <c r="P41" s="235"/>
      <c r="Q41" s="220"/>
    </row>
    <row r="42" spans="2:17" x14ac:dyDescent="0.2">
      <c r="B42" s="67"/>
      <c r="C42" s="17" t="s">
        <v>345</v>
      </c>
      <c r="D42" s="17"/>
      <c r="E42" s="19" t="s">
        <v>779</v>
      </c>
      <c r="F42" s="566"/>
      <c r="G42" s="566"/>
      <c r="H42" s="566"/>
      <c r="I42" s="566"/>
      <c r="J42" s="566"/>
      <c r="K42" s="600"/>
      <c r="L42" s="221"/>
      <c r="M42" s="227" t="e">
        <f>1/H42</f>
        <v>#DIV/0!</v>
      </c>
      <c r="N42" s="71"/>
      <c r="O42" s="71"/>
      <c r="P42" s="228" t="e">
        <f>M42</f>
        <v>#DIV/0!</v>
      </c>
      <c r="Q42" s="268" t="s">
        <v>347</v>
      </c>
    </row>
    <row r="43" spans="2:17" x14ac:dyDescent="0.2">
      <c r="B43" s="67"/>
      <c r="C43" s="17" t="s">
        <v>344</v>
      </c>
      <c r="D43" s="17"/>
      <c r="E43" s="19" t="s">
        <v>780</v>
      </c>
      <c r="F43" s="566"/>
      <c r="G43" s="566"/>
      <c r="H43" s="566"/>
      <c r="I43" s="566"/>
      <c r="J43" s="566"/>
      <c r="K43" s="600"/>
      <c r="L43" s="221"/>
      <c r="M43" s="227" t="e">
        <f>1/H43</f>
        <v>#DIV/0!</v>
      </c>
      <c r="N43" s="71"/>
      <c r="O43" s="71"/>
      <c r="P43" s="228" t="e">
        <f>M43</f>
        <v>#DIV/0!</v>
      </c>
      <c r="Q43" s="268" t="s">
        <v>348</v>
      </c>
    </row>
    <row r="44" spans="2:17" x14ac:dyDescent="0.2">
      <c r="B44" s="67"/>
      <c r="C44" s="17" t="s">
        <v>346</v>
      </c>
      <c r="D44" s="17"/>
      <c r="E44" s="19" t="s">
        <v>781</v>
      </c>
      <c r="F44" s="566"/>
      <c r="G44" s="566"/>
      <c r="H44" s="566"/>
      <c r="I44" s="566"/>
      <c r="J44" s="566"/>
      <c r="K44" s="600"/>
      <c r="L44" s="221"/>
      <c r="M44" s="227" t="e">
        <f>1/H44</f>
        <v>#DIV/0!</v>
      </c>
      <c r="N44" s="71"/>
      <c r="O44" s="71"/>
      <c r="P44" s="228" t="e">
        <f>M44</f>
        <v>#DIV/0!</v>
      </c>
      <c r="Q44" s="268" t="s">
        <v>349</v>
      </c>
    </row>
    <row r="45" spans="2:17" x14ac:dyDescent="0.2">
      <c r="B45" s="44"/>
      <c r="C45" s="10"/>
      <c r="D45" s="10"/>
      <c r="E45" s="21"/>
      <c r="F45" s="567"/>
      <c r="G45" s="567"/>
      <c r="H45" s="567"/>
      <c r="I45" s="567"/>
      <c r="J45" s="567"/>
      <c r="K45" s="601"/>
      <c r="L45" s="222"/>
      <c r="M45" s="229"/>
      <c r="N45" s="197"/>
      <c r="O45" s="197"/>
      <c r="P45" s="230"/>
      <c r="Q45" s="220"/>
    </row>
    <row r="46" spans="2:17" x14ac:dyDescent="0.2">
      <c r="B46" s="49" t="s">
        <v>281</v>
      </c>
      <c r="C46" s="8"/>
      <c r="D46" s="8"/>
      <c r="E46" s="20"/>
      <c r="F46" s="568"/>
      <c r="G46" s="568"/>
      <c r="H46" s="568"/>
      <c r="I46" s="568"/>
      <c r="J46" s="568"/>
      <c r="K46" s="602"/>
      <c r="L46" s="223"/>
      <c r="M46" s="231"/>
      <c r="N46" s="193"/>
      <c r="O46" s="193"/>
      <c r="P46" s="232"/>
      <c r="Q46" s="220"/>
    </row>
    <row r="47" spans="2:17" x14ac:dyDescent="0.2">
      <c r="B47" s="49"/>
      <c r="C47" s="17" t="s">
        <v>355</v>
      </c>
      <c r="D47" s="17"/>
      <c r="E47" s="19" t="s">
        <v>782</v>
      </c>
      <c r="F47" s="566"/>
      <c r="G47" s="566"/>
      <c r="H47" s="566"/>
      <c r="I47" s="566"/>
      <c r="J47" s="566"/>
      <c r="K47" s="600"/>
      <c r="L47" s="221">
        <f>F47</f>
        <v>0</v>
      </c>
      <c r="M47" s="227"/>
      <c r="N47" s="71"/>
      <c r="O47" s="71"/>
      <c r="P47" s="228">
        <f>L47</f>
        <v>0</v>
      </c>
      <c r="Q47" s="268" t="s">
        <v>360</v>
      </c>
    </row>
    <row r="48" spans="2:17" x14ac:dyDescent="0.2">
      <c r="B48" s="49"/>
      <c r="C48" s="17" t="s">
        <v>405</v>
      </c>
      <c r="D48" s="17"/>
      <c r="E48" s="19" t="s">
        <v>783</v>
      </c>
      <c r="F48" s="566"/>
      <c r="G48" s="566"/>
      <c r="H48" s="566"/>
      <c r="I48" s="566"/>
      <c r="J48" s="566"/>
      <c r="K48" s="600"/>
      <c r="L48" s="221">
        <f>F48</f>
        <v>0</v>
      </c>
      <c r="M48" s="227"/>
      <c r="N48" s="71"/>
      <c r="O48" s="71"/>
      <c r="P48" s="228">
        <f t="shared" ref="P48:P51" si="4">L48</f>
        <v>0</v>
      </c>
      <c r="Q48" s="268" t="s">
        <v>359</v>
      </c>
    </row>
    <row r="49" spans="2:17" x14ac:dyDescent="0.2">
      <c r="B49" s="49"/>
      <c r="C49" s="17" t="s">
        <v>356</v>
      </c>
      <c r="D49" s="17"/>
      <c r="E49" s="19" t="s">
        <v>784</v>
      </c>
      <c r="F49" s="566"/>
      <c r="G49" s="566"/>
      <c r="H49" s="566"/>
      <c r="I49" s="566"/>
      <c r="J49" s="566"/>
      <c r="K49" s="600"/>
      <c r="L49" s="221">
        <f>F49</f>
        <v>0</v>
      </c>
      <c r="M49" s="227"/>
      <c r="N49" s="71"/>
      <c r="O49" s="71"/>
      <c r="P49" s="228">
        <f t="shared" si="4"/>
        <v>0</v>
      </c>
      <c r="Q49" s="268" t="s">
        <v>361</v>
      </c>
    </row>
    <row r="50" spans="2:17" x14ac:dyDescent="0.2">
      <c r="B50" s="49"/>
      <c r="C50" s="17" t="s">
        <v>357</v>
      </c>
      <c r="D50" s="17"/>
      <c r="E50" s="19" t="s">
        <v>785</v>
      </c>
      <c r="F50" s="566"/>
      <c r="G50" s="566"/>
      <c r="H50" s="566"/>
      <c r="I50" s="566"/>
      <c r="J50" s="566"/>
      <c r="K50" s="600"/>
      <c r="L50" s="221">
        <f>F50</f>
        <v>0</v>
      </c>
      <c r="M50" s="227"/>
      <c r="N50" s="71"/>
      <c r="O50" s="71"/>
      <c r="P50" s="228">
        <f t="shared" si="4"/>
        <v>0</v>
      </c>
      <c r="Q50" s="268" t="s">
        <v>362</v>
      </c>
    </row>
    <row r="51" spans="2:17" x14ac:dyDescent="0.2">
      <c r="B51" s="67"/>
      <c r="C51" s="17" t="s">
        <v>358</v>
      </c>
      <c r="D51" s="17"/>
      <c r="E51" s="19" t="s">
        <v>786</v>
      </c>
      <c r="F51" s="566"/>
      <c r="G51" s="566"/>
      <c r="H51" s="566"/>
      <c r="I51" s="566"/>
      <c r="J51" s="566"/>
      <c r="K51" s="600"/>
      <c r="L51" s="221">
        <f>F51</f>
        <v>0</v>
      </c>
      <c r="M51" s="227"/>
      <c r="N51" s="71"/>
      <c r="O51" s="71"/>
      <c r="P51" s="228">
        <f t="shared" si="4"/>
        <v>0</v>
      </c>
      <c r="Q51" s="268" t="s">
        <v>363</v>
      </c>
    </row>
    <row r="52" spans="2:17" x14ac:dyDescent="0.2">
      <c r="B52" s="118"/>
      <c r="C52" s="45"/>
      <c r="D52" s="45"/>
      <c r="E52" s="604"/>
      <c r="F52" s="570"/>
      <c r="G52" s="570"/>
      <c r="H52" s="570"/>
      <c r="I52" s="570"/>
      <c r="J52" s="570"/>
      <c r="K52" s="605"/>
      <c r="L52" s="226"/>
      <c r="M52" s="236"/>
      <c r="N52" s="237"/>
      <c r="O52" s="237"/>
      <c r="P52" s="238"/>
      <c r="Q52" s="220"/>
    </row>
    <row r="53" spans="2:17" x14ac:dyDescent="0.2">
      <c r="B53" s="38" t="s">
        <v>76</v>
      </c>
      <c r="C53" s="8"/>
      <c r="D53" s="8"/>
      <c r="E53" s="20"/>
      <c r="F53" s="568"/>
      <c r="G53" s="568"/>
      <c r="H53" s="568"/>
      <c r="I53" s="568"/>
      <c r="J53" s="568"/>
      <c r="K53" s="602"/>
      <c r="L53" s="224"/>
      <c r="M53" s="231"/>
      <c r="N53" s="193"/>
      <c r="O53" s="193"/>
      <c r="P53" s="233"/>
      <c r="Q53" s="220"/>
    </row>
    <row r="54" spans="2:17" x14ac:dyDescent="0.2">
      <c r="B54" s="67"/>
      <c r="C54" s="17" t="s">
        <v>99</v>
      </c>
      <c r="D54" s="17"/>
      <c r="E54" s="19" t="s">
        <v>787</v>
      </c>
      <c r="F54" s="566"/>
      <c r="G54" s="566"/>
      <c r="H54" s="566"/>
      <c r="I54" s="566"/>
      <c r="J54" s="566"/>
      <c r="K54" s="600"/>
      <c r="L54" s="221"/>
      <c r="M54" s="227"/>
      <c r="N54" s="71"/>
      <c r="O54" s="71"/>
      <c r="P54" s="560">
        <f>K54</f>
        <v>0</v>
      </c>
      <c r="Q54" s="268" t="s">
        <v>352</v>
      </c>
    </row>
    <row r="55" spans="2:17" x14ac:dyDescent="0.2">
      <c r="B55" s="67"/>
      <c r="C55" s="17" t="s">
        <v>351</v>
      </c>
      <c r="D55" s="17"/>
      <c r="E55" s="19" t="s">
        <v>788</v>
      </c>
      <c r="F55" s="566"/>
      <c r="G55" s="566"/>
      <c r="H55" s="566"/>
      <c r="I55" s="566"/>
      <c r="J55" s="566"/>
      <c r="K55" s="600"/>
      <c r="L55" s="221"/>
      <c r="M55" s="227"/>
      <c r="N55" s="71"/>
      <c r="O55" s="71"/>
      <c r="P55" s="560">
        <f>K55</f>
        <v>0</v>
      </c>
      <c r="Q55" s="268" t="s">
        <v>353</v>
      </c>
    </row>
    <row r="56" spans="2:17" x14ac:dyDescent="0.2">
      <c r="B56" s="67"/>
      <c r="C56" s="17" t="s">
        <v>100</v>
      </c>
      <c r="D56" s="17"/>
      <c r="E56" s="19" t="s">
        <v>789</v>
      </c>
      <c r="F56" s="566"/>
      <c r="G56" s="566"/>
      <c r="H56" s="566"/>
      <c r="I56" s="566"/>
      <c r="J56" s="566"/>
      <c r="K56" s="600"/>
      <c r="L56" s="221"/>
      <c r="M56" s="227"/>
      <c r="N56" s="71"/>
      <c r="O56" s="71"/>
      <c r="P56" s="560">
        <f>K56</f>
        <v>0</v>
      </c>
      <c r="Q56" s="268" t="s">
        <v>354</v>
      </c>
    </row>
    <row r="57" spans="2:17" ht="17" thickBot="1" x14ac:dyDescent="0.25">
      <c r="B57" s="47"/>
      <c r="C57" s="77"/>
      <c r="D57" s="77"/>
      <c r="E57" s="129"/>
      <c r="F57" s="571"/>
      <c r="G57" s="571"/>
      <c r="H57" s="571"/>
      <c r="I57" s="571"/>
      <c r="J57" s="571"/>
      <c r="K57" s="606"/>
      <c r="L57" s="129"/>
      <c r="M57" s="77"/>
      <c r="N57" s="77"/>
      <c r="O57" s="77"/>
      <c r="P57" s="139"/>
    </row>
    <row r="58" spans="2:17" x14ac:dyDescent="0.2">
      <c r="F58" s="572"/>
      <c r="G58" s="572"/>
      <c r="H58" s="572"/>
      <c r="I58" s="572"/>
      <c r="J58" s="572"/>
      <c r="K58" s="572"/>
    </row>
  </sheetData>
  <pageMargins left="0.75" right="0.75" top="1" bottom="1" header="0.5" footer="0.5"/>
  <pageSetup paperSize="9" orientation="portrait" horizontalDpi="4294967292" verticalDpi="4294967292"/>
  <ignoredErrors>
    <ignoredError sqref="P31 P13:P16"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workbookViewId="0">
      <selection activeCell="G41" sqref="G41"/>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x14ac:dyDescent="0.25">
      <c r="B2" s="2" t="s">
        <v>581</v>
      </c>
    </row>
    <row r="4" spans="2:6" x14ac:dyDescent="0.2">
      <c r="B4" s="3" t="s">
        <v>79</v>
      </c>
      <c r="C4" s="4"/>
      <c r="D4" s="4"/>
      <c r="E4" s="5"/>
      <c r="F4" s="8"/>
    </row>
    <row r="5" spans="2:6" x14ac:dyDescent="0.2">
      <c r="B5" s="654" t="s">
        <v>399</v>
      </c>
      <c r="C5" s="664"/>
      <c r="D5" s="664"/>
      <c r="E5" s="655"/>
      <c r="F5" s="157"/>
    </row>
    <row r="6" spans="2:6" ht="17" thickBot="1" x14ac:dyDescent="0.25"/>
    <row r="7" spans="2:6" ht="32" x14ac:dyDescent="0.2">
      <c r="B7" s="154" t="s">
        <v>403</v>
      </c>
      <c r="C7" s="478" t="s">
        <v>284</v>
      </c>
      <c r="D7" s="130" t="s">
        <v>436</v>
      </c>
      <c r="E7" s="131" t="s">
        <v>282</v>
      </c>
      <c r="F7" s="158"/>
    </row>
    <row r="8" spans="2:6" x14ac:dyDescent="0.2">
      <c r="B8" s="174" t="s">
        <v>206</v>
      </c>
      <c r="D8" s="335"/>
      <c r="E8" s="105"/>
      <c r="F8" s="8"/>
    </row>
    <row r="9" spans="2:6" x14ac:dyDescent="0.2">
      <c r="B9" s="176"/>
      <c r="C9" t="s">
        <v>97</v>
      </c>
      <c r="D9" s="340" t="e">
        <f>SUM('Final demand per energy carrier'!H15:H27)</f>
        <v>#DIV/0!</v>
      </c>
      <c r="E9" s="337" t="e">
        <f>IF(SUM($D$9:$D$10)=0,1,D9/SUM($D$9:$D$10))</f>
        <v>#DIV/0!</v>
      </c>
      <c r="F9" s="8"/>
    </row>
    <row r="10" spans="2:6" x14ac:dyDescent="0.2">
      <c r="B10" s="176"/>
      <c r="C10" t="s">
        <v>401</v>
      </c>
      <c r="D10" s="340" t="e">
        <f>SUM('Final demand per energy carrier'!H30:H43)</f>
        <v>#DIV/0!</v>
      </c>
      <c r="E10" s="337" t="e">
        <f>IF(SUM($D$9:$D$10)=0,0,D10/SUM($D$9:$D$10))</f>
        <v>#DIV/0!</v>
      </c>
      <c r="F10" s="8"/>
    </row>
    <row r="11" spans="2:6" x14ac:dyDescent="0.2">
      <c r="B11" s="176"/>
      <c r="C11" s="10"/>
      <c r="D11" s="341"/>
      <c r="E11" s="338"/>
      <c r="F11" s="8"/>
    </row>
    <row r="12" spans="2:6" x14ac:dyDescent="0.2">
      <c r="B12" s="174" t="s">
        <v>208</v>
      </c>
      <c r="D12" s="342"/>
      <c r="E12" s="339"/>
      <c r="F12" s="8"/>
    </row>
    <row r="13" spans="2:6" x14ac:dyDescent="0.2">
      <c r="B13" s="176"/>
      <c r="C13" t="s">
        <v>97</v>
      </c>
      <c r="D13" s="340" t="e">
        <f>SUM('Final demand per energy carrier'!I15:I27)</f>
        <v>#DIV/0!</v>
      </c>
      <c r="E13" s="337" t="e">
        <f>IF(SUM($D$13:$D$14)=0,1,D13/SUM($D$13:$D$14))</f>
        <v>#DIV/0!</v>
      </c>
    </row>
    <row r="14" spans="2:6" x14ac:dyDescent="0.2">
      <c r="B14" s="176"/>
      <c r="C14" t="s">
        <v>304</v>
      </c>
      <c r="D14" s="340" t="e">
        <f>SUM('Final demand per energy carrier'!I30:I43)</f>
        <v>#DIV/0!</v>
      </c>
      <c r="E14" s="337" t="e">
        <f>IF(SUM($D$13:$D$14)=0,0,D14/SUM($D$13:$D$14))</f>
        <v>#DIV/0!</v>
      </c>
    </row>
    <row r="15" spans="2:6" x14ac:dyDescent="0.2">
      <c r="B15" s="176"/>
      <c r="C15" s="8"/>
      <c r="D15" s="341"/>
      <c r="E15" s="338"/>
    </row>
    <row r="16" spans="2:6" x14ac:dyDescent="0.2">
      <c r="B16" s="174" t="s">
        <v>404</v>
      </c>
      <c r="C16" s="336"/>
      <c r="D16" s="342"/>
      <c r="E16" s="339"/>
      <c r="F16" s="8"/>
    </row>
    <row r="17" spans="2:6" x14ac:dyDescent="0.2">
      <c r="B17" s="176"/>
      <c r="C17" t="s">
        <v>97</v>
      </c>
      <c r="D17" s="340" t="e">
        <f>SUM('Final demand per energy carrier'!E15:E27)</f>
        <v>#DIV/0!</v>
      </c>
      <c r="E17" s="337" t="e">
        <f>IF(SUM($D$17:$D$20)=0,1,D17/SUM($D$17:$D$20))</f>
        <v>#DIV/0!</v>
      </c>
      <c r="F17" s="8"/>
    </row>
    <row r="18" spans="2:6" x14ac:dyDescent="0.2">
      <c r="B18" s="176"/>
      <c r="C18" t="s">
        <v>401</v>
      </c>
      <c r="D18" s="340" t="e">
        <f>SUM('Final demand per energy carrier'!E30:E43)</f>
        <v>#DIV/0!</v>
      </c>
      <c r="E18" s="337" t="e">
        <f>IF(SUM($D$17:$D$20)=0,0,D18/SUM($D$17:$D$20))</f>
        <v>#DIV/0!</v>
      </c>
      <c r="F18" s="8"/>
    </row>
    <row r="19" spans="2:6" x14ac:dyDescent="0.2">
      <c r="B19" s="176"/>
      <c r="C19" t="s">
        <v>96</v>
      </c>
      <c r="D19" s="340">
        <f>SUM('Final demand per energy carrier'!E46:E48)</f>
        <v>0</v>
      </c>
      <c r="E19" s="337" t="e">
        <f>IF(SUM($D$17:$D$20)=0,0,D19/SUM($D$17:$D$20))</f>
        <v>#DIV/0!</v>
      </c>
      <c r="F19" s="8"/>
    </row>
    <row r="20" spans="2:6" x14ac:dyDescent="0.2">
      <c r="B20" s="473"/>
      <c r="C20" t="s">
        <v>281</v>
      </c>
      <c r="D20" s="340" t="e">
        <f>SUM('Final demand per energy carrier'!E52:E56)</f>
        <v>#DIV/0!</v>
      </c>
      <c r="E20" s="337" t="e">
        <f>IF(SUM($D$17:$D$20)=0,0,D20/SUM($D$17:$D$20))</f>
        <v>#DIV/0!</v>
      </c>
      <c r="F20" s="8"/>
    </row>
    <row r="21" spans="2:6" x14ac:dyDescent="0.2">
      <c r="B21" s="38"/>
      <c r="D21" s="341"/>
      <c r="E21" s="338"/>
      <c r="F21" s="8"/>
    </row>
    <row r="22" spans="2:6" x14ac:dyDescent="0.2">
      <c r="B22" s="174" t="s">
        <v>397</v>
      </c>
      <c r="C22" s="336"/>
      <c r="D22" s="342"/>
      <c r="E22" s="339"/>
      <c r="F22" s="8"/>
    </row>
    <row r="23" spans="2:6" x14ac:dyDescent="0.2">
      <c r="B23" s="176"/>
      <c r="C23" t="s">
        <v>97</v>
      </c>
      <c r="D23" s="340" t="e">
        <f>SUM('Final demand per energy carrier'!J15:J27)</f>
        <v>#DIV/0!</v>
      </c>
      <c r="E23" s="337" t="e">
        <f>IF(SUM($D$23:$D$25)=0,1,D23/SUM($D$23:$D$25))</f>
        <v>#DIV/0!</v>
      </c>
      <c r="F23" s="8"/>
    </row>
    <row r="24" spans="2:6" x14ac:dyDescent="0.2">
      <c r="B24" s="176"/>
      <c r="C24" t="s">
        <v>401</v>
      </c>
      <c r="D24" s="340" t="e">
        <f>SUM('Final demand per energy carrier'!J30:J43)</f>
        <v>#DIV/0!</v>
      </c>
      <c r="E24" s="337" t="e">
        <f>IF(SUM($D$23:$D$25)=0,0,D24/SUM($D$23:$D$25))</f>
        <v>#DIV/0!</v>
      </c>
      <c r="F24" s="8"/>
    </row>
    <row r="25" spans="2:6" x14ac:dyDescent="0.2">
      <c r="B25" s="176"/>
      <c r="C25" t="s">
        <v>281</v>
      </c>
      <c r="D25" s="340" t="e">
        <f>SUM('Final demand per energy carrier'!J52:J56)</f>
        <v>#DIV/0!</v>
      </c>
      <c r="E25" s="337" t="e">
        <f>IF(SUM($D$23:$D$25)=0,0,D25/SUM($D$23:$D$25))</f>
        <v>#DIV/0!</v>
      </c>
      <c r="F25" s="8"/>
    </row>
    <row r="26" spans="2:6" x14ac:dyDescent="0.2">
      <c r="B26" s="176"/>
      <c r="C26" s="8"/>
      <c r="D26" s="341"/>
      <c r="E26" s="338"/>
      <c r="F26" s="8"/>
    </row>
    <row r="27" spans="2:6" x14ac:dyDescent="0.2">
      <c r="B27" s="174" t="s">
        <v>221</v>
      </c>
      <c r="C27" s="336"/>
      <c r="D27" s="342"/>
      <c r="E27" s="339"/>
      <c r="F27" s="8"/>
    </row>
    <row r="28" spans="2:6" x14ac:dyDescent="0.2">
      <c r="B28" s="176"/>
      <c r="C28" t="s">
        <v>97</v>
      </c>
      <c r="D28" s="340" t="e">
        <f>SUM('Final demand per energy carrier'!F15:F27)</f>
        <v>#DIV/0!</v>
      </c>
      <c r="E28" s="337" t="e">
        <f>IF(SUM($D$28:$D$33)=0,1,D28/SUM($D$28:$D$33))</f>
        <v>#DIV/0!</v>
      </c>
      <c r="F28" s="8"/>
    </row>
    <row r="29" spans="2:6" x14ac:dyDescent="0.2">
      <c r="B29" s="176"/>
      <c r="C29" t="s">
        <v>401</v>
      </c>
      <c r="D29" s="340" t="e">
        <f>SUM('Final demand per energy carrier'!F30:F43)</f>
        <v>#DIV/0!</v>
      </c>
      <c r="E29" s="337" t="e">
        <f>IF(SUM($D$28:$D$33)=0,0,D29/SUM($D$28:$D$33))</f>
        <v>#DIV/0!</v>
      </c>
      <c r="F29" s="8"/>
    </row>
    <row r="30" spans="2:6" x14ac:dyDescent="0.2">
      <c r="B30" s="176"/>
      <c r="C30" t="s">
        <v>281</v>
      </c>
      <c r="D30" s="340" t="e">
        <f>SUM('Final demand per energy carrier'!F52:F56)</f>
        <v>#DIV/0!</v>
      </c>
      <c r="E30" s="337" t="e">
        <f>IF(SUM($D$28:$D$33)=0,0,D30/SUM($D$28:$D$33))</f>
        <v>#DIV/0!</v>
      </c>
      <c r="F30" s="8"/>
    </row>
    <row r="31" spans="2:6" x14ac:dyDescent="0.2">
      <c r="B31" s="176"/>
      <c r="C31" t="s">
        <v>76</v>
      </c>
      <c r="D31" s="340" t="e">
        <f>SUM('Final demand per energy carrier'!F60:F62)</f>
        <v>#DIV/0!</v>
      </c>
      <c r="E31" s="337" t="e">
        <f>IF(SUM($D$28:$D$33)=0,0,D31/SUM($D$28:$D$33))</f>
        <v>#DIV/0!</v>
      </c>
      <c r="F31" s="8"/>
    </row>
    <row r="32" spans="2:6" x14ac:dyDescent="0.2">
      <c r="B32" s="176"/>
      <c r="C32" t="s">
        <v>735</v>
      </c>
      <c r="D32" s="340">
        <f>SUM('Final demand per energy carrier'!F66:F73)</f>
        <v>0</v>
      </c>
      <c r="E32" s="337" t="e">
        <f>IF(SUM($D$28:$D$33)=0,0,D32/SUM($D$28:$D$33))</f>
        <v>#DIV/0!</v>
      </c>
      <c r="F32" s="8"/>
    </row>
    <row r="33" spans="2:6" x14ac:dyDescent="0.2">
      <c r="B33" s="176"/>
      <c r="C33" t="s">
        <v>96</v>
      </c>
      <c r="D33" s="340" t="e">
        <f>SUM('Final demand per energy carrier'!F46:F48)</f>
        <v>#DIV/0!</v>
      </c>
      <c r="E33" s="337" t="e">
        <f>IF(SUM($D$28:$D$33)=0,0,D33/SUM($D$28:$D$33))</f>
        <v>#DIV/0!</v>
      </c>
      <c r="F33" s="8"/>
    </row>
    <row r="34" spans="2:6" x14ac:dyDescent="0.2">
      <c r="B34" s="474"/>
      <c r="D34" s="341"/>
      <c r="E34" s="338"/>
      <c r="F34" s="8"/>
    </row>
    <row r="35" spans="2:6" x14ac:dyDescent="0.2">
      <c r="B35" s="475" t="s">
        <v>722</v>
      </c>
      <c r="C35" s="336"/>
      <c r="D35" s="342"/>
      <c r="E35" s="339"/>
      <c r="F35" s="8"/>
    </row>
    <row r="36" spans="2:6" x14ac:dyDescent="0.2">
      <c r="B36" s="176"/>
      <c r="C36" t="s">
        <v>97</v>
      </c>
      <c r="D36" s="340" t="e">
        <f>SUM('Final demand per energy carrier'!K15:K27)</f>
        <v>#DIV/0!</v>
      </c>
      <c r="E36" s="337" t="e">
        <f>IF(SUM($D$36:$D$37)=0,1,D36/SUM($D$36:$D$37))</f>
        <v>#DIV/0!</v>
      </c>
      <c r="F36" s="8"/>
    </row>
    <row r="37" spans="2:6" x14ac:dyDescent="0.2">
      <c r="B37" s="176"/>
      <c r="C37" t="s">
        <v>401</v>
      </c>
      <c r="D37" s="340" t="e">
        <f>SUM('Final demand per energy carrier'!K30:K43)</f>
        <v>#DIV/0!</v>
      </c>
      <c r="E37" s="337" t="e">
        <f>IF(SUM($D$36:$D$37)=0,0,D37/SUM($D$36:$D$37))</f>
        <v>#DIV/0!</v>
      </c>
      <c r="F37" s="8"/>
    </row>
    <row r="38" spans="2:6" ht="17" thickBot="1" x14ac:dyDescent="0.25">
      <c r="B38" s="476"/>
      <c r="C38" s="77"/>
      <c r="D38" s="129"/>
      <c r="E38" s="78"/>
      <c r="F38" s="8"/>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61"/>
  <sheetViews>
    <sheetView topLeftCell="A2" workbookViewId="0">
      <selection activeCell="F28" sqref="F28"/>
    </sheetView>
  </sheetViews>
  <sheetFormatPr baseColWidth="10" defaultRowHeight="16" x14ac:dyDescent="0.2"/>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x14ac:dyDescent="0.25">
      <c r="B2" s="2" t="s">
        <v>583</v>
      </c>
      <c r="C2" s="2"/>
    </row>
    <row r="4" spans="2:7" x14ac:dyDescent="0.2">
      <c r="B4" s="3" t="s">
        <v>79</v>
      </c>
      <c r="C4" s="13"/>
      <c r="D4" s="4"/>
      <c r="E4" s="4"/>
      <c r="F4" s="5"/>
      <c r="G4" s="8"/>
    </row>
    <row r="5" spans="2:7" ht="33" customHeight="1" x14ac:dyDescent="0.2">
      <c r="B5" s="654" t="s">
        <v>560</v>
      </c>
      <c r="C5" s="664"/>
      <c r="D5" s="664"/>
      <c r="E5" s="664"/>
      <c r="F5" s="655"/>
      <c r="G5" s="158"/>
    </row>
    <row r="6" spans="2:7" ht="17" thickBot="1" x14ac:dyDescent="0.25"/>
    <row r="7" spans="2:7" ht="32" x14ac:dyDescent="0.2">
      <c r="B7" s="154" t="s">
        <v>284</v>
      </c>
      <c r="C7" s="159" t="s">
        <v>403</v>
      </c>
      <c r="D7" s="132"/>
      <c r="E7" s="130" t="s">
        <v>400</v>
      </c>
      <c r="F7" s="131" t="s">
        <v>437</v>
      </c>
    </row>
    <row r="8" spans="2:7" x14ac:dyDescent="0.2">
      <c r="B8" s="174" t="s">
        <v>97</v>
      </c>
      <c r="C8" s="477"/>
      <c r="D8" s="156"/>
      <c r="E8" s="335"/>
      <c r="F8" s="105"/>
      <c r="G8" s="8"/>
    </row>
    <row r="9" spans="2:7" x14ac:dyDescent="0.2">
      <c r="B9" s="176"/>
      <c r="C9" s="59" t="s">
        <v>404</v>
      </c>
      <c r="D9" s="17" t="str">
        <f>technical_specs!C19</f>
        <v>Gas-fired Heaters (space heating)</v>
      </c>
      <c r="E9" s="343" t="e">
        <f>'Technology split final demand'!I19</f>
        <v>#DIV/0!</v>
      </c>
      <c r="F9" s="346" t="e">
        <f t="shared" ref="F9:F11" si="0">IF(SUM($E$9:$E$12)=0,0,E9/SUM($E$9:$E$12))</f>
        <v>#DIV/0!</v>
      </c>
      <c r="G9" s="8"/>
    </row>
    <row r="10" spans="2:7" x14ac:dyDescent="0.2">
      <c r="B10" s="176"/>
      <c r="C10" s="59"/>
      <c r="D10" s="17" t="str">
        <f>technical_specs!C11</f>
        <v>Condensing Combi Boiler (space heating)</v>
      </c>
      <c r="E10" s="343" t="e">
        <f>'Technology split final demand'!I11</f>
        <v>#DIV/0!</v>
      </c>
      <c r="F10" s="346" t="e">
        <f t="shared" si="0"/>
        <v>#DIV/0!</v>
      </c>
      <c r="G10" s="8"/>
    </row>
    <row r="11" spans="2:7" x14ac:dyDescent="0.2">
      <c r="B11" s="176"/>
      <c r="C11" s="59"/>
      <c r="D11" s="17" t="str">
        <f>technical_specs!C14</f>
        <v>Micro CHP (gas-fired)) (space heating)</v>
      </c>
      <c r="E11" s="343" t="e">
        <f>'Technology split final demand'!I14</f>
        <v>#DIV/0!</v>
      </c>
      <c r="F11" s="346" t="e">
        <f t="shared" si="0"/>
        <v>#DIV/0!</v>
      </c>
      <c r="G11" s="8"/>
    </row>
    <row r="12" spans="2:7" x14ac:dyDescent="0.2">
      <c r="B12" s="176"/>
      <c r="C12" s="59"/>
      <c r="D12" s="17" t="str">
        <f>technical_specs!C23</f>
        <v>Hybrid heatpump, gas part (space heating)</v>
      </c>
      <c r="E12" s="343" t="e">
        <f>'Technology split final demand'!I23</f>
        <v>#DIV/0!</v>
      </c>
      <c r="F12" s="346" t="e">
        <f>IF(SUM($E$9:$E$12)=0,0,E12/SUM($E$9:$E$12))</f>
        <v>#DIV/0!</v>
      </c>
      <c r="G12" s="8"/>
    </row>
    <row r="13" spans="2:7" x14ac:dyDescent="0.2">
      <c r="B13" s="38"/>
      <c r="C13" s="193"/>
      <c r="D13" s="8"/>
      <c r="E13" s="344"/>
      <c r="F13" s="339"/>
      <c r="G13" s="8"/>
    </row>
    <row r="14" spans="2:7" x14ac:dyDescent="0.2">
      <c r="B14" s="38"/>
      <c r="C14" s="59" t="s">
        <v>106</v>
      </c>
      <c r="D14" s="17" t="str">
        <f>technical_specs!C18</f>
        <v>Electric Heaters (resistance) (space heating)</v>
      </c>
      <c r="E14" s="343" t="e">
        <f>'Technology split final demand'!I18</f>
        <v>#DIV/0!</v>
      </c>
      <c r="F14" s="346" t="e">
        <f>IF(SUM($E$14:$E$17)=0,1,E14/SUM($E$14:$E$17))</f>
        <v>#DIV/0!</v>
      </c>
      <c r="G14" s="8"/>
    </row>
    <row r="15" spans="2:7" x14ac:dyDescent="0.2">
      <c r="B15" s="38"/>
      <c r="C15" s="193"/>
      <c r="D15" s="17" t="str">
        <f>technical_specs!C16</f>
        <v>electricity-driven Heat pump (air) (space heating)</v>
      </c>
      <c r="E15" s="343" t="e">
        <f>'Technology split final demand'!I16</f>
        <v>#DIV/0!</v>
      </c>
      <c r="F15" s="346" t="e">
        <f>IF(SUM($E$14:$E$17)=0,0,E15/SUM($E$14:$E$17))</f>
        <v>#DIV/0!</v>
      </c>
      <c r="G15" s="8"/>
    </row>
    <row r="16" spans="2:7" x14ac:dyDescent="0.2">
      <c r="B16" s="38"/>
      <c r="C16" s="193"/>
      <c r="D16" s="17" t="str">
        <f>technical_specs!C13</f>
        <v>Electric Heat Pump (ground) (space heating)</v>
      </c>
      <c r="E16" s="343" t="e">
        <f>'Technology split final demand'!I13</f>
        <v>#DIV/0!</v>
      </c>
      <c r="F16" s="346" t="e">
        <f t="shared" ref="F16" si="1">IF(SUM($E$14:$E$17)=0,0,E16/SUM($E$14:$E$17))</f>
        <v>#DIV/0!</v>
      </c>
      <c r="G16" s="8"/>
    </row>
    <row r="17" spans="2:7" x14ac:dyDescent="0.2">
      <c r="B17" s="38"/>
      <c r="C17" s="193"/>
      <c r="D17" s="17" t="str">
        <f>technical_specs!C22</f>
        <v>Hybrid heatpump, heatpump part (space heating)</v>
      </c>
      <c r="E17" s="343" t="e">
        <f>'Technology split final demand'!I22</f>
        <v>#DIV/0!</v>
      </c>
      <c r="F17" s="346" t="e">
        <f>IF(SUM($E$14:$E$17)=0,0,E17/SUM($E$14:$E$17))</f>
        <v>#DIV/0!</v>
      </c>
      <c r="G17" s="8"/>
    </row>
    <row r="18" spans="2:7" x14ac:dyDescent="0.2">
      <c r="B18" s="111"/>
      <c r="C18" s="197"/>
      <c r="D18" s="10"/>
      <c r="E18" s="345"/>
      <c r="F18" s="338"/>
      <c r="G18" s="8"/>
    </row>
    <row r="19" spans="2:7" x14ac:dyDescent="0.2">
      <c r="B19" s="176" t="s">
        <v>401</v>
      </c>
      <c r="C19" s="193"/>
      <c r="D19" s="8"/>
      <c r="E19" s="344"/>
      <c r="F19" s="339"/>
      <c r="G19" s="8"/>
    </row>
    <row r="20" spans="2:7" x14ac:dyDescent="0.2">
      <c r="B20" s="38"/>
      <c r="C20" s="59" t="s">
        <v>404</v>
      </c>
      <c r="D20" s="17" t="str">
        <f>technical_specs!C26</f>
        <v>Condensing Combi Boiler (hot water)</v>
      </c>
      <c r="E20" s="343" t="e">
        <f>'Technology split final demand'!I26</f>
        <v>#DIV/0!</v>
      </c>
      <c r="F20" s="346" t="e">
        <f>IF(SUM($E$20:$E$24)=0,0,E20/SUM($E$20:$E$24))</f>
        <v>#DIV/0!</v>
      </c>
      <c r="G20" s="8"/>
    </row>
    <row r="21" spans="2:7" x14ac:dyDescent="0.2">
      <c r="B21" s="38"/>
      <c r="C21" s="193"/>
      <c r="D21" s="17" t="str">
        <f>technical_specs!C37</f>
        <v>Fuel Cell (hot water)</v>
      </c>
      <c r="E21" s="343" t="e">
        <f>'Technology split final demand'!I37</f>
        <v>#DIV/0!</v>
      </c>
      <c r="F21" s="346" t="e">
        <f t="shared" ref="F21:F24" si="2">IF(SUM($E$20:$E$24)=0,0,E21/SUM($E$20:$E$24))</f>
        <v>#DIV/0!</v>
      </c>
      <c r="G21" s="8"/>
    </row>
    <row r="22" spans="2:7" x14ac:dyDescent="0.2">
      <c r="B22" s="38"/>
      <c r="C22" s="193"/>
      <c r="D22" s="17" t="str">
        <f>technical_specs!C29</f>
        <v>Micro CHP (gas-fired)) (hot water)</v>
      </c>
      <c r="E22" s="343" t="e">
        <f>'Technology split final demand'!I29</f>
        <v>#DIV/0!</v>
      </c>
      <c r="F22" s="346" t="e">
        <f t="shared" si="2"/>
        <v>#DIV/0!</v>
      </c>
      <c r="G22" s="8"/>
    </row>
    <row r="23" spans="2:7" x14ac:dyDescent="0.2">
      <c r="B23" s="38"/>
      <c r="C23" s="193"/>
      <c r="D23" s="17" t="str">
        <f>technical_specs!C34</f>
        <v>Gas-fired Heaters (hot water)</v>
      </c>
      <c r="E23" s="343" t="e">
        <f>'Technology split final demand'!I34</f>
        <v>#DIV/0!</v>
      </c>
      <c r="F23" s="346" t="e">
        <f t="shared" si="2"/>
        <v>#DIV/0!</v>
      </c>
      <c r="G23" s="8"/>
    </row>
    <row r="24" spans="2:7" x14ac:dyDescent="0.2">
      <c r="B24" s="38"/>
      <c r="C24" s="193"/>
      <c r="D24" s="17" t="str">
        <f>technical_specs!C39</f>
        <v>Hybrid heatpump, gas part (hot water)</v>
      </c>
      <c r="E24" s="343" t="e">
        <f>'Technology split final demand'!I39</f>
        <v>#DIV/0!</v>
      </c>
      <c r="F24" s="346" t="e">
        <f t="shared" si="2"/>
        <v>#DIV/0!</v>
      </c>
      <c r="G24" s="8"/>
    </row>
    <row r="25" spans="2:7" x14ac:dyDescent="0.2">
      <c r="B25" s="38"/>
      <c r="C25" s="193"/>
      <c r="D25" s="8"/>
      <c r="E25" s="344"/>
      <c r="F25" s="347"/>
      <c r="G25" s="8"/>
    </row>
    <row r="26" spans="2:7" x14ac:dyDescent="0.2">
      <c r="B26" s="38"/>
      <c r="C26" s="59" t="s">
        <v>106</v>
      </c>
      <c r="D26" s="17" t="str">
        <f>technical_specs!C31</f>
        <v>electricity-driven Heat pump (air) (hot water)</v>
      </c>
      <c r="E26" s="343" t="e">
        <f>'Technology split final demand'!I31</f>
        <v>#DIV/0!</v>
      </c>
      <c r="F26" s="346" t="e">
        <f>IF(SUM($E$26:$E$29)=0,0,E26/SUM($E$26:$E$29))</f>
        <v>#DIV/0!</v>
      </c>
      <c r="G26" s="8"/>
    </row>
    <row r="27" spans="2:7" x14ac:dyDescent="0.2">
      <c r="B27" s="38"/>
      <c r="C27" s="193"/>
      <c r="D27" s="17" t="str">
        <f>technical_specs!C28</f>
        <v>Electric Heat Pump (ground) (hot water)</v>
      </c>
      <c r="E27" s="343" t="e">
        <f>'Technology split final demand'!I28</f>
        <v>#DIV/0!</v>
      </c>
      <c r="F27" s="346" t="e">
        <f t="shared" ref="F27:F29" si="3">IF(SUM($E$26:$E$29)=0,0,E27/SUM($E$26:$E$29))</f>
        <v>#DIV/0!</v>
      </c>
      <c r="G27" s="8"/>
    </row>
    <row r="28" spans="2:7" x14ac:dyDescent="0.2">
      <c r="B28" s="38"/>
      <c r="C28" s="193"/>
      <c r="D28" s="17" t="str">
        <f>technical_specs!C33</f>
        <v>Electric Heaters (resistance) (hot water)</v>
      </c>
      <c r="E28" s="343" t="e">
        <f>'Technology split final demand'!I33</f>
        <v>#DIV/0!</v>
      </c>
      <c r="F28" s="346" t="e">
        <f t="shared" si="3"/>
        <v>#DIV/0!</v>
      </c>
      <c r="G28" s="8"/>
    </row>
    <row r="29" spans="2:7" x14ac:dyDescent="0.2">
      <c r="B29" s="38"/>
      <c r="C29" s="193"/>
      <c r="D29" s="17" t="str">
        <f>technical_specs!C38</f>
        <v>Hybrid heatpump, heatpump part (hot water)</v>
      </c>
      <c r="E29" s="343" t="e">
        <f>'Technology split final demand'!I38</f>
        <v>#DIV/0!</v>
      </c>
      <c r="F29" s="346" t="e">
        <f t="shared" si="3"/>
        <v>#DIV/0!</v>
      </c>
      <c r="G29" s="8"/>
    </row>
    <row r="30" spans="2:7" x14ac:dyDescent="0.2">
      <c r="B30" s="111"/>
      <c r="C30" s="197"/>
      <c r="D30" s="10"/>
      <c r="E30" s="345"/>
      <c r="F30" s="348"/>
      <c r="G30" s="8"/>
    </row>
    <row r="31" spans="2:7" x14ac:dyDescent="0.2">
      <c r="B31" s="176" t="s">
        <v>438</v>
      </c>
      <c r="C31" s="193"/>
      <c r="D31" s="8"/>
      <c r="E31" s="344"/>
      <c r="F31" s="347"/>
    </row>
    <row r="32" spans="2:7" x14ac:dyDescent="0.2">
      <c r="B32" s="38"/>
      <c r="C32" s="59" t="s">
        <v>105</v>
      </c>
      <c r="D32" s="17" t="str">
        <f>'Technology split final demand'!C27</f>
        <v>Solar thermal panel (hot water)</v>
      </c>
      <c r="E32" s="343" t="e">
        <f>'Technology split final demand'!I27</f>
        <v>#DIV/0!</v>
      </c>
      <c r="F32" s="346" t="e">
        <f>IF(SUM($E$32:$E$33)=0,1,E32/SUM($E$32:$E$33))</f>
        <v>#DIV/0!</v>
      </c>
    </row>
    <row r="33" spans="2:7" x14ac:dyDescent="0.2">
      <c r="B33" s="38"/>
      <c r="C33" s="193"/>
      <c r="D33" s="17" t="str">
        <f>technical_specs!C12</f>
        <v>Solar thermal panel (space heating)</v>
      </c>
      <c r="E33" s="343" t="e">
        <f>'Technology split final demand'!I12</f>
        <v>#DIV/0!</v>
      </c>
      <c r="F33" s="346" t="e">
        <f>IF(SUM($E$32:$E$33)=0,0,E33/SUM($E$32:$E$33))</f>
        <v>#DIV/0!</v>
      </c>
    </row>
    <row r="34" spans="2:7" x14ac:dyDescent="0.2">
      <c r="B34" s="111"/>
      <c r="C34" s="197"/>
      <c r="D34" s="10"/>
      <c r="E34" s="345"/>
      <c r="F34" s="348"/>
    </row>
    <row r="35" spans="2:7" x14ac:dyDescent="0.2">
      <c r="B35" s="176" t="s">
        <v>96</v>
      </c>
      <c r="C35" s="193"/>
      <c r="D35" s="8"/>
      <c r="E35" s="344"/>
      <c r="F35" s="347"/>
    </row>
    <row r="36" spans="2:7" x14ac:dyDescent="0.2">
      <c r="B36" s="38"/>
      <c r="C36" s="59" t="s">
        <v>106</v>
      </c>
      <c r="D36" s="17" t="str">
        <f>technical_specs!C44</f>
        <v>Conventional electric airconditioning</v>
      </c>
      <c r="E36" s="343" t="e">
        <f>'Technology split final demand'!I44</f>
        <v>#DIV/0!</v>
      </c>
      <c r="F36" s="346" t="e">
        <f>IF(SUM($E$36:$E$38)=0,1,E36/SUM($E$36:$E$38))</f>
        <v>#DIV/0!</v>
      </c>
    </row>
    <row r="37" spans="2:7" x14ac:dyDescent="0.2">
      <c r="B37" s="38"/>
      <c r="C37" s="193"/>
      <c r="D37" s="17" t="str">
        <f>technical_specs!C42</f>
        <v>Electric heat pump ground</v>
      </c>
      <c r="E37" s="343" t="e">
        <f>'Technology split final demand'!I42</f>
        <v>#DIV/0!</v>
      </c>
      <c r="F37" s="346" t="e">
        <f t="shared" ref="F37:F38" si="4">IF(SUM($E$36:$E$38)=0,0,E37/SUM($E$36:$E$38))</f>
        <v>#DIV/0!</v>
      </c>
    </row>
    <row r="38" spans="2:7" x14ac:dyDescent="0.2">
      <c r="B38" s="38"/>
      <c r="C38" s="193"/>
      <c r="D38" s="17" t="str">
        <f>technical_specs!C43</f>
        <v>Electric heat pump air</v>
      </c>
      <c r="E38" s="343" t="e">
        <f>'Technology split final demand'!I43</f>
        <v>#DIV/0!</v>
      </c>
      <c r="F38" s="346" t="e">
        <f t="shared" si="4"/>
        <v>#DIV/0!</v>
      </c>
    </row>
    <row r="39" spans="2:7" x14ac:dyDescent="0.2">
      <c r="B39" s="111"/>
      <c r="C39" s="197"/>
      <c r="D39" s="10"/>
      <c r="E39" s="345"/>
      <c r="F39" s="348"/>
    </row>
    <row r="40" spans="2:7" x14ac:dyDescent="0.2">
      <c r="B40" s="176" t="s">
        <v>281</v>
      </c>
      <c r="C40" s="193"/>
      <c r="D40" s="8"/>
      <c r="E40" s="344"/>
      <c r="F40" s="347"/>
    </row>
    <row r="41" spans="2:7" x14ac:dyDescent="0.2">
      <c r="B41" s="38"/>
      <c r="C41" s="59" t="s">
        <v>106</v>
      </c>
      <c r="D41" s="17" t="str">
        <f>technical_specs!C49</f>
        <v>Electric halogen stoves</v>
      </c>
      <c r="E41" s="343" t="e">
        <f>'Technology split final demand'!I49</f>
        <v>#DIV/0!</v>
      </c>
      <c r="F41" s="346" t="e">
        <f>IF(SUM($E$41:$E$43)=0,0,E41/SUM($E$41:$E$43))</f>
        <v>#DIV/0!</v>
      </c>
    </row>
    <row r="42" spans="2:7" x14ac:dyDescent="0.2">
      <c r="B42" s="38"/>
      <c r="C42" s="193"/>
      <c r="D42" s="17" t="str">
        <f>technical_specs!C50</f>
        <v>Electric induction stoves</v>
      </c>
      <c r="E42" s="343" t="e">
        <f>'Technology split final demand'!I50</f>
        <v>#DIV/0!</v>
      </c>
      <c r="F42" s="346" t="e">
        <f t="shared" ref="F42" si="5">IF(SUM($E$41:$E$43)=0,0,E42/SUM($E$41:$E$43))</f>
        <v>#DIV/0!</v>
      </c>
    </row>
    <row r="43" spans="2:7" x14ac:dyDescent="0.2">
      <c r="B43" s="38"/>
      <c r="C43" s="193"/>
      <c r="D43" s="17" t="str">
        <f>technical_specs!C48</f>
        <v>Electric stoves (resistance)</v>
      </c>
      <c r="E43" s="343" t="e">
        <f>'Technology split final demand'!I48</f>
        <v>#DIV/0!</v>
      </c>
      <c r="F43" s="346" t="e">
        <f>IF(SUM($E$41:$E$43)=0,1,E43/SUM($E$41:$E$43))</f>
        <v>#DIV/0!</v>
      </c>
    </row>
    <row r="44" spans="2:7" x14ac:dyDescent="0.2">
      <c r="B44" s="111"/>
      <c r="C44" s="197"/>
      <c r="D44" s="10"/>
      <c r="E44" s="345"/>
      <c r="F44" s="348"/>
    </row>
    <row r="45" spans="2:7" x14ac:dyDescent="0.2">
      <c r="B45" s="176" t="s">
        <v>76</v>
      </c>
      <c r="C45" s="193"/>
      <c r="D45" s="8"/>
      <c r="E45" s="344"/>
      <c r="F45" s="347"/>
    </row>
    <row r="46" spans="2:7" x14ac:dyDescent="0.2">
      <c r="B46" s="38"/>
      <c r="C46" s="59" t="s">
        <v>106</v>
      </c>
      <c r="D46" s="8"/>
      <c r="E46" s="344"/>
      <c r="F46" s="347"/>
    </row>
    <row r="47" spans="2:7" x14ac:dyDescent="0.2">
      <c r="B47" s="38"/>
      <c r="C47" s="193"/>
      <c r="D47" s="17" t="str">
        <f>technical_specs!C55</f>
        <v>Low energy light bulbs / fluorescent lighting</v>
      </c>
      <c r="E47" s="343" t="e">
        <f>'Technology split final demand'!I55</f>
        <v>#DIV/0!</v>
      </c>
      <c r="F47" s="346" t="e">
        <f>IF(SUM($E$47:$E$49)=0,1,E47/SUM($E$47:$E$49))</f>
        <v>#DIV/0!</v>
      </c>
      <c r="G47" s="8"/>
    </row>
    <row r="48" spans="2:7" x14ac:dyDescent="0.2">
      <c r="B48" s="38"/>
      <c r="C48" s="193"/>
      <c r="D48" s="17" t="str">
        <f>technical_specs!C54</f>
        <v>Incandescent lamps</v>
      </c>
      <c r="E48" s="343" t="e">
        <f>'Technology split final demand'!I54</f>
        <v>#DIV/0!</v>
      </c>
      <c r="F48" s="346" t="e">
        <f t="shared" ref="F48:F49" si="6">IF(SUM($E$47:$E$49)=0,0,E48/SUM($E$47:$E$49))</f>
        <v>#DIV/0!</v>
      </c>
      <c r="G48" s="8"/>
    </row>
    <row r="49" spans="2:7" x14ac:dyDescent="0.2">
      <c r="B49" s="38"/>
      <c r="C49" s="193"/>
      <c r="D49" s="17" t="str">
        <f>technical_specs!C56</f>
        <v>LED lamps</v>
      </c>
      <c r="E49" s="343" t="e">
        <f>'Technology split final demand'!I56</f>
        <v>#DIV/0!</v>
      </c>
      <c r="F49" s="346" t="e">
        <f t="shared" si="6"/>
        <v>#DIV/0!</v>
      </c>
      <c r="G49" s="8"/>
    </row>
    <row r="50" spans="2:7" x14ac:dyDescent="0.2">
      <c r="B50" s="111"/>
      <c r="C50" s="197"/>
      <c r="D50" s="10"/>
      <c r="E50" s="345"/>
      <c r="F50" s="348"/>
      <c r="G50" s="8"/>
    </row>
    <row r="51" spans="2:7" x14ac:dyDescent="0.2">
      <c r="B51" s="176" t="s">
        <v>561</v>
      </c>
      <c r="C51" s="193"/>
      <c r="D51" s="8"/>
      <c r="E51" s="344"/>
      <c r="F51" s="347"/>
      <c r="G51" s="8"/>
    </row>
    <row r="52" spans="2:7" x14ac:dyDescent="0.2">
      <c r="B52" s="38"/>
      <c r="C52" s="59" t="s">
        <v>106</v>
      </c>
      <c r="D52" s="8"/>
      <c r="E52" s="344"/>
      <c r="F52" s="347"/>
    </row>
    <row r="53" spans="2:7" x14ac:dyDescent="0.2">
      <c r="B53" s="38"/>
      <c r="C53" s="193"/>
      <c r="D53" s="17" t="str">
        <f>'Final demand per energy carrier'!C66</f>
        <v>Dishwashers</v>
      </c>
      <c r="E53" s="343">
        <f>'Final demand per energy carrier'!D66</f>
        <v>0</v>
      </c>
      <c r="F53" s="346">
        <f>IF(SUM($E$53:$E$60)=0,0,E53/SUM($E$53:$E$60))</f>
        <v>0</v>
      </c>
    </row>
    <row r="54" spans="2:7" x14ac:dyDescent="0.2">
      <c r="B54" s="38"/>
      <c r="C54" s="193"/>
      <c r="D54" s="17" t="str">
        <f>'Final demand per energy carrier'!C67</f>
        <v>Fridges / Freezers</v>
      </c>
      <c r="E54" s="343">
        <f>'Final demand per energy carrier'!D67</f>
        <v>0</v>
      </c>
      <c r="F54" s="346">
        <f t="shared" ref="F54:F59" si="7">IF(SUM($E$53:$E$60)=0,0,E54/SUM($E$53:$E$60))</f>
        <v>0</v>
      </c>
    </row>
    <row r="55" spans="2:7" x14ac:dyDescent="0.2">
      <c r="B55" s="38"/>
      <c r="C55" s="193"/>
      <c r="D55" s="17" t="str">
        <f>'Final demand per energy carrier'!C68</f>
        <v>Washing Machines</v>
      </c>
      <c r="E55" s="343">
        <f>'Final demand per energy carrier'!D68</f>
        <v>0</v>
      </c>
      <c r="F55" s="346">
        <f t="shared" si="7"/>
        <v>0</v>
      </c>
    </row>
    <row r="56" spans="2:7" x14ac:dyDescent="0.2">
      <c r="B56" s="38"/>
      <c r="C56" s="193"/>
      <c r="D56" s="17" t="str">
        <f>'Final demand per energy carrier'!C69</f>
        <v>Dryers</v>
      </c>
      <c r="E56" s="343">
        <f>'Final demand per energy carrier'!D69</f>
        <v>0</v>
      </c>
      <c r="F56" s="346">
        <f t="shared" si="7"/>
        <v>0</v>
      </c>
    </row>
    <row r="57" spans="2:7" x14ac:dyDescent="0.2">
      <c r="B57" s="38"/>
      <c r="C57" s="193"/>
      <c r="D57" s="17" t="str">
        <f>'Final demand per energy carrier'!C70</f>
        <v>Television</v>
      </c>
      <c r="E57" s="343">
        <f>'Final demand per energy carrier'!D70</f>
        <v>0</v>
      </c>
      <c r="F57" s="346">
        <f t="shared" si="7"/>
        <v>0</v>
      </c>
    </row>
    <row r="58" spans="2:7" x14ac:dyDescent="0.2">
      <c r="B58" s="38"/>
      <c r="C58" s="193"/>
      <c r="D58" s="17" t="str">
        <f>'Final demand per energy carrier'!C71</f>
        <v>Computers / Media</v>
      </c>
      <c r="E58" s="343">
        <f>'Final demand per energy carrier'!D71</f>
        <v>0</v>
      </c>
      <c r="F58" s="346">
        <f t="shared" si="7"/>
        <v>0</v>
      </c>
    </row>
    <row r="59" spans="2:7" x14ac:dyDescent="0.2">
      <c r="B59" s="38"/>
      <c r="C59" s="193"/>
      <c r="D59" s="17" t="str">
        <f>'Final demand per energy carrier'!C72</f>
        <v>Vacuum Cleaners</v>
      </c>
      <c r="E59" s="343">
        <f>'Final demand per energy carrier'!D72</f>
        <v>0</v>
      </c>
      <c r="F59" s="346">
        <f t="shared" si="7"/>
        <v>0</v>
      </c>
    </row>
    <row r="60" spans="2:7" x14ac:dyDescent="0.2">
      <c r="B60" s="38"/>
      <c r="C60" s="193"/>
      <c r="D60" s="17" t="str">
        <f>'Final demand per energy carrier'!C73</f>
        <v>Others</v>
      </c>
      <c r="E60" s="343">
        <f>'Final demand per energy carrier'!D73</f>
        <v>0</v>
      </c>
      <c r="F60" s="346">
        <f>IF(SUM($E$53:$E$60)=0,1,E60/SUM($E$53:$E$60))</f>
        <v>1</v>
      </c>
    </row>
    <row r="61" spans="2:7" ht="17" thickBot="1" x14ac:dyDescent="0.25">
      <c r="B61" s="435"/>
      <c r="C61" s="204"/>
      <c r="D61" s="77"/>
      <c r="E61" s="129"/>
      <c r="F61" s="78"/>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6" x14ac:dyDescent="0.2"/>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1" x14ac:dyDescent="0.25">
      <c r="B2" s="2" t="s">
        <v>443</v>
      </c>
    </row>
    <row r="4" spans="1:10" x14ac:dyDescent="0.2">
      <c r="B4" s="3" t="s">
        <v>79</v>
      </c>
      <c r="C4" s="4"/>
      <c r="D4" s="20"/>
      <c r="E4" s="8"/>
    </row>
    <row r="5" spans="1:10" x14ac:dyDescent="0.2">
      <c r="B5" s="654" t="s">
        <v>718</v>
      </c>
      <c r="C5" s="664"/>
      <c r="D5" s="20"/>
      <c r="E5" s="8"/>
    </row>
    <row r="6" spans="1:10" ht="17" thickBot="1" x14ac:dyDescent="0.25">
      <c r="A6" s="164"/>
      <c r="B6" s="164"/>
      <c r="C6" s="164"/>
      <c r="D6" s="164"/>
      <c r="E6" s="164"/>
      <c r="F6" s="59"/>
      <c r="G6" s="59"/>
      <c r="H6" s="8"/>
      <c r="I6" s="8"/>
      <c r="J6" s="8"/>
    </row>
    <row r="7" spans="1:10" x14ac:dyDescent="0.2">
      <c r="A7" s="164"/>
      <c r="B7" s="165" t="s">
        <v>719</v>
      </c>
      <c r="C7" s="166"/>
      <c r="D7" s="167"/>
      <c r="E7" s="545"/>
      <c r="F7" s="59"/>
      <c r="G7" s="59"/>
      <c r="H7" s="193"/>
      <c r="I7" s="8"/>
      <c r="J7" s="8"/>
    </row>
    <row r="8" spans="1:10" x14ac:dyDescent="0.2">
      <c r="A8" s="164"/>
      <c r="B8" s="79"/>
      <c r="C8" s="59"/>
      <c r="D8" s="160"/>
      <c r="E8" s="546"/>
      <c r="F8" s="59"/>
      <c r="G8" s="59"/>
      <c r="H8" s="193"/>
      <c r="I8" s="8"/>
      <c r="J8" s="8"/>
    </row>
    <row r="9" spans="1:10" x14ac:dyDescent="0.2">
      <c r="A9" s="164"/>
      <c r="B9" s="79"/>
      <c r="C9" s="59"/>
      <c r="D9" s="160"/>
      <c r="E9" s="546"/>
      <c r="F9" s="59"/>
      <c r="G9" s="59"/>
      <c r="H9" s="193"/>
      <c r="I9" s="8"/>
      <c r="J9" s="8"/>
    </row>
    <row r="10" spans="1:10" x14ac:dyDescent="0.2">
      <c r="A10" s="164"/>
      <c r="B10" s="172"/>
      <c r="C10" s="173"/>
      <c r="D10" s="173" t="s">
        <v>741</v>
      </c>
      <c r="E10" s="547" t="s">
        <v>742</v>
      </c>
      <c r="F10" s="158"/>
      <c r="G10" s="158"/>
      <c r="H10" s="158"/>
      <c r="I10" s="8"/>
      <c r="J10" s="8"/>
    </row>
    <row r="11" spans="1:10" x14ac:dyDescent="0.2">
      <c r="A11" s="164"/>
      <c r="B11" s="552" t="s">
        <v>743</v>
      </c>
      <c r="C11" s="106"/>
      <c r="D11" s="273">
        <f>Dashboard!E99</f>
        <v>0</v>
      </c>
      <c r="E11" s="548">
        <f>Dashboard!E100</f>
        <v>0</v>
      </c>
      <c r="F11" s="543"/>
      <c r="G11" s="164"/>
    </row>
    <row r="12" spans="1:10" x14ac:dyDescent="0.2">
      <c r="B12" s="31"/>
      <c r="C12" s="59"/>
      <c r="D12" s="59"/>
      <c r="E12" s="401"/>
      <c r="F12" s="164"/>
      <c r="G12" s="164"/>
    </row>
    <row r="13" spans="1:10" x14ac:dyDescent="0.2">
      <c r="B13" s="31" t="s">
        <v>744</v>
      </c>
      <c r="C13" s="59"/>
      <c r="D13" s="549">
        <f>Dashboard!E102</f>
        <v>0</v>
      </c>
      <c r="E13" s="550">
        <f>Dashboard!E103</f>
        <v>0</v>
      </c>
      <c r="F13" s="544"/>
      <c r="G13" s="164"/>
    </row>
    <row r="14" spans="1:10" x14ac:dyDescent="0.2">
      <c r="B14" s="31"/>
      <c r="C14" s="59"/>
      <c r="D14" s="8"/>
      <c r="E14" s="401"/>
      <c r="F14" s="164"/>
      <c r="G14" s="164"/>
    </row>
    <row r="15" spans="1:10" x14ac:dyDescent="0.2">
      <c r="B15" s="31" t="s">
        <v>747</v>
      </c>
      <c r="C15" s="8"/>
      <c r="D15" s="549" t="e">
        <f>1/D13</f>
        <v>#DIV/0!</v>
      </c>
      <c r="E15" s="550" t="e">
        <f>1/E13</f>
        <v>#DIV/0!</v>
      </c>
      <c r="F15" s="544"/>
      <c r="G15" s="164"/>
    </row>
    <row r="16" spans="1:10" x14ac:dyDescent="0.2">
      <c r="B16" s="31"/>
      <c r="C16" s="8"/>
      <c r="D16" s="8"/>
      <c r="E16" s="32"/>
      <c r="G16" s="164"/>
    </row>
    <row r="17" spans="2:7" x14ac:dyDescent="0.2">
      <c r="B17" s="31" t="s">
        <v>746</v>
      </c>
      <c r="C17" s="59"/>
      <c r="D17" s="549" t="e">
        <f>D11*D15</f>
        <v>#DIV/0!</v>
      </c>
      <c r="E17" s="550" t="e">
        <f>E11*E15</f>
        <v>#DIV/0!</v>
      </c>
      <c r="F17" s="543"/>
      <c r="G17" s="164"/>
    </row>
    <row r="18" spans="2:7" x14ac:dyDescent="0.2">
      <c r="B18" s="31"/>
      <c r="C18" s="59"/>
      <c r="D18" s="59"/>
      <c r="E18" s="401"/>
      <c r="F18" s="164"/>
      <c r="G18" s="164"/>
    </row>
    <row r="19" spans="2:7" x14ac:dyDescent="0.2">
      <c r="B19" s="31" t="s">
        <v>745</v>
      </c>
      <c r="C19" s="59"/>
      <c r="D19" s="295" t="e">
        <f>D17/SUM($D$17:$E$17)</f>
        <v>#DIV/0!</v>
      </c>
      <c r="E19" s="292" t="e">
        <f>E17/SUM($D$17:$E$17)</f>
        <v>#DIV/0!</v>
      </c>
      <c r="F19" s="164"/>
      <c r="G19" s="164"/>
    </row>
    <row r="20" spans="2:7" ht="17" thickBot="1" x14ac:dyDescent="0.25">
      <c r="B20" s="47"/>
      <c r="C20" s="161"/>
      <c r="D20" s="161"/>
      <c r="E20" s="551"/>
      <c r="F20" s="164"/>
      <c r="G20" s="164"/>
    </row>
    <row r="21" spans="2:7" x14ac:dyDescent="0.2">
      <c r="C21" s="164"/>
      <c r="D21" s="164"/>
      <c r="E21" s="164"/>
      <c r="F21" s="164"/>
      <c r="G21" s="164"/>
    </row>
    <row r="22" spans="2:7" x14ac:dyDescent="0.2">
      <c r="C22" s="164"/>
      <c r="D22" s="164"/>
      <c r="E22" s="164"/>
      <c r="F22" s="164"/>
      <c r="G22" s="164"/>
    </row>
    <row r="23" spans="2:7" x14ac:dyDescent="0.2">
      <c r="C23" s="164"/>
      <c r="D23" s="164"/>
      <c r="E23" s="164"/>
      <c r="F23" s="164"/>
      <c r="G23" s="164"/>
    </row>
    <row r="24" spans="2:7" x14ac:dyDescent="0.2">
      <c r="C24" s="164"/>
      <c r="D24" s="164"/>
      <c r="E24" s="164"/>
      <c r="F24" s="164"/>
      <c r="G24" s="164"/>
    </row>
    <row r="25" spans="2:7" x14ac:dyDescent="0.2">
      <c r="C25" s="164"/>
      <c r="D25" s="164"/>
      <c r="E25" s="164"/>
      <c r="F25" s="164"/>
      <c r="G25" s="164"/>
    </row>
    <row r="26" spans="2:7" x14ac:dyDescent="0.2">
      <c r="C26" s="164"/>
      <c r="D26" s="164"/>
      <c r="E26" s="164"/>
      <c r="F26" s="164"/>
      <c r="G26" s="164"/>
    </row>
    <row r="27" spans="2:7" x14ac:dyDescent="0.2">
      <c r="C27" s="164"/>
      <c r="D27" s="164"/>
      <c r="E27" s="164"/>
      <c r="F27" s="164"/>
      <c r="G27" s="164"/>
    </row>
    <row r="28" spans="2:7" x14ac:dyDescent="0.2">
      <c r="C28" s="164"/>
      <c r="D28" s="164"/>
      <c r="E28" s="164"/>
      <c r="F28" s="164"/>
      <c r="G28" s="164"/>
    </row>
    <row r="29" spans="2:7" x14ac:dyDescent="0.2">
      <c r="C29" s="164"/>
      <c r="D29" s="164"/>
      <c r="E29" s="164"/>
      <c r="F29" s="164"/>
      <c r="G29" s="164"/>
    </row>
    <row r="30" spans="2:7" x14ac:dyDescent="0.2">
      <c r="C30" s="164"/>
      <c r="D30" s="164"/>
      <c r="E30" s="164"/>
      <c r="F30" s="164"/>
      <c r="G30" s="164"/>
    </row>
    <row r="31" spans="2:7" x14ac:dyDescent="0.2">
      <c r="C31" s="164"/>
      <c r="D31" s="164"/>
      <c r="E31" s="164"/>
      <c r="F31" s="164"/>
      <c r="G31" s="164"/>
    </row>
    <row r="32" spans="2:7" x14ac:dyDescent="0.2">
      <c r="C32" s="164"/>
      <c r="D32" s="164"/>
      <c r="E32" s="164"/>
      <c r="F32" s="164"/>
      <c r="G32" s="164"/>
    </row>
    <row r="33" spans="3:7" x14ac:dyDescent="0.2">
      <c r="C33" s="164"/>
      <c r="D33" s="164"/>
      <c r="E33" s="164"/>
      <c r="F33" s="164"/>
      <c r="G33" s="164"/>
    </row>
    <row r="34" spans="3:7" x14ac:dyDescent="0.2">
      <c r="C34" s="164"/>
      <c r="D34" s="164"/>
      <c r="E34" s="164"/>
      <c r="F34" s="164"/>
      <c r="G34" s="164"/>
    </row>
  </sheetData>
  <mergeCells count="1">
    <mergeCell ref="B5:C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1"/>
  <sheetViews>
    <sheetView workbookViewId="0">
      <pane xSplit="2" ySplit="9" topLeftCell="C10" activePane="bottomRight" state="frozen"/>
      <selection pane="topRight" activeCell="C1" sqref="C1"/>
      <selection pane="bottomLeft" activeCell="A10" sqref="A10"/>
      <selection pane="bottomRight" activeCell="M42" sqref="M42"/>
    </sheetView>
  </sheetViews>
  <sheetFormatPr baseColWidth="10" defaultRowHeight="16" x14ac:dyDescent="0.2"/>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1" x14ac:dyDescent="0.25">
      <c r="B2" s="63" t="s">
        <v>184</v>
      </c>
      <c r="C2" s="8"/>
      <c r="D2" s="8"/>
      <c r="E2" s="8"/>
      <c r="F2" s="8"/>
      <c r="G2" s="8"/>
      <c r="H2" s="8"/>
      <c r="I2" s="8"/>
      <c r="J2" s="8"/>
      <c r="K2" s="8"/>
    </row>
    <row r="3" spans="2:13" x14ac:dyDescent="0.2">
      <c r="E3" s="8"/>
      <c r="F3" s="8"/>
      <c r="G3" s="8"/>
      <c r="H3" s="8"/>
      <c r="I3" s="8"/>
      <c r="J3" s="8"/>
      <c r="K3" s="8"/>
    </row>
    <row r="4" spans="2:13" x14ac:dyDescent="0.2">
      <c r="B4" s="3" t="s">
        <v>79</v>
      </c>
      <c r="C4" s="4"/>
      <c r="D4" s="4"/>
      <c r="E4" s="4"/>
      <c r="F4" s="4"/>
      <c r="G4" s="5"/>
      <c r="H4" s="8"/>
      <c r="I4" s="8"/>
      <c r="J4" s="8"/>
      <c r="K4" s="8"/>
    </row>
    <row r="5" spans="2:13" ht="30" customHeight="1" x14ac:dyDescent="0.2">
      <c r="B5" s="654" t="s">
        <v>283</v>
      </c>
      <c r="C5" s="664"/>
      <c r="D5" s="664"/>
      <c r="E5" s="664"/>
      <c r="F5" s="664"/>
      <c r="G5" s="655"/>
      <c r="H5" s="8"/>
      <c r="I5" s="8"/>
      <c r="J5" s="8"/>
      <c r="K5" s="8"/>
    </row>
    <row r="6" spans="2:13" ht="17" thickBot="1" x14ac:dyDescent="0.25">
      <c r="B6" s="8"/>
      <c r="C6" s="8"/>
      <c r="D6" s="8"/>
      <c r="E6" s="8"/>
      <c r="F6" s="8"/>
      <c r="G6" s="8"/>
      <c r="H6" s="8"/>
      <c r="I6" s="8"/>
      <c r="J6" s="8"/>
      <c r="K6" s="8"/>
    </row>
    <row r="7" spans="2:13" x14ac:dyDescent="0.2">
      <c r="B7" s="28" t="s">
        <v>184</v>
      </c>
      <c r="C7" s="52"/>
      <c r="D7" s="52"/>
      <c r="E7" s="52"/>
      <c r="F7" s="52"/>
      <c r="G7" s="52"/>
      <c r="H7" s="52"/>
      <c r="I7" s="52"/>
      <c r="J7" s="52"/>
      <c r="K7" s="30"/>
    </row>
    <row r="8" spans="2:13" x14ac:dyDescent="0.2">
      <c r="B8" s="31"/>
      <c r="C8" s="8"/>
      <c r="D8" s="8"/>
      <c r="E8" s="8"/>
      <c r="F8" s="8"/>
      <c r="G8" s="8"/>
      <c r="H8" s="8"/>
      <c r="I8" s="8"/>
      <c r="J8" s="8"/>
      <c r="K8" s="32"/>
    </row>
    <row r="9" spans="2:13" ht="32" x14ac:dyDescent="0.2">
      <c r="B9" s="64" t="s">
        <v>284</v>
      </c>
      <c r="C9" s="68" t="s">
        <v>98</v>
      </c>
      <c r="D9" s="82" t="s">
        <v>395</v>
      </c>
      <c r="E9" s="65" t="s">
        <v>729</v>
      </c>
      <c r="F9" s="65" t="s">
        <v>432</v>
      </c>
      <c r="G9" s="65" t="s">
        <v>730</v>
      </c>
      <c r="H9" s="65" t="s">
        <v>433</v>
      </c>
      <c r="I9" s="65" t="s">
        <v>434</v>
      </c>
      <c r="J9" s="65" t="s">
        <v>435</v>
      </c>
      <c r="K9" s="113" t="s">
        <v>731</v>
      </c>
    </row>
    <row r="10" spans="2:13" x14ac:dyDescent="0.2">
      <c r="B10" s="49" t="s">
        <v>102</v>
      </c>
      <c r="C10" s="537"/>
      <c r="D10" s="537"/>
      <c r="E10" s="538"/>
      <c r="F10" s="538"/>
      <c r="G10" s="538"/>
      <c r="H10" s="538"/>
      <c r="I10" s="538"/>
      <c r="J10" s="538"/>
      <c r="K10" s="539"/>
    </row>
    <row r="11" spans="2:13" s="72" customFormat="1" x14ac:dyDescent="0.2">
      <c r="B11" s="73"/>
      <c r="C11" s="437" t="s">
        <v>95</v>
      </c>
      <c r="D11" s="437"/>
      <c r="E11" s="542">
        <f>Final_demand_gas</f>
        <v>0</v>
      </c>
      <c r="F11" s="540">
        <f>Final_demand_electricity</f>
        <v>0</v>
      </c>
      <c r="G11" s="540">
        <f>Final_demand_solar_thermal</f>
        <v>0</v>
      </c>
      <c r="H11" s="540">
        <f>Final_demand_coal</f>
        <v>0</v>
      </c>
      <c r="I11" s="540">
        <f>Final_demand_oil</f>
        <v>0</v>
      </c>
      <c r="J11" s="540">
        <f>Final_demand_woodpellets</f>
        <v>0</v>
      </c>
      <c r="K11" s="541">
        <f>Final_demand_heat</f>
        <v>0</v>
      </c>
      <c r="L11" s="20"/>
    </row>
    <row r="12" spans="2:13" x14ac:dyDescent="0.2">
      <c r="B12" s="67"/>
      <c r="C12" s="66"/>
      <c r="D12" s="66"/>
      <c r="E12" s="83"/>
      <c r="F12" s="83"/>
      <c r="G12" s="83"/>
      <c r="H12" s="83"/>
      <c r="I12" s="83"/>
      <c r="J12" s="83"/>
      <c r="K12" s="120"/>
    </row>
    <row r="13" spans="2:13" x14ac:dyDescent="0.2">
      <c r="B13" s="64"/>
      <c r="C13" s="10"/>
      <c r="D13" s="10"/>
      <c r="E13" s="299"/>
      <c r="F13" s="299"/>
      <c r="G13" s="299"/>
      <c r="H13" s="299"/>
      <c r="I13" s="299"/>
      <c r="J13" s="299"/>
      <c r="K13" s="300"/>
    </row>
    <row r="14" spans="2:13" x14ac:dyDescent="0.2">
      <c r="B14" s="49" t="str">
        <f>'Technology split final demand'!B10</f>
        <v>Space Heating</v>
      </c>
      <c r="C14" s="155"/>
      <c r="D14" s="10"/>
      <c r="E14" s="299"/>
      <c r="F14" s="299"/>
      <c r="G14" s="299"/>
      <c r="H14" s="299"/>
      <c r="I14" s="299"/>
      <c r="J14" s="299"/>
      <c r="K14" s="300"/>
    </row>
    <row r="15" spans="2:13" x14ac:dyDescent="0.2">
      <c r="B15" s="49"/>
      <c r="C15" s="276" t="str">
        <f>'Technology split final demand'!C11</f>
        <v>Condensing Combi Boiler (space heating)</v>
      </c>
      <c r="D15" s="179" t="e">
        <f>'Technology split final demand'!I11</f>
        <v>#DIV/0!</v>
      </c>
      <c r="E15" s="327" t="e">
        <f>D15*Final_demand_space_heating</f>
        <v>#DIV/0!</v>
      </c>
      <c r="F15" s="328"/>
      <c r="G15" s="328"/>
      <c r="H15" s="328"/>
      <c r="I15" s="328"/>
      <c r="J15" s="328"/>
      <c r="K15" s="329"/>
      <c r="L15" s="8"/>
      <c r="M15" s="8"/>
    </row>
    <row r="16" spans="2:13" x14ac:dyDescent="0.2">
      <c r="B16" s="49"/>
      <c r="C16" s="276" t="str">
        <f>'Technology split final demand'!C12</f>
        <v>Solar thermal panel (space heating)</v>
      </c>
      <c r="D16" s="179" t="e">
        <f>'Technology split final demand'!I12</f>
        <v>#DIV/0!</v>
      </c>
      <c r="E16" s="330"/>
      <c r="F16" s="331"/>
      <c r="G16" s="331" t="e">
        <f>D16*Final_demand_space_heating</f>
        <v>#DIV/0!</v>
      </c>
      <c r="H16" s="331"/>
      <c r="I16" s="331"/>
      <c r="J16" s="331"/>
      <c r="K16" s="332"/>
      <c r="L16" s="8"/>
      <c r="M16" s="8"/>
    </row>
    <row r="17" spans="2:13" x14ac:dyDescent="0.2">
      <c r="B17" s="49"/>
      <c r="C17" s="276" t="str">
        <f>'Technology split final demand'!C13</f>
        <v>Electric Heat Pump (ground) (space heating)</v>
      </c>
      <c r="D17" s="179" t="e">
        <f>'Technology split final demand'!I13</f>
        <v>#DIV/0!</v>
      </c>
      <c r="E17" s="330"/>
      <c r="F17" s="331" t="e">
        <f>D17*Final_demand_space_heating</f>
        <v>#DIV/0!</v>
      </c>
      <c r="G17" s="331"/>
      <c r="H17" s="331"/>
      <c r="I17" s="331"/>
      <c r="J17" s="331"/>
      <c r="K17" s="332"/>
      <c r="L17" s="8"/>
      <c r="M17" s="8"/>
    </row>
    <row r="18" spans="2:13" x14ac:dyDescent="0.2">
      <c r="B18" s="49"/>
      <c r="C18" s="276" t="str">
        <f>'Technology split final demand'!C14</f>
        <v>Micro CHP (gas-fired)) (space heating)</v>
      </c>
      <c r="D18" s="179" t="e">
        <f>'Technology split final demand'!I14</f>
        <v>#DIV/0!</v>
      </c>
      <c r="E18" s="330" t="e">
        <f>D18*Final_demand_space_heating</f>
        <v>#DIV/0!</v>
      </c>
      <c r="F18" s="331"/>
      <c r="G18" s="331"/>
      <c r="H18" s="331"/>
      <c r="I18" s="331"/>
      <c r="J18" s="331"/>
      <c r="K18" s="332"/>
      <c r="L18" s="8"/>
      <c r="M18" s="84"/>
    </row>
    <row r="19" spans="2:13" x14ac:dyDescent="0.2">
      <c r="B19" s="49"/>
      <c r="C19" s="276" t="str">
        <f>'Technology split final demand'!C15</f>
        <v>District Heating (space heating)</v>
      </c>
      <c r="D19" s="179" t="e">
        <f>'Technology split final demand'!I15</f>
        <v>#DIV/0!</v>
      </c>
      <c r="E19" s="330"/>
      <c r="F19" s="331"/>
      <c r="G19" s="331"/>
      <c r="H19" s="331"/>
      <c r="I19" s="331"/>
      <c r="J19" s="331"/>
      <c r="K19" s="332" t="e">
        <f>D19*Final_demand_space_heating</f>
        <v>#DIV/0!</v>
      </c>
      <c r="L19" s="8"/>
      <c r="M19" s="8"/>
    </row>
    <row r="20" spans="2:13" x14ac:dyDescent="0.2">
      <c r="B20" s="49"/>
      <c r="C20" s="276" t="str">
        <f>'Technology split final demand'!C16</f>
        <v>electricity-driven Heat pump (air) (space heating)</v>
      </c>
      <c r="D20" s="179" t="e">
        <f>'Technology split final demand'!I16</f>
        <v>#DIV/0!</v>
      </c>
      <c r="E20" s="330"/>
      <c r="F20" s="331" t="e">
        <f>D20*Final_demand_space_heating</f>
        <v>#DIV/0!</v>
      </c>
      <c r="G20" s="331"/>
      <c r="H20" s="331"/>
      <c r="I20" s="331"/>
      <c r="J20" s="331"/>
      <c r="K20" s="332"/>
      <c r="L20" s="8"/>
      <c r="M20" s="8"/>
    </row>
    <row r="21" spans="2:13" x14ac:dyDescent="0.2">
      <c r="B21" s="49"/>
      <c r="C21" s="276" t="str">
        <f>'Technology split final demand'!C17</f>
        <v>woodpellets (biomass) heaters (space heating)</v>
      </c>
      <c r="D21" s="179" t="e">
        <f>'Technology split final demand'!I17</f>
        <v>#DIV/0!</v>
      </c>
      <c r="E21" s="330"/>
      <c r="F21" s="331"/>
      <c r="G21" s="331"/>
      <c r="H21" s="331"/>
      <c r="I21" s="331"/>
      <c r="J21" s="331" t="e">
        <f>D21*Final_demand_space_heating</f>
        <v>#DIV/0!</v>
      </c>
      <c r="K21" s="332"/>
      <c r="L21" s="8"/>
      <c r="M21" s="8"/>
    </row>
    <row r="22" spans="2:13" x14ac:dyDescent="0.2">
      <c r="B22" s="49"/>
      <c r="C22" s="276" t="str">
        <f>'Technology split final demand'!C18</f>
        <v>Electric Heaters (resistance) (space heating)</v>
      </c>
      <c r="D22" s="179" t="e">
        <f>'Technology split final demand'!I18</f>
        <v>#DIV/0!</v>
      </c>
      <c r="E22" s="330"/>
      <c r="F22" s="331" t="e">
        <f>D22*Final_demand_space_heating</f>
        <v>#DIV/0!</v>
      </c>
      <c r="G22" s="331"/>
      <c r="H22" s="331"/>
      <c r="I22" s="331"/>
      <c r="J22" s="331"/>
      <c r="K22" s="332"/>
      <c r="L22" s="8"/>
      <c r="M22" s="8"/>
    </row>
    <row r="23" spans="2:13" x14ac:dyDescent="0.2">
      <c r="B23" s="49"/>
      <c r="C23" s="276" t="str">
        <f>'Technology split final demand'!C19</f>
        <v>Gas-fired Heaters (space heating)</v>
      </c>
      <c r="D23" s="179" t="e">
        <f>'Technology split final demand'!I19</f>
        <v>#DIV/0!</v>
      </c>
      <c r="E23" s="330" t="e">
        <f>D23*Final_demand_space_heating</f>
        <v>#DIV/0!</v>
      </c>
      <c r="F23" s="331"/>
      <c r="G23" s="331"/>
      <c r="H23" s="331"/>
      <c r="I23" s="331"/>
      <c r="J23" s="331"/>
      <c r="K23" s="332"/>
      <c r="L23" s="8"/>
      <c r="M23" s="8"/>
    </row>
    <row r="24" spans="2:13" x14ac:dyDescent="0.2">
      <c r="B24" s="49"/>
      <c r="C24" s="276" t="str">
        <f>'Technology split final demand'!C20</f>
        <v>Oil-fired Heaters (space heating)</v>
      </c>
      <c r="D24" s="179" t="e">
        <f>'Technology split final demand'!I20</f>
        <v>#DIV/0!</v>
      </c>
      <c r="E24" s="330"/>
      <c r="F24" s="331"/>
      <c r="G24" s="331"/>
      <c r="H24" s="331"/>
      <c r="I24" s="331" t="e">
        <f>D24*Final_demand_space_heating</f>
        <v>#DIV/0!</v>
      </c>
      <c r="J24" s="331"/>
      <c r="K24" s="332"/>
      <c r="L24" s="8"/>
      <c r="M24" s="8"/>
    </row>
    <row r="25" spans="2:13" x14ac:dyDescent="0.2">
      <c r="B25" s="49"/>
      <c r="C25" s="276" t="str">
        <f>'Technology split final demand'!C21</f>
        <v>Coal-fired Heaters (space heating)</v>
      </c>
      <c r="D25" s="179" t="e">
        <f>'Technology split final demand'!I21</f>
        <v>#DIV/0!</v>
      </c>
      <c r="E25" s="330"/>
      <c r="F25" s="331"/>
      <c r="G25" s="331"/>
      <c r="H25" s="331" t="e">
        <f>D25*Final_demand_space_heating</f>
        <v>#DIV/0!</v>
      </c>
      <c r="I25" s="331"/>
      <c r="J25" s="331"/>
      <c r="K25" s="332"/>
      <c r="L25" s="8"/>
      <c r="M25" s="8"/>
    </row>
    <row r="26" spans="2:13" x14ac:dyDescent="0.2">
      <c r="B26" s="49"/>
      <c r="C26" s="276" t="s">
        <v>877</v>
      </c>
      <c r="D26" s="640" t="e">
        <f>'Technology split final demand'!I22</f>
        <v>#DIV/0!</v>
      </c>
      <c r="E26" s="331"/>
      <c r="F26" s="331" t="e">
        <f>D26*Final_demand_space_heating</f>
        <v>#DIV/0!</v>
      </c>
      <c r="G26" s="331"/>
      <c r="H26" s="331"/>
      <c r="I26" s="331"/>
      <c r="J26" s="331"/>
      <c r="K26" s="332"/>
      <c r="L26" s="8"/>
      <c r="M26" s="8"/>
    </row>
    <row r="27" spans="2:13" x14ac:dyDescent="0.2">
      <c r="B27" s="49"/>
      <c r="C27" s="277" t="s">
        <v>872</v>
      </c>
      <c r="D27" s="637" t="e">
        <f>'Technology split final demand'!I23</f>
        <v>#DIV/0!</v>
      </c>
      <c r="E27" s="333" t="e">
        <f>D27*Final_demand_space_heating</f>
        <v>#DIV/0!</v>
      </c>
      <c r="F27" s="333"/>
      <c r="G27" s="333"/>
      <c r="H27" s="333"/>
      <c r="I27" s="333"/>
      <c r="J27" s="333"/>
      <c r="K27" s="334"/>
      <c r="L27" s="8"/>
      <c r="M27" s="8"/>
    </row>
    <row r="28" spans="2:13" x14ac:dyDescent="0.2">
      <c r="B28" s="278"/>
      <c r="C28" s="639" t="s">
        <v>878</v>
      </c>
      <c r="D28" s="155"/>
      <c r="E28" s="297"/>
      <c r="F28" s="297"/>
      <c r="G28" s="297"/>
      <c r="H28" s="297"/>
      <c r="I28" s="297"/>
      <c r="J28" s="297"/>
      <c r="K28" s="298"/>
      <c r="L28" s="8"/>
      <c r="M28" s="8"/>
    </row>
    <row r="29" spans="2:13" x14ac:dyDescent="0.2">
      <c r="B29" s="49" t="str">
        <f>'Technology split final demand'!B25</f>
        <v>Hot Water</v>
      </c>
      <c r="C29" s="274"/>
      <c r="D29" s="155"/>
      <c r="E29" s="180"/>
      <c r="F29" s="180"/>
      <c r="G29" s="180"/>
      <c r="H29" s="180"/>
      <c r="I29" s="180"/>
      <c r="J29" s="180"/>
      <c r="K29" s="181"/>
    </row>
    <row r="30" spans="2:13" x14ac:dyDescent="0.2">
      <c r="B30" s="49"/>
      <c r="C30" s="276" t="str">
        <f>'Technology split final demand'!C26</f>
        <v>Condensing Combi Boiler (hot water)</v>
      </c>
      <c r="D30" s="179" t="e">
        <f>'Technology split final demand'!I26</f>
        <v>#DIV/0!</v>
      </c>
      <c r="E30" s="311" t="e">
        <f>D30*Final_demand_hot_water</f>
        <v>#DIV/0!</v>
      </c>
      <c r="F30" s="312"/>
      <c r="G30" s="312"/>
      <c r="H30" s="312"/>
      <c r="I30" s="312"/>
      <c r="J30" s="312"/>
      <c r="K30" s="313"/>
    </row>
    <row r="31" spans="2:13" x14ac:dyDescent="0.2">
      <c r="B31" s="49"/>
      <c r="C31" s="276" t="str">
        <f>'Technology split final demand'!C27</f>
        <v>Solar thermal panel (hot water)</v>
      </c>
      <c r="D31" s="179" t="e">
        <f>'Technology split final demand'!I27</f>
        <v>#DIV/0!</v>
      </c>
      <c r="E31" s="311"/>
      <c r="F31" s="312"/>
      <c r="G31" s="312" t="e">
        <f>D31*Final_demand_hot_water</f>
        <v>#DIV/0!</v>
      </c>
      <c r="H31" s="312"/>
      <c r="I31" s="312"/>
      <c r="J31" s="312"/>
      <c r="K31" s="313"/>
    </row>
    <row r="32" spans="2:13" x14ac:dyDescent="0.2">
      <c r="B32" s="49"/>
      <c r="C32" s="276" t="str">
        <f>'Technology split final demand'!C28</f>
        <v>Electric Heat Pump (ground) (hot water)</v>
      </c>
      <c r="D32" s="179" t="e">
        <f>'Technology split final demand'!I28</f>
        <v>#DIV/0!</v>
      </c>
      <c r="E32" s="311"/>
      <c r="F32" s="312" t="e">
        <f>D32*Final_demand_hot_water</f>
        <v>#DIV/0!</v>
      </c>
      <c r="G32" s="312"/>
      <c r="H32" s="312"/>
      <c r="I32" s="312"/>
      <c r="J32" s="312"/>
      <c r="K32" s="313"/>
    </row>
    <row r="33" spans="2:11" x14ac:dyDescent="0.2">
      <c r="B33" s="49"/>
      <c r="C33" s="276" t="str">
        <f>'Technology split final demand'!C29</f>
        <v>Micro CHP (gas-fired)) (hot water)</v>
      </c>
      <c r="D33" s="179" t="e">
        <f>'Technology split final demand'!I29</f>
        <v>#DIV/0!</v>
      </c>
      <c r="E33" s="311" t="e">
        <f>D33*Final_demand_hot_water</f>
        <v>#DIV/0!</v>
      </c>
      <c r="F33" s="312"/>
      <c r="G33" s="312"/>
      <c r="H33" s="312"/>
      <c r="I33" s="312"/>
      <c r="J33" s="312"/>
      <c r="K33" s="313"/>
    </row>
    <row r="34" spans="2:11" x14ac:dyDescent="0.2">
      <c r="B34" s="49"/>
      <c r="C34" s="276" t="str">
        <f>'Technology split final demand'!C30</f>
        <v>District Heating (hot water)</v>
      </c>
      <c r="D34" s="179" t="e">
        <f>'Technology split final demand'!I30</f>
        <v>#DIV/0!</v>
      </c>
      <c r="E34" s="311"/>
      <c r="F34" s="312"/>
      <c r="G34" s="312"/>
      <c r="H34" s="312"/>
      <c r="I34" s="312"/>
      <c r="J34" s="312"/>
      <c r="K34" s="313" t="e">
        <f>D34*Final_demand_hot_water</f>
        <v>#DIV/0!</v>
      </c>
    </row>
    <row r="35" spans="2:11" x14ac:dyDescent="0.2">
      <c r="B35" s="49"/>
      <c r="C35" s="276" t="str">
        <f>'Technology split final demand'!C31</f>
        <v>electricity-driven Heat pump (air) (hot water)</v>
      </c>
      <c r="D35" s="179" t="e">
        <f>'Technology split final demand'!I31</f>
        <v>#DIV/0!</v>
      </c>
      <c r="E35" s="311"/>
      <c r="F35" s="312" t="e">
        <f>D35*Final_demand_hot_water</f>
        <v>#DIV/0!</v>
      </c>
      <c r="G35" s="312"/>
      <c r="H35" s="312"/>
      <c r="I35" s="312"/>
      <c r="J35" s="312"/>
      <c r="K35" s="313"/>
    </row>
    <row r="36" spans="2:11" x14ac:dyDescent="0.2">
      <c r="B36" s="49"/>
      <c r="C36" s="276" t="str">
        <f>'Technology split final demand'!C32</f>
        <v>woodpellets (biomass) heaters (hot water)</v>
      </c>
      <c r="D36" s="179" t="e">
        <f>'Technology split final demand'!I32</f>
        <v>#DIV/0!</v>
      </c>
      <c r="E36" s="311"/>
      <c r="F36" s="312"/>
      <c r="G36" s="312"/>
      <c r="H36" s="312"/>
      <c r="I36" s="312"/>
      <c r="J36" s="312" t="e">
        <f>D36*Final_demand_hot_water</f>
        <v>#DIV/0!</v>
      </c>
      <c r="K36" s="313"/>
    </row>
    <row r="37" spans="2:11" x14ac:dyDescent="0.2">
      <c r="B37" s="49"/>
      <c r="C37" s="276" t="str">
        <f>'Technology split final demand'!C33</f>
        <v>Electric Heaters (resistance) (hot water)</v>
      </c>
      <c r="D37" s="179" t="e">
        <f>'Technology split final demand'!I33</f>
        <v>#DIV/0!</v>
      </c>
      <c r="E37" s="311"/>
      <c r="F37" s="312" t="e">
        <f>D37*Final_demand_hot_water</f>
        <v>#DIV/0!</v>
      </c>
      <c r="G37" s="312"/>
      <c r="H37" s="312"/>
      <c r="I37" s="312"/>
      <c r="J37" s="312"/>
      <c r="K37" s="313"/>
    </row>
    <row r="38" spans="2:11" x14ac:dyDescent="0.2">
      <c r="B38" s="49"/>
      <c r="C38" s="276" t="str">
        <f>'Technology split final demand'!C34</f>
        <v>Gas-fired Heaters (hot water)</v>
      </c>
      <c r="D38" s="179" t="e">
        <f>'Technology split final demand'!I34</f>
        <v>#DIV/0!</v>
      </c>
      <c r="E38" s="311" t="e">
        <f>D38*Final_demand_hot_water</f>
        <v>#DIV/0!</v>
      </c>
      <c r="F38" s="312"/>
      <c r="G38" s="312"/>
      <c r="H38" s="312"/>
      <c r="I38" s="312"/>
      <c r="J38" s="312"/>
      <c r="K38" s="313"/>
    </row>
    <row r="39" spans="2:11" x14ac:dyDescent="0.2">
      <c r="B39" s="49"/>
      <c r="C39" s="276" t="str">
        <f>'Technology split final demand'!C35</f>
        <v>Oil-fired Heaters (hot water)</v>
      </c>
      <c r="D39" s="179" t="e">
        <f>'Technology split final demand'!I35</f>
        <v>#DIV/0!</v>
      </c>
      <c r="E39" s="311"/>
      <c r="F39" s="312"/>
      <c r="G39" s="312"/>
      <c r="H39" s="312"/>
      <c r="I39" s="312" t="e">
        <f>D39*Final_demand_hot_water</f>
        <v>#DIV/0!</v>
      </c>
      <c r="J39" s="312"/>
      <c r="K39" s="313"/>
    </row>
    <row r="40" spans="2:11" x14ac:dyDescent="0.2">
      <c r="B40" s="49"/>
      <c r="C40" s="276" t="str">
        <f>'Technology split final demand'!C36</f>
        <v>Coal-fired Heaters (hot water)</v>
      </c>
      <c r="D40" s="179" t="e">
        <f>'Technology split final demand'!I36</f>
        <v>#DIV/0!</v>
      </c>
      <c r="E40" s="311"/>
      <c r="F40" s="312"/>
      <c r="G40" s="312"/>
      <c r="H40" s="312" t="e">
        <f>D40*Final_demand_hot_water</f>
        <v>#DIV/0!</v>
      </c>
      <c r="I40" s="312"/>
      <c r="J40" s="312"/>
      <c r="K40" s="313"/>
    </row>
    <row r="41" spans="2:11" x14ac:dyDescent="0.2">
      <c r="B41" s="49"/>
      <c r="C41" s="276" t="str">
        <f>'Technology split final demand'!C37</f>
        <v>Fuel Cell (hot water)</v>
      </c>
      <c r="D41" s="640" t="e">
        <f>'Technology split final demand'!I37</f>
        <v>#DIV/0!</v>
      </c>
      <c r="E41" s="312"/>
      <c r="F41" s="312" t="e">
        <f>D41*Final_demand_hot_water</f>
        <v>#DIV/0!</v>
      </c>
      <c r="G41" s="312"/>
      <c r="H41" s="312"/>
      <c r="I41" s="312"/>
      <c r="J41" s="312"/>
      <c r="K41" s="313"/>
    </row>
    <row r="42" spans="2:11" x14ac:dyDescent="0.2">
      <c r="B42" s="49"/>
      <c r="C42" s="276" t="str">
        <f>'Technology split final demand'!C38</f>
        <v>Hybrid heatpump, heatpump part (hot water)</v>
      </c>
      <c r="D42" s="640" t="e">
        <f>'Technology split final demand'!I38</f>
        <v>#DIV/0!</v>
      </c>
      <c r="E42" s="312"/>
      <c r="F42" s="312" t="e">
        <f>D42*Final_demand_hot_water</f>
        <v>#DIV/0!</v>
      </c>
      <c r="G42" s="312"/>
      <c r="H42" s="312"/>
      <c r="I42" s="312"/>
      <c r="J42" s="312"/>
      <c r="K42" s="313"/>
    </row>
    <row r="43" spans="2:11" x14ac:dyDescent="0.2">
      <c r="B43" s="49"/>
      <c r="C43" s="277" t="str">
        <f>'Technology split final demand'!C39</f>
        <v>Hybrid heatpump, gas part (hot water)</v>
      </c>
      <c r="D43" s="275" t="e">
        <f>'Technology split final demand'!I39</f>
        <v>#DIV/0!</v>
      </c>
      <c r="E43" s="314" t="e">
        <f>D43*Final_demand_hot_water</f>
        <v>#DIV/0!</v>
      </c>
      <c r="F43" s="314"/>
      <c r="G43" s="314"/>
      <c r="H43" s="314"/>
      <c r="I43" s="314"/>
      <c r="J43" s="314"/>
      <c r="K43" s="315"/>
    </row>
    <row r="44" spans="2:11" x14ac:dyDescent="0.2">
      <c r="B44" s="278"/>
      <c r="C44" s="274"/>
      <c r="D44" s="155"/>
      <c r="E44" s="319"/>
      <c r="F44" s="319"/>
      <c r="G44" s="319"/>
      <c r="H44" s="319"/>
      <c r="I44" s="319"/>
      <c r="J44" s="319"/>
      <c r="K44" s="320"/>
    </row>
    <row r="45" spans="2:11" x14ac:dyDescent="0.2">
      <c r="B45" s="49" t="str">
        <f>'Technology split final demand'!B41</f>
        <v>Space Cooling</v>
      </c>
      <c r="C45" s="274"/>
      <c r="D45" s="155"/>
      <c r="E45" s="321"/>
      <c r="F45" s="319"/>
      <c r="G45" s="319"/>
      <c r="H45" s="319"/>
      <c r="I45" s="319"/>
      <c r="J45" s="319"/>
      <c r="K45" s="320"/>
    </row>
    <row r="46" spans="2:11" x14ac:dyDescent="0.2">
      <c r="B46" s="49"/>
      <c r="C46" s="276" t="str">
        <f>'Technology split final demand'!C42</f>
        <v>Electric heat pump ground</v>
      </c>
      <c r="D46" s="179" t="e">
        <f>'Technology split final demand'!I42</f>
        <v>#DIV/0!</v>
      </c>
      <c r="E46" s="311"/>
      <c r="F46" s="312" t="e">
        <f>D46*Final_demand_cooling</f>
        <v>#DIV/0!</v>
      </c>
      <c r="G46" s="312"/>
      <c r="H46" s="312"/>
      <c r="I46" s="312"/>
      <c r="J46" s="312"/>
      <c r="K46" s="313"/>
    </row>
    <row r="47" spans="2:11" x14ac:dyDescent="0.2">
      <c r="B47" s="49"/>
      <c r="C47" s="276" t="str">
        <f>'Technology split final demand'!C43</f>
        <v>Electric heat pump air</v>
      </c>
      <c r="D47" s="179" t="e">
        <f>'Technology split final demand'!I43</f>
        <v>#DIV/0!</v>
      </c>
      <c r="E47" s="311"/>
      <c r="F47" s="312" t="e">
        <f>D47*Final_demand_cooling</f>
        <v>#DIV/0!</v>
      </c>
      <c r="G47" s="312"/>
      <c r="H47" s="312"/>
      <c r="I47" s="312"/>
      <c r="J47" s="312"/>
      <c r="K47" s="313"/>
    </row>
    <row r="48" spans="2:11" x14ac:dyDescent="0.2">
      <c r="B48" s="49"/>
      <c r="C48" s="277" t="str">
        <f>'Technology split final demand'!C44</f>
        <v>Conventional electric airconditioning</v>
      </c>
      <c r="D48" s="275" t="e">
        <f>'Technology split final demand'!I44</f>
        <v>#DIV/0!</v>
      </c>
      <c r="E48" s="311"/>
      <c r="F48" s="314" t="e">
        <f>D48*Final_demand_cooling</f>
        <v>#DIV/0!</v>
      </c>
      <c r="G48" s="314"/>
      <c r="H48" s="314"/>
      <c r="I48" s="314"/>
      <c r="J48" s="314"/>
      <c r="K48" s="315"/>
    </row>
    <row r="49" spans="2:13" x14ac:dyDescent="0.2">
      <c r="B49" s="49"/>
      <c r="C49" s="178"/>
      <c r="D49" s="153"/>
      <c r="E49" s="316"/>
      <c r="F49" s="322"/>
      <c r="G49" s="322"/>
      <c r="H49" s="322"/>
      <c r="I49" s="322"/>
      <c r="J49" s="322"/>
      <c r="K49" s="323"/>
    </row>
    <row r="50" spans="2:13" x14ac:dyDescent="0.2">
      <c r="B50" s="278"/>
      <c r="C50" s="274"/>
      <c r="D50" s="155"/>
      <c r="E50" s="319"/>
      <c r="F50" s="319"/>
      <c r="G50" s="319"/>
      <c r="H50" s="319"/>
      <c r="I50" s="319"/>
      <c r="J50" s="319"/>
      <c r="K50" s="320"/>
    </row>
    <row r="51" spans="2:13" x14ac:dyDescent="0.2">
      <c r="B51" s="49" t="str">
        <f>'Technology split final demand'!B46</f>
        <v>Cooking</v>
      </c>
      <c r="C51" s="274"/>
      <c r="D51" s="155"/>
      <c r="E51" s="321"/>
      <c r="F51" s="319"/>
      <c r="G51" s="319"/>
      <c r="H51" s="319"/>
      <c r="I51" s="319"/>
      <c r="J51" s="319"/>
      <c r="K51" s="320"/>
    </row>
    <row r="52" spans="2:13" x14ac:dyDescent="0.2">
      <c r="B52" s="49"/>
      <c r="C52" s="276" t="str">
        <f>'Technology split final demand'!C47</f>
        <v>Gas stoves</v>
      </c>
      <c r="D52" s="179" t="e">
        <f>'Technology split final demand'!I47</f>
        <v>#DIV/0!</v>
      </c>
      <c r="E52" s="311" t="e">
        <f>$D52*Final_demand_cooking</f>
        <v>#DIV/0!</v>
      </c>
      <c r="F52" s="312"/>
      <c r="G52" s="312"/>
      <c r="H52" s="312"/>
      <c r="I52" s="312"/>
      <c r="J52" s="312"/>
      <c r="K52" s="313"/>
    </row>
    <row r="53" spans="2:13" x14ac:dyDescent="0.2">
      <c r="B53" s="49"/>
      <c r="C53" s="276" t="str">
        <f>'Technology split final demand'!C48</f>
        <v>Electric stoves (resistance)</v>
      </c>
      <c r="D53" s="179" t="e">
        <f>'Technology split final demand'!I48</f>
        <v>#DIV/0!</v>
      </c>
      <c r="E53" s="311"/>
      <c r="F53" s="312" t="e">
        <f>$D53*Final_demand_cooking</f>
        <v>#DIV/0!</v>
      </c>
      <c r="G53" s="312"/>
      <c r="H53" s="312"/>
      <c r="I53" s="312"/>
      <c r="J53" s="312"/>
      <c r="K53" s="313"/>
      <c r="M53" s="150"/>
    </row>
    <row r="54" spans="2:13" x14ac:dyDescent="0.2">
      <c r="B54" s="49"/>
      <c r="C54" s="276" t="str">
        <f>'Technology split final demand'!C49</f>
        <v>Electric halogen stoves</v>
      </c>
      <c r="D54" s="179" t="e">
        <f>'Technology split final demand'!I49</f>
        <v>#DIV/0!</v>
      </c>
      <c r="E54" s="311"/>
      <c r="F54" s="312" t="e">
        <f>$D54*Final_demand_cooking</f>
        <v>#DIV/0!</v>
      </c>
      <c r="G54" s="312"/>
      <c r="H54" s="312"/>
      <c r="I54" s="312"/>
      <c r="J54" s="312"/>
      <c r="K54" s="313"/>
    </row>
    <row r="55" spans="2:13" x14ac:dyDescent="0.2">
      <c r="B55" s="49"/>
      <c r="C55" s="276" t="str">
        <f>'Technology split final demand'!C50</f>
        <v>Electric induction stoves</v>
      </c>
      <c r="D55" s="179" t="e">
        <f>'Technology split final demand'!I50</f>
        <v>#DIV/0!</v>
      </c>
      <c r="E55" s="311"/>
      <c r="F55" s="312" t="e">
        <f>$D55*Final_demand_cooking</f>
        <v>#DIV/0!</v>
      </c>
      <c r="G55" s="312"/>
      <c r="H55" s="312"/>
      <c r="I55" s="312"/>
      <c r="J55" s="312"/>
      <c r="K55" s="313"/>
    </row>
    <row r="56" spans="2:13" x14ac:dyDescent="0.2">
      <c r="B56" s="49"/>
      <c r="C56" s="277" t="str">
        <f>'Technology split final demand'!C51</f>
        <v>Biomass stoves</v>
      </c>
      <c r="D56" s="275" t="e">
        <f>'Technology split final demand'!I51</f>
        <v>#DIV/0!</v>
      </c>
      <c r="E56" s="311"/>
      <c r="F56" s="314"/>
      <c r="G56" s="314"/>
      <c r="H56" s="314"/>
      <c r="I56" s="314"/>
      <c r="J56" s="314" t="e">
        <f>$D56*Final_demand_cooking</f>
        <v>#DIV/0!</v>
      </c>
      <c r="K56" s="315"/>
    </row>
    <row r="57" spans="2:13" x14ac:dyDescent="0.2">
      <c r="B57" s="49"/>
      <c r="C57" s="178"/>
      <c r="D57" s="153"/>
      <c r="E57" s="316"/>
      <c r="F57" s="317"/>
      <c r="G57" s="317"/>
      <c r="H57" s="317"/>
      <c r="I57" s="317"/>
      <c r="J57" s="317"/>
      <c r="K57" s="318"/>
    </row>
    <row r="58" spans="2:13" x14ac:dyDescent="0.2">
      <c r="B58" s="278"/>
      <c r="C58" s="274"/>
      <c r="D58" s="155"/>
      <c r="E58" s="319"/>
      <c r="F58" s="319"/>
      <c r="G58" s="319"/>
      <c r="H58" s="319"/>
      <c r="I58" s="319"/>
      <c r="J58" s="319"/>
      <c r="K58" s="320"/>
    </row>
    <row r="59" spans="2:13" x14ac:dyDescent="0.2">
      <c r="B59" s="49" t="str">
        <f>'Technology split final demand'!B53</f>
        <v>Lighting</v>
      </c>
      <c r="C59" s="274"/>
      <c r="D59" s="155"/>
      <c r="E59" s="321"/>
      <c r="F59" s="319"/>
      <c r="G59" s="319"/>
      <c r="H59" s="319"/>
      <c r="I59" s="319"/>
      <c r="J59" s="319"/>
      <c r="K59" s="319"/>
      <c r="L59" s="31"/>
    </row>
    <row r="60" spans="2:13" x14ac:dyDescent="0.2">
      <c r="B60" s="49"/>
      <c r="C60" s="276" t="str">
        <f>'Technology split final demand'!C54</f>
        <v>Incandescent lamps</v>
      </c>
      <c r="D60" s="179" t="e">
        <f>'Technology split final demand'!I54</f>
        <v>#DIV/0!</v>
      </c>
      <c r="E60" s="311"/>
      <c r="F60" s="312" t="e">
        <f>$D60*Final_demand_lighting</f>
        <v>#DIV/0!</v>
      </c>
      <c r="G60" s="312"/>
      <c r="H60" s="312"/>
      <c r="I60" s="312"/>
      <c r="J60" s="312"/>
      <c r="K60" s="312"/>
      <c r="L60" s="31"/>
    </row>
    <row r="61" spans="2:13" x14ac:dyDescent="0.2">
      <c r="B61" s="49"/>
      <c r="C61" s="276" t="str">
        <f>'Technology split final demand'!C55</f>
        <v>Low energy light bulbs / fluorescent lighting</v>
      </c>
      <c r="D61" s="179" t="e">
        <f>'Technology split final demand'!I55</f>
        <v>#DIV/0!</v>
      </c>
      <c r="E61" s="311"/>
      <c r="F61" s="312" t="e">
        <f>$D61*Final_demand_lighting</f>
        <v>#DIV/0!</v>
      </c>
      <c r="G61" s="312"/>
      <c r="H61" s="312"/>
      <c r="I61" s="312"/>
      <c r="J61" s="312"/>
      <c r="K61" s="312"/>
      <c r="L61" s="31"/>
    </row>
    <row r="62" spans="2:13" x14ac:dyDescent="0.2">
      <c r="B62" s="49"/>
      <c r="C62" s="277" t="str">
        <f>'Technology split final demand'!C56</f>
        <v>LED lamps</v>
      </c>
      <c r="D62" s="275" t="e">
        <f>'Technology split final demand'!I56</f>
        <v>#DIV/0!</v>
      </c>
      <c r="E62" s="324"/>
      <c r="F62" s="314" t="e">
        <f>$D62*Final_demand_lighting</f>
        <v>#DIV/0!</v>
      </c>
      <c r="G62" s="314"/>
      <c r="H62" s="314"/>
      <c r="I62" s="314"/>
      <c r="J62" s="314"/>
      <c r="K62" s="314"/>
      <c r="L62" s="31"/>
    </row>
    <row r="63" spans="2:13" x14ac:dyDescent="0.2">
      <c r="B63" s="49"/>
      <c r="C63" s="153"/>
      <c r="D63" s="153"/>
      <c r="E63" s="325"/>
      <c r="F63" s="325"/>
      <c r="G63" s="325"/>
      <c r="H63" s="325"/>
      <c r="I63" s="325"/>
      <c r="J63" s="325"/>
      <c r="K63" s="325"/>
      <c r="L63" s="31"/>
    </row>
    <row r="64" spans="2:13" x14ac:dyDescent="0.2">
      <c r="B64" s="278"/>
      <c r="C64" s="155"/>
      <c r="D64" s="155"/>
      <c r="E64" s="326"/>
      <c r="F64" s="326"/>
      <c r="G64" s="326"/>
      <c r="H64" s="326"/>
      <c r="I64" s="326"/>
      <c r="J64" s="326"/>
      <c r="K64" s="326"/>
      <c r="L64" s="31"/>
    </row>
    <row r="65" spans="2:13" x14ac:dyDescent="0.2">
      <c r="B65" s="49" t="s">
        <v>398</v>
      </c>
      <c r="C65" s="155"/>
      <c r="D65" s="155"/>
      <c r="E65" s="326"/>
      <c r="F65" s="326"/>
      <c r="G65" s="326"/>
      <c r="H65" s="326"/>
      <c r="I65" s="326"/>
      <c r="J65" s="326"/>
      <c r="K65" s="326"/>
      <c r="L65" s="31"/>
      <c r="M65" s="177"/>
    </row>
    <row r="66" spans="2:13" x14ac:dyDescent="0.2">
      <c r="B66" s="73"/>
      <c r="C66" s="391" t="s">
        <v>552</v>
      </c>
      <c r="D66" s="179">
        <f>Dashboard!E82</f>
        <v>0</v>
      </c>
      <c r="E66" s="497"/>
      <c r="F66" s="499">
        <f t="shared" ref="F66:F73" si="0">D66*Final_demand_appliances</f>
        <v>0</v>
      </c>
      <c r="G66" s="499"/>
      <c r="H66" s="499"/>
      <c r="I66" s="499"/>
      <c r="J66" s="499"/>
      <c r="K66" s="494"/>
      <c r="L66" s="31"/>
      <c r="M66" s="177"/>
    </row>
    <row r="67" spans="2:13" x14ac:dyDescent="0.2">
      <c r="B67" s="73"/>
      <c r="C67" s="391" t="s">
        <v>553</v>
      </c>
      <c r="D67" s="179">
        <f>Dashboard!E83</f>
        <v>0</v>
      </c>
      <c r="E67" s="497"/>
      <c r="F67" s="499">
        <f t="shared" si="0"/>
        <v>0</v>
      </c>
      <c r="G67" s="499"/>
      <c r="H67" s="499"/>
      <c r="I67" s="499"/>
      <c r="J67" s="499"/>
      <c r="K67" s="495"/>
      <c r="L67" s="31"/>
      <c r="M67" s="177"/>
    </row>
    <row r="68" spans="2:13" x14ac:dyDescent="0.2">
      <c r="B68" s="73"/>
      <c r="C68" s="391" t="s">
        <v>554</v>
      </c>
      <c r="D68" s="179">
        <f>Dashboard!E84</f>
        <v>0</v>
      </c>
      <c r="E68" s="497"/>
      <c r="F68" s="499">
        <f t="shared" si="0"/>
        <v>0</v>
      </c>
      <c r="G68" s="499"/>
      <c r="H68" s="499"/>
      <c r="I68" s="499"/>
      <c r="J68" s="499"/>
      <c r="K68" s="495"/>
      <c r="L68" s="31"/>
      <c r="M68" s="177"/>
    </row>
    <row r="69" spans="2:13" x14ac:dyDescent="0.2">
      <c r="B69" s="73"/>
      <c r="C69" s="391" t="s">
        <v>555</v>
      </c>
      <c r="D69" s="179">
        <f>Dashboard!E85</f>
        <v>0</v>
      </c>
      <c r="E69" s="497"/>
      <c r="F69" s="499">
        <f t="shared" si="0"/>
        <v>0</v>
      </c>
      <c r="G69" s="499"/>
      <c r="H69" s="499"/>
      <c r="I69" s="499"/>
      <c r="J69" s="499"/>
      <c r="K69" s="495"/>
      <c r="L69" s="31"/>
      <c r="M69" s="177"/>
    </row>
    <row r="70" spans="2:13" x14ac:dyDescent="0.2">
      <c r="B70" s="73"/>
      <c r="C70" s="391" t="s">
        <v>556</v>
      </c>
      <c r="D70" s="303">
        <f>Dashboard!E86</f>
        <v>0</v>
      </c>
      <c r="E70" s="497"/>
      <c r="F70" s="499">
        <f t="shared" si="0"/>
        <v>0</v>
      </c>
      <c r="G70" s="499"/>
      <c r="H70" s="499"/>
      <c r="I70" s="499"/>
      <c r="J70" s="499"/>
      <c r="K70" s="495"/>
      <c r="L70" s="31"/>
      <c r="M70" s="177"/>
    </row>
    <row r="71" spans="2:13" x14ac:dyDescent="0.2">
      <c r="B71" s="73"/>
      <c r="C71" s="391" t="s">
        <v>557</v>
      </c>
      <c r="D71" s="179">
        <f>Dashboard!E87</f>
        <v>0</v>
      </c>
      <c r="E71" s="497"/>
      <c r="F71" s="499">
        <f t="shared" si="0"/>
        <v>0</v>
      </c>
      <c r="G71" s="499"/>
      <c r="H71" s="499"/>
      <c r="I71" s="499"/>
      <c r="J71" s="499"/>
      <c r="K71" s="495"/>
      <c r="L71" s="31"/>
      <c r="M71" s="177"/>
    </row>
    <row r="72" spans="2:13" x14ac:dyDescent="0.2">
      <c r="B72" s="73"/>
      <c r="C72" s="391" t="s">
        <v>558</v>
      </c>
      <c r="D72" s="179">
        <f>Dashboard!E88</f>
        <v>0</v>
      </c>
      <c r="E72" s="497"/>
      <c r="F72" s="499">
        <f t="shared" si="0"/>
        <v>0</v>
      </c>
      <c r="G72" s="499"/>
      <c r="H72" s="499"/>
      <c r="I72" s="499"/>
      <c r="J72" s="499"/>
      <c r="K72" s="495"/>
      <c r="L72" s="31"/>
      <c r="M72" s="177"/>
    </row>
    <row r="73" spans="2:13" x14ac:dyDescent="0.2">
      <c r="B73" s="73"/>
      <c r="C73" s="237" t="s">
        <v>559</v>
      </c>
      <c r="D73" s="275">
        <f>Dashboard!E89</f>
        <v>0</v>
      </c>
      <c r="E73" s="498"/>
      <c r="F73" s="496">
        <f t="shared" si="0"/>
        <v>0</v>
      </c>
      <c r="G73" s="496"/>
      <c r="H73" s="496"/>
      <c r="I73" s="496"/>
      <c r="J73" s="496"/>
      <c r="K73" s="496"/>
      <c r="L73" s="31"/>
    </row>
    <row r="74" spans="2:13" x14ac:dyDescent="0.2">
      <c r="B74" s="49"/>
      <c r="C74" s="153"/>
      <c r="D74" s="153"/>
      <c r="E74" s="153"/>
      <c r="F74" s="153"/>
      <c r="G74" s="153"/>
      <c r="H74" s="153"/>
      <c r="I74" s="153"/>
      <c r="J74" s="153"/>
      <c r="K74" s="153"/>
      <c r="L74" s="31"/>
    </row>
    <row r="75" spans="2:13" x14ac:dyDescent="0.2">
      <c r="B75" s="278"/>
      <c r="C75" s="10"/>
      <c r="D75" s="10"/>
      <c r="E75" s="279"/>
      <c r="F75" s="180"/>
      <c r="G75" s="180"/>
      <c r="H75" s="180"/>
      <c r="I75" s="180"/>
      <c r="J75" s="180"/>
      <c r="K75" s="180"/>
      <c r="L75" s="31"/>
    </row>
    <row r="76" spans="2:13" x14ac:dyDescent="0.2">
      <c r="B76" s="301" t="s">
        <v>396</v>
      </c>
      <c r="C76" s="53"/>
      <c r="D76" s="53"/>
      <c r="E76" s="510" t="s">
        <v>404</v>
      </c>
      <c r="F76" s="297" t="s">
        <v>106</v>
      </c>
      <c r="G76" s="297" t="s">
        <v>105</v>
      </c>
      <c r="H76" s="297" t="s">
        <v>206</v>
      </c>
      <c r="I76" s="297" t="s">
        <v>208</v>
      </c>
      <c r="J76" s="297" t="s">
        <v>397</v>
      </c>
      <c r="K76" s="298" t="s">
        <v>439</v>
      </c>
      <c r="L76" s="31"/>
    </row>
    <row r="77" spans="2:13" x14ac:dyDescent="0.2">
      <c r="B77" s="36"/>
      <c r="C77" s="501" t="s">
        <v>732</v>
      </c>
      <c r="D77" s="502"/>
      <c r="E77" s="500" t="e">
        <f t="shared" ref="E77:K77" si="1">SUM(E15:E74)</f>
        <v>#DIV/0!</v>
      </c>
      <c r="F77" s="296" t="e">
        <f t="shared" si="1"/>
        <v>#DIV/0!</v>
      </c>
      <c r="G77" s="296" t="e">
        <f t="shared" si="1"/>
        <v>#DIV/0!</v>
      </c>
      <c r="H77" s="296" t="e">
        <f t="shared" si="1"/>
        <v>#DIV/0!</v>
      </c>
      <c r="I77" s="296" t="e">
        <f t="shared" si="1"/>
        <v>#DIV/0!</v>
      </c>
      <c r="J77" s="296" t="e">
        <f t="shared" si="1"/>
        <v>#DIV/0!</v>
      </c>
      <c r="K77" s="296" t="e">
        <f t="shared" si="1"/>
        <v>#DIV/0!</v>
      </c>
      <c r="L77" s="31"/>
    </row>
    <row r="78" spans="2:13" x14ac:dyDescent="0.2">
      <c r="B78" s="36"/>
      <c r="C78" s="504" t="s">
        <v>734</v>
      </c>
      <c r="D78" s="503"/>
      <c r="E78" s="500" t="e">
        <f t="shared" ref="E78:K78" si="2">E11-E77</f>
        <v>#DIV/0!</v>
      </c>
      <c r="F78" s="296" t="e">
        <f t="shared" si="2"/>
        <v>#DIV/0!</v>
      </c>
      <c r="G78" s="296" t="e">
        <f t="shared" si="2"/>
        <v>#DIV/0!</v>
      </c>
      <c r="H78" s="296" t="e">
        <f t="shared" si="2"/>
        <v>#DIV/0!</v>
      </c>
      <c r="I78" s="296" t="e">
        <f t="shared" si="2"/>
        <v>#DIV/0!</v>
      </c>
      <c r="J78" s="296" t="e">
        <f t="shared" si="2"/>
        <v>#DIV/0!</v>
      </c>
      <c r="K78" s="296" t="e">
        <f t="shared" si="2"/>
        <v>#DIV/0!</v>
      </c>
      <c r="L78" s="31"/>
    </row>
    <row r="79" spans="2:13" x14ac:dyDescent="0.2">
      <c r="B79" s="36"/>
      <c r="C79" s="505" t="s">
        <v>733</v>
      </c>
      <c r="D79" s="506"/>
      <c r="E79" s="507" t="e">
        <f t="shared" ref="E79:K79" si="3">E78/E11</f>
        <v>#DIV/0!</v>
      </c>
      <c r="F79" s="508" t="e">
        <f t="shared" si="3"/>
        <v>#DIV/0!</v>
      </c>
      <c r="G79" s="508" t="e">
        <f t="shared" si="3"/>
        <v>#DIV/0!</v>
      </c>
      <c r="H79" s="508" t="e">
        <f t="shared" si="3"/>
        <v>#DIV/0!</v>
      </c>
      <c r="I79" s="508" t="e">
        <f t="shared" si="3"/>
        <v>#DIV/0!</v>
      </c>
      <c r="J79" s="508" t="e">
        <f t="shared" si="3"/>
        <v>#DIV/0!</v>
      </c>
      <c r="K79" s="509" t="e">
        <f t="shared" si="3"/>
        <v>#DIV/0!</v>
      </c>
      <c r="L79" s="31"/>
    </row>
    <row r="80" spans="2:13" x14ac:dyDescent="0.2">
      <c r="B80" s="36"/>
      <c r="C80" s="504"/>
      <c r="D80" s="504"/>
      <c r="E80" s="302"/>
      <c r="F80" s="302"/>
      <c r="G80" s="302"/>
      <c r="H80" s="302"/>
      <c r="I80" s="302"/>
      <c r="J80" s="302"/>
      <c r="K80" s="302"/>
      <c r="L80" s="31"/>
    </row>
    <row r="81" spans="2:12" ht="17" thickBot="1" x14ac:dyDescent="0.25">
      <c r="B81" s="47"/>
      <c r="C81" s="77"/>
      <c r="D81" s="77"/>
      <c r="E81" s="77"/>
      <c r="F81" s="77"/>
      <c r="G81" s="77"/>
      <c r="H81" s="77"/>
      <c r="I81" s="77"/>
      <c r="J81" s="77"/>
      <c r="K81" s="77"/>
      <c r="L81" s="31"/>
    </row>
  </sheetData>
  <mergeCells count="1">
    <mergeCell ref="B5:G5"/>
  </mergeCells>
  <conditionalFormatting sqref="J76">
    <cfRule type="cellIs" dxfId="5" priority="4" operator="lessThan">
      <formula>0</formula>
    </cfRule>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J67"/>
  <sheetViews>
    <sheetView topLeftCell="A5" workbookViewId="0">
      <selection activeCell="E22" sqref="E22"/>
    </sheetView>
  </sheetViews>
  <sheetFormatPr baseColWidth="10" defaultRowHeight="16" x14ac:dyDescent="0.2"/>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x14ac:dyDescent="0.25">
      <c r="B2" s="2" t="s">
        <v>582</v>
      </c>
    </row>
    <row r="4" spans="2:10" x14ac:dyDescent="0.2">
      <c r="B4" s="3" t="s">
        <v>79</v>
      </c>
      <c r="C4" s="4"/>
      <c r="D4" s="4"/>
      <c r="E4" s="4"/>
      <c r="F4" s="5"/>
      <c r="G4" s="8"/>
    </row>
    <row r="5" spans="2:10" s="141" customFormat="1" ht="75" customHeight="1" x14ac:dyDescent="0.2">
      <c r="B5" s="654" t="s">
        <v>229</v>
      </c>
      <c r="C5" s="664"/>
      <c r="D5" s="664"/>
      <c r="E5" s="664"/>
      <c r="F5" s="655"/>
      <c r="G5" s="157"/>
    </row>
    <row r="6" spans="2:10" ht="17" thickBot="1" x14ac:dyDescent="0.25"/>
    <row r="7" spans="2:10" x14ac:dyDescent="0.2">
      <c r="B7" s="28" t="s">
        <v>639</v>
      </c>
      <c r="C7" s="52"/>
      <c r="D7" s="29"/>
      <c r="E7" s="29"/>
      <c r="F7" s="29"/>
      <c r="G7" s="29"/>
      <c r="H7" s="52"/>
      <c r="I7" s="30"/>
      <c r="J7" s="31"/>
    </row>
    <row r="8" spans="2:10" x14ac:dyDescent="0.2">
      <c r="B8" s="31"/>
      <c r="C8" s="8"/>
      <c r="D8" s="8"/>
      <c r="E8" s="8"/>
      <c r="F8" s="8"/>
      <c r="G8" s="8"/>
      <c r="H8" s="8"/>
      <c r="I8" s="32"/>
      <c r="J8" s="36"/>
    </row>
    <row r="9" spans="2:10" ht="96" x14ac:dyDescent="0.2">
      <c r="B9" s="64" t="s">
        <v>284</v>
      </c>
      <c r="C9" s="68" t="s">
        <v>183</v>
      </c>
      <c r="D9" s="82" t="s">
        <v>462</v>
      </c>
      <c r="E9" s="82" t="s">
        <v>871</v>
      </c>
      <c r="F9" s="82" t="s">
        <v>525</v>
      </c>
      <c r="G9" s="82" t="s">
        <v>526</v>
      </c>
      <c r="H9" s="82" t="s">
        <v>193</v>
      </c>
      <c r="I9" s="163" t="s">
        <v>192</v>
      </c>
      <c r="J9" s="305"/>
    </row>
    <row r="10" spans="2:10" x14ac:dyDescent="0.2">
      <c r="B10" s="49" t="s">
        <v>77</v>
      </c>
      <c r="C10" s="8"/>
      <c r="D10" s="8"/>
      <c r="E10" s="8"/>
      <c r="F10" s="8"/>
      <c r="G10" s="8"/>
      <c r="H10" s="8"/>
      <c r="I10" s="32"/>
      <c r="J10" s="306"/>
    </row>
    <row r="11" spans="2:10" x14ac:dyDescent="0.2">
      <c r="B11" s="49"/>
      <c r="C11" s="17" t="str">
        <f>technical_specs!C11</f>
        <v>Condensing Combi Boiler (space heating)</v>
      </c>
      <c r="D11" s="182">
        <f>Dashboard!E31</f>
        <v>0</v>
      </c>
      <c r="E11" s="182">
        <f>D11</f>
        <v>0</v>
      </c>
      <c r="F11" s="561">
        <f>Eff_space_heating_combi_boiler</f>
        <v>0</v>
      </c>
      <c r="G11" s="194">
        <v>1</v>
      </c>
      <c r="H11" s="308" t="e">
        <f>E11/F11*G11</f>
        <v>#DIV/0!</v>
      </c>
      <c r="I11" s="638" t="e">
        <f>H11/SUM($H$11:$H$23)</f>
        <v>#DIV/0!</v>
      </c>
      <c r="J11" s="399"/>
    </row>
    <row r="12" spans="2:10" x14ac:dyDescent="0.2">
      <c r="B12" s="49"/>
      <c r="C12" s="17" t="str">
        <f>technical_specs!C12</f>
        <v>Solar thermal panel (space heating)</v>
      </c>
      <c r="D12" s="182">
        <f>Dashboard!E32</f>
        <v>0</v>
      </c>
      <c r="E12" s="182">
        <f t="shared" ref="E12:E21" si="0">D12</f>
        <v>0</v>
      </c>
      <c r="F12" s="561">
        <f>Eff_space_heating_solar_thermal</f>
        <v>0</v>
      </c>
      <c r="G12" s="194">
        <v>1</v>
      </c>
      <c r="H12" s="308" t="e">
        <f t="shared" ref="H12:H23" si="1">E12/F12*G12</f>
        <v>#DIV/0!</v>
      </c>
      <c r="I12" s="638" t="e">
        <f t="shared" ref="I12:I23" si="2">H12/SUM($H$11:$H$23)</f>
        <v>#DIV/0!</v>
      </c>
      <c r="J12" s="307"/>
    </row>
    <row r="13" spans="2:10" x14ac:dyDescent="0.2">
      <c r="B13" s="49"/>
      <c r="C13" s="17" t="str">
        <f>technical_specs!C13</f>
        <v>Electric Heat Pump (ground) (space heating)</v>
      </c>
      <c r="D13" s="182">
        <f>Dashboard!E33</f>
        <v>0</v>
      </c>
      <c r="E13" s="182">
        <f t="shared" si="0"/>
        <v>0</v>
      </c>
      <c r="F13" s="561" t="e">
        <f>Eff_space_heating_pump_ground</f>
        <v>#DIV/0!</v>
      </c>
      <c r="G13" s="194">
        <v>1</v>
      </c>
      <c r="H13" s="308" t="e">
        <f t="shared" si="1"/>
        <v>#DIV/0!</v>
      </c>
      <c r="I13" s="638" t="e">
        <f t="shared" si="2"/>
        <v>#DIV/0!</v>
      </c>
      <c r="J13" s="307"/>
    </row>
    <row r="14" spans="2:10" s="215" customFormat="1" x14ac:dyDescent="0.2">
      <c r="B14" s="271"/>
      <c r="C14" s="17" t="str">
        <f>technical_specs!C14</f>
        <v>Micro CHP (gas-fired)) (space heating)</v>
      </c>
      <c r="D14" s="272">
        <f>Dashboard!E34</f>
        <v>0</v>
      </c>
      <c r="E14" s="182">
        <f t="shared" si="0"/>
        <v>0</v>
      </c>
      <c r="F14" s="561">
        <f>Eff_space_heating_micro_CHP</f>
        <v>0</v>
      </c>
      <c r="G14" s="273" t="e">
        <f>'Electricity producer Shares'!F11</f>
        <v>#DIV/0!</v>
      </c>
      <c r="H14" s="308" t="e">
        <f t="shared" si="1"/>
        <v>#DIV/0!</v>
      </c>
      <c r="I14" s="638" t="e">
        <f t="shared" si="2"/>
        <v>#DIV/0!</v>
      </c>
      <c r="J14" s="307"/>
    </row>
    <row r="15" spans="2:10" x14ac:dyDescent="0.2">
      <c r="B15" s="49"/>
      <c r="C15" s="17" t="str">
        <f>technical_specs!C15</f>
        <v>District Heating (space heating)</v>
      </c>
      <c r="D15" s="182">
        <f>Dashboard!E35</f>
        <v>0</v>
      </c>
      <c r="E15" s="182">
        <f t="shared" si="0"/>
        <v>0</v>
      </c>
      <c r="F15" s="561">
        <f>Eff_space_heating_district</f>
        <v>0</v>
      </c>
      <c r="G15" s="194">
        <v>1</v>
      </c>
      <c r="H15" s="308" t="e">
        <f t="shared" si="1"/>
        <v>#DIV/0!</v>
      </c>
      <c r="I15" s="638" t="e">
        <f t="shared" si="2"/>
        <v>#DIV/0!</v>
      </c>
      <c r="J15" s="307"/>
    </row>
    <row r="16" spans="2:10" x14ac:dyDescent="0.2">
      <c r="B16" s="67"/>
      <c r="C16" s="17" t="str">
        <f>technical_specs!C16</f>
        <v>electricity-driven Heat pump (air) (space heating)</v>
      </c>
      <c r="D16" s="182">
        <f>Dashboard!E36</f>
        <v>0</v>
      </c>
      <c r="E16" s="182">
        <f t="shared" si="0"/>
        <v>0</v>
      </c>
      <c r="F16" s="561" t="e">
        <f>Eff_space_heating_pump_air</f>
        <v>#DIV/0!</v>
      </c>
      <c r="G16" s="194">
        <v>1</v>
      </c>
      <c r="H16" s="308" t="e">
        <f t="shared" si="1"/>
        <v>#DIV/0!</v>
      </c>
      <c r="I16" s="638" t="e">
        <f t="shared" si="2"/>
        <v>#DIV/0!</v>
      </c>
      <c r="J16" s="307"/>
    </row>
    <row r="17" spans="2:10" x14ac:dyDescent="0.2">
      <c r="B17" s="67"/>
      <c r="C17" s="17" t="str">
        <f>technical_specs!C17</f>
        <v>woodpellets (biomass) heaters (space heating)</v>
      </c>
      <c r="D17" s="182">
        <f>Dashboard!E37</f>
        <v>0</v>
      </c>
      <c r="E17" s="182">
        <f t="shared" si="0"/>
        <v>0</v>
      </c>
      <c r="F17" s="561">
        <f>Eff_space_heating_woodpellets</f>
        <v>0</v>
      </c>
      <c r="G17" s="194">
        <v>1</v>
      </c>
      <c r="H17" s="308" t="e">
        <f t="shared" si="1"/>
        <v>#DIV/0!</v>
      </c>
      <c r="I17" s="638" t="e">
        <f t="shared" si="2"/>
        <v>#DIV/0!</v>
      </c>
      <c r="J17" s="307"/>
    </row>
    <row r="18" spans="2:10" x14ac:dyDescent="0.2">
      <c r="B18" s="67"/>
      <c r="C18" s="17" t="str">
        <f>technical_specs!C18</f>
        <v>Electric Heaters (resistance) (space heating)</v>
      </c>
      <c r="D18" s="182">
        <f>Dashboard!E38</f>
        <v>0</v>
      </c>
      <c r="E18" s="182">
        <f t="shared" si="0"/>
        <v>0</v>
      </c>
      <c r="F18" s="561">
        <f>Eff_space_heating_electric</f>
        <v>0</v>
      </c>
      <c r="G18" s="194">
        <v>1</v>
      </c>
      <c r="H18" s="308" t="e">
        <f t="shared" si="1"/>
        <v>#DIV/0!</v>
      </c>
      <c r="I18" s="638" t="e">
        <f t="shared" si="2"/>
        <v>#DIV/0!</v>
      </c>
      <c r="J18" s="307"/>
    </row>
    <row r="19" spans="2:10" ht="15" customHeight="1" x14ac:dyDescent="0.2">
      <c r="B19" s="67"/>
      <c r="C19" s="17" t="str">
        <f>technical_specs!C19</f>
        <v>Gas-fired Heaters (space heating)</v>
      </c>
      <c r="D19" s="182">
        <f>Dashboard!E39</f>
        <v>0</v>
      </c>
      <c r="E19" s="182">
        <f t="shared" si="0"/>
        <v>0</v>
      </c>
      <c r="F19" s="561">
        <f>Eff_space_heating_gas</f>
        <v>0</v>
      </c>
      <c r="G19" s="194">
        <v>1</v>
      </c>
      <c r="H19" s="308" t="e">
        <f t="shared" si="1"/>
        <v>#DIV/0!</v>
      </c>
      <c r="I19" s="638" t="e">
        <f t="shared" si="2"/>
        <v>#DIV/0!</v>
      </c>
      <c r="J19" s="307"/>
    </row>
    <row r="20" spans="2:10" x14ac:dyDescent="0.2">
      <c r="B20" s="67"/>
      <c r="C20" s="17" t="str">
        <f>technical_specs!C20</f>
        <v>Oil-fired Heaters (space heating)</v>
      </c>
      <c r="D20" s="182">
        <f>Dashboard!E40</f>
        <v>0</v>
      </c>
      <c r="E20" s="182">
        <f t="shared" si="0"/>
        <v>0</v>
      </c>
      <c r="F20" s="561">
        <f>Eff_space_heating_oil</f>
        <v>0</v>
      </c>
      <c r="G20" s="194">
        <v>1</v>
      </c>
      <c r="H20" s="308" t="e">
        <f t="shared" si="1"/>
        <v>#DIV/0!</v>
      </c>
      <c r="I20" s="638" t="e">
        <f t="shared" si="2"/>
        <v>#DIV/0!</v>
      </c>
      <c r="J20" s="307"/>
    </row>
    <row r="21" spans="2:10" x14ac:dyDescent="0.2">
      <c r="B21" s="67"/>
      <c r="C21" s="17" t="str">
        <f>technical_specs!C21</f>
        <v>Coal-fired Heaters (space heating)</v>
      </c>
      <c r="D21" s="182">
        <f>Dashboard!E41</f>
        <v>0</v>
      </c>
      <c r="E21" s="182">
        <f t="shared" si="0"/>
        <v>0</v>
      </c>
      <c r="F21" s="561">
        <f>Eff_space_heating_coal</f>
        <v>0</v>
      </c>
      <c r="G21" s="194">
        <v>1</v>
      </c>
      <c r="H21" s="308" t="e">
        <f t="shared" si="1"/>
        <v>#DIV/0!</v>
      </c>
      <c r="I21" s="638" t="e">
        <f t="shared" si="2"/>
        <v>#DIV/0!</v>
      </c>
      <c r="J21" s="307"/>
    </row>
    <row r="22" spans="2:10" x14ac:dyDescent="0.2">
      <c r="B22" s="67"/>
      <c r="C22" s="17" t="str">
        <f>technical_specs!C22</f>
        <v>Hybrid heatpump, heatpump part (space heating)</v>
      </c>
      <c r="D22" s="182">
        <f>Dashboard!E42</f>
        <v>0</v>
      </c>
      <c r="E22" s="182">
        <f>D22*(1-technical_specs!O23)</f>
        <v>0</v>
      </c>
      <c r="F22" s="561" t="e">
        <f>Eff_space_heating_hhp_heatpump</f>
        <v>#DIV/0!</v>
      </c>
      <c r="G22" s="194">
        <v>1</v>
      </c>
      <c r="H22" s="308" t="e">
        <f t="shared" si="1"/>
        <v>#DIV/0!</v>
      </c>
      <c r="I22" s="638" t="e">
        <f t="shared" si="2"/>
        <v>#DIV/0!</v>
      </c>
      <c r="J22" s="307"/>
    </row>
    <row r="23" spans="2:10" x14ac:dyDescent="0.2">
      <c r="B23" s="67"/>
      <c r="C23" s="17" t="str">
        <f>technical_specs!C23</f>
        <v>Hybrid heatpump, gas part (space heating)</v>
      </c>
      <c r="D23" s="182"/>
      <c r="E23" s="182">
        <f>D22*technical_specs!O23</f>
        <v>0</v>
      </c>
      <c r="F23" s="561">
        <f>Eff_space_heating_hhp_gas</f>
        <v>0</v>
      </c>
      <c r="G23" s="194">
        <v>1</v>
      </c>
      <c r="H23" s="308" t="e">
        <f t="shared" si="1"/>
        <v>#DIV/0!</v>
      </c>
      <c r="I23" s="638" t="e">
        <f t="shared" si="2"/>
        <v>#DIV/0!</v>
      </c>
      <c r="J23" s="307"/>
    </row>
    <row r="24" spans="2:10" x14ac:dyDescent="0.2">
      <c r="B24" s="44"/>
      <c r="C24" s="10"/>
      <c r="D24" s="188"/>
      <c r="E24" s="188"/>
      <c r="F24" s="563"/>
      <c r="G24" s="214"/>
      <c r="H24" s="310"/>
      <c r="I24" s="293"/>
      <c r="J24" s="307"/>
    </row>
    <row r="25" spans="2:10" x14ac:dyDescent="0.2">
      <c r="B25" s="49" t="s">
        <v>304</v>
      </c>
      <c r="C25" s="8"/>
      <c r="D25" s="186"/>
      <c r="E25" s="186"/>
      <c r="F25" s="562"/>
      <c r="G25" s="58"/>
      <c r="H25" s="309"/>
      <c r="I25" s="294"/>
      <c r="J25" s="307"/>
    </row>
    <row r="26" spans="2:10" x14ac:dyDescent="0.2">
      <c r="B26" s="49"/>
      <c r="C26" s="17" t="str">
        <f>technical_specs!C26</f>
        <v>Condensing Combi Boiler (hot water)</v>
      </c>
      <c r="D26" s="182">
        <f>Dashboard!E46</f>
        <v>0</v>
      </c>
      <c r="E26" s="182">
        <f>D26</f>
        <v>0</v>
      </c>
      <c r="F26" s="561">
        <f>Eff_hot_water_combi_boiler</f>
        <v>0</v>
      </c>
      <c r="G26" s="194">
        <v>1</v>
      </c>
      <c r="H26" s="308" t="e">
        <f>E26/F26*G26</f>
        <v>#DIV/0!</v>
      </c>
      <c r="I26" s="638" t="e">
        <f>H26/SUM($H$26:$H$39)</f>
        <v>#DIV/0!</v>
      </c>
      <c r="J26" s="307"/>
    </row>
    <row r="27" spans="2:10" x14ac:dyDescent="0.2">
      <c r="B27" s="49"/>
      <c r="C27" s="17" t="str">
        <f>technical_specs!C27</f>
        <v>Solar thermal panel (hot water)</v>
      </c>
      <c r="D27" s="182">
        <f>Dashboard!E47</f>
        <v>0</v>
      </c>
      <c r="E27" s="182">
        <f t="shared" ref="E27:E37" si="3">D27</f>
        <v>0</v>
      </c>
      <c r="F27" s="561">
        <f>Eff_hot_water_solar_thermal_panel</f>
        <v>0</v>
      </c>
      <c r="G27" s="194">
        <v>1</v>
      </c>
      <c r="H27" s="308" t="e">
        <f t="shared" ref="H27:H39" si="4">E27/F27*G27</f>
        <v>#DIV/0!</v>
      </c>
      <c r="I27" s="638" t="e">
        <f t="shared" ref="I27:I39" si="5">H27/SUM($H$26:$H$39)</f>
        <v>#DIV/0!</v>
      </c>
      <c r="J27" s="307"/>
    </row>
    <row r="28" spans="2:10" x14ac:dyDescent="0.2">
      <c r="B28" s="49"/>
      <c r="C28" s="17" t="str">
        <f>technical_specs!C28</f>
        <v>Electric Heat Pump (ground) (hot water)</v>
      </c>
      <c r="D28" s="182">
        <f>Dashboard!E48</f>
        <v>0</v>
      </c>
      <c r="E28" s="182">
        <f t="shared" si="3"/>
        <v>0</v>
      </c>
      <c r="F28" s="561" t="e">
        <f>Eff_hot_water_pump_ground</f>
        <v>#DIV/0!</v>
      </c>
      <c r="G28" s="194">
        <v>1</v>
      </c>
      <c r="H28" s="308" t="e">
        <f t="shared" si="4"/>
        <v>#DIV/0!</v>
      </c>
      <c r="I28" s="638" t="e">
        <f t="shared" si="5"/>
        <v>#DIV/0!</v>
      </c>
      <c r="J28" s="307"/>
    </row>
    <row r="29" spans="2:10" x14ac:dyDescent="0.2">
      <c r="B29" s="49"/>
      <c r="C29" s="17" t="str">
        <f>technical_specs!C29</f>
        <v>Micro CHP (gas-fired)) (hot water)</v>
      </c>
      <c r="D29" s="182">
        <f>Dashboard!E49</f>
        <v>0</v>
      </c>
      <c r="E29" s="182">
        <f t="shared" si="3"/>
        <v>0</v>
      </c>
      <c r="F29" s="561">
        <f>Eff_hot_water_micro_CHP</f>
        <v>0</v>
      </c>
      <c r="G29" s="194" t="e">
        <f>'Electricity producer Shares'!F12</f>
        <v>#DIV/0!</v>
      </c>
      <c r="H29" s="308" t="e">
        <f t="shared" si="4"/>
        <v>#DIV/0!</v>
      </c>
      <c r="I29" s="638" t="e">
        <f t="shared" si="5"/>
        <v>#DIV/0!</v>
      </c>
      <c r="J29" s="307"/>
    </row>
    <row r="30" spans="2:10" x14ac:dyDescent="0.2">
      <c r="B30" s="67"/>
      <c r="C30" s="17" t="str">
        <f>technical_specs!C30</f>
        <v>District Heating (hot water)</v>
      </c>
      <c r="D30" s="182">
        <f>Dashboard!E50</f>
        <v>0</v>
      </c>
      <c r="E30" s="182">
        <f t="shared" si="3"/>
        <v>0</v>
      </c>
      <c r="F30" s="561">
        <f>Eff_hot_water_district</f>
        <v>0</v>
      </c>
      <c r="G30" s="194">
        <v>1</v>
      </c>
      <c r="H30" s="308" t="e">
        <f t="shared" si="4"/>
        <v>#DIV/0!</v>
      </c>
      <c r="I30" s="638" t="e">
        <f t="shared" si="5"/>
        <v>#DIV/0!</v>
      </c>
      <c r="J30" s="307"/>
    </row>
    <row r="31" spans="2:10" x14ac:dyDescent="0.2">
      <c r="B31" s="67"/>
      <c r="C31" s="17" t="str">
        <f>technical_specs!C31</f>
        <v>electricity-driven Heat pump (air) (hot water)</v>
      </c>
      <c r="D31" s="182">
        <f>Dashboard!E51</f>
        <v>0</v>
      </c>
      <c r="E31" s="182">
        <f t="shared" si="3"/>
        <v>0</v>
      </c>
      <c r="F31" s="561" t="e">
        <f>Eff_hot_water_pump_air</f>
        <v>#DIV/0!</v>
      </c>
      <c r="G31" s="194">
        <v>1</v>
      </c>
      <c r="H31" s="308" t="e">
        <f t="shared" si="4"/>
        <v>#DIV/0!</v>
      </c>
      <c r="I31" s="638" t="e">
        <f t="shared" si="5"/>
        <v>#DIV/0!</v>
      </c>
      <c r="J31" s="307"/>
    </row>
    <row r="32" spans="2:10" x14ac:dyDescent="0.2">
      <c r="B32" s="67"/>
      <c r="C32" s="17" t="str">
        <f>technical_specs!C32</f>
        <v>woodpellets (biomass) heaters (hot water)</v>
      </c>
      <c r="D32" s="182">
        <f>Dashboard!E52</f>
        <v>0</v>
      </c>
      <c r="E32" s="182">
        <f t="shared" si="3"/>
        <v>0</v>
      </c>
      <c r="F32" s="561">
        <f>Eff_hot_water_woodpellets</f>
        <v>0</v>
      </c>
      <c r="G32" s="194">
        <v>1</v>
      </c>
      <c r="H32" s="308" t="e">
        <f t="shared" si="4"/>
        <v>#DIV/0!</v>
      </c>
      <c r="I32" s="638" t="e">
        <f t="shared" si="5"/>
        <v>#DIV/0!</v>
      </c>
      <c r="J32" s="307"/>
    </row>
    <row r="33" spans="2:10" x14ac:dyDescent="0.2">
      <c r="B33" s="67"/>
      <c r="C33" s="17" t="str">
        <f>technical_specs!C33</f>
        <v>Electric Heaters (resistance) (hot water)</v>
      </c>
      <c r="D33" s="182">
        <f>Dashboard!E53</f>
        <v>0</v>
      </c>
      <c r="E33" s="182">
        <f t="shared" si="3"/>
        <v>0</v>
      </c>
      <c r="F33" s="561">
        <f>Eff_hot_water_electric</f>
        <v>0</v>
      </c>
      <c r="G33" s="194">
        <v>1</v>
      </c>
      <c r="H33" s="308" t="e">
        <f t="shared" si="4"/>
        <v>#DIV/0!</v>
      </c>
      <c r="I33" s="638" t="e">
        <f t="shared" si="5"/>
        <v>#DIV/0!</v>
      </c>
      <c r="J33" s="307"/>
    </row>
    <row r="34" spans="2:10" x14ac:dyDescent="0.2">
      <c r="B34" s="67"/>
      <c r="C34" s="17" t="str">
        <f>technical_specs!C34</f>
        <v>Gas-fired Heaters (hot water)</v>
      </c>
      <c r="D34" s="182">
        <f>Dashboard!E54</f>
        <v>0</v>
      </c>
      <c r="E34" s="182">
        <f t="shared" si="3"/>
        <v>0</v>
      </c>
      <c r="F34" s="561">
        <f>Eff_hot_water_gas</f>
        <v>0</v>
      </c>
      <c r="G34" s="194">
        <v>1</v>
      </c>
      <c r="H34" s="308" t="e">
        <f t="shared" si="4"/>
        <v>#DIV/0!</v>
      </c>
      <c r="I34" s="638" t="e">
        <f t="shared" si="5"/>
        <v>#DIV/0!</v>
      </c>
      <c r="J34" s="307"/>
    </row>
    <row r="35" spans="2:10" x14ac:dyDescent="0.2">
      <c r="B35" s="67"/>
      <c r="C35" s="17" t="str">
        <f>technical_specs!C35</f>
        <v>Oil-fired Heaters (hot water)</v>
      </c>
      <c r="D35" s="182">
        <f>Dashboard!E55</f>
        <v>0</v>
      </c>
      <c r="E35" s="182">
        <f t="shared" si="3"/>
        <v>0</v>
      </c>
      <c r="F35" s="561">
        <f>Eff_hot_water_oil</f>
        <v>0</v>
      </c>
      <c r="G35" s="194">
        <v>1</v>
      </c>
      <c r="H35" s="308" t="e">
        <f t="shared" si="4"/>
        <v>#DIV/0!</v>
      </c>
      <c r="I35" s="638" t="e">
        <f t="shared" si="5"/>
        <v>#DIV/0!</v>
      </c>
      <c r="J35" s="307"/>
    </row>
    <row r="36" spans="2:10" x14ac:dyDescent="0.2">
      <c r="B36" s="67"/>
      <c r="C36" s="17" t="str">
        <f>technical_specs!C36</f>
        <v>Coal-fired Heaters (hot water)</v>
      </c>
      <c r="D36" s="182">
        <f>Dashboard!E56</f>
        <v>0</v>
      </c>
      <c r="E36" s="182">
        <f t="shared" si="3"/>
        <v>0</v>
      </c>
      <c r="F36" s="561">
        <f>Eff_hot_water_coal</f>
        <v>0</v>
      </c>
      <c r="G36" s="194">
        <v>1</v>
      </c>
      <c r="H36" s="308" t="e">
        <f t="shared" si="4"/>
        <v>#DIV/0!</v>
      </c>
      <c r="I36" s="638" t="e">
        <f t="shared" si="5"/>
        <v>#DIV/0!</v>
      </c>
      <c r="J36" s="307"/>
    </row>
    <row r="37" spans="2:10" x14ac:dyDescent="0.2">
      <c r="B37" s="67"/>
      <c r="C37" s="17" t="str">
        <f>technical_specs!C37</f>
        <v>Fuel Cell (hot water)</v>
      </c>
      <c r="D37" s="182">
        <f>Dashboard!E57</f>
        <v>0</v>
      </c>
      <c r="E37" s="182">
        <f t="shared" si="3"/>
        <v>0</v>
      </c>
      <c r="F37" s="561">
        <f>Eff_hot_water_fuel_cell</f>
        <v>0</v>
      </c>
      <c r="G37" s="194" t="e">
        <f>'Electricity producer Shares'!F13</f>
        <v>#DIV/0!</v>
      </c>
      <c r="H37" s="308" t="e">
        <f t="shared" si="4"/>
        <v>#DIV/0!</v>
      </c>
      <c r="I37" s="638" t="e">
        <f t="shared" si="5"/>
        <v>#DIV/0!</v>
      </c>
      <c r="J37" s="307"/>
    </row>
    <row r="38" spans="2:10" x14ac:dyDescent="0.2">
      <c r="B38" s="67"/>
      <c r="C38" s="17" t="str">
        <f>technical_specs!C38</f>
        <v>Hybrid heatpump, heatpump part (hot water)</v>
      </c>
      <c r="D38" s="182">
        <f>Dashboard!E58</f>
        <v>0</v>
      </c>
      <c r="E38" s="182">
        <f>D38*(1-technical_specs!O39)</f>
        <v>0</v>
      </c>
      <c r="F38" s="561" t="e">
        <f>Eff_hot_water_hhp_heatpump</f>
        <v>#DIV/0!</v>
      </c>
      <c r="G38" s="194">
        <v>1</v>
      </c>
      <c r="H38" s="308" t="e">
        <f t="shared" si="4"/>
        <v>#DIV/0!</v>
      </c>
      <c r="I38" s="638" t="e">
        <f t="shared" si="5"/>
        <v>#DIV/0!</v>
      </c>
      <c r="J38" s="307"/>
    </row>
    <row r="39" spans="2:10" x14ac:dyDescent="0.2">
      <c r="B39" s="67"/>
      <c r="C39" s="17" t="str">
        <f>technical_specs!C39</f>
        <v>Hybrid heatpump, gas part (hot water)</v>
      </c>
      <c r="D39" s="182"/>
      <c r="E39" s="182">
        <f>D38*technical_specs!O39</f>
        <v>0</v>
      </c>
      <c r="F39" s="561">
        <f>Eff_hot_water_hhp_gas</f>
        <v>0</v>
      </c>
      <c r="G39" s="194">
        <v>1</v>
      </c>
      <c r="H39" s="308" t="e">
        <f t="shared" si="4"/>
        <v>#DIV/0!</v>
      </c>
      <c r="I39" s="638" t="e">
        <f t="shared" si="5"/>
        <v>#DIV/0!</v>
      </c>
      <c r="J39" s="307"/>
    </row>
    <row r="40" spans="2:10" x14ac:dyDescent="0.2">
      <c r="B40" s="31"/>
      <c r="C40" s="10"/>
      <c r="D40" s="188"/>
      <c r="E40" s="188"/>
      <c r="F40" s="563"/>
      <c r="G40" s="189"/>
      <c r="H40" s="310"/>
      <c r="I40" s="293"/>
      <c r="J40" s="307"/>
    </row>
    <row r="41" spans="2:10" x14ac:dyDescent="0.2">
      <c r="B41" s="48" t="s">
        <v>89</v>
      </c>
      <c r="C41" s="8"/>
      <c r="D41" s="186"/>
      <c r="E41" s="186"/>
      <c r="F41" s="562"/>
      <c r="G41" s="187"/>
      <c r="H41" s="309"/>
      <c r="I41" s="294"/>
      <c r="J41" s="307"/>
    </row>
    <row r="42" spans="2:10" x14ac:dyDescent="0.2">
      <c r="B42" s="67"/>
      <c r="C42" s="17" t="str">
        <f>technical_specs!C42</f>
        <v>Electric heat pump ground</v>
      </c>
      <c r="D42" s="182">
        <f>Dashboard!E62</f>
        <v>0</v>
      </c>
      <c r="E42" s="182">
        <f>D42</f>
        <v>0</v>
      </c>
      <c r="F42" s="561" t="e">
        <f>Eff_cooling_pump_ground</f>
        <v>#DIV/0!</v>
      </c>
      <c r="G42" s="183"/>
      <c r="H42" s="308" t="e">
        <f>E42/F42</f>
        <v>#DIV/0!</v>
      </c>
      <c r="I42" s="292" t="e">
        <f>H42/SUM($H$42:$H$44)</f>
        <v>#DIV/0!</v>
      </c>
      <c r="J42" s="307"/>
    </row>
    <row r="43" spans="2:10" x14ac:dyDescent="0.2">
      <c r="B43" s="67"/>
      <c r="C43" s="17" t="str">
        <f>technical_specs!C43</f>
        <v>Electric heat pump air</v>
      </c>
      <c r="D43" s="182">
        <f>Dashboard!E63</f>
        <v>0</v>
      </c>
      <c r="E43" s="182">
        <f t="shared" ref="E43:E44" si="6">D43</f>
        <v>0</v>
      </c>
      <c r="F43" s="561" t="e">
        <f>Eff_cooling_pump_air</f>
        <v>#DIV/0!</v>
      </c>
      <c r="G43" s="183"/>
      <c r="H43" s="308" t="e">
        <f t="shared" ref="H43:H44" si="7">E43/F43</f>
        <v>#DIV/0!</v>
      </c>
      <c r="I43" s="292" t="e">
        <f t="shared" ref="I43:I44" si="8">H43/SUM($H$42:$H$44)</f>
        <v>#DIV/0!</v>
      </c>
      <c r="J43" s="307"/>
    </row>
    <row r="44" spans="2:10" x14ac:dyDescent="0.2">
      <c r="B44" s="67"/>
      <c r="C44" s="17" t="str">
        <f>technical_specs!C44</f>
        <v>Conventional electric airconditioning</v>
      </c>
      <c r="D44" s="182">
        <f>Dashboard!E64</f>
        <v>0</v>
      </c>
      <c r="E44" s="182">
        <f t="shared" si="6"/>
        <v>0</v>
      </c>
      <c r="F44" s="561" t="e">
        <f>Eff_cooling_airco</f>
        <v>#DIV/0!</v>
      </c>
      <c r="G44" s="183"/>
      <c r="H44" s="308" t="e">
        <f t="shared" si="7"/>
        <v>#DIV/0!</v>
      </c>
      <c r="I44" s="292" t="e">
        <f t="shared" si="8"/>
        <v>#DIV/0!</v>
      </c>
      <c r="J44" s="307"/>
    </row>
    <row r="45" spans="2:10" x14ac:dyDescent="0.2">
      <c r="B45" s="44"/>
      <c r="C45" s="10"/>
      <c r="D45" s="188"/>
      <c r="E45" s="188"/>
      <c r="F45" s="563"/>
      <c r="G45" s="189"/>
      <c r="H45" s="310"/>
      <c r="I45" s="293"/>
      <c r="J45" s="307"/>
    </row>
    <row r="46" spans="2:10" x14ac:dyDescent="0.2">
      <c r="B46" s="49" t="s">
        <v>281</v>
      </c>
      <c r="C46" s="8"/>
      <c r="D46" s="186"/>
      <c r="E46" s="186"/>
      <c r="F46" s="562"/>
      <c r="G46" s="187"/>
      <c r="H46" s="309"/>
      <c r="I46" s="294"/>
      <c r="J46" s="307"/>
    </row>
    <row r="47" spans="2:10" x14ac:dyDescent="0.2">
      <c r="B47" s="49"/>
      <c r="C47" s="17" t="str">
        <f>technical_specs!C47</f>
        <v>Gas stoves</v>
      </c>
      <c r="D47" s="182">
        <f>Dashboard!E74</f>
        <v>0</v>
      </c>
      <c r="E47" s="182">
        <f>D47</f>
        <v>0</v>
      </c>
      <c r="F47" s="561">
        <f>Eff_cooking_gas</f>
        <v>0</v>
      </c>
      <c r="G47" s="183"/>
      <c r="H47" s="308" t="e">
        <f>E47/F47</f>
        <v>#DIV/0!</v>
      </c>
      <c r="I47" s="292" t="e">
        <f>H47/SUM($H$47:$H$51)</f>
        <v>#DIV/0!</v>
      </c>
      <c r="J47" s="307"/>
    </row>
    <row r="48" spans="2:10" x14ac:dyDescent="0.2">
      <c r="B48" s="49"/>
      <c r="C48" s="17" t="str">
        <f>technical_specs!C48</f>
        <v>Electric stoves (resistance)</v>
      </c>
      <c r="D48" s="182">
        <f>Dashboard!E75</f>
        <v>0</v>
      </c>
      <c r="E48" s="182">
        <f t="shared" ref="E48:E51" si="9">D48</f>
        <v>0</v>
      </c>
      <c r="F48" s="561">
        <f>Eff_cooking_electric</f>
        <v>0</v>
      </c>
      <c r="G48" s="183"/>
      <c r="H48" s="308" t="e">
        <f t="shared" ref="H48:H51" si="10">E48/F48</f>
        <v>#DIV/0!</v>
      </c>
      <c r="I48" s="292" t="e">
        <f t="shared" ref="I48:I51" si="11">H48/SUM($H$47:$H$51)</f>
        <v>#DIV/0!</v>
      </c>
      <c r="J48" s="307"/>
    </row>
    <row r="49" spans="2:10" x14ac:dyDescent="0.2">
      <c r="B49" s="49"/>
      <c r="C49" s="17" t="str">
        <f>technical_specs!C49</f>
        <v>Electric halogen stoves</v>
      </c>
      <c r="D49" s="182">
        <f>Dashboard!E76</f>
        <v>0</v>
      </c>
      <c r="E49" s="182">
        <f t="shared" si="9"/>
        <v>0</v>
      </c>
      <c r="F49" s="561">
        <f>Eff_cooking_halogen</f>
        <v>0</v>
      </c>
      <c r="G49" s="183"/>
      <c r="H49" s="308" t="e">
        <f t="shared" si="10"/>
        <v>#DIV/0!</v>
      </c>
      <c r="I49" s="292" t="e">
        <f t="shared" si="11"/>
        <v>#DIV/0!</v>
      </c>
      <c r="J49" s="307"/>
    </row>
    <row r="50" spans="2:10" x14ac:dyDescent="0.2">
      <c r="B50" s="49"/>
      <c r="C50" s="17" t="str">
        <f>technical_specs!C50</f>
        <v>Electric induction stoves</v>
      </c>
      <c r="D50" s="182">
        <f>Dashboard!E77</f>
        <v>0</v>
      </c>
      <c r="E50" s="182">
        <f t="shared" si="9"/>
        <v>0</v>
      </c>
      <c r="F50" s="561">
        <f>Eff_cooking_induction</f>
        <v>0</v>
      </c>
      <c r="G50" s="183"/>
      <c r="H50" s="308" t="e">
        <f t="shared" si="10"/>
        <v>#DIV/0!</v>
      </c>
      <c r="I50" s="292" t="e">
        <f t="shared" si="11"/>
        <v>#DIV/0!</v>
      </c>
      <c r="J50" s="307"/>
    </row>
    <row r="51" spans="2:10" x14ac:dyDescent="0.2">
      <c r="B51" s="67"/>
      <c r="C51" s="17" t="str">
        <f>technical_specs!C51</f>
        <v>Biomass stoves</v>
      </c>
      <c r="D51" s="182">
        <f>Dashboard!E78</f>
        <v>0</v>
      </c>
      <c r="E51" s="182">
        <f t="shared" si="9"/>
        <v>0</v>
      </c>
      <c r="F51" s="561">
        <f>Eff_cooking_biomass</f>
        <v>0</v>
      </c>
      <c r="G51" s="183"/>
      <c r="H51" s="308" t="e">
        <f t="shared" si="10"/>
        <v>#DIV/0!</v>
      </c>
      <c r="I51" s="292" t="e">
        <f t="shared" si="11"/>
        <v>#DIV/0!</v>
      </c>
      <c r="J51" s="307"/>
    </row>
    <row r="52" spans="2:10" x14ac:dyDescent="0.2">
      <c r="B52" s="118"/>
      <c r="C52" s="10"/>
      <c r="D52" s="188"/>
      <c r="E52" s="188"/>
      <c r="F52" s="563"/>
      <c r="G52" s="189"/>
      <c r="H52" s="310"/>
      <c r="I52" s="293"/>
      <c r="J52" s="307"/>
    </row>
    <row r="53" spans="2:10" x14ac:dyDescent="0.2">
      <c r="B53" s="38" t="s">
        <v>76</v>
      </c>
      <c r="C53" s="8"/>
      <c r="D53" s="186"/>
      <c r="E53" s="186"/>
      <c r="F53" s="562"/>
      <c r="G53" s="187"/>
      <c r="H53" s="309"/>
      <c r="I53" s="294"/>
      <c r="J53" s="307"/>
    </row>
    <row r="54" spans="2:10" x14ac:dyDescent="0.2">
      <c r="B54" s="67"/>
      <c r="C54" s="17" t="str">
        <f>technical_specs!C54</f>
        <v>Incandescent lamps</v>
      </c>
      <c r="D54" s="182">
        <f>Dashboard!E68</f>
        <v>0</v>
      </c>
      <c r="E54" s="182">
        <f>D54</f>
        <v>0</v>
      </c>
      <c r="F54" s="561">
        <f>Eff_lighting_incandescent</f>
        <v>0</v>
      </c>
      <c r="G54" s="183"/>
      <c r="H54" s="308" t="e">
        <f>E54/F54</f>
        <v>#DIV/0!</v>
      </c>
      <c r="I54" s="292" t="e">
        <f>H54/SUM($H$54:$H$56)</f>
        <v>#DIV/0!</v>
      </c>
      <c r="J54" s="31"/>
    </row>
    <row r="55" spans="2:10" x14ac:dyDescent="0.2">
      <c r="B55" s="67"/>
      <c r="C55" s="17" t="str">
        <f>technical_specs!C55</f>
        <v>Low energy light bulbs / fluorescent lighting</v>
      </c>
      <c r="D55" s="182">
        <f>Dashboard!E69</f>
        <v>0</v>
      </c>
      <c r="E55" s="182">
        <f t="shared" ref="E55:E56" si="12">D55</f>
        <v>0</v>
      </c>
      <c r="F55" s="561">
        <f>Eff_lighting_fluorescent</f>
        <v>0</v>
      </c>
      <c r="G55" s="183"/>
      <c r="H55" s="308" t="e">
        <f t="shared" ref="H55:H56" si="13">E55/F55</f>
        <v>#DIV/0!</v>
      </c>
      <c r="I55" s="292" t="e">
        <f t="shared" ref="I55:I56" si="14">H55/SUM($H$54:$H$56)</f>
        <v>#DIV/0!</v>
      </c>
      <c r="J55" s="31"/>
    </row>
    <row r="56" spans="2:10" x14ac:dyDescent="0.2">
      <c r="B56" s="67"/>
      <c r="C56" s="17" t="str">
        <f>technical_specs!C56</f>
        <v>LED lamps</v>
      </c>
      <c r="D56" s="182">
        <f>Dashboard!E70</f>
        <v>0</v>
      </c>
      <c r="E56" s="182">
        <f t="shared" si="12"/>
        <v>0</v>
      </c>
      <c r="F56" s="561">
        <f>Eff_lighting_led</f>
        <v>0</v>
      </c>
      <c r="G56" s="183"/>
      <c r="H56" s="308" t="e">
        <f t="shared" si="13"/>
        <v>#DIV/0!</v>
      </c>
      <c r="I56" s="292" t="e">
        <f t="shared" si="14"/>
        <v>#DIV/0!</v>
      </c>
      <c r="J56" s="31"/>
    </row>
    <row r="57" spans="2:10" x14ac:dyDescent="0.2">
      <c r="B57" s="118"/>
      <c r="C57" s="10"/>
      <c r="D57" s="188"/>
      <c r="E57" s="188"/>
      <c r="F57" s="189"/>
      <c r="G57" s="189"/>
      <c r="H57" s="310"/>
      <c r="I57" s="293"/>
      <c r="J57" s="31"/>
    </row>
    <row r="58" spans="2:10" x14ac:dyDescent="0.2">
      <c r="B58" s="38" t="s">
        <v>561</v>
      </c>
      <c r="C58" s="8"/>
      <c r="D58" s="8"/>
      <c r="E58" s="8"/>
      <c r="F58" s="8"/>
      <c r="G58" s="8"/>
      <c r="H58" s="23"/>
      <c r="I58" s="32"/>
      <c r="J58" s="31"/>
    </row>
    <row r="59" spans="2:10" x14ac:dyDescent="0.2">
      <c r="B59" s="31"/>
      <c r="C59" s="184" t="s">
        <v>552</v>
      </c>
      <c r="D59" s="184"/>
      <c r="E59" s="184"/>
      <c r="F59" s="184"/>
      <c r="G59" s="184"/>
      <c r="H59" s="185"/>
      <c r="I59" s="304">
        <f>Dashboard!E82</f>
        <v>0</v>
      </c>
      <c r="J59" s="31"/>
    </row>
    <row r="60" spans="2:10" x14ac:dyDescent="0.2">
      <c r="B60" s="31"/>
      <c r="C60" s="184" t="s">
        <v>553</v>
      </c>
      <c r="D60" s="184"/>
      <c r="E60" s="184"/>
      <c r="F60" s="184"/>
      <c r="G60" s="184"/>
      <c r="H60" s="185"/>
      <c r="I60" s="304">
        <f>Dashboard!E83</f>
        <v>0</v>
      </c>
      <c r="J60" s="31"/>
    </row>
    <row r="61" spans="2:10" x14ac:dyDescent="0.2">
      <c r="B61" s="31"/>
      <c r="C61" s="184" t="s">
        <v>554</v>
      </c>
      <c r="D61" s="184"/>
      <c r="E61" s="184"/>
      <c r="F61" s="184"/>
      <c r="G61" s="184"/>
      <c r="H61" s="185"/>
      <c r="I61" s="304">
        <f>Dashboard!E84</f>
        <v>0</v>
      </c>
      <c r="J61" s="31"/>
    </row>
    <row r="62" spans="2:10" x14ac:dyDescent="0.2">
      <c r="B62" s="31"/>
      <c r="C62" s="184" t="s">
        <v>555</v>
      </c>
      <c r="D62" s="184"/>
      <c r="E62" s="184"/>
      <c r="F62" s="184"/>
      <c r="G62" s="184"/>
      <c r="H62" s="185"/>
      <c r="I62" s="304">
        <f>Dashboard!E85</f>
        <v>0</v>
      </c>
      <c r="J62" s="31"/>
    </row>
    <row r="63" spans="2:10" x14ac:dyDescent="0.2">
      <c r="B63" s="31"/>
      <c r="C63" s="184" t="s">
        <v>556</v>
      </c>
      <c r="D63" s="184"/>
      <c r="E63" s="184"/>
      <c r="F63" s="184"/>
      <c r="G63" s="184"/>
      <c r="H63" s="185"/>
      <c r="I63" s="304">
        <f>Dashboard!E86</f>
        <v>0</v>
      </c>
      <c r="J63" s="31"/>
    </row>
    <row r="64" spans="2:10" x14ac:dyDescent="0.2">
      <c r="B64" s="31"/>
      <c r="C64" s="184" t="s">
        <v>557</v>
      </c>
      <c r="D64" s="184"/>
      <c r="E64" s="184"/>
      <c r="F64" s="184"/>
      <c r="G64" s="184"/>
      <c r="H64" s="185"/>
      <c r="I64" s="304">
        <f>Dashboard!E87</f>
        <v>0</v>
      </c>
      <c r="J64" s="31"/>
    </row>
    <row r="65" spans="2:9" x14ac:dyDescent="0.2">
      <c r="B65" s="31"/>
      <c r="C65" s="184" t="s">
        <v>558</v>
      </c>
      <c r="D65" s="184"/>
      <c r="E65" s="184"/>
      <c r="F65" s="184"/>
      <c r="G65" s="184"/>
      <c r="H65" s="185"/>
      <c r="I65" s="304">
        <f>Dashboard!E88</f>
        <v>0</v>
      </c>
    </row>
    <row r="66" spans="2:9" x14ac:dyDescent="0.2">
      <c r="B66" s="31"/>
      <c r="C66" s="184" t="s">
        <v>559</v>
      </c>
      <c r="D66" s="184"/>
      <c r="E66" s="184"/>
      <c r="F66" s="184"/>
      <c r="G66" s="184"/>
      <c r="H66" s="185"/>
      <c r="I66" s="304">
        <f>Dashboard!E89</f>
        <v>0</v>
      </c>
    </row>
    <row r="67" spans="2:9" ht="17" thickBot="1" x14ac:dyDescent="0.25">
      <c r="B67" s="47"/>
      <c r="C67" s="77"/>
      <c r="D67" s="77"/>
      <c r="E67" s="77"/>
      <c r="F67" s="77"/>
      <c r="G67" s="77"/>
      <c r="H67" s="77"/>
      <c r="I67" s="78"/>
    </row>
  </sheetData>
  <mergeCells count="1">
    <mergeCell ref="B5:F5"/>
  </mergeCell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6" x14ac:dyDescent="0.2"/>
  <cols>
    <col min="1" max="1" width="10.83203125" style="1"/>
    <col min="2" max="2" width="38.5" style="1" customWidth="1"/>
    <col min="3" max="7" width="18.33203125" style="1" customWidth="1"/>
    <col min="8" max="16384" width="10.83203125" style="1"/>
  </cols>
  <sheetData>
    <row r="2" spans="1:7" ht="21" x14ac:dyDescent="0.25">
      <c r="B2" s="2" t="s">
        <v>522</v>
      </c>
    </row>
    <row r="4" spans="1:7" x14ac:dyDescent="0.2">
      <c r="B4" s="3" t="s">
        <v>79</v>
      </c>
      <c r="C4" s="5"/>
    </row>
    <row r="5" spans="1:7" ht="46" customHeight="1" x14ac:dyDescent="0.2">
      <c r="B5" s="654" t="s">
        <v>585</v>
      </c>
      <c r="C5" s="655"/>
    </row>
    <row r="6" spans="1:7" ht="17" thickBot="1" x14ac:dyDescent="0.25">
      <c r="A6" s="164"/>
      <c r="B6" s="164"/>
      <c r="C6" s="164"/>
      <c r="D6" s="164"/>
      <c r="E6" s="164"/>
    </row>
    <row r="7" spans="1:7" x14ac:dyDescent="0.2">
      <c r="A7" s="164"/>
      <c r="B7" s="165" t="s">
        <v>638</v>
      </c>
      <c r="C7" s="166"/>
      <c r="D7" s="167"/>
      <c r="E7" s="166"/>
      <c r="F7" s="211"/>
      <c r="G7" s="212"/>
    </row>
    <row r="8" spans="1:7" x14ac:dyDescent="0.2">
      <c r="A8" s="164"/>
      <c r="B8" s="79"/>
      <c r="C8" s="59"/>
      <c r="D8" s="160"/>
      <c r="E8" s="59"/>
      <c r="F8" s="66"/>
      <c r="G8" s="114"/>
    </row>
    <row r="9" spans="1:7" ht="64" x14ac:dyDescent="0.2">
      <c r="A9" s="164"/>
      <c r="B9" s="64" t="str">
        <f>technical_specs!C8</f>
        <v>Technology</v>
      </c>
      <c r="C9" s="68" t="str">
        <f>technical_specs!L8</f>
        <v>Heating efficiency</v>
      </c>
      <c r="D9" s="68" t="str">
        <f>technical_specs!N8</f>
        <v>Electrical efficiency</v>
      </c>
      <c r="E9" s="68" t="s">
        <v>521</v>
      </c>
      <c r="F9" s="68" t="s">
        <v>522</v>
      </c>
      <c r="G9" s="213" t="s">
        <v>523</v>
      </c>
    </row>
    <row r="10" spans="1:7" x14ac:dyDescent="0.2">
      <c r="A10" s="164"/>
      <c r="B10" s="169"/>
      <c r="C10" s="207"/>
      <c r="D10" s="207"/>
      <c r="E10" s="207"/>
      <c r="F10" s="8"/>
      <c r="G10" s="32"/>
    </row>
    <row r="11" spans="1:7" x14ac:dyDescent="0.2">
      <c r="A11" s="164"/>
      <c r="B11" s="31" t="str">
        <f>technical_specs!C14</f>
        <v>Micro CHP (gas-fired)) (space heating)</v>
      </c>
      <c r="C11" s="210">
        <f>technical_specs!L14</f>
        <v>0</v>
      </c>
      <c r="D11" s="210">
        <f>technical_specs!N14</f>
        <v>0</v>
      </c>
      <c r="E11" s="210">
        <f>1-C11-D11</f>
        <v>1</v>
      </c>
      <c r="F11" s="295" t="e">
        <f>C11/($C11+$D11)</f>
        <v>#DIV/0!</v>
      </c>
      <c r="G11" s="292" t="e">
        <f>D11/($C11+$D11)</f>
        <v>#DIV/0!</v>
      </c>
    </row>
    <row r="12" spans="1:7" x14ac:dyDescent="0.2">
      <c r="A12" s="164"/>
      <c r="B12" s="31" t="str">
        <f>technical_specs!C29</f>
        <v>Micro CHP (gas-fired)) (hot water)</v>
      </c>
      <c r="C12" s="210">
        <f>technical_specs!L29</f>
        <v>0</v>
      </c>
      <c r="D12" s="210">
        <f>technical_specs!N29</f>
        <v>0</v>
      </c>
      <c r="E12" s="210">
        <f t="shared" ref="E12:E13" si="0">1-C12-D12</f>
        <v>1</v>
      </c>
      <c r="F12" s="295" t="e">
        <f>C12/($C12+$D12)</f>
        <v>#DIV/0!</v>
      </c>
      <c r="G12" s="292" t="e">
        <f t="shared" ref="F12:G13" si="1">D12/($C12+$D12)</f>
        <v>#DIV/0!</v>
      </c>
    </row>
    <row r="13" spans="1:7" x14ac:dyDescent="0.2">
      <c r="A13" s="164"/>
      <c r="B13" s="31" t="str">
        <f>technical_specs!C37</f>
        <v>Fuel Cell (hot water)</v>
      </c>
      <c r="C13" s="210">
        <f>technical_specs!L37</f>
        <v>0</v>
      </c>
      <c r="D13" s="210">
        <f>technical_specs!N37</f>
        <v>0</v>
      </c>
      <c r="E13" s="210">
        <f t="shared" si="0"/>
        <v>1</v>
      </c>
      <c r="F13" s="295" t="e">
        <f t="shared" si="1"/>
        <v>#DIV/0!</v>
      </c>
      <c r="G13" s="292" t="e">
        <f t="shared" si="1"/>
        <v>#DIV/0!</v>
      </c>
    </row>
    <row r="14" spans="1:7" ht="17" thickBot="1" x14ac:dyDescent="0.25">
      <c r="A14" s="164"/>
      <c r="B14" s="80"/>
      <c r="C14" s="161"/>
      <c r="D14" s="161"/>
      <c r="E14" s="161"/>
      <c r="F14" s="204"/>
      <c r="G14" s="78"/>
    </row>
    <row r="15" spans="1:7" x14ac:dyDescent="0.2">
      <c r="A15" s="164"/>
      <c r="B15" s="164"/>
      <c r="C15" s="164"/>
      <c r="D15" s="164"/>
      <c r="E15" s="164"/>
    </row>
    <row r="16" spans="1:7" x14ac:dyDescent="0.2">
      <c r="A16" s="164"/>
      <c r="B16" s="164"/>
      <c r="C16" s="164"/>
      <c r="D16" s="164"/>
      <c r="E16" s="164"/>
    </row>
    <row r="17" spans="1:5" x14ac:dyDescent="0.2">
      <c r="A17" s="164"/>
      <c r="B17" s="164"/>
      <c r="C17" s="164"/>
      <c r="D17" s="164"/>
      <c r="E17" s="164"/>
    </row>
    <row r="18" spans="1:5" x14ac:dyDescent="0.2">
      <c r="A18" s="164"/>
      <c r="B18" s="164"/>
      <c r="C18" s="164"/>
      <c r="D18" s="164"/>
      <c r="E18" s="164"/>
    </row>
    <row r="19" spans="1:5" x14ac:dyDescent="0.2">
      <c r="A19" s="164"/>
      <c r="B19" s="164"/>
      <c r="C19" s="164"/>
      <c r="D19" s="164"/>
      <c r="E19" s="164"/>
    </row>
    <row r="20" spans="1:5" x14ac:dyDescent="0.2">
      <c r="A20" s="164"/>
      <c r="B20" s="164"/>
      <c r="C20" s="164"/>
      <c r="D20" s="164"/>
      <c r="E20" s="164"/>
    </row>
    <row r="21" spans="1:5" x14ac:dyDescent="0.2">
      <c r="A21" s="164"/>
      <c r="B21" s="164"/>
      <c r="C21" s="164"/>
      <c r="D21" s="164"/>
      <c r="E21" s="164"/>
    </row>
  </sheetData>
  <mergeCells count="1">
    <mergeCell ref="B5:C5"/>
  </mergeCells>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2" sqref="C12"/>
    </sheetView>
  </sheetViews>
  <sheetFormatPr baseColWidth="10" defaultRowHeight="16" x14ac:dyDescent="0.2"/>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1" x14ac:dyDescent="0.25">
      <c r="B2" s="63" t="s">
        <v>222</v>
      </c>
      <c r="C2" s="8"/>
      <c r="D2" s="8"/>
      <c r="E2" s="8"/>
      <c r="F2" s="8"/>
      <c r="G2" s="8"/>
    </row>
    <row r="3" spans="2:13" x14ac:dyDescent="0.2">
      <c r="B3" s="1"/>
      <c r="C3" s="8"/>
      <c r="D3" s="8"/>
      <c r="E3" s="8"/>
      <c r="F3" s="8"/>
      <c r="G3" s="8"/>
    </row>
    <row r="4" spans="2:13" x14ac:dyDescent="0.2">
      <c r="B4" s="3" t="s">
        <v>79</v>
      </c>
      <c r="C4" s="4"/>
      <c r="D4" s="4"/>
      <c r="E4" s="4"/>
      <c r="F4" s="4"/>
      <c r="G4" s="5"/>
    </row>
    <row r="5" spans="2:13" ht="45" customHeight="1" x14ac:dyDescent="0.2">
      <c r="B5" s="654" t="s">
        <v>228</v>
      </c>
      <c r="C5" s="664"/>
      <c r="D5" s="664"/>
      <c r="E5" s="664"/>
      <c r="F5" s="664"/>
      <c r="G5" s="655"/>
    </row>
    <row r="6" spans="2:13" ht="17" thickBot="1" x14ac:dyDescent="0.25"/>
    <row r="7" spans="2:13" x14ac:dyDescent="0.2">
      <c r="B7" s="133" t="s">
        <v>184</v>
      </c>
      <c r="C7" s="29"/>
      <c r="D7" s="52"/>
      <c r="E7" s="52"/>
      <c r="F7" s="52"/>
      <c r="G7" s="52"/>
      <c r="H7" s="52"/>
      <c r="I7" s="52"/>
      <c r="J7" s="52"/>
      <c r="K7" s="467"/>
      <c r="L7" s="30"/>
    </row>
    <row r="8" spans="2:13" x14ac:dyDescent="0.2">
      <c r="B8" s="134"/>
      <c r="C8" s="8"/>
      <c r="D8" s="8"/>
      <c r="E8" s="8"/>
      <c r="F8" s="8"/>
      <c r="G8" s="8"/>
      <c r="H8" s="8"/>
      <c r="I8" s="8"/>
      <c r="J8" s="8"/>
      <c r="K8" s="134"/>
      <c r="L8" s="32"/>
    </row>
    <row r="9" spans="2:13" ht="32" x14ac:dyDescent="0.2">
      <c r="B9" s="135" t="s">
        <v>284</v>
      </c>
      <c r="C9" s="65" t="s">
        <v>206</v>
      </c>
      <c r="D9" s="65" t="s">
        <v>207</v>
      </c>
      <c r="E9" s="65" t="s">
        <v>208</v>
      </c>
      <c r="F9" s="65" t="s">
        <v>397</v>
      </c>
      <c r="G9" s="65" t="s">
        <v>105</v>
      </c>
      <c r="H9" s="65" t="s">
        <v>78</v>
      </c>
      <c r="I9" s="65" t="s">
        <v>106</v>
      </c>
      <c r="J9" s="65" t="s">
        <v>107</v>
      </c>
      <c r="K9" s="468" t="s">
        <v>573</v>
      </c>
      <c r="L9" s="113" t="s">
        <v>576</v>
      </c>
    </row>
    <row r="10" spans="2:13" x14ac:dyDescent="0.2">
      <c r="B10" s="136"/>
      <c r="C10" s="66"/>
      <c r="D10" s="66"/>
      <c r="E10" s="66"/>
      <c r="F10" s="66"/>
      <c r="G10" s="66"/>
      <c r="H10" s="66"/>
      <c r="I10" s="66"/>
      <c r="J10" s="66"/>
      <c r="K10" s="469"/>
      <c r="L10" s="114"/>
    </row>
    <row r="11" spans="2:13" ht="32" x14ac:dyDescent="0.2">
      <c r="B11" s="400" t="s">
        <v>211</v>
      </c>
      <c r="C11" s="357">
        <f>SUM('Corrected energy balance step 2'!C82:N82)+'Corrected energy balance step 2'!S82</f>
        <v>0</v>
      </c>
      <c r="D11" s="357">
        <f>'Corrected energy balance step 2'!T82+'Corrected energy balance step 2'!AV82</f>
        <v>0</v>
      </c>
      <c r="E11" s="357">
        <f>SUM('Corrected energy balance step 2'!U82:AQ82)</f>
        <v>0</v>
      </c>
      <c r="F11" s="357">
        <f>'Corrected energy balance step 2'!AU82+'Corrected energy balance step 2'!AZ82</f>
        <v>0</v>
      </c>
      <c r="G11" s="357">
        <f>'Corrected energy balance step 2'!BH82</f>
        <v>0</v>
      </c>
      <c r="H11" s="357">
        <f>SUM('Corrected energy balance step 2'!O82:R82,'Corrected energy balance step 2'!AR82:AT82,'Corrected energy balance step 2'!AV82:AZ82,,'Corrected energy balance step 2'!BB82:BE82,'Corrected energy balance step 2'!BF82:BG82,'Corrected energy balance step 2'!BI82:BK82)</f>
        <v>0</v>
      </c>
      <c r="I11" s="357">
        <f>'Corrected energy balance step 2'!BL82</f>
        <v>0</v>
      </c>
      <c r="J11" s="357">
        <f>'Corrected energy balance step 2'!BM82</f>
        <v>0</v>
      </c>
      <c r="K11" s="470">
        <f>SUM(C11:J11)</f>
        <v>0</v>
      </c>
      <c r="L11" s="464">
        <f>'Corrected energy balance step 2'!BN82</f>
        <v>0</v>
      </c>
      <c r="M11" s="151"/>
    </row>
    <row r="12" spans="2:13" s="365" customFormat="1" ht="27" customHeight="1" x14ac:dyDescent="0.2">
      <c r="B12" s="152" t="s">
        <v>372</v>
      </c>
      <c r="C12" s="366" t="s">
        <v>376</v>
      </c>
      <c r="D12" s="366" t="s">
        <v>373</v>
      </c>
      <c r="E12" s="366" t="s">
        <v>377</v>
      </c>
      <c r="F12" s="366" t="s">
        <v>378</v>
      </c>
      <c r="G12" s="366" t="s">
        <v>375</v>
      </c>
      <c r="H12" s="366" t="s">
        <v>379</v>
      </c>
      <c r="I12" s="534" t="s">
        <v>374</v>
      </c>
      <c r="J12" s="366" t="s">
        <v>380</v>
      </c>
      <c r="K12" s="471"/>
      <c r="L12" s="465" t="s">
        <v>381</v>
      </c>
      <c r="M12" s="364"/>
    </row>
    <row r="13" spans="2:13" ht="17" thickBot="1" x14ac:dyDescent="0.25">
      <c r="B13" s="137"/>
      <c r="C13" s="115"/>
      <c r="D13" s="115"/>
      <c r="E13" s="115"/>
      <c r="F13" s="115"/>
      <c r="G13" s="115"/>
      <c r="H13" s="115"/>
      <c r="I13" s="115"/>
      <c r="J13" s="115"/>
      <c r="K13" s="472"/>
      <c r="L13" s="466"/>
    </row>
    <row r="16" spans="2:13" x14ac:dyDescent="0.2">
      <c r="K16" s="359" t="s">
        <v>574</v>
      </c>
      <c r="L16" s="360"/>
    </row>
    <row r="17" spans="2:12" x14ac:dyDescent="0.2">
      <c r="K17" s="361" t="s">
        <v>575</v>
      </c>
      <c r="L17" s="362"/>
    </row>
    <row r="18" spans="2:12" x14ac:dyDescent="0.2">
      <c r="K18" s="361" t="str">
        <f>"- total demand of aggregated carriers"</f>
        <v>- total demand of aggregated carriers</v>
      </c>
      <c r="L18" s="362"/>
    </row>
    <row r="19" spans="2:12" x14ac:dyDescent="0.2">
      <c r="K19" s="361" t="str">
        <f>"- total demand in energy balance (IEA)"</f>
        <v>- total demand in energy balance (IEA)</v>
      </c>
      <c r="L19" s="362"/>
    </row>
    <row r="20" spans="2:12" x14ac:dyDescent="0.2">
      <c r="K20" s="361" t="s">
        <v>577</v>
      </c>
      <c r="L20" s="362"/>
    </row>
    <row r="21" spans="2:12" x14ac:dyDescent="0.2">
      <c r="K21" s="361" t="s">
        <v>580</v>
      </c>
      <c r="L21" s="362"/>
    </row>
    <row r="22" spans="2:12" x14ac:dyDescent="0.2">
      <c r="K22" s="361"/>
      <c r="L22" s="362"/>
    </row>
    <row r="23" spans="2:12" x14ac:dyDescent="0.2">
      <c r="K23" s="363" t="s">
        <v>578</v>
      </c>
      <c r="L23" s="387">
        <f>K11-Final_demand_residences</f>
        <v>0</v>
      </c>
    </row>
    <row r="24" spans="2:12" ht="78" customHeight="1" x14ac:dyDescent="0.2">
      <c r="B24" s="460"/>
      <c r="C24" s="460"/>
      <c r="K24" s="665" t="s">
        <v>802</v>
      </c>
      <c r="L24" s="666"/>
    </row>
    <row r="25" spans="2:12" x14ac:dyDescent="0.2">
      <c r="B25" s="460"/>
      <c r="C25" s="460"/>
    </row>
    <row r="26" spans="2:12" x14ac:dyDescent="0.2">
      <c r="B26" s="460"/>
      <c r="C26" s="460"/>
      <c r="D26" s="460"/>
    </row>
    <row r="27" spans="2:12" x14ac:dyDescent="0.2">
      <c r="I27" s="8"/>
    </row>
    <row r="28" spans="2:12" x14ac:dyDescent="0.2">
      <c r="K28" s="461"/>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N68"/>
  <sheetViews>
    <sheetView workbookViewId="0">
      <selection activeCell="D51" sqref="D51"/>
    </sheetView>
  </sheetViews>
  <sheetFormatPr baseColWidth="10" defaultRowHeight="16" x14ac:dyDescent="0.2"/>
  <cols>
    <col min="1" max="1" width="10.83203125" style="1"/>
    <col min="2" max="2" width="21.6640625" style="1" customWidth="1"/>
    <col min="3" max="3" width="41.1640625" style="1" bestFit="1" customWidth="1"/>
    <col min="4" max="9" width="23.33203125" style="1" customWidth="1"/>
    <col min="10" max="16384" width="10.83203125" style="1"/>
  </cols>
  <sheetData>
    <row r="2" spans="1:14" ht="21" x14ac:dyDescent="0.25">
      <c r="B2" s="2" t="s">
        <v>713</v>
      </c>
    </row>
    <row r="4" spans="1:14" x14ac:dyDescent="0.2">
      <c r="B4" s="3" t="s">
        <v>79</v>
      </c>
      <c r="C4" s="4"/>
      <c r="D4" s="5"/>
    </row>
    <row r="5" spans="1:14" ht="38" customHeight="1" x14ac:dyDescent="0.2">
      <c r="B5" s="654" t="s">
        <v>530</v>
      </c>
      <c r="C5" s="664"/>
      <c r="D5" s="655"/>
    </row>
    <row r="6" spans="1:14" ht="17" thickBot="1" x14ac:dyDescent="0.25">
      <c r="A6" s="164"/>
      <c r="B6" s="164"/>
      <c r="C6" s="164"/>
      <c r="D6" s="164"/>
      <c r="E6" s="164"/>
      <c r="F6" s="164"/>
      <c r="G6" s="164"/>
      <c r="H6" s="164"/>
      <c r="I6" s="164"/>
    </row>
    <row r="7" spans="1:14" x14ac:dyDescent="0.2">
      <c r="A7" s="164"/>
      <c r="B7" s="165" t="s">
        <v>640</v>
      </c>
      <c r="C7" s="166"/>
      <c r="D7" s="167"/>
      <c r="E7" s="167"/>
      <c r="F7" s="166"/>
      <c r="G7" s="166"/>
      <c r="H7" s="166"/>
      <c r="I7" s="216"/>
    </row>
    <row r="8" spans="1:14" x14ac:dyDescent="0.2">
      <c r="A8" s="164"/>
      <c r="B8" s="79"/>
      <c r="C8" s="59"/>
      <c r="D8" s="160"/>
      <c r="E8" s="160"/>
      <c r="F8" s="59"/>
      <c r="G8" s="59"/>
      <c r="H8" s="59"/>
      <c r="I8" s="401"/>
    </row>
    <row r="9" spans="1:14" ht="64" x14ac:dyDescent="0.2">
      <c r="A9" s="164"/>
      <c r="B9" s="168"/>
      <c r="C9" s="207" t="s">
        <v>183</v>
      </c>
      <c r="D9" s="217" t="s">
        <v>463</v>
      </c>
      <c r="E9" s="217" t="s">
        <v>641</v>
      </c>
      <c r="F9" s="217" t="s">
        <v>215</v>
      </c>
      <c r="G9" s="217" t="s">
        <v>875</v>
      </c>
      <c r="H9" s="217" t="s">
        <v>642</v>
      </c>
      <c r="I9" s="218" t="s">
        <v>562</v>
      </c>
    </row>
    <row r="10" spans="1:14" x14ac:dyDescent="0.2">
      <c r="A10" s="164"/>
      <c r="B10" s="170" t="s">
        <v>77</v>
      </c>
      <c r="C10" s="270"/>
      <c r="D10" s="285"/>
      <c r="E10" s="285"/>
      <c r="F10" s="285"/>
      <c r="G10" s="285"/>
      <c r="H10" s="641"/>
      <c r="I10" s="642"/>
    </row>
    <row r="11" spans="1:14" x14ac:dyDescent="0.2">
      <c r="A11" s="164"/>
      <c r="B11" s="170"/>
      <c r="C11" s="17" t="str">
        <f>'Technology split final demand'!C11</f>
        <v>Condensing Combi Boiler (space heating)</v>
      </c>
      <c r="D11" s="281" t="e">
        <f>'Technology split final demand'!I11</f>
        <v>#DIV/0!</v>
      </c>
      <c r="E11" s="282" t="e">
        <f t="shared" ref="E11:E22" si="0">Final_demand_space_heating*D11</f>
        <v>#DIV/0!</v>
      </c>
      <c r="F11" s="281">
        <f>technical_specs!P11</f>
        <v>0</v>
      </c>
      <c r="G11" s="644" t="e">
        <f>F11*E11</f>
        <v>#DIV/0!</v>
      </c>
      <c r="H11" s="643" t="e">
        <f>G11</f>
        <v>#DIV/0!</v>
      </c>
      <c r="I11" s="535" t="e">
        <f>H11/SUM($H$11:$H$23)</f>
        <v>#DIV/0!</v>
      </c>
      <c r="L11" s="164"/>
      <c r="N11" s="219"/>
    </row>
    <row r="12" spans="1:14" x14ac:dyDescent="0.2">
      <c r="A12" s="164"/>
      <c r="B12" s="170"/>
      <c r="C12" s="17" t="str">
        <f>'Technology split final demand'!C12</f>
        <v>Solar thermal panel (space heating)</v>
      </c>
      <c r="D12" s="281" t="e">
        <f>'Technology split final demand'!I12</f>
        <v>#DIV/0!</v>
      </c>
      <c r="E12" s="282" t="e">
        <f t="shared" si="0"/>
        <v>#DIV/0!</v>
      </c>
      <c r="F12" s="281">
        <f>technical_specs!P12</f>
        <v>0</v>
      </c>
      <c r="G12" s="644" t="e">
        <f t="shared" ref="G12:G23" si="1">F12*E12</f>
        <v>#DIV/0!</v>
      </c>
      <c r="H12" s="240" t="e">
        <f t="shared" ref="H12:H21" si="2">G12</f>
        <v>#DIV/0!</v>
      </c>
      <c r="I12" s="241" t="e">
        <f t="shared" ref="I12:I23" si="3">H12/SUM($H$11:$H$23)</f>
        <v>#DIV/0!</v>
      </c>
      <c r="L12" s="164"/>
      <c r="N12" s="219"/>
    </row>
    <row r="13" spans="1:14" x14ac:dyDescent="0.2">
      <c r="A13" s="164"/>
      <c r="B13" s="170"/>
      <c r="C13" s="17" t="str">
        <f>'Technology split final demand'!C13</f>
        <v>Electric Heat Pump (ground) (space heating)</v>
      </c>
      <c r="D13" s="281" t="e">
        <f>'Technology split final demand'!I13</f>
        <v>#DIV/0!</v>
      </c>
      <c r="E13" s="282" t="e">
        <f t="shared" si="0"/>
        <v>#DIV/0!</v>
      </c>
      <c r="F13" s="281" t="e">
        <f>technical_specs!P13</f>
        <v>#DIV/0!</v>
      </c>
      <c r="G13" s="644" t="e">
        <f t="shared" si="1"/>
        <v>#DIV/0!</v>
      </c>
      <c r="H13" s="240" t="e">
        <f t="shared" si="2"/>
        <v>#DIV/0!</v>
      </c>
      <c r="I13" s="241" t="e">
        <f t="shared" si="3"/>
        <v>#DIV/0!</v>
      </c>
      <c r="L13" s="164"/>
      <c r="N13" s="219"/>
    </row>
    <row r="14" spans="1:14" x14ac:dyDescent="0.2">
      <c r="A14" s="164"/>
      <c r="B14" s="170"/>
      <c r="C14" s="17" t="str">
        <f>'Technology split final demand'!C14</f>
        <v>Micro CHP (gas-fired)) (space heating)</v>
      </c>
      <c r="D14" s="281" t="e">
        <f>'Technology split final demand'!I14</f>
        <v>#DIV/0!</v>
      </c>
      <c r="E14" s="282" t="e">
        <f t="shared" si="0"/>
        <v>#DIV/0!</v>
      </c>
      <c r="F14" s="281">
        <f>technical_specs!P14</f>
        <v>0</v>
      </c>
      <c r="G14" s="644" t="e">
        <f t="shared" si="1"/>
        <v>#DIV/0!</v>
      </c>
      <c r="H14" s="240" t="e">
        <f t="shared" si="2"/>
        <v>#DIV/0!</v>
      </c>
      <c r="I14" s="241" t="e">
        <f t="shared" si="3"/>
        <v>#DIV/0!</v>
      </c>
      <c r="L14" s="164"/>
      <c r="N14" s="219"/>
    </row>
    <row r="15" spans="1:14" x14ac:dyDescent="0.2">
      <c r="A15" s="164"/>
      <c r="B15" s="170"/>
      <c r="C15" s="17" t="str">
        <f>'Technology split final demand'!C15</f>
        <v>District Heating (space heating)</v>
      </c>
      <c r="D15" s="281" t="e">
        <f>'Technology split final demand'!I15</f>
        <v>#DIV/0!</v>
      </c>
      <c r="E15" s="282" t="e">
        <f t="shared" si="0"/>
        <v>#DIV/0!</v>
      </c>
      <c r="F15" s="281">
        <f>technical_specs!P15</f>
        <v>0</v>
      </c>
      <c r="G15" s="644" t="e">
        <f t="shared" si="1"/>
        <v>#DIV/0!</v>
      </c>
      <c r="H15" s="240" t="e">
        <f t="shared" si="2"/>
        <v>#DIV/0!</v>
      </c>
      <c r="I15" s="241" t="e">
        <f t="shared" si="3"/>
        <v>#DIV/0!</v>
      </c>
      <c r="L15" s="164"/>
      <c r="N15" s="219"/>
    </row>
    <row r="16" spans="1:14" x14ac:dyDescent="0.2">
      <c r="A16" s="164"/>
      <c r="B16" s="171"/>
      <c r="C16" s="17" t="str">
        <f>'Technology split final demand'!C16</f>
        <v>electricity-driven Heat pump (air) (space heating)</v>
      </c>
      <c r="D16" s="281" t="e">
        <f>'Technology split final demand'!I16</f>
        <v>#DIV/0!</v>
      </c>
      <c r="E16" s="282" t="e">
        <f t="shared" si="0"/>
        <v>#DIV/0!</v>
      </c>
      <c r="F16" s="281" t="e">
        <f>technical_specs!P16</f>
        <v>#DIV/0!</v>
      </c>
      <c r="G16" s="644" t="e">
        <f t="shared" si="1"/>
        <v>#DIV/0!</v>
      </c>
      <c r="H16" s="240" t="e">
        <f t="shared" si="2"/>
        <v>#DIV/0!</v>
      </c>
      <c r="I16" s="241" t="e">
        <f t="shared" si="3"/>
        <v>#DIV/0!</v>
      </c>
      <c r="L16" s="164"/>
      <c r="N16" s="219"/>
    </row>
    <row r="17" spans="1:14" x14ac:dyDescent="0.2">
      <c r="A17" s="164"/>
      <c r="B17" s="171"/>
      <c r="C17" s="17" t="str">
        <f>'Technology split final demand'!C17</f>
        <v>woodpellets (biomass) heaters (space heating)</v>
      </c>
      <c r="D17" s="281" t="e">
        <f>'Technology split final demand'!I17</f>
        <v>#DIV/0!</v>
      </c>
      <c r="E17" s="282" t="e">
        <f t="shared" si="0"/>
        <v>#DIV/0!</v>
      </c>
      <c r="F17" s="281">
        <f>technical_specs!P17</f>
        <v>0</v>
      </c>
      <c r="G17" s="644" t="e">
        <f t="shared" si="1"/>
        <v>#DIV/0!</v>
      </c>
      <c r="H17" s="240" t="e">
        <f t="shared" si="2"/>
        <v>#DIV/0!</v>
      </c>
      <c r="I17" s="241" t="e">
        <f t="shared" si="3"/>
        <v>#DIV/0!</v>
      </c>
      <c r="L17" s="164"/>
      <c r="N17" s="219"/>
    </row>
    <row r="18" spans="1:14" x14ac:dyDescent="0.2">
      <c r="A18" s="164"/>
      <c r="B18" s="171"/>
      <c r="C18" s="17" t="str">
        <f>'Technology split final demand'!C18</f>
        <v>Electric Heaters (resistance) (space heating)</v>
      </c>
      <c r="D18" s="281" t="e">
        <f>'Technology split final demand'!I18</f>
        <v>#DIV/0!</v>
      </c>
      <c r="E18" s="282" t="e">
        <f t="shared" si="0"/>
        <v>#DIV/0!</v>
      </c>
      <c r="F18" s="281">
        <f>technical_specs!P18</f>
        <v>0</v>
      </c>
      <c r="G18" s="644" t="e">
        <f t="shared" si="1"/>
        <v>#DIV/0!</v>
      </c>
      <c r="H18" s="240" t="e">
        <f t="shared" si="2"/>
        <v>#DIV/0!</v>
      </c>
      <c r="I18" s="241" t="e">
        <f t="shared" si="3"/>
        <v>#DIV/0!</v>
      </c>
      <c r="L18" s="164"/>
      <c r="N18" s="219"/>
    </row>
    <row r="19" spans="1:14" x14ac:dyDescent="0.2">
      <c r="A19" s="164"/>
      <c r="B19" s="171"/>
      <c r="C19" s="17" t="str">
        <f>'Technology split final demand'!C19</f>
        <v>Gas-fired Heaters (space heating)</v>
      </c>
      <c r="D19" s="281" t="e">
        <f>'Technology split final demand'!I19</f>
        <v>#DIV/0!</v>
      </c>
      <c r="E19" s="282" t="e">
        <f t="shared" si="0"/>
        <v>#DIV/0!</v>
      </c>
      <c r="F19" s="281">
        <f>technical_specs!P19</f>
        <v>0</v>
      </c>
      <c r="G19" s="644" t="e">
        <f t="shared" si="1"/>
        <v>#DIV/0!</v>
      </c>
      <c r="H19" s="240" t="e">
        <f t="shared" si="2"/>
        <v>#DIV/0!</v>
      </c>
      <c r="I19" s="241" t="e">
        <f t="shared" si="3"/>
        <v>#DIV/0!</v>
      </c>
      <c r="L19" s="164"/>
      <c r="N19" s="219"/>
    </row>
    <row r="20" spans="1:14" x14ac:dyDescent="0.2">
      <c r="A20" s="164"/>
      <c r="B20" s="171"/>
      <c r="C20" s="17" t="str">
        <f>'Technology split final demand'!C20</f>
        <v>Oil-fired Heaters (space heating)</v>
      </c>
      <c r="D20" s="281" t="e">
        <f>'Technology split final demand'!I20</f>
        <v>#DIV/0!</v>
      </c>
      <c r="E20" s="282" t="e">
        <f t="shared" si="0"/>
        <v>#DIV/0!</v>
      </c>
      <c r="F20" s="281">
        <f>technical_specs!P20</f>
        <v>0</v>
      </c>
      <c r="G20" s="644" t="e">
        <f t="shared" si="1"/>
        <v>#DIV/0!</v>
      </c>
      <c r="H20" s="240" t="e">
        <f t="shared" si="2"/>
        <v>#DIV/0!</v>
      </c>
      <c r="I20" s="241" t="e">
        <f t="shared" si="3"/>
        <v>#DIV/0!</v>
      </c>
      <c r="K20" s="219"/>
      <c r="L20" s="219"/>
      <c r="M20" s="219"/>
      <c r="N20" s="219"/>
    </row>
    <row r="21" spans="1:14" x14ac:dyDescent="0.2">
      <c r="A21" s="164"/>
      <c r="B21" s="171"/>
      <c r="C21" s="17" t="str">
        <f>'Technology split final demand'!C21</f>
        <v>Coal-fired Heaters (space heating)</v>
      </c>
      <c r="D21" s="281" t="e">
        <f>'Technology split final demand'!I21</f>
        <v>#DIV/0!</v>
      </c>
      <c r="E21" s="282" t="e">
        <f t="shared" si="0"/>
        <v>#DIV/0!</v>
      </c>
      <c r="F21" s="281">
        <f>technical_specs!P21</f>
        <v>0</v>
      </c>
      <c r="G21" s="644" t="e">
        <f t="shared" si="1"/>
        <v>#DIV/0!</v>
      </c>
      <c r="H21" s="240" t="e">
        <f t="shared" si="2"/>
        <v>#DIV/0!</v>
      </c>
      <c r="I21" s="241" t="e">
        <f t="shared" si="3"/>
        <v>#DIV/0!</v>
      </c>
      <c r="K21" s="219"/>
      <c r="L21" s="219"/>
      <c r="M21" s="219"/>
      <c r="N21" s="219"/>
    </row>
    <row r="22" spans="1:14" x14ac:dyDescent="0.2">
      <c r="A22" s="164"/>
      <c r="B22" s="171"/>
      <c r="C22" s="17" t="str">
        <f>'Technology split final demand'!C22</f>
        <v>Hybrid heatpump, heatpump part (space heating)</v>
      </c>
      <c r="D22" s="281" t="e">
        <f>'Technology split final demand'!I22</f>
        <v>#DIV/0!</v>
      </c>
      <c r="E22" s="282" t="e">
        <f t="shared" si="0"/>
        <v>#DIV/0!</v>
      </c>
      <c r="F22" s="281" t="e">
        <f>technical_specs!P22</f>
        <v>#DIV/0!</v>
      </c>
      <c r="G22" s="644" t="e">
        <f t="shared" si="1"/>
        <v>#DIV/0!</v>
      </c>
      <c r="H22" s="240" t="e">
        <f>G22+G23</f>
        <v>#DIV/0!</v>
      </c>
      <c r="I22" s="241" t="e">
        <f t="shared" si="3"/>
        <v>#DIV/0!</v>
      </c>
      <c r="K22" s="219"/>
      <c r="L22" s="219"/>
      <c r="M22" s="219"/>
      <c r="N22" s="219"/>
    </row>
    <row r="23" spans="1:14" x14ac:dyDescent="0.2">
      <c r="A23" s="164"/>
      <c r="B23" s="171"/>
      <c r="C23" s="45" t="str">
        <f>'Technology split final demand'!C23</f>
        <v>Hybrid heatpump, gas part (space heating)</v>
      </c>
      <c r="D23" s="283" t="e">
        <f>'Technology split final demand'!I23</f>
        <v>#DIV/0!</v>
      </c>
      <c r="E23" s="284" t="e">
        <f t="shared" ref="E23" si="4">Final_demand_space_heating*D23</f>
        <v>#DIV/0!</v>
      </c>
      <c r="F23" s="283">
        <f>technical_specs!P23</f>
        <v>0</v>
      </c>
      <c r="G23" s="645" t="e">
        <f t="shared" si="1"/>
        <v>#DIV/0!</v>
      </c>
      <c r="H23" s="286" t="e">
        <f>G22+G23</f>
        <v>#DIV/0!</v>
      </c>
      <c r="I23" s="287" t="e">
        <f t="shared" si="3"/>
        <v>#DIV/0!</v>
      </c>
      <c r="K23" s="219"/>
      <c r="L23" s="219"/>
      <c r="M23" s="219"/>
      <c r="N23" s="219"/>
    </row>
    <row r="24" spans="1:14" x14ac:dyDescent="0.2">
      <c r="A24" s="164"/>
      <c r="B24" s="172"/>
      <c r="C24" s="173"/>
      <c r="D24" s="244"/>
      <c r="E24" s="244"/>
      <c r="F24" s="244"/>
      <c r="G24" s="646"/>
      <c r="H24" s="244"/>
      <c r="I24" s="239"/>
      <c r="K24" s="219"/>
      <c r="L24" s="219"/>
      <c r="M24" s="219"/>
      <c r="N24" s="219"/>
    </row>
    <row r="25" spans="1:14" x14ac:dyDescent="0.2">
      <c r="A25" s="164"/>
      <c r="B25" s="170" t="s">
        <v>304</v>
      </c>
      <c r="C25" s="173"/>
      <c r="D25" s="244"/>
      <c r="E25" s="244"/>
      <c r="F25" s="244"/>
      <c r="G25" s="646"/>
      <c r="H25" s="244"/>
      <c r="I25" s="239"/>
      <c r="K25" s="219"/>
      <c r="L25" s="219"/>
      <c r="M25" s="219"/>
      <c r="N25" s="219"/>
    </row>
    <row r="26" spans="1:14" x14ac:dyDescent="0.2">
      <c r="A26" s="164"/>
      <c r="B26" s="170"/>
      <c r="C26" s="215" t="str">
        <f>'Technology split final demand'!C26</f>
        <v>Condensing Combi Boiler (hot water)</v>
      </c>
      <c r="D26" s="242" t="e">
        <f>'Technology split final demand'!I26</f>
        <v>#DIV/0!</v>
      </c>
      <c r="E26" s="243" t="e">
        <f t="shared" ref="E26:E37" si="5">Final_demand_hot_water*D26</f>
        <v>#DIV/0!</v>
      </c>
      <c r="F26" s="281">
        <f>technical_specs!P26</f>
        <v>0</v>
      </c>
      <c r="G26" s="644" t="e">
        <f>F26*E26</f>
        <v>#DIV/0!</v>
      </c>
      <c r="H26" s="240" t="e">
        <f>G26</f>
        <v>#DIV/0!</v>
      </c>
      <c r="I26" s="241" t="e">
        <f>H26/SUM($H$26:$H$39)</f>
        <v>#DIV/0!</v>
      </c>
      <c r="K26" s="219"/>
      <c r="L26" s="219"/>
      <c r="M26" s="219"/>
      <c r="N26" s="219"/>
    </row>
    <row r="27" spans="1:14" x14ac:dyDescent="0.2">
      <c r="A27" s="164"/>
      <c r="B27" s="170"/>
      <c r="C27" s="215" t="str">
        <f>'Technology split final demand'!C27</f>
        <v>Solar thermal panel (hot water)</v>
      </c>
      <c r="D27" s="242" t="e">
        <f>'Technology split final demand'!I27</f>
        <v>#DIV/0!</v>
      </c>
      <c r="E27" s="243" t="e">
        <f t="shared" si="5"/>
        <v>#DIV/0!</v>
      </c>
      <c r="F27" s="281">
        <f>technical_specs!P27</f>
        <v>0</v>
      </c>
      <c r="G27" s="644" t="e">
        <f t="shared" ref="G27:G39" si="6">F27*E27</f>
        <v>#DIV/0!</v>
      </c>
      <c r="H27" s="240" t="e">
        <f t="shared" ref="H27:H37" si="7">G27</f>
        <v>#DIV/0!</v>
      </c>
      <c r="I27" s="241" t="e">
        <f t="shared" ref="I27:I39" si="8">H27/SUM($H$26:$H$39)</f>
        <v>#DIV/0!</v>
      </c>
      <c r="K27" s="219"/>
      <c r="L27" s="219"/>
      <c r="M27" s="219"/>
      <c r="N27" s="219"/>
    </row>
    <row r="28" spans="1:14" x14ac:dyDescent="0.2">
      <c r="A28" s="164"/>
      <c r="B28" s="170"/>
      <c r="C28" s="215" t="str">
        <f>'Technology split final demand'!C28</f>
        <v>Electric Heat Pump (ground) (hot water)</v>
      </c>
      <c r="D28" s="242" t="e">
        <f>'Technology split final demand'!I28</f>
        <v>#DIV/0!</v>
      </c>
      <c r="E28" s="243" t="e">
        <f t="shared" si="5"/>
        <v>#DIV/0!</v>
      </c>
      <c r="F28" s="281" t="e">
        <f>technical_specs!P28</f>
        <v>#DIV/0!</v>
      </c>
      <c r="G28" s="644" t="e">
        <f t="shared" si="6"/>
        <v>#DIV/0!</v>
      </c>
      <c r="H28" s="240" t="e">
        <f t="shared" si="7"/>
        <v>#DIV/0!</v>
      </c>
      <c r="I28" s="241" t="e">
        <f t="shared" si="8"/>
        <v>#DIV/0!</v>
      </c>
      <c r="K28" s="219"/>
      <c r="L28" s="219"/>
      <c r="M28" s="219"/>
      <c r="N28" s="219"/>
    </row>
    <row r="29" spans="1:14" x14ac:dyDescent="0.2">
      <c r="A29" s="164"/>
      <c r="B29" s="170"/>
      <c r="C29" s="215" t="str">
        <f>'Technology split final demand'!C29</f>
        <v>Micro CHP (gas-fired)) (hot water)</v>
      </c>
      <c r="D29" s="242" t="e">
        <f>'Technology split final demand'!I29</f>
        <v>#DIV/0!</v>
      </c>
      <c r="E29" s="243" t="e">
        <f t="shared" si="5"/>
        <v>#DIV/0!</v>
      </c>
      <c r="F29" s="281">
        <f>technical_specs!P29</f>
        <v>0</v>
      </c>
      <c r="G29" s="644" t="e">
        <f t="shared" si="6"/>
        <v>#DIV/0!</v>
      </c>
      <c r="H29" s="240" t="e">
        <f t="shared" si="7"/>
        <v>#DIV/0!</v>
      </c>
      <c r="I29" s="241" t="e">
        <f t="shared" si="8"/>
        <v>#DIV/0!</v>
      </c>
      <c r="K29" s="219"/>
      <c r="L29" s="219"/>
      <c r="M29" s="219"/>
      <c r="N29" s="219"/>
    </row>
    <row r="30" spans="1:14" x14ac:dyDescent="0.2">
      <c r="A30" s="164"/>
      <c r="B30" s="171"/>
      <c r="C30" s="215" t="str">
        <f>'Technology split final demand'!C30</f>
        <v>District Heating (hot water)</v>
      </c>
      <c r="D30" s="242" t="e">
        <f>'Technology split final demand'!I30</f>
        <v>#DIV/0!</v>
      </c>
      <c r="E30" s="243" t="e">
        <f t="shared" si="5"/>
        <v>#DIV/0!</v>
      </c>
      <c r="F30" s="281">
        <f>technical_specs!P30</f>
        <v>0</v>
      </c>
      <c r="G30" s="644" t="e">
        <f t="shared" si="6"/>
        <v>#DIV/0!</v>
      </c>
      <c r="H30" s="240" t="e">
        <f t="shared" si="7"/>
        <v>#DIV/0!</v>
      </c>
      <c r="I30" s="241" t="e">
        <f t="shared" si="8"/>
        <v>#DIV/0!</v>
      </c>
      <c r="K30" s="219"/>
      <c r="L30" s="219"/>
      <c r="M30" s="219"/>
      <c r="N30" s="219"/>
    </row>
    <row r="31" spans="1:14" x14ac:dyDescent="0.2">
      <c r="A31" s="164"/>
      <c r="B31" s="171"/>
      <c r="C31" s="215" t="str">
        <f>'Technology split final demand'!C31</f>
        <v>electricity-driven Heat pump (air) (hot water)</v>
      </c>
      <c r="D31" s="242" t="e">
        <f>'Technology split final demand'!I31</f>
        <v>#DIV/0!</v>
      </c>
      <c r="E31" s="243" t="e">
        <f t="shared" si="5"/>
        <v>#DIV/0!</v>
      </c>
      <c r="F31" s="281" t="e">
        <f>technical_specs!P31</f>
        <v>#DIV/0!</v>
      </c>
      <c r="G31" s="644" t="e">
        <f t="shared" si="6"/>
        <v>#DIV/0!</v>
      </c>
      <c r="H31" s="240" t="e">
        <f t="shared" si="7"/>
        <v>#DIV/0!</v>
      </c>
      <c r="I31" s="241" t="e">
        <f t="shared" si="8"/>
        <v>#DIV/0!</v>
      </c>
      <c r="K31" s="219"/>
      <c r="L31" s="219"/>
      <c r="M31" s="219"/>
      <c r="N31" s="219"/>
    </row>
    <row r="32" spans="1:14" x14ac:dyDescent="0.2">
      <c r="A32" s="164"/>
      <c r="B32" s="171"/>
      <c r="C32" s="215" t="str">
        <f>'Technology split final demand'!C32</f>
        <v>woodpellets (biomass) heaters (hot water)</v>
      </c>
      <c r="D32" s="242" t="e">
        <f>'Technology split final demand'!I32</f>
        <v>#DIV/0!</v>
      </c>
      <c r="E32" s="243" t="e">
        <f t="shared" si="5"/>
        <v>#DIV/0!</v>
      </c>
      <c r="F32" s="281">
        <f>technical_specs!P32</f>
        <v>0</v>
      </c>
      <c r="G32" s="644" t="e">
        <f t="shared" si="6"/>
        <v>#DIV/0!</v>
      </c>
      <c r="H32" s="240" t="e">
        <f t="shared" si="7"/>
        <v>#DIV/0!</v>
      </c>
      <c r="I32" s="241" t="e">
        <f t="shared" si="8"/>
        <v>#DIV/0!</v>
      </c>
      <c r="K32" s="219"/>
      <c r="L32" s="219"/>
      <c r="M32" s="219"/>
      <c r="N32" s="219"/>
    </row>
    <row r="33" spans="1:14" x14ac:dyDescent="0.2">
      <c r="A33" s="164"/>
      <c r="B33" s="171"/>
      <c r="C33" s="215" t="str">
        <f>'Technology split final demand'!C33</f>
        <v>Electric Heaters (resistance) (hot water)</v>
      </c>
      <c r="D33" s="242" t="e">
        <f>'Technology split final demand'!I33</f>
        <v>#DIV/0!</v>
      </c>
      <c r="E33" s="243" t="e">
        <f t="shared" si="5"/>
        <v>#DIV/0!</v>
      </c>
      <c r="F33" s="281">
        <f>technical_specs!P33</f>
        <v>0</v>
      </c>
      <c r="G33" s="644" t="e">
        <f t="shared" si="6"/>
        <v>#DIV/0!</v>
      </c>
      <c r="H33" s="240" t="e">
        <f t="shared" si="7"/>
        <v>#DIV/0!</v>
      </c>
      <c r="I33" s="241" t="e">
        <f t="shared" si="8"/>
        <v>#DIV/0!</v>
      </c>
      <c r="K33" s="219"/>
      <c r="L33" s="219"/>
      <c r="M33" s="219"/>
      <c r="N33" s="219"/>
    </row>
    <row r="34" spans="1:14" x14ac:dyDescent="0.2">
      <c r="A34" s="164"/>
      <c r="B34" s="171"/>
      <c r="C34" s="215" t="str">
        <f>'Technology split final demand'!C34</f>
        <v>Gas-fired Heaters (hot water)</v>
      </c>
      <c r="D34" s="242" t="e">
        <f>'Technology split final demand'!I34</f>
        <v>#DIV/0!</v>
      </c>
      <c r="E34" s="243" t="e">
        <f t="shared" si="5"/>
        <v>#DIV/0!</v>
      </c>
      <c r="F34" s="281">
        <f>technical_specs!P34</f>
        <v>0</v>
      </c>
      <c r="G34" s="644" t="e">
        <f t="shared" si="6"/>
        <v>#DIV/0!</v>
      </c>
      <c r="H34" s="240" t="e">
        <f t="shared" si="7"/>
        <v>#DIV/0!</v>
      </c>
      <c r="I34" s="241" t="e">
        <f t="shared" si="8"/>
        <v>#DIV/0!</v>
      </c>
      <c r="K34" s="219"/>
      <c r="L34" s="219"/>
      <c r="M34" s="219"/>
      <c r="N34" s="219"/>
    </row>
    <row r="35" spans="1:14" x14ac:dyDescent="0.2">
      <c r="A35" s="164"/>
      <c r="B35" s="171"/>
      <c r="C35" s="215" t="str">
        <f>'Technology split final demand'!C35</f>
        <v>Oil-fired Heaters (hot water)</v>
      </c>
      <c r="D35" s="242" t="e">
        <f>'Technology split final demand'!I35</f>
        <v>#DIV/0!</v>
      </c>
      <c r="E35" s="243" t="e">
        <f t="shared" si="5"/>
        <v>#DIV/0!</v>
      </c>
      <c r="F35" s="281">
        <f>technical_specs!P35</f>
        <v>0</v>
      </c>
      <c r="G35" s="644" t="e">
        <f t="shared" si="6"/>
        <v>#DIV/0!</v>
      </c>
      <c r="H35" s="240" t="e">
        <f t="shared" si="7"/>
        <v>#DIV/0!</v>
      </c>
      <c r="I35" s="241" t="e">
        <f t="shared" si="8"/>
        <v>#DIV/0!</v>
      </c>
      <c r="K35" s="219"/>
      <c r="L35" s="219"/>
      <c r="M35" s="219"/>
      <c r="N35" s="219"/>
    </row>
    <row r="36" spans="1:14" x14ac:dyDescent="0.2">
      <c r="A36" s="164"/>
      <c r="B36" s="171"/>
      <c r="C36" s="215" t="str">
        <f>'Technology split final demand'!C36</f>
        <v>Coal-fired Heaters (hot water)</v>
      </c>
      <c r="D36" s="242" t="e">
        <f>'Technology split final demand'!I36</f>
        <v>#DIV/0!</v>
      </c>
      <c r="E36" s="243" t="e">
        <f t="shared" si="5"/>
        <v>#DIV/0!</v>
      </c>
      <c r="F36" s="281">
        <f>technical_specs!P36</f>
        <v>0</v>
      </c>
      <c r="G36" s="644" t="e">
        <f t="shared" si="6"/>
        <v>#DIV/0!</v>
      </c>
      <c r="H36" s="240" t="e">
        <f t="shared" si="7"/>
        <v>#DIV/0!</v>
      </c>
      <c r="I36" s="241" t="e">
        <f t="shared" si="8"/>
        <v>#DIV/0!</v>
      </c>
      <c r="K36" s="219"/>
      <c r="L36" s="219"/>
      <c r="M36" s="219"/>
      <c r="N36" s="219"/>
    </row>
    <row r="37" spans="1:14" x14ac:dyDescent="0.2">
      <c r="A37" s="164"/>
      <c r="B37" s="171"/>
      <c r="C37" s="17" t="str">
        <f>'Technology split final demand'!C37</f>
        <v>Fuel Cell (hot water)</v>
      </c>
      <c r="D37" s="281" t="e">
        <f>'Technology split final demand'!I37</f>
        <v>#DIV/0!</v>
      </c>
      <c r="E37" s="282" t="e">
        <f t="shared" si="5"/>
        <v>#DIV/0!</v>
      </c>
      <c r="F37" s="281">
        <f>technical_specs!P37</f>
        <v>0</v>
      </c>
      <c r="G37" s="644" t="e">
        <f t="shared" si="6"/>
        <v>#DIV/0!</v>
      </c>
      <c r="H37" s="240" t="e">
        <f t="shared" si="7"/>
        <v>#DIV/0!</v>
      </c>
      <c r="I37" s="241" t="e">
        <f t="shared" si="8"/>
        <v>#DIV/0!</v>
      </c>
      <c r="K37" s="219"/>
      <c r="L37" s="219"/>
      <c r="M37" s="219"/>
      <c r="N37" s="219"/>
    </row>
    <row r="38" spans="1:14" x14ac:dyDescent="0.2">
      <c r="A38" s="164"/>
      <c r="B38" s="171"/>
      <c r="C38" s="215" t="str">
        <f>'Technology split final demand'!C38</f>
        <v>Hybrid heatpump, heatpump part (hot water)</v>
      </c>
      <c r="D38" s="242" t="e">
        <f>'Technology split final demand'!I38</f>
        <v>#DIV/0!</v>
      </c>
      <c r="E38" s="243" t="e">
        <f t="shared" ref="E38:E39" si="9">Final_demand_hot_water*D38</f>
        <v>#DIV/0!</v>
      </c>
      <c r="F38" s="281" t="e">
        <f>technical_specs!P38</f>
        <v>#DIV/0!</v>
      </c>
      <c r="G38" s="644" t="e">
        <f t="shared" si="6"/>
        <v>#DIV/0!</v>
      </c>
      <c r="H38" s="240" t="e">
        <f>G38+G39</f>
        <v>#DIV/0!</v>
      </c>
      <c r="I38" s="241" t="e">
        <f t="shared" si="8"/>
        <v>#DIV/0!</v>
      </c>
      <c r="K38" s="219"/>
      <c r="L38" s="219"/>
      <c r="M38" s="219"/>
      <c r="N38" s="219"/>
    </row>
    <row r="39" spans="1:14" x14ac:dyDescent="0.2">
      <c r="A39" s="164"/>
      <c r="B39" s="171"/>
      <c r="C39" s="45" t="str">
        <f>'Technology split final demand'!C39</f>
        <v>Hybrid heatpump, gas part (hot water)</v>
      </c>
      <c r="D39" s="283" t="e">
        <f>'Technology split final demand'!I39</f>
        <v>#DIV/0!</v>
      </c>
      <c r="E39" s="284" t="e">
        <f t="shared" si="9"/>
        <v>#DIV/0!</v>
      </c>
      <c r="F39" s="283">
        <f>technical_specs!P39</f>
        <v>0</v>
      </c>
      <c r="G39" s="645" t="e">
        <f t="shared" si="6"/>
        <v>#DIV/0!</v>
      </c>
      <c r="H39" s="286" t="e">
        <f>G38+G39</f>
        <v>#DIV/0!</v>
      </c>
      <c r="I39" s="287" t="e">
        <f t="shared" si="8"/>
        <v>#DIV/0!</v>
      </c>
      <c r="K39" s="219"/>
      <c r="L39" s="219"/>
      <c r="M39" s="219"/>
      <c r="N39" s="219"/>
    </row>
    <row r="40" spans="1:14" x14ac:dyDescent="0.2">
      <c r="A40" s="164"/>
      <c r="B40" s="528"/>
      <c r="C40" s="8"/>
      <c r="D40" s="511"/>
      <c r="E40" s="512"/>
      <c r="F40" s="512"/>
      <c r="G40" s="647"/>
      <c r="H40" s="513"/>
      <c r="I40" s="280"/>
      <c r="K40" s="219"/>
      <c r="L40" s="219"/>
      <c r="M40" s="219"/>
      <c r="N40" s="219"/>
    </row>
    <row r="41" spans="1:14" x14ac:dyDescent="0.2">
      <c r="A41" s="164"/>
      <c r="B41" s="529"/>
      <c r="C41" s="530"/>
      <c r="D41" s="531"/>
      <c r="E41" s="531"/>
      <c r="F41" s="531"/>
      <c r="G41" s="648"/>
      <c r="H41" s="532"/>
      <c r="I41" s="533"/>
      <c r="K41" s="219"/>
      <c r="L41" s="219"/>
      <c r="M41" s="219"/>
      <c r="N41" s="219"/>
    </row>
    <row r="42" spans="1:14" x14ac:dyDescent="0.2">
      <c r="A42" s="164"/>
      <c r="B42" s="174" t="s">
        <v>89</v>
      </c>
      <c r="C42" s="288"/>
      <c r="D42" s="289"/>
      <c r="E42" s="289"/>
      <c r="F42" s="289"/>
      <c r="G42" s="649"/>
      <c r="H42" s="290"/>
      <c r="I42" s="291"/>
      <c r="K42" s="219"/>
      <c r="L42" s="219"/>
      <c r="M42" s="219"/>
      <c r="N42" s="219"/>
    </row>
    <row r="43" spans="1:14" x14ac:dyDescent="0.2">
      <c r="A43" s="164"/>
      <c r="B43" s="171"/>
      <c r="C43" s="215" t="str">
        <f>'Technology split final demand'!C42</f>
        <v>Electric heat pump ground</v>
      </c>
      <c r="D43" s="242" t="e">
        <f>'Technology split final demand'!I42</f>
        <v>#DIV/0!</v>
      </c>
      <c r="E43" s="243" t="e">
        <f>Final_demand_cooling*D43</f>
        <v>#DIV/0!</v>
      </c>
      <c r="F43" s="281" t="e">
        <f>technical_specs!P42</f>
        <v>#DIV/0!</v>
      </c>
      <c r="G43" s="644" t="e">
        <f>F43*E43</f>
        <v>#DIV/0!</v>
      </c>
      <c r="H43" s="240" t="e">
        <f>G43</f>
        <v>#DIV/0!</v>
      </c>
      <c r="I43" s="241" t="e">
        <f>H43/SUM($H$43:$H$45)</f>
        <v>#DIV/0!</v>
      </c>
      <c r="K43" s="219"/>
      <c r="L43" s="219"/>
      <c r="M43" s="219"/>
      <c r="N43" s="219"/>
    </row>
    <row r="44" spans="1:14" x14ac:dyDescent="0.2">
      <c r="A44" s="164"/>
      <c r="B44" s="171"/>
      <c r="C44" s="215" t="str">
        <f>'Technology split final demand'!C43</f>
        <v>Electric heat pump air</v>
      </c>
      <c r="D44" s="242" t="e">
        <f>'Technology split final demand'!I43</f>
        <v>#DIV/0!</v>
      </c>
      <c r="E44" s="243" t="e">
        <f>Final_demand_cooling*D44</f>
        <v>#DIV/0!</v>
      </c>
      <c r="F44" s="281" t="e">
        <f>technical_specs!P43</f>
        <v>#DIV/0!</v>
      </c>
      <c r="G44" s="644" t="e">
        <f t="shared" ref="G44:G45" si="10">F44*E44</f>
        <v>#DIV/0!</v>
      </c>
      <c r="H44" s="240" t="e">
        <f t="shared" ref="H44:H45" si="11">G44</f>
        <v>#DIV/0!</v>
      </c>
      <c r="I44" s="241" t="e">
        <f t="shared" ref="I44:I45" si="12">H44/SUM($H$43:$H$45)</f>
        <v>#DIV/0!</v>
      </c>
      <c r="K44" s="219"/>
      <c r="L44" s="219"/>
      <c r="M44" s="219"/>
      <c r="N44" s="219"/>
    </row>
    <row r="45" spans="1:14" x14ac:dyDescent="0.2">
      <c r="A45" s="164"/>
      <c r="B45" s="171"/>
      <c r="C45" s="45" t="str">
        <f>'Technology split final demand'!C44</f>
        <v>Conventional electric airconditioning</v>
      </c>
      <c r="D45" s="283" t="e">
        <f>'Technology split final demand'!I44</f>
        <v>#DIV/0!</v>
      </c>
      <c r="E45" s="284" t="e">
        <f>Final_demand_cooling*D45</f>
        <v>#DIV/0!</v>
      </c>
      <c r="F45" s="283" t="e">
        <f>technical_specs!P44</f>
        <v>#DIV/0!</v>
      </c>
      <c r="G45" s="644" t="e">
        <f t="shared" si="10"/>
        <v>#DIV/0!</v>
      </c>
      <c r="H45" s="240" t="e">
        <f t="shared" si="11"/>
        <v>#DIV/0!</v>
      </c>
      <c r="I45" s="287" t="e">
        <f t="shared" si="12"/>
        <v>#DIV/0!</v>
      </c>
      <c r="K45" s="219"/>
      <c r="L45" s="219"/>
      <c r="M45" s="219"/>
      <c r="N45" s="219"/>
    </row>
    <row r="46" spans="1:14" x14ac:dyDescent="0.2">
      <c r="A46" s="164"/>
      <c r="B46" s="171"/>
      <c r="C46" s="4"/>
      <c r="D46" s="520"/>
      <c r="E46" s="521"/>
      <c r="F46" s="520"/>
      <c r="G46" s="650"/>
      <c r="H46" s="522"/>
      <c r="I46" s="523"/>
      <c r="K46" s="219"/>
      <c r="L46" s="219"/>
      <c r="M46" s="219"/>
      <c r="N46" s="219"/>
    </row>
    <row r="47" spans="1:14" x14ac:dyDescent="0.2">
      <c r="A47" s="164"/>
      <c r="B47" s="172"/>
      <c r="C47" s="524"/>
      <c r="D47" s="525"/>
      <c r="E47" s="525"/>
      <c r="F47" s="525"/>
      <c r="G47" s="651"/>
      <c r="H47" s="526"/>
      <c r="I47" s="527"/>
      <c r="K47" s="219"/>
      <c r="L47" s="219"/>
      <c r="M47" s="219"/>
      <c r="N47" s="219"/>
    </row>
    <row r="48" spans="1:14" x14ac:dyDescent="0.2">
      <c r="A48" s="164"/>
      <c r="B48" s="170" t="s">
        <v>281</v>
      </c>
      <c r="C48" s="288"/>
      <c r="D48" s="289"/>
      <c r="E48" s="289"/>
      <c r="F48" s="289"/>
      <c r="G48" s="649"/>
      <c r="H48" s="290"/>
      <c r="I48" s="291"/>
      <c r="K48" s="219"/>
      <c r="L48" s="219"/>
      <c r="M48" s="219"/>
      <c r="N48" s="219"/>
    </row>
    <row r="49" spans="1:14" x14ac:dyDescent="0.2">
      <c r="A49" s="164"/>
      <c r="B49" s="170"/>
      <c r="C49" s="215" t="str">
        <f>'Technology split final demand'!C47</f>
        <v>Gas stoves</v>
      </c>
      <c r="D49" s="242" t="e">
        <f>'Technology split final demand'!I47</f>
        <v>#DIV/0!</v>
      </c>
      <c r="E49" s="243" t="e">
        <f>Final_demand_cooking*D49</f>
        <v>#DIV/0!</v>
      </c>
      <c r="F49" s="281">
        <f>technical_specs!P47</f>
        <v>0</v>
      </c>
      <c r="G49" s="644" t="e">
        <f>F49*E49</f>
        <v>#DIV/0!</v>
      </c>
      <c r="H49" s="240" t="e">
        <f>G49</f>
        <v>#DIV/0!</v>
      </c>
      <c r="I49" s="241" t="e">
        <f>H49/SUM($H$49:$H$53)</f>
        <v>#DIV/0!</v>
      </c>
      <c r="K49" s="219"/>
      <c r="L49" s="219"/>
      <c r="M49" s="219"/>
      <c r="N49" s="219"/>
    </row>
    <row r="50" spans="1:14" x14ac:dyDescent="0.2">
      <c r="A50" s="164"/>
      <c r="B50" s="170"/>
      <c r="C50" s="215" t="str">
        <f>'Technology split final demand'!C48</f>
        <v>Electric stoves (resistance)</v>
      </c>
      <c r="D50" s="242" t="e">
        <f>'Technology split final demand'!I48</f>
        <v>#DIV/0!</v>
      </c>
      <c r="E50" s="243" t="e">
        <f>Final_demand_cooking*D50</f>
        <v>#DIV/0!</v>
      </c>
      <c r="F50" s="281">
        <f>technical_specs!P48</f>
        <v>0</v>
      </c>
      <c r="G50" s="644" t="e">
        <f t="shared" ref="G50:G53" si="13">F50*E50</f>
        <v>#DIV/0!</v>
      </c>
      <c r="H50" s="240" t="e">
        <f t="shared" ref="H50:H53" si="14">G50</f>
        <v>#DIV/0!</v>
      </c>
      <c r="I50" s="241" t="e">
        <f t="shared" ref="I50:I52" si="15">H50/SUM($H$49:$H$53)</f>
        <v>#DIV/0!</v>
      </c>
      <c r="K50" s="219"/>
      <c r="L50" s="219"/>
      <c r="M50" s="219"/>
      <c r="N50" s="219"/>
    </row>
    <row r="51" spans="1:14" x14ac:dyDescent="0.2">
      <c r="A51" s="164"/>
      <c r="B51" s="170"/>
      <c r="C51" s="215" t="str">
        <f>'Technology split final demand'!C49</f>
        <v>Electric halogen stoves</v>
      </c>
      <c r="D51" s="242" t="e">
        <f>'Technology split final demand'!I49</f>
        <v>#DIV/0!</v>
      </c>
      <c r="E51" s="243" t="e">
        <f>Final_demand_cooking*D51</f>
        <v>#DIV/0!</v>
      </c>
      <c r="F51" s="281">
        <f>technical_specs!P49</f>
        <v>0</v>
      </c>
      <c r="G51" s="644" t="e">
        <f t="shared" si="13"/>
        <v>#DIV/0!</v>
      </c>
      <c r="H51" s="240" t="e">
        <f t="shared" si="14"/>
        <v>#DIV/0!</v>
      </c>
      <c r="I51" s="241" t="e">
        <f t="shared" si="15"/>
        <v>#DIV/0!</v>
      </c>
      <c r="K51" s="219"/>
      <c r="L51" s="219"/>
      <c r="M51" s="219"/>
      <c r="N51" s="219"/>
    </row>
    <row r="52" spans="1:14" x14ac:dyDescent="0.2">
      <c r="A52" s="164"/>
      <c r="B52" s="170"/>
      <c r="C52" s="215" t="str">
        <f>'Technology split final demand'!C50</f>
        <v>Electric induction stoves</v>
      </c>
      <c r="D52" s="242" t="e">
        <f>'Technology split final demand'!I50</f>
        <v>#DIV/0!</v>
      </c>
      <c r="E52" s="243" t="e">
        <f>Final_demand_cooking*D52</f>
        <v>#DIV/0!</v>
      </c>
      <c r="F52" s="281">
        <f>technical_specs!P50</f>
        <v>0</v>
      </c>
      <c r="G52" s="644" t="e">
        <f t="shared" si="13"/>
        <v>#DIV/0!</v>
      </c>
      <c r="H52" s="240" t="e">
        <f t="shared" si="14"/>
        <v>#DIV/0!</v>
      </c>
      <c r="I52" s="241" t="e">
        <f t="shared" si="15"/>
        <v>#DIV/0!</v>
      </c>
      <c r="K52" s="219"/>
      <c r="L52" s="219"/>
      <c r="M52" s="219"/>
      <c r="N52" s="219"/>
    </row>
    <row r="53" spans="1:14" x14ac:dyDescent="0.2">
      <c r="A53" s="164"/>
      <c r="B53" s="171"/>
      <c r="C53" s="45" t="str">
        <f>'Technology split final demand'!C51</f>
        <v>Biomass stoves</v>
      </c>
      <c r="D53" s="283" t="e">
        <f>'Technology split final demand'!I51</f>
        <v>#DIV/0!</v>
      </c>
      <c r="E53" s="284" t="e">
        <f>Final_demand_cooking*D53</f>
        <v>#DIV/0!</v>
      </c>
      <c r="F53" s="283">
        <f>technical_specs!P51</f>
        <v>0</v>
      </c>
      <c r="G53" s="644" t="e">
        <f t="shared" si="13"/>
        <v>#DIV/0!</v>
      </c>
      <c r="H53" s="240" t="e">
        <f t="shared" si="14"/>
        <v>#DIV/0!</v>
      </c>
      <c r="I53" s="287" t="e">
        <f>H53/SUM($H$49:$H$53)</f>
        <v>#DIV/0!</v>
      </c>
      <c r="K53" s="219"/>
      <c r="L53" s="219"/>
      <c r="M53" s="219"/>
      <c r="N53" s="219"/>
    </row>
    <row r="54" spans="1:14" x14ac:dyDescent="0.2">
      <c r="A54" s="164"/>
      <c r="B54" s="171"/>
      <c r="C54" s="4"/>
      <c r="D54" s="520"/>
      <c r="E54" s="521"/>
      <c r="F54" s="520"/>
      <c r="G54" s="650"/>
      <c r="H54" s="522"/>
      <c r="I54" s="523"/>
      <c r="K54" s="219"/>
      <c r="L54" s="219"/>
      <c r="M54" s="219"/>
      <c r="N54" s="219"/>
    </row>
    <row r="55" spans="1:14" x14ac:dyDescent="0.2">
      <c r="A55" s="164"/>
      <c r="B55" s="175"/>
      <c r="C55" s="516"/>
      <c r="D55" s="517"/>
      <c r="E55" s="517"/>
      <c r="F55" s="517"/>
      <c r="G55" s="652"/>
      <c r="H55" s="518"/>
      <c r="I55" s="519"/>
      <c r="K55" s="219"/>
      <c r="L55" s="219"/>
      <c r="M55" s="219"/>
      <c r="N55" s="219"/>
    </row>
    <row r="56" spans="1:14" x14ac:dyDescent="0.2">
      <c r="A56" s="164"/>
      <c r="B56" s="176" t="s">
        <v>76</v>
      </c>
      <c r="C56" s="288"/>
      <c r="D56" s="289"/>
      <c r="E56" s="289"/>
      <c r="F56" s="289"/>
      <c r="G56" s="649"/>
      <c r="H56" s="290"/>
      <c r="I56" s="291"/>
      <c r="K56" s="219"/>
      <c r="L56" s="219"/>
      <c r="M56" s="219"/>
      <c r="N56" s="219"/>
    </row>
    <row r="57" spans="1:14" x14ac:dyDescent="0.2">
      <c r="A57" s="164"/>
      <c r="B57" s="171"/>
      <c r="C57" s="215" t="str">
        <f>'Technology split final demand'!C54</f>
        <v>Incandescent lamps</v>
      </c>
      <c r="D57" s="242" t="e">
        <f>'Technology split final demand'!I54</f>
        <v>#DIV/0!</v>
      </c>
      <c r="E57" s="243" t="e">
        <f>Final_demand_lighting*D57</f>
        <v>#DIV/0!</v>
      </c>
      <c r="F57" s="281">
        <f>technical_specs!P54</f>
        <v>0</v>
      </c>
      <c r="G57" s="644" t="e">
        <f>F57*E57</f>
        <v>#DIV/0!</v>
      </c>
      <c r="H57" s="240" t="e">
        <f>G57</f>
        <v>#DIV/0!</v>
      </c>
      <c r="I57" s="241" t="e">
        <f>H57/SUM($H$57:$H$59)</f>
        <v>#DIV/0!</v>
      </c>
      <c r="K57" s="219"/>
      <c r="L57" s="219"/>
      <c r="M57" s="219"/>
      <c r="N57" s="219"/>
    </row>
    <row r="58" spans="1:14" x14ac:dyDescent="0.2">
      <c r="A58" s="164"/>
      <c r="B58" s="171"/>
      <c r="C58" s="215" t="str">
        <f>'Technology split final demand'!C55</f>
        <v>Low energy light bulbs / fluorescent lighting</v>
      </c>
      <c r="D58" s="242" t="e">
        <f>'Technology split final demand'!I55</f>
        <v>#DIV/0!</v>
      </c>
      <c r="E58" s="243" t="e">
        <f>Final_demand_lighting*D58</f>
        <v>#DIV/0!</v>
      </c>
      <c r="F58" s="281">
        <f>technical_specs!P55</f>
        <v>0</v>
      </c>
      <c r="G58" s="644" t="e">
        <f t="shared" ref="G58:G59" si="16">F58*E58</f>
        <v>#DIV/0!</v>
      </c>
      <c r="H58" s="240" t="e">
        <f t="shared" ref="H58:H59" si="17">G58</f>
        <v>#DIV/0!</v>
      </c>
      <c r="I58" s="241" t="e">
        <f>H58/SUM($H$57:$H$59)</f>
        <v>#DIV/0!</v>
      </c>
      <c r="K58" s="219"/>
      <c r="L58" s="219"/>
      <c r="M58" s="219"/>
      <c r="N58" s="219"/>
    </row>
    <row r="59" spans="1:14" x14ac:dyDescent="0.2">
      <c r="A59" s="164"/>
      <c r="B59" s="171"/>
      <c r="C59" s="45" t="str">
        <f>'Technology split final demand'!C56</f>
        <v>LED lamps</v>
      </c>
      <c r="D59" s="283" t="e">
        <f>'Technology split final demand'!I56</f>
        <v>#DIV/0!</v>
      </c>
      <c r="E59" s="284" t="e">
        <f>Final_demand_lighting*D59</f>
        <v>#DIV/0!</v>
      </c>
      <c r="F59" s="283">
        <f>technical_specs!P56</f>
        <v>0</v>
      </c>
      <c r="G59" s="645" t="e">
        <f t="shared" si="16"/>
        <v>#DIV/0!</v>
      </c>
      <c r="H59" s="286" t="e">
        <f t="shared" si="17"/>
        <v>#DIV/0!</v>
      </c>
      <c r="I59" s="287" t="e">
        <f>H59/SUM($H$57:$H$59)</f>
        <v>#DIV/0!</v>
      </c>
      <c r="K59" s="219"/>
      <c r="L59" s="219"/>
      <c r="M59" s="219"/>
      <c r="N59" s="219"/>
    </row>
    <row r="60" spans="1:14" x14ac:dyDescent="0.2">
      <c r="A60" s="164"/>
      <c r="B60" s="171"/>
      <c r="C60" s="8"/>
      <c r="D60" s="511"/>
      <c r="E60" s="512"/>
      <c r="F60" s="511"/>
      <c r="G60" s="647"/>
      <c r="H60" s="513"/>
      <c r="I60" s="280"/>
      <c r="K60" s="219"/>
      <c r="L60" s="219"/>
      <c r="M60" s="219"/>
      <c r="N60" s="219"/>
    </row>
    <row r="61" spans="1:14" ht="17" thickBot="1" x14ac:dyDescent="0.25">
      <c r="A61" s="164"/>
      <c r="B61" s="80"/>
      <c r="C61" s="514"/>
      <c r="D61" s="514"/>
      <c r="E61" s="514"/>
      <c r="F61" s="514"/>
      <c r="G61" s="653"/>
      <c r="H61" s="514"/>
      <c r="I61" s="515"/>
      <c r="K61" s="219"/>
      <c r="L61" s="219"/>
      <c r="M61" s="219"/>
      <c r="N61" s="219"/>
    </row>
    <row r="62" spans="1:14" x14ac:dyDescent="0.2">
      <c r="A62" s="164"/>
      <c r="B62" s="164"/>
      <c r="C62" s="164"/>
      <c r="D62" s="164"/>
      <c r="E62" s="164"/>
      <c r="H62" s="164"/>
      <c r="I62" s="164"/>
      <c r="K62" s="219"/>
      <c r="L62" s="219"/>
      <c r="M62" s="219"/>
      <c r="N62" s="219"/>
    </row>
    <row r="63" spans="1:14" x14ac:dyDescent="0.2">
      <c r="A63" s="164"/>
      <c r="B63" s="164"/>
      <c r="C63" s="164"/>
      <c r="D63" s="164"/>
      <c r="E63" s="164"/>
      <c r="F63" s="242"/>
      <c r="G63" s="242"/>
      <c r="H63" s="164"/>
      <c r="I63" s="164"/>
      <c r="K63" s="219"/>
      <c r="L63" s="219"/>
      <c r="M63" s="219"/>
      <c r="N63" s="219"/>
    </row>
    <row r="64" spans="1:14" x14ac:dyDescent="0.2">
      <c r="A64" s="164"/>
      <c r="B64" s="164"/>
      <c r="C64" s="164"/>
      <c r="D64" s="164"/>
      <c r="E64" s="164"/>
      <c r="F64" s="164"/>
      <c r="G64" s="164"/>
      <c r="H64" s="164"/>
      <c r="I64" s="164"/>
      <c r="K64" s="219"/>
      <c r="L64" s="219"/>
      <c r="M64" s="219"/>
      <c r="N64" s="219"/>
    </row>
    <row r="65" spans="1:9" x14ac:dyDescent="0.2">
      <c r="A65" s="164"/>
      <c r="B65" s="164"/>
      <c r="C65" s="164"/>
      <c r="D65" s="164"/>
      <c r="E65" s="164"/>
      <c r="F65" s="242"/>
      <c r="G65" s="242"/>
      <c r="H65" s="164"/>
      <c r="I65" s="164"/>
    </row>
    <row r="66" spans="1:9" x14ac:dyDescent="0.2">
      <c r="A66" s="164"/>
      <c r="B66" s="164"/>
      <c r="C66" s="164"/>
      <c r="D66" s="164"/>
      <c r="E66" s="164"/>
      <c r="F66" s="164"/>
      <c r="G66" s="164"/>
      <c r="H66" s="164"/>
      <c r="I66" s="164"/>
    </row>
    <row r="67" spans="1:9" x14ac:dyDescent="0.2">
      <c r="A67" s="164"/>
      <c r="B67" s="164"/>
      <c r="C67" s="164"/>
      <c r="D67" s="164"/>
      <c r="E67" s="164"/>
      <c r="F67" s="164"/>
      <c r="G67" s="164"/>
      <c r="H67" s="164"/>
      <c r="I67" s="164"/>
    </row>
    <row r="68" spans="1:9" x14ac:dyDescent="0.2">
      <c r="A68" s="164"/>
      <c r="B68" s="164"/>
      <c r="C68" s="164"/>
      <c r="D68" s="164"/>
      <c r="E68" s="164"/>
      <c r="F68" s="164"/>
      <c r="G68" s="164"/>
      <c r="H68" s="164"/>
      <c r="I68" s="164"/>
    </row>
  </sheetData>
  <mergeCells count="1">
    <mergeCell ref="B5:D5"/>
  </mergeCells>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481</v>
      </c>
    </row>
    <row r="2" spans="1:2" x14ac:dyDescent="0.2">
      <c r="A2" t="s">
        <v>527</v>
      </c>
      <c r="B2" t="s">
        <v>528</v>
      </c>
    </row>
    <row r="3" spans="1:2" x14ac:dyDescent="0.2">
      <c r="A3" t="s">
        <v>234</v>
      </c>
      <c r="B3" s="190" t="e">
        <f>'Application Shares'!E9</f>
        <v>#DIV/0!</v>
      </c>
    </row>
    <row r="4" spans="1:2" x14ac:dyDescent="0.2">
      <c r="A4" t="s">
        <v>235</v>
      </c>
      <c r="B4" s="190" t="e">
        <f>'Application Shares'!E10</f>
        <v>#DIV/0!</v>
      </c>
    </row>
  </sheetData>
  <sortState ref="A2:A16">
    <sortCondition ref="A2"/>
  </sortState>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482</v>
      </c>
    </row>
    <row r="2" spans="1:2" x14ac:dyDescent="0.2">
      <c r="A2" t="s">
        <v>527</v>
      </c>
      <c r="B2" t="s">
        <v>528</v>
      </c>
    </row>
    <row r="3" spans="1:2" x14ac:dyDescent="0.2">
      <c r="A3" t="s">
        <v>236</v>
      </c>
      <c r="B3" s="190" t="e">
        <f>'Application Shares'!E13</f>
        <v>#DIV/0!</v>
      </c>
    </row>
    <row r="4" spans="1:2" x14ac:dyDescent="0.2">
      <c r="A4" t="s">
        <v>237</v>
      </c>
      <c r="B4" s="190" t="e">
        <f>'Application Shares'!E14</f>
        <v>#DIV/0!</v>
      </c>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6" x14ac:dyDescent="0.2"/>
  <cols>
    <col min="1" max="1" width="51.1640625" bestFit="1" customWidth="1"/>
    <col min="2" max="2" width="17" customWidth="1"/>
  </cols>
  <sheetData>
    <row r="1" spans="1:2" x14ac:dyDescent="0.2">
      <c r="A1" t="s">
        <v>483</v>
      </c>
    </row>
    <row r="2" spans="1:2" x14ac:dyDescent="0.2">
      <c r="A2" t="s">
        <v>527</v>
      </c>
      <c r="B2" t="s">
        <v>528</v>
      </c>
    </row>
    <row r="3" spans="1:2" x14ac:dyDescent="0.2">
      <c r="A3" t="s">
        <v>402</v>
      </c>
      <c r="B3" s="190" t="e">
        <f>'Application Shares'!E20</f>
        <v>#DIV/0!</v>
      </c>
    </row>
    <row r="4" spans="1:2" x14ac:dyDescent="0.2">
      <c r="A4" t="s">
        <v>240</v>
      </c>
      <c r="B4" s="190" t="e">
        <f>'Application Shares'!E19</f>
        <v>#DIV/0!</v>
      </c>
    </row>
    <row r="5" spans="1:2" x14ac:dyDescent="0.2">
      <c r="A5" t="s">
        <v>239</v>
      </c>
      <c r="B5" s="190" t="e">
        <f>'Application Shares'!E18</f>
        <v>#DIV/0!</v>
      </c>
    </row>
    <row r="6" spans="1:2" x14ac:dyDescent="0.2">
      <c r="A6" t="s">
        <v>238</v>
      </c>
      <c r="B6" s="190" t="e">
        <f>'Application Shares'!E17</f>
        <v>#DIV/0!</v>
      </c>
    </row>
    <row r="25" spans="3:3" x14ac:dyDescent="0.2">
      <c r="C25" s="143"/>
    </row>
    <row r="26" spans="3:3" x14ac:dyDescent="0.2">
      <c r="C26" s="143"/>
    </row>
    <row r="27" spans="3:3" x14ac:dyDescent="0.2">
      <c r="C27" s="143"/>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6" x14ac:dyDescent="0.2"/>
  <cols>
    <col min="1" max="1" width="50" bestFit="1" customWidth="1"/>
    <col min="2" max="2" width="14.83203125" bestFit="1" customWidth="1"/>
  </cols>
  <sheetData>
    <row r="1" spans="1:2" x14ac:dyDescent="0.2">
      <c r="A1" t="s">
        <v>502</v>
      </c>
    </row>
    <row r="2" spans="1:2" x14ac:dyDescent="0.2">
      <c r="A2" t="s">
        <v>527</v>
      </c>
      <c r="B2" t="s">
        <v>528</v>
      </c>
    </row>
    <row r="3" spans="1:2" x14ac:dyDescent="0.2">
      <c r="A3" t="s">
        <v>501</v>
      </c>
      <c r="B3" s="190" t="e">
        <f>'Application Shares'!E23</f>
        <v>#DIV/0!</v>
      </c>
    </row>
    <row r="4" spans="1:2" x14ac:dyDescent="0.2">
      <c r="A4" t="s">
        <v>503</v>
      </c>
      <c r="B4" s="190" t="e">
        <f>'Application Shares'!E24</f>
        <v>#DIV/0!</v>
      </c>
    </row>
    <row r="5" spans="1:2" x14ac:dyDescent="0.2">
      <c r="A5" t="s">
        <v>504</v>
      </c>
      <c r="B5" s="190" t="e">
        <f>'Application Shares'!E25</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6" x14ac:dyDescent="0.2"/>
  <cols>
    <col min="1" max="1" width="50" bestFit="1" customWidth="1"/>
    <col min="2" max="2" width="14.5" bestFit="1" customWidth="1"/>
  </cols>
  <sheetData>
    <row r="1" spans="1:2" x14ac:dyDescent="0.2">
      <c r="A1" t="s">
        <v>484</v>
      </c>
    </row>
    <row r="2" spans="1:2" x14ac:dyDescent="0.2">
      <c r="A2" t="s">
        <v>527</v>
      </c>
      <c r="B2" t="s">
        <v>528</v>
      </c>
    </row>
    <row r="3" spans="1:2" x14ac:dyDescent="0.2">
      <c r="A3" t="s">
        <v>244</v>
      </c>
      <c r="B3" s="190" t="e">
        <f>'Application Shares'!E33</f>
        <v>#DIV/0!</v>
      </c>
    </row>
    <row r="4" spans="1:2" x14ac:dyDescent="0.2">
      <c r="A4" t="s">
        <v>241</v>
      </c>
      <c r="B4" s="190" t="e">
        <f>'Application Shares'!E28</f>
        <v>#DIV/0!</v>
      </c>
    </row>
    <row r="5" spans="1:2" x14ac:dyDescent="0.2">
      <c r="A5" t="s">
        <v>242</v>
      </c>
      <c r="B5" s="190" t="e">
        <f>'Application Shares'!E29</f>
        <v>#DIV/0!</v>
      </c>
    </row>
    <row r="6" spans="1:2" x14ac:dyDescent="0.2">
      <c r="A6" t="s">
        <v>243</v>
      </c>
      <c r="B6" s="190" t="e">
        <f>'Application Shares'!E30</f>
        <v>#DIV/0!</v>
      </c>
    </row>
    <row r="7" spans="1:2" x14ac:dyDescent="0.2">
      <c r="A7" t="s">
        <v>245</v>
      </c>
      <c r="B7" s="190" t="e">
        <f>'Application Shares'!E31</f>
        <v>#DIV/0!</v>
      </c>
    </row>
    <row r="8" spans="1:2" x14ac:dyDescent="0.2">
      <c r="A8" t="s">
        <v>246</v>
      </c>
      <c r="B8" s="190" t="e">
        <f>'Application Shares'!E32</f>
        <v>#DIV/0!</v>
      </c>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6" x14ac:dyDescent="0.2"/>
  <cols>
    <col min="1" max="1" width="54.33203125" bestFit="1" customWidth="1"/>
    <col min="2" max="2" width="14.5" bestFit="1" customWidth="1"/>
  </cols>
  <sheetData>
    <row r="1" spans="1:3" x14ac:dyDescent="0.2">
      <c r="A1" t="s">
        <v>485</v>
      </c>
    </row>
    <row r="2" spans="1:3" x14ac:dyDescent="0.2">
      <c r="A2" t="s">
        <v>527</v>
      </c>
      <c r="B2" t="s">
        <v>528</v>
      </c>
    </row>
    <row r="3" spans="1:3" x14ac:dyDescent="0.2">
      <c r="A3" t="s">
        <v>248</v>
      </c>
      <c r="B3" s="190" t="e">
        <f>'Application Shares'!E37</f>
        <v>#DIV/0!</v>
      </c>
    </row>
    <row r="4" spans="1:3" x14ac:dyDescent="0.2">
      <c r="A4" t="s">
        <v>247</v>
      </c>
      <c r="B4" s="190" t="e">
        <f>'Application Shares'!E36</f>
        <v>#DIV/0!</v>
      </c>
    </row>
    <row r="9" spans="1:3" x14ac:dyDescent="0.2">
      <c r="C9" s="143"/>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6" x14ac:dyDescent="0.2"/>
  <cols>
    <col min="1" max="1" width="63.33203125" customWidth="1"/>
    <col min="2" max="2" width="14.83203125" bestFit="1" customWidth="1"/>
  </cols>
  <sheetData>
    <row r="1" spans="1:2" x14ac:dyDescent="0.2">
      <c r="A1" t="s">
        <v>486</v>
      </c>
    </row>
    <row r="2" spans="1:2" x14ac:dyDescent="0.2">
      <c r="A2" t="s">
        <v>527</v>
      </c>
      <c r="B2" t="s">
        <v>528</v>
      </c>
    </row>
    <row r="3" spans="1:2" x14ac:dyDescent="0.2">
      <c r="A3" t="s">
        <v>249</v>
      </c>
      <c r="B3" s="190" t="e">
        <f>'Technology Shares'!F36</f>
        <v>#DIV/0!</v>
      </c>
    </row>
    <row r="4" spans="1:2" x14ac:dyDescent="0.2">
      <c r="A4" t="s">
        <v>250</v>
      </c>
      <c r="B4" s="190" t="e">
        <f>'Technology Shares'!F37</f>
        <v>#DIV/0!</v>
      </c>
    </row>
    <row r="5" spans="1:2" x14ac:dyDescent="0.2">
      <c r="A5" t="s">
        <v>251</v>
      </c>
      <c r="B5" s="190" t="e">
        <f>'Technology Shares'!F38</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6"/>
  <sheetViews>
    <sheetView workbookViewId="0">
      <selection activeCell="B6" sqref="B6"/>
    </sheetView>
  </sheetViews>
  <sheetFormatPr baseColWidth="10" defaultRowHeight="16" x14ac:dyDescent="0.2"/>
  <cols>
    <col min="1" max="1" width="60.6640625" bestFit="1" customWidth="1"/>
    <col min="2" max="2" width="14.83203125" bestFit="1" customWidth="1"/>
  </cols>
  <sheetData>
    <row r="1" spans="1:2" x14ac:dyDescent="0.2">
      <c r="A1" t="s">
        <v>487</v>
      </c>
    </row>
    <row r="2" spans="1:2" x14ac:dyDescent="0.2">
      <c r="A2" t="s">
        <v>527</v>
      </c>
      <c r="B2" t="s">
        <v>528</v>
      </c>
    </row>
    <row r="3" spans="1:2" x14ac:dyDescent="0.2">
      <c r="A3" t="s">
        <v>252</v>
      </c>
      <c r="B3" s="190" t="e">
        <f>'Technology Shares'!F9</f>
        <v>#DIV/0!</v>
      </c>
    </row>
    <row r="4" spans="1:2" x14ac:dyDescent="0.2">
      <c r="A4" t="s">
        <v>253</v>
      </c>
      <c r="B4" s="190" t="e">
        <f>'Technology Shares'!F10</f>
        <v>#DIV/0!</v>
      </c>
    </row>
    <row r="5" spans="1:2" x14ac:dyDescent="0.2">
      <c r="A5" t="s">
        <v>254</v>
      </c>
      <c r="B5" s="190" t="e">
        <f>'Technology Shares'!F11</f>
        <v>#DIV/0!</v>
      </c>
    </row>
    <row r="6" spans="1:2" x14ac:dyDescent="0.2">
      <c r="A6" t="s">
        <v>866</v>
      </c>
      <c r="B6" s="190" t="e">
        <f>'Technology Shares'!F12</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6" sqref="B6"/>
    </sheetView>
  </sheetViews>
  <sheetFormatPr baseColWidth="10" defaultRowHeight="16" x14ac:dyDescent="0.2"/>
  <cols>
    <col min="1" max="1" width="97.1640625" bestFit="1" customWidth="1"/>
    <col min="2" max="2" width="14.83203125" bestFit="1" customWidth="1"/>
  </cols>
  <sheetData>
    <row r="1" spans="1:2" x14ac:dyDescent="0.2">
      <c r="A1" t="s">
        <v>488</v>
      </c>
    </row>
    <row r="2" spans="1:2" x14ac:dyDescent="0.2">
      <c r="A2" t="s">
        <v>527</v>
      </c>
      <c r="B2" t="s">
        <v>528</v>
      </c>
    </row>
    <row r="3" spans="1:2" x14ac:dyDescent="0.2">
      <c r="A3" t="s">
        <v>255</v>
      </c>
      <c r="B3" s="190" t="e">
        <f>'Technology Shares'!F14</f>
        <v>#DIV/0!</v>
      </c>
    </row>
    <row r="4" spans="1:2" x14ac:dyDescent="0.2">
      <c r="A4" t="s">
        <v>256</v>
      </c>
      <c r="B4" s="190" t="e">
        <f>'Technology Shares'!F15</f>
        <v>#DIV/0!</v>
      </c>
    </row>
    <row r="5" spans="1:2" x14ac:dyDescent="0.2">
      <c r="A5" t="s">
        <v>257</v>
      </c>
      <c r="B5" s="190" t="e">
        <f>'Technology Shares'!F16</f>
        <v>#DIV/0!</v>
      </c>
    </row>
    <row r="6" spans="1:2" x14ac:dyDescent="0.2">
      <c r="A6" t="s">
        <v>866</v>
      </c>
      <c r="B6" s="190" t="e">
        <f>'Technology Shares'!F17</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7"/>
  <sheetViews>
    <sheetView workbookViewId="0">
      <selection activeCell="B7" sqref="B7"/>
    </sheetView>
  </sheetViews>
  <sheetFormatPr baseColWidth="10" defaultRowHeight="16" x14ac:dyDescent="0.2"/>
  <cols>
    <col min="1" max="1" width="64.6640625" customWidth="1"/>
    <col min="2" max="2" width="14.83203125" bestFit="1" customWidth="1"/>
  </cols>
  <sheetData>
    <row r="1" spans="1:3" x14ac:dyDescent="0.2">
      <c r="A1" t="s">
        <v>489</v>
      </c>
    </row>
    <row r="2" spans="1:3" x14ac:dyDescent="0.2">
      <c r="A2" t="s">
        <v>527</v>
      </c>
      <c r="B2" t="s">
        <v>528</v>
      </c>
    </row>
    <row r="3" spans="1:3" x14ac:dyDescent="0.2">
      <c r="A3" t="s">
        <v>258</v>
      </c>
      <c r="B3" s="190" t="e">
        <f>'Technology Shares'!F20</f>
        <v>#DIV/0!</v>
      </c>
      <c r="C3" s="143"/>
    </row>
    <row r="4" spans="1:3" x14ac:dyDescent="0.2">
      <c r="A4" t="s">
        <v>259</v>
      </c>
      <c r="B4" s="190" t="e">
        <f>'Technology Shares'!F21</f>
        <v>#DIV/0!</v>
      </c>
      <c r="C4" s="143"/>
    </row>
    <row r="5" spans="1:3" x14ac:dyDescent="0.2">
      <c r="A5" t="s">
        <v>260</v>
      </c>
      <c r="B5" s="190" t="e">
        <f>'Technology Shares'!F22</f>
        <v>#DIV/0!</v>
      </c>
      <c r="C5" s="143"/>
    </row>
    <row r="6" spans="1:3" x14ac:dyDescent="0.2">
      <c r="A6" t="s">
        <v>261</v>
      </c>
      <c r="B6" s="190" t="e">
        <f>'Technology Shares'!F23</f>
        <v>#DIV/0!</v>
      </c>
    </row>
    <row r="7" spans="1:3" x14ac:dyDescent="0.2">
      <c r="A7" t="s">
        <v>886</v>
      </c>
      <c r="B7" s="190" t="e">
        <f>'Technology Shares'!F24</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6"/>
  <sheetViews>
    <sheetView workbookViewId="0">
      <selection activeCell="B5" sqref="B5"/>
    </sheetView>
  </sheetViews>
  <sheetFormatPr baseColWidth="10" defaultRowHeight="16" x14ac:dyDescent="0.2"/>
  <cols>
    <col min="1" max="1" width="73.33203125" customWidth="1"/>
    <col min="2" max="2" width="14.83203125" bestFit="1" customWidth="1"/>
  </cols>
  <sheetData>
    <row r="1" spans="1:2" x14ac:dyDescent="0.2">
      <c r="A1" s="142" t="s">
        <v>490</v>
      </c>
    </row>
    <row r="2" spans="1:2" x14ac:dyDescent="0.2">
      <c r="A2" s="142" t="s">
        <v>527</v>
      </c>
      <c r="B2" t="s">
        <v>528</v>
      </c>
    </row>
    <row r="3" spans="1:2" x14ac:dyDescent="0.2">
      <c r="A3" t="s">
        <v>262</v>
      </c>
      <c r="B3" s="190" t="e">
        <f>'Technology Shares'!F26</f>
        <v>#DIV/0!</v>
      </c>
    </row>
    <row r="4" spans="1:2" x14ac:dyDescent="0.2">
      <c r="A4" t="s">
        <v>263</v>
      </c>
      <c r="B4" s="190" t="e">
        <f>'Technology Shares'!F27</f>
        <v>#DIV/0!</v>
      </c>
    </row>
    <row r="5" spans="1:2" x14ac:dyDescent="0.2">
      <c r="A5" t="s">
        <v>264</v>
      </c>
      <c r="B5" s="190" t="e">
        <f>'Technology Shares'!F28</f>
        <v>#DIV/0!</v>
      </c>
    </row>
    <row r="6" spans="1:2" x14ac:dyDescent="0.2">
      <c r="A6" t="s">
        <v>886</v>
      </c>
      <c r="B6" s="190" t="e">
        <f>'Technology Shares'!F29</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6" x14ac:dyDescent="0.2"/>
  <cols>
    <col min="1" max="1" width="75.5" customWidth="1"/>
    <col min="2" max="2" width="14.5" bestFit="1" customWidth="1"/>
  </cols>
  <sheetData>
    <row r="1" spans="1:2" x14ac:dyDescent="0.2">
      <c r="A1" t="s">
        <v>491</v>
      </c>
    </row>
    <row r="2" spans="1:2" x14ac:dyDescent="0.2">
      <c r="A2" t="s">
        <v>527</v>
      </c>
      <c r="B2" t="s">
        <v>528</v>
      </c>
    </row>
    <row r="3" spans="1:2" x14ac:dyDescent="0.2">
      <c r="A3" t="s">
        <v>265</v>
      </c>
      <c r="B3" s="190" t="e">
        <f>'Technology Shares'!F41</f>
        <v>#DIV/0!</v>
      </c>
    </row>
    <row r="4" spans="1:2" x14ac:dyDescent="0.2">
      <c r="A4" t="s">
        <v>266</v>
      </c>
      <c r="B4" s="190" t="e">
        <f>'Technology Shares'!F42</f>
        <v>#DIV/0!</v>
      </c>
    </row>
    <row r="5" spans="1:2" x14ac:dyDescent="0.2">
      <c r="A5" t="s">
        <v>267</v>
      </c>
      <c r="B5" s="190" t="e">
        <f>'Technology Shares'!F43</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6" x14ac:dyDescent="0.2"/>
  <cols>
    <col min="1" max="1" width="69.5" customWidth="1"/>
    <col min="2" max="2" width="14.83203125" bestFit="1" customWidth="1"/>
  </cols>
  <sheetData>
    <row r="1" spans="1:2" x14ac:dyDescent="0.2">
      <c r="A1" s="142" t="s">
        <v>492</v>
      </c>
    </row>
    <row r="2" spans="1:2" x14ac:dyDescent="0.2">
      <c r="A2" t="s">
        <v>527</v>
      </c>
      <c r="B2" t="s">
        <v>528</v>
      </c>
    </row>
    <row r="3" spans="1:2" x14ac:dyDescent="0.2">
      <c r="A3" t="s">
        <v>268</v>
      </c>
      <c r="B3" s="190" t="e">
        <f>'Technology Shares'!F47</f>
        <v>#DIV/0!</v>
      </c>
    </row>
    <row r="4" spans="1:2" x14ac:dyDescent="0.2">
      <c r="A4" t="s">
        <v>269</v>
      </c>
      <c r="B4" s="190" t="e">
        <f>'Technology Shares'!F48</f>
        <v>#DIV/0!</v>
      </c>
    </row>
    <row r="5" spans="1:2" x14ac:dyDescent="0.2">
      <c r="A5" t="s">
        <v>270</v>
      </c>
      <c r="B5" s="190" t="e">
        <f>'Technology Shares'!F49</f>
        <v>#DIV/0!</v>
      </c>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6" x14ac:dyDescent="0.2"/>
  <cols>
    <col min="1" max="1" width="78" customWidth="1"/>
    <col min="2" max="2" width="35.83203125" customWidth="1"/>
    <col min="3" max="3" width="70.33203125" bestFit="1" customWidth="1"/>
    <col min="4" max="4" width="17" bestFit="1" customWidth="1"/>
    <col min="5" max="5" width="14.5" bestFit="1" customWidth="1"/>
  </cols>
  <sheetData>
    <row r="1" spans="1:4" x14ac:dyDescent="0.2">
      <c r="A1" t="s">
        <v>493</v>
      </c>
    </row>
    <row r="2" spans="1:4" x14ac:dyDescent="0.2">
      <c r="A2" t="s">
        <v>527</v>
      </c>
      <c r="B2" t="s">
        <v>528</v>
      </c>
    </row>
    <row r="3" spans="1:4" x14ac:dyDescent="0.2">
      <c r="A3" t="s">
        <v>273</v>
      </c>
      <c r="B3" s="190">
        <f>'Technology Shares'!F53</f>
        <v>0</v>
      </c>
      <c r="D3" s="190"/>
    </row>
    <row r="4" spans="1:4" x14ac:dyDescent="0.2">
      <c r="A4" t="s">
        <v>274</v>
      </c>
      <c r="B4" s="190">
        <f>'Technology Shares'!F54</f>
        <v>0</v>
      </c>
      <c r="D4" s="190"/>
    </row>
    <row r="5" spans="1:4" x14ac:dyDescent="0.2">
      <c r="A5" t="s">
        <v>278</v>
      </c>
      <c r="B5" s="190">
        <f>'Technology Shares'!F55</f>
        <v>0</v>
      </c>
      <c r="D5" s="190"/>
    </row>
    <row r="6" spans="1:4" x14ac:dyDescent="0.2">
      <c r="A6" t="s">
        <v>271</v>
      </c>
      <c r="B6" s="190">
        <f>'Technology Shares'!F56</f>
        <v>0</v>
      </c>
      <c r="D6" s="190"/>
    </row>
    <row r="7" spans="1:4" x14ac:dyDescent="0.2">
      <c r="A7" t="s">
        <v>276</v>
      </c>
      <c r="B7" s="190">
        <f>'Technology Shares'!F57</f>
        <v>0</v>
      </c>
      <c r="D7" s="190"/>
    </row>
    <row r="8" spans="1:4" x14ac:dyDescent="0.2">
      <c r="A8" t="s">
        <v>272</v>
      </c>
      <c r="B8" s="190">
        <f>'Technology Shares'!F58</f>
        <v>0</v>
      </c>
      <c r="D8" s="190"/>
    </row>
    <row r="9" spans="1:4" x14ac:dyDescent="0.2">
      <c r="A9" t="s">
        <v>277</v>
      </c>
      <c r="B9" s="190">
        <f>'Technology Shares'!F59</f>
        <v>0</v>
      </c>
      <c r="D9" s="190"/>
    </row>
    <row r="10" spans="1:4" x14ac:dyDescent="0.2">
      <c r="A10" t="s">
        <v>275</v>
      </c>
      <c r="B10" s="190">
        <f>'Technology Shares'!F60</f>
        <v>1</v>
      </c>
      <c r="D10" s="190"/>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6" x14ac:dyDescent="0.2"/>
  <cols>
    <col min="1" max="1" width="80.1640625" bestFit="1" customWidth="1"/>
    <col min="2" max="2" width="14.5" bestFit="1" customWidth="1"/>
  </cols>
  <sheetData>
    <row r="1" spans="1:2" x14ac:dyDescent="0.2">
      <c r="A1" t="s">
        <v>494</v>
      </c>
    </row>
    <row r="2" spans="1:2" x14ac:dyDescent="0.2">
      <c r="A2" t="s">
        <v>527</v>
      </c>
      <c r="B2" t="s">
        <v>528</v>
      </c>
    </row>
    <row r="3" spans="1:2" x14ac:dyDescent="0.2">
      <c r="A3" t="s">
        <v>301</v>
      </c>
      <c r="B3" s="190" t="e">
        <f>'Technology Shares'!F32</f>
        <v>#DIV/0!</v>
      </c>
    </row>
    <row r="4" spans="1:2" x14ac:dyDescent="0.2">
      <c r="A4" t="s">
        <v>302</v>
      </c>
      <c r="B4" s="190" t="e">
        <f>'Technology Shares'!F33</f>
        <v>#DIV/0!</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6" x14ac:dyDescent="0.2"/>
  <cols>
    <col min="1" max="1" width="60.1640625" bestFit="1" customWidth="1"/>
    <col min="2" max="2" width="14.5" bestFit="1" customWidth="1"/>
  </cols>
  <sheetData>
    <row r="1" spans="1:4" x14ac:dyDescent="0.2">
      <c r="A1" t="s">
        <v>495</v>
      </c>
    </row>
    <row r="2" spans="1:4" x14ac:dyDescent="0.2">
      <c r="A2" t="s">
        <v>527</v>
      </c>
      <c r="B2" t="s">
        <v>528</v>
      </c>
    </row>
    <row r="3" spans="1:4" x14ac:dyDescent="0.2">
      <c r="A3" t="s">
        <v>291</v>
      </c>
      <c r="B3" s="190" t="e">
        <f>'Houses Shares'!E19</f>
        <v>#DIV/0!</v>
      </c>
      <c r="C3" s="145"/>
      <c r="D3" s="144"/>
    </row>
    <row r="4" spans="1:4" x14ac:dyDescent="0.2">
      <c r="A4" t="s">
        <v>292</v>
      </c>
      <c r="B4" s="190" t="e">
        <f>'Houses Shares'!D19</f>
        <v>#DIV/0!</v>
      </c>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6" x14ac:dyDescent="0.2"/>
  <cols>
    <col min="1" max="1" width="66.1640625" bestFit="1" customWidth="1"/>
    <col min="2" max="2" width="14.5" bestFit="1" customWidth="1"/>
  </cols>
  <sheetData>
    <row r="1" spans="1:4" x14ac:dyDescent="0.2">
      <c r="A1" t="s">
        <v>496</v>
      </c>
    </row>
    <row r="2" spans="1:4" x14ac:dyDescent="0.2">
      <c r="A2" t="s">
        <v>527</v>
      </c>
      <c r="B2" t="s">
        <v>528</v>
      </c>
    </row>
    <row r="3" spans="1:4" x14ac:dyDescent="0.2">
      <c r="A3" t="s">
        <v>294</v>
      </c>
      <c r="B3" s="190" t="e">
        <f>'Houses Shares'!E19</f>
        <v>#DIV/0!</v>
      </c>
      <c r="C3" s="145"/>
      <c r="D3" s="144"/>
    </row>
    <row r="4" spans="1:4" x14ac:dyDescent="0.2">
      <c r="A4" t="s">
        <v>295</v>
      </c>
      <c r="B4" s="190" t="e">
        <f>'Houses Shares'!D19</f>
        <v>#DIV/0!</v>
      </c>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5" bestFit="1" customWidth="1"/>
    <col min="2" max="2" width="14.83203125" bestFit="1" customWidth="1"/>
  </cols>
  <sheetData>
    <row r="1" spans="1:2" x14ac:dyDescent="0.2">
      <c r="A1" t="s">
        <v>514</v>
      </c>
    </row>
    <row r="2" spans="1:2" x14ac:dyDescent="0.2">
      <c r="A2" t="s">
        <v>527</v>
      </c>
      <c r="B2" t="s">
        <v>528</v>
      </c>
    </row>
    <row r="3" spans="1:2" x14ac:dyDescent="0.2">
      <c r="A3" t="s">
        <v>290</v>
      </c>
      <c r="B3" s="190">
        <v>1</v>
      </c>
    </row>
    <row r="4" spans="1:2" x14ac:dyDescent="0.2">
      <c r="A4" t="s">
        <v>505</v>
      </c>
      <c r="B4" s="190">
        <v>0</v>
      </c>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I64" sqref="I64"/>
    </sheetView>
  </sheetViews>
  <sheetFormatPr baseColWidth="10" defaultRowHeight="16" x14ac:dyDescent="0.2"/>
  <cols>
    <col min="1" max="1" width="56" bestFit="1" customWidth="1"/>
    <col min="2" max="2" width="14.83203125" bestFit="1" customWidth="1"/>
  </cols>
  <sheetData>
    <row r="1" spans="1:2" x14ac:dyDescent="0.2">
      <c r="A1" t="s">
        <v>515</v>
      </c>
    </row>
    <row r="2" spans="1:2" x14ac:dyDescent="0.2">
      <c r="A2" t="s">
        <v>527</v>
      </c>
      <c r="B2" t="s">
        <v>528</v>
      </c>
    </row>
    <row r="3" spans="1:2" x14ac:dyDescent="0.2">
      <c r="A3" t="s">
        <v>290</v>
      </c>
      <c r="B3" s="190">
        <v>1</v>
      </c>
    </row>
    <row r="4" spans="1:2" x14ac:dyDescent="0.2">
      <c r="A4" t="s">
        <v>506</v>
      </c>
      <c r="B4" s="190">
        <v>0</v>
      </c>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6.1640625" bestFit="1" customWidth="1"/>
    <col min="2" max="2" width="14.83203125" bestFit="1" customWidth="1"/>
  </cols>
  <sheetData>
    <row r="1" spans="1:2" x14ac:dyDescent="0.2">
      <c r="A1" t="s">
        <v>516</v>
      </c>
    </row>
    <row r="2" spans="1:2" x14ac:dyDescent="0.2">
      <c r="A2" t="s">
        <v>527</v>
      </c>
      <c r="B2" t="s">
        <v>528</v>
      </c>
    </row>
    <row r="3" spans="1:2" x14ac:dyDescent="0.2">
      <c r="A3" t="s">
        <v>293</v>
      </c>
      <c r="B3" s="208">
        <v>1</v>
      </c>
    </row>
    <row r="4" spans="1:2" x14ac:dyDescent="0.2">
      <c r="A4" t="s">
        <v>507</v>
      </c>
      <c r="B4" s="208">
        <v>0</v>
      </c>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6" x14ac:dyDescent="0.2"/>
  <cols>
    <col min="1" max="1" width="64.83203125" customWidth="1"/>
    <col min="2" max="2" width="24.33203125" customWidth="1"/>
  </cols>
  <sheetData>
    <row r="1" spans="1:2" x14ac:dyDescent="0.2">
      <c r="A1" t="s">
        <v>510</v>
      </c>
    </row>
    <row r="2" spans="1:2" x14ac:dyDescent="0.2">
      <c r="A2" t="s">
        <v>527</v>
      </c>
      <c r="B2" t="s">
        <v>528</v>
      </c>
    </row>
    <row r="3" spans="1:2" x14ac:dyDescent="0.2">
      <c r="A3" t="s">
        <v>293</v>
      </c>
      <c r="B3" s="208">
        <v>1</v>
      </c>
    </row>
    <row r="4" spans="1:2" x14ac:dyDescent="0.2">
      <c r="A4" t="s">
        <v>508</v>
      </c>
      <c r="B4" s="208">
        <v>0</v>
      </c>
    </row>
  </sheetData>
  <pageMargins left="0.75" right="0.75" top="1" bottom="1" header="0.5" footer="0.5"/>
  <pageSetup paperSize="9"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6" x14ac:dyDescent="0.2"/>
  <cols>
    <col min="1" max="1" width="55.5" customWidth="1"/>
    <col min="2" max="2" width="14.5" bestFit="1" customWidth="1"/>
  </cols>
  <sheetData>
    <row r="1" spans="1:2" x14ac:dyDescent="0.2">
      <c r="A1" t="s">
        <v>511</v>
      </c>
    </row>
    <row r="2" spans="1:2" x14ac:dyDescent="0.2">
      <c r="A2" t="s">
        <v>527</v>
      </c>
      <c r="B2" t="s">
        <v>528</v>
      </c>
    </row>
    <row r="3" spans="1:2" x14ac:dyDescent="0.2">
      <c r="A3" t="s">
        <v>509</v>
      </c>
      <c r="B3" s="190" t="e">
        <f>'Electricity producer Shares'!G11</f>
        <v>#DIV/0!</v>
      </c>
    </row>
    <row r="4" spans="1:2" x14ac:dyDescent="0.2">
      <c r="A4" t="s">
        <v>238</v>
      </c>
      <c r="B4" s="190" t="e">
        <f>'Electricity producer Shares'!F11</f>
        <v>#DIV/0!</v>
      </c>
    </row>
  </sheetData>
  <pageMargins left="0.75" right="0.75" top="1" bottom="1" header="0.5" footer="0.5"/>
  <pageSetup paperSize="9"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3.5" bestFit="1" customWidth="1"/>
    <col min="2" max="2" width="14.5" bestFit="1" customWidth="1"/>
  </cols>
  <sheetData>
    <row r="1" spans="1:2" x14ac:dyDescent="0.2">
      <c r="A1" t="s">
        <v>512</v>
      </c>
    </row>
    <row r="2" spans="1:2" x14ac:dyDescent="0.2">
      <c r="A2" t="s">
        <v>527</v>
      </c>
      <c r="B2" t="s">
        <v>528</v>
      </c>
    </row>
    <row r="3" spans="1:2" x14ac:dyDescent="0.2">
      <c r="A3" t="s">
        <v>509</v>
      </c>
      <c r="B3" s="190" t="e">
        <f>'Electricity producer Shares'!G12</f>
        <v>#DIV/0!</v>
      </c>
    </row>
    <row r="4" spans="1:2" x14ac:dyDescent="0.2">
      <c r="A4" t="s">
        <v>239</v>
      </c>
      <c r="B4" s="190" t="e">
        <f>'Electricity producer Shares'!F12</f>
        <v>#DIV/0!</v>
      </c>
    </row>
  </sheetData>
  <pageMargins left="0.75" right="0.75" top="1" bottom="1" header="0.5" footer="0.5"/>
  <pageSetup paperSize="9" orientation="portrait" horizontalDpi="4294967292" verticalDpi="429496729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6" x14ac:dyDescent="0.2"/>
  <cols>
    <col min="1" max="1" width="55.6640625" bestFit="1" customWidth="1"/>
    <col min="2" max="2" width="14.5" bestFit="1" customWidth="1"/>
  </cols>
  <sheetData>
    <row r="1" spans="1:2" x14ac:dyDescent="0.2">
      <c r="A1" t="s">
        <v>513</v>
      </c>
    </row>
    <row r="2" spans="1:2" x14ac:dyDescent="0.2">
      <c r="A2" t="s">
        <v>527</v>
      </c>
      <c r="B2" t="s">
        <v>528</v>
      </c>
    </row>
    <row r="3" spans="1:2" x14ac:dyDescent="0.2">
      <c r="A3" t="s">
        <v>509</v>
      </c>
      <c r="B3" s="190" t="e">
        <f>'Electricity producer Shares'!G13</f>
        <v>#DIV/0!</v>
      </c>
    </row>
    <row r="4" spans="1:2" x14ac:dyDescent="0.2">
      <c r="A4" t="s">
        <v>239</v>
      </c>
      <c r="B4" s="190" t="e">
        <f>'Electricity producer Shares'!F13</f>
        <v>#DIV/0!</v>
      </c>
    </row>
  </sheetData>
  <pageMargins left="0.75" right="0.75" top="1" bottom="1" header="0.5" footer="0.5"/>
  <pageSetup paperSize="9" orientation="portrait" horizontalDpi="4294967292" verticalDpi="429496729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6" x14ac:dyDescent="0.2"/>
  <cols>
    <col min="1" max="1" width="89.83203125" bestFit="1" customWidth="1"/>
    <col min="2" max="2" width="14.5" bestFit="1" customWidth="1"/>
  </cols>
  <sheetData>
    <row r="1" spans="1:2" x14ac:dyDescent="0.2">
      <c r="A1" t="s">
        <v>687</v>
      </c>
    </row>
    <row r="2" spans="1:2" x14ac:dyDescent="0.2">
      <c r="A2" t="s">
        <v>527</v>
      </c>
      <c r="B2" t="s">
        <v>528</v>
      </c>
    </row>
    <row r="3" spans="1:2" x14ac:dyDescent="0.2">
      <c r="A3" t="s">
        <v>300</v>
      </c>
      <c r="B3" s="190">
        <f>Dashboard!E94</f>
        <v>0</v>
      </c>
    </row>
    <row r="4" spans="1:2" x14ac:dyDescent="0.2">
      <c r="A4" t="s">
        <v>686</v>
      </c>
      <c r="B4" s="190">
        <f>1-B3</f>
        <v>1</v>
      </c>
    </row>
  </sheetData>
  <pageMargins left="0.75" right="0.75" top="1" bottom="1" header="0.5" footer="0.5"/>
  <pageSetup paperSize="9" orientation="portrait" horizontalDpi="4294967292" verticalDpi="429496729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6" x14ac:dyDescent="0.2"/>
  <cols>
    <col min="1" max="1" width="89.83203125" bestFit="1" customWidth="1"/>
    <col min="2" max="2" width="14.5" bestFit="1" customWidth="1"/>
  </cols>
  <sheetData>
    <row r="1" spans="1:2" x14ac:dyDescent="0.2">
      <c r="A1" t="s">
        <v>691</v>
      </c>
    </row>
    <row r="2" spans="1:2" x14ac:dyDescent="0.2">
      <c r="A2" t="s">
        <v>527</v>
      </c>
      <c r="B2" t="s">
        <v>528</v>
      </c>
    </row>
    <row r="3" spans="1:2" x14ac:dyDescent="0.2">
      <c r="A3" t="s">
        <v>300</v>
      </c>
      <c r="B3" s="190">
        <f>Dashboard!E95</f>
        <v>0</v>
      </c>
    </row>
    <row r="4" spans="1:2" x14ac:dyDescent="0.2">
      <c r="A4" t="s">
        <v>690</v>
      </c>
      <c r="B4" s="190">
        <f>1-B3</f>
        <v>1</v>
      </c>
    </row>
  </sheetData>
  <pageMargins left="0.75" right="0.75" top="1" bottom="1" header="0.5" footer="0.5"/>
  <pageSetup paperSize="9" orientation="portrait" horizontalDpi="4294967292" verticalDpi="429496729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heetViews>
  <sheetFormatPr baseColWidth="10" defaultRowHeight="16" x14ac:dyDescent="0.2"/>
  <cols>
    <col min="1" max="1" width="72.6640625" bestFit="1" customWidth="1"/>
    <col min="2" max="2" width="14.83203125" bestFit="1" customWidth="1"/>
  </cols>
  <sheetData>
    <row r="1" spans="1:2" x14ac:dyDescent="0.2">
      <c r="A1" t="s">
        <v>860</v>
      </c>
      <c r="B1" s="459" t="s">
        <v>711</v>
      </c>
    </row>
    <row r="2" spans="1:2" x14ac:dyDescent="0.2">
      <c r="A2" t="s">
        <v>527</v>
      </c>
      <c r="B2" t="s">
        <v>528</v>
      </c>
    </row>
    <row r="3" spans="1:2" x14ac:dyDescent="0.2">
      <c r="A3" t="s">
        <v>861</v>
      </c>
      <c r="B3" s="636">
        <v>0</v>
      </c>
    </row>
    <row r="4" spans="1:2" x14ac:dyDescent="0.2">
      <c r="A4" t="s">
        <v>690</v>
      </c>
      <c r="B4" s="190">
        <v>1</v>
      </c>
    </row>
  </sheetData>
  <pageMargins left="0.75" right="0.75" top="1" bottom="1" header="0.5" footer="0.5"/>
  <pageSetup paperSize="9" orientation="portrait" horizontalDpi="4294967292" verticalDpi="429496729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6" x14ac:dyDescent="0.2"/>
  <cols>
    <col min="1" max="1" width="65.5" bestFit="1" customWidth="1"/>
  </cols>
  <sheetData>
    <row r="1" spans="1:3" x14ac:dyDescent="0.2">
      <c r="A1" s="445" t="s">
        <v>862</v>
      </c>
      <c r="B1" s="459" t="s">
        <v>711</v>
      </c>
    </row>
    <row r="2" spans="1:3" x14ac:dyDescent="0.2">
      <c r="A2" t="s">
        <v>527</v>
      </c>
      <c r="B2" t="s">
        <v>528</v>
      </c>
    </row>
    <row r="3" spans="1:3" x14ac:dyDescent="0.2">
      <c r="A3" t="s">
        <v>863</v>
      </c>
      <c r="B3">
        <v>0</v>
      </c>
      <c r="C3" s="143"/>
    </row>
    <row r="4" spans="1:3" x14ac:dyDescent="0.2">
      <c r="A4" t="s">
        <v>864</v>
      </c>
      <c r="B4">
        <v>1</v>
      </c>
    </row>
  </sheetData>
  <pageMargins left="0.75" right="0.75" top="1" bottom="1" header="0.5" footer="0.5"/>
  <pageSetup paperSize="9" orientation="portrait" horizontalDpi="4294967292" verticalDpi="429496729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6" x14ac:dyDescent="0.2"/>
  <cols>
    <col min="1" max="1" width="33.83203125" customWidth="1"/>
  </cols>
  <sheetData>
    <row r="1" spans="1:2" x14ac:dyDescent="0.2">
      <c r="A1" t="s">
        <v>845</v>
      </c>
    </row>
    <row r="2" spans="1:2" x14ac:dyDescent="0.2">
      <c r="A2" t="s">
        <v>527</v>
      </c>
      <c r="B2" t="s">
        <v>846</v>
      </c>
    </row>
    <row r="3" spans="1:2" x14ac:dyDescent="0.2">
      <c r="A3" t="str">
        <f>Dashboard!O99</f>
        <v>residences_percentage_old_residences</v>
      </c>
      <c r="B3" s="143">
        <f>Dashboard!E99</f>
        <v>0</v>
      </c>
    </row>
    <row r="4" spans="1:2" x14ac:dyDescent="0.2">
      <c r="A4" t="str">
        <f>Dashboard!O100</f>
        <v>residences_percentage_new_residences</v>
      </c>
      <c r="B4" s="143">
        <f>Dashboard!E100</f>
        <v>0</v>
      </c>
    </row>
    <row r="5" spans="1:2" x14ac:dyDescent="0.2">
      <c r="A5" t="str">
        <f>Dashboard!O102</f>
        <v>insulation_level_old_houses_min</v>
      </c>
      <c r="B5" s="634">
        <f>Dashboard!E102</f>
        <v>0</v>
      </c>
    </row>
    <row r="6" spans="1:2" x14ac:dyDescent="0.2">
      <c r="A6" t="str">
        <f>Dashboard!O103</f>
        <v>insulation_level_new_houses_min</v>
      </c>
      <c r="B6" s="634">
        <f>Dashboard!E103</f>
        <v>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csv_solar_heater_and_p2h_parent</vt:lpstr>
      <vt:lpstr>csv_hot_water_p2h_child</vt:lpstr>
      <vt:lpstr>csv_export_to_area_analysis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Microsoft Office User</cp:lastModifiedBy>
  <dcterms:created xsi:type="dcterms:W3CDTF">2013-06-25T11:11:29Z</dcterms:created>
  <dcterms:modified xsi:type="dcterms:W3CDTF">2017-10-25T09:17:31Z</dcterms:modified>
</cp:coreProperties>
</file>