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orinevandervlies/Projects/etdataset/source_analyses/nl/2015/8_transport/"/>
    </mc:Choice>
  </mc:AlternateContent>
  <bookViews>
    <workbookView xWindow="13960" yWindow="460" windowWidth="13960" windowHeight="17540" tabRatio="702" activeTab="2"/>
  </bookViews>
  <sheets>
    <sheet name="Overview" sheetId="3" r:id="rId1"/>
    <sheet name="Assumptions" sheetId="5" r:id="rId2"/>
    <sheet name="NL" sheetId="7" r:id="rId3"/>
    <sheet name="shares NVG" sheetId="18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7" l="1"/>
  <c r="G25" i="7"/>
  <c r="I25" i="7"/>
  <c r="J25" i="7"/>
  <c r="F122" i="7"/>
  <c r="I122" i="7"/>
  <c r="I8" i="7"/>
  <c r="G37" i="7"/>
  <c r="H35" i="7"/>
  <c r="H34" i="7"/>
  <c r="H38" i="7"/>
  <c r="H37" i="7"/>
  <c r="I37" i="7"/>
  <c r="J37" i="7"/>
  <c r="F123" i="7"/>
  <c r="I9" i="7"/>
  <c r="G49" i="7"/>
  <c r="I49" i="7"/>
  <c r="J49" i="7"/>
  <c r="F124" i="7"/>
  <c r="I12" i="7"/>
  <c r="G85" i="7"/>
  <c r="H85" i="7"/>
  <c r="I85" i="7"/>
  <c r="J85" i="7"/>
  <c r="F127" i="7"/>
  <c r="I123" i="7"/>
  <c r="I126" i="7"/>
  <c r="F139" i="7"/>
  <c r="F136" i="7"/>
  <c r="G23" i="7"/>
  <c r="I23" i="7"/>
  <c r="J23" i="7"/>
  <c r="F112" i="7"/>
  <c r="I112" i="7"/>
  <c r="G35" i="7"/>
  <c r="I35" i="7"/>
  <c r="J35" i="7"/>
  <c r="F113" i="7"/>
  <c r="G47" i="7"/>
  <c r="I47" i="7"/>
  <c r="J47" i="7"/>
  <c r="F114" i="7"/>
  <c r="I10" i="7"/>
  <c r="G59" i="7"/>
  <c r="H59" i="7"/>
  <c r="I59" i="7"/>
  <c r="J59" i="7"/>
  <c r="F115" i="7"/>
  <c r="I11" i="7"/>
  <c r="G71" i="7"/>
  <c r="I71" i="7"/>
  <c r="J71" i="7"/>
  <c r="F116" i="7"/>
  <c r="G83" i="7"/>
  <c r="H83" i="7"/>
  <c r="I83" i="7"/>
  <c r="F117" i="7"/>
  <c r="I113" i="7"/>
  <c r="I116" i="7"/>
  <c r="F133" i="7"/>
  <c r="G22" i="7"/>
  <c r="I22" i="7"/>
  <c r="J22" i="7"/>
  <c r="F102" i="7"/>
  <c r="I102" i="7"/>
  <c r="G34" i="7"/>
  <c r="I34" i="7"/>
  <c r="J34" i="7"/>
  <c r="F103" i="7"/>
  <c r="G46" i="7"/>
  <c r="I46" i="7"/>
  <c r="J46" i="7"/>
  <c r="F104" i="7"/>
  <c r="G58" i="7"/>
  <c r="H58" i="7"/>
  <c r="I58" i="7"/>
  <c r="J58" i="7"/>
  <c r="F105" i="7"/>
  <c r="G70" i="7"/>
  <c r="I70" i="7"/>
  <c r="J70" i="7"/>
  <c r="F106" i="7"/>
  <c r="G82" i="7"/>
  <c r="H82" i="7"/>
  <c r="I82" i="7"/>
  <c r="J82" i="7"/>
  <c r="F107" i="7"/>
  <c r="I103" i="7"/>
  <c r="I106" i="7"/>
  <c r="F130" i="7"/>
  <c r="F140" i="7"/>
  <c r="F137" i="7"/>
  <c r="F134" i="7"/>
  <c r="F131" i="7"/>
  <c r="E16" i="18"/>
  <c r="F16" i="18"/>
  <c r="C12" i="18"/>
  <c r="E6" i="18"/>
  <c r="E17" i="18"/>
  <c r="F17" i="18"/>
  <c r="D12" i="18"/>
  <c r="E12" i="18"/>
  <c r="D34" i="18"/>
  <c r="D35" i="18"/>
  <c r="E18" i="18"/>
  <c r="F18" i="18"/>
  <c r="F12" i="18"/>
  <c r="C9" i="18"/>
  <c r="D9" i="18"/>
  <c r="E9" i="18"/>
  <c r="F9" i="18"/>
  <c r="D32" i="18"/>
  <c r="D31" i="18"/>
  <c r="F157" i="7"/>
  <c r="F155" i="7"/>
  <c r="F154" i="7"/>
  <c r="F153" i="7"/>
  <c r="F152" i="7"/>
  <c r="F151" i="7"/>
  <c r="F150" i="7"/>
  <c r="H14" i="7"/>
  <c r="G14" i="7"/>
  <c r="G73" i="7"/>
  <c r="I73" i="7"/>
  <c r="I107" i="7"/>
  <c r="G36" i="7"/>
  <c r="H36" i="7"/>
  <c r="I36" i="7"/>
  <c r="J36" i="7"/>
  <c r="G38" i="7"/>
  <c r="I38" i="7"/>
  <c r="J38" i="7"/>
  <c r="J41" i="7"/>
  <c r="G24" i="7"/>
  <c r="I24" i="7"/>
  <c r="J24" i="7"/>
  <c r="G26" i="7"/>
  <c r="I26" i="7"/>
  <c r="J26" i="7"/>
  <c r="J29" i="7"/>
  <c r="I14" i="7"/>
  <c r="G151" i="7"/>
  <c r="I151" i="7"/>
  <c r="J151" i="7"/>
  <c r="G150" i="7"/>
  <c r="I150" i="7"/>
  <c r="J150" i="7"/>
  <c r="G152" i="7"/>
  <c r="I152" i="7"/>
  <c r="J152" i="7"/>
  <c r="G153" i="7"/>
  <c r="I153" i="7"/>
  <c r="J153" i="7"/>
  <c r="G154" i="7"/>
  <c r="I154" i="7"/>
  <c r="J154" i="7"/>
  <c r="J155" i="7"/>
  <c r="J157" i="7"/>
  <c r="K151" i="7"/>
  <c r="K152" i="7"/>
  <c r="K153" i="7"/>
  <c r="K154" i="7"/>
  <c r="K155" i="7"/>
  <c r="K150" i="7"/>
  <c r="G155" i="7"/>
  <c r="I117" i="7"/>
  <c r="I127" i="7"/>
  <c r="H86" i="7"/>
  <c r="G89" i="7"/>
  <c r="G84" i="7"/>
  <c r="G86" i="7"/>
  <c r="G87" i="7"/>
  <c r="G72" i="7"/>
  <c r="G74" i="7"/>
  <c r="G75" i="7"/>
  <c r="G77" i="7"/>
  <c r="G48" i="7"/>
  <c r="G50" i="7"/>
  <c r="G51" i="7"/>
  <c r="G53" i="7"/>
  <c r="G39" i="7"/>
  <c r="G41" i="7"/>
  <c r="G65" i="7"/>
  <c r="G61" i="7"/>
  <c r="G62" i="7"/>
  <c r="G63" i="7"/>
  <c r="G60" i="7"/>
  <c r="G27" i="7"/>
  <c r="I60" i="7"/>
  <c r="I62" i="7"/>
  <c r="I89" i="7"/>
  <c r="J89" i="7"/>
  <c r="I86" i="7"/>
  <c r="J86" i="7"/>
  <c r="I84" i="7"/>
  <c r="J84" i="7"/>
  <c r="I61" i="7"/>
  <c r="I77" i="7"/>
  <c r="J77" i="7"/>
  <c r="I75" i="7"/>
  <c r="J75" i="7"/>
  <c r="I74" i="7"/>
  <c r="J74" i="7"/>
  <c r="J73" i="7"/>
  <c r="I72" i="7"/>
  <c r="J72" i="7"/>
  <c r="I65" i="7"/>
  <c r="J65" i="7"/>
  <c r="I63" i="7"/>
  <c r="J63" i="7"/>
  <c r="J62" i="7"/>
  <c r="J61" i="7"/>
  <c r="J60" i="7"/>
  <c r="I53" i="7"/>
  <c r="J53" i="7"/>
  <c r="I51" i="7"/>
  <c r="J51" i="7"/>
  <c r="I50" i="7"/>
  <c r="J50" i="7"/>
  <c r="I48" i="7"/>
  <c r="J48" i="7"/>
  <c r="J83" i="7"/>
</calcChain>
</file>

<file path=xl/sharedStrings.xml><?xml version="1.0" encoding="utf-8"?>
<sst xmlns="http://schemas.openxmlformats.org/spreadsheetml/2006/main" count="246" uniqueCount="111">
  <si>
    <t>Country</t>
  </si>
  <si>
    <t># LNG HDVs</t>
  </si>
  <si>
    <t># NG HDVs</t>
  </si>
  <si>
    <t># CNG HDVS</t>
  </si>
  <si>
    <t># CNG LDVs</t>
  </si>
  <si>
    <t>nl</t>
  </si>
  <si>
    <t>LDV</t>
  </si>
  <si>
    <t>HDV</t>
  </si>
  <si>
    <t>annual kms</t>
  </si>
  <si>
    <t>efficiency</t>
  </si>
  <si>
    <t>energy consumed</t>
  </si>
  <si>
    <t>CNG</t>
  </si>
  <si>
    <t>LNG</t>
  </si>
  <si>
    <t>MJ</t>
  </si>
  <si>
    <t>LNG share</t>
  </si>
  <si>
    <t>CNG LD/HD shares</t>
  </si>
  <si>
    <t>LD</t>
  </si>
  <si>
    <t>HD</t>
  </si>
  <si>
    <t>LD share</t>
  </si>
  <si>
    <t>HD share</t>
  </si>
  <si>
    <t>Input shares determination</t>
  </si>
  <si>
    <t>Data for calculations from respective nodes source analyses, TNO 2013 natural gas in transport</t>
  </si>
  <si>
    <t>LNG/CNG shares</t>
  </si>
  <si>
    <t>NVGA Europe (2014): Prospects and Development Status of European NGV Market</t>
  </si>
  <si>
    <t>http://www.acer.europa.eu/Media/Events/3rd-Gas-Target-Model-Stakeholders-Workshop/Documents/10.%20Maedge%20Promoting%20gas%20in%20transport.pdf</t>
  </si>
  <si>
    <t>NGVA Europe (2013): NGVs and Fuel Consumption Worldwide</t>
  </si>
  <si>
    <t>http://www.ngvaeurope.eu/worldwide-ngv-statistics</t>
  </si>
  <si>
    <t>Sources</t>
  </si>
  <si>
    <t>vehicle</t>
  </si>
  <si>
    <t>fuel</t>
  </si>
  <si>
    <t>Assumptions</t>
  </si>
  <si>
    <t>All cars drive the same annual distance, regardless of their technology</t>
  </si>
  <si>
    <t>All trucks drive the same annual distance, regardless of their technology</t>
  </si>
  <si>
    <t>The above assumptions are already used implicity in the FD -&gt; UD conversion</t>
  </si>
  <si>
    <t>diesel</t>
  </si>
  <si>
    <t>cars</t>
  </si>
  <si>
    <t>trekker voor oplegger</t>
  </si>
  <si>
    <t>speciaal</t>
  </si>
  <si>
    <t>bus</t>
  </si>
  <si>
    <t>lpg</t>
  </si>
  <si>
    <t>elektriciteit</t>
  </si>
  <si>
    <t>cng</t>
  </si>
  <si>
    <t>personenauto</t>
  </si>
  <si>
    <t>bestelauto</t>
  </si>
  <si>
    <t>vrachtauto</t>
  </si>
  <si>
    <t>trekker</t>
  </si>
  <si>
    <t>aantal</t>
  </si>
  <si>
    <t>kms in nl door nl</t>
  </si>
  <si>
    <t>totaal</t>
  </si>
  <si>
    <t>mln kms in nl</t>
  </si>
  <si>
    <t>km per voertuigtype</t>
  </si>
  <si>
    <t>nu voor mln kms in nl</t>
  </si>
  <si>
    <t>personenauto's</t>
  </si>
  <si>
    <t>benzine</t>
  </si>
  <si>
    <t>onbekend</t>
  </si>
  <si>
    <t>jaarlijks km</t>
  </si>
  <si>
    <t>efficiëntie (km/MJ)</t>
  </si>
  <si>
    <t>totale energievraag (MJ)</t>
  </si>
  <si>
    <t>bestelauto's</t>
  </si>
  <si>
    <t>speciaal voertuig</t>
  </si>
  <si>
    <t>energievraag per auto (MJ)</t>
  </si>
  <si>
    <t>vrachtwagen</t>
  </si>
  <si>
    <t>trucks</t>
  </si>
  <si>
    <t>share cars</t>
  </si>
  <si>
    <t>share trucks</t>
  </si>
  <si>
    <t>Diesel</t>
  </si>
  <si>
    <t>set</t>
  </si>
  <si>
    <t>*</t>
  </si>
  <si>
    <t>Energy consumed (MJ)</t>
  </si>
  <si>
    <t>Technology shares</t>
  </si>
  <si>
    <t>share</t>
  </si>
  <si>
    <t>noot: deze waarden worden niet gebruikt, maar dienen enkele ter vergelijking van de initial shares zoals berekend door het ETM</t>
  </si>
  <si>
    <t>* verkregen door de efficiëntie verhouding tussen benzine en diesel motoren (zoals beschreven in truck_using_gasoline_mix) te gebruiken</t>
  </si>
  <si>
    <t>** verkregen door de efficiëntie verhouding tussen personenauto en vrachtwagen efficiëntie te gebruiken</t>
  </si>
  <si>
    <t>**</t>
  </si>
  <si>
    <t>Bron:</t>
  </si>
  <si>
    <t>Alle figuren van ECN, TNO, CE Delft (2013): Natural Gas in Transport</t>
  </si>
  <si>
    <t>The energy consumption of all vehicles is attributed to the country in which the vehicles are registered and in which they drive</t>
  </si>
  <si>
    <t>***</t>
  </si>
  <si>
    <t>*** gelijkgezet (aanname) aan vrachtwagen efficiëntie</t>
  </si>
  <si>
    <t xml:space="preserve">Bron: </t>
  </si>
  <si>
    <t>CE Delft, ECN, TNO (2014): verzamelde kennisnotities t.b.v. de visie duurzame brandstoffenmix</t>
  </si>
  <si>
    <t>Average annual driving distance of cars is equal to the one determined for the Netherlands, for every country</t>
  </si>
  <si>
    <t>Average annual driving distance of trucks is equal to the one determined for the Netherlands, for every country</t>
  </si>
  <si>
    <t>Quantitative assumptions</t>
  </si>
  <si>
    <t>Definitions</t>
  </si>
  <si>
    <t>Sheets</t>
  </si>
  <si>
    <t>NL</t>
  </si>
  <si>
    <t>A CBS-based, more detailed determination of initial transport shares for the Netherlands</t>
  </si>
  <si>
    <t>Assumptions used in the determination of initial shares</t>
  </si>
  <si>
    <t>Electricity</t>
  </si>
  <si>
    <t>Gasoline</t>
  </si>
  <si>
    <t>CNG share</t>
  </si>
  <si>
    <t>http://statline.cbs.nl/Statweb/publication/?DM=SLNL&amp;PA=71407NED&amp;D1=13-19&amp;D2=1-5&amp;D3=0&amp;D4=15&amp;HDR=G2,T&amp;STB=G1,G3&amp;VW=T</t>
  </si>
  <si>
    <t>http://statline.cbs.nl/Statweb/publication/?DM=SLNL&amp;PA=80302NED&amp;D1=a&amp;D2=a&amp;D3=l&amp;HDR=T&amp;STB=G1,G2&amp;VW=T</t>
  </si>
  <si>
    <t>http://statline.cbs.nl/Statweb/publication/?DM=SLNL&amp;PA=71405NED&amp;D1=13-19&amp;D2=0&amp;D3=15&amp;HDR=G1,G2&amp;STB=T&amp;VW=T</t>
  </si>
  <si>
    <t xml:space="preserve">Percentage of natural gas that is liquefied natural gas </t>
  </si>
  <si>
    <t>Share</t>
  </si>
  <si>
    <t xml:space="preserve">Percentage of natural gas that is compressed natural gas </t>
  </si>
  <si>
    <t>Percentage of compressed network gas delivered to cars</t>
  </si>
  <si>
    <t>Percentage of compressed network gas delivered to trucks</t>
  </si>
  <si>
    <t>Percentage of gasoline mix delivered to cars</t>
  </si>
  <si>
    <t>Percentage of gasoline mix delivered to trucks</t>
  </si>
  <si>
    <t>Percentage of diesel mix delivered to cars</t>
  </si>
  <si>
    <t>Percentage of diesel mix delivered to trucks</t>
  </si>
  <si>
    <t>Percentage of electricity delivered to cars</t>
  </si>
  <si>
    <t>Percentage of electricity delivered to trucks</t>
  </si>
  <si>
    <t>Percentage of hydrogen delivered to cars</t>
  </si>
  <si>
    <t>Percentage of hydrogen delivered to trucks</t>
  </si>
  <si>
    <t>Use in transport analysis</t>
  </si>
  <si>
    <t>NL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</si>
</sst>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2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</font>
    <font>
      <sz val="12"/>
      <color theme="1"/>
      <name val="Calibri"/>
      <family val="2"/>
      <charset val="134"/>
      <scheme val="minor"/>
    </font>
    <font>
      <b/>
      <sz val="12"/>
      <color rgb="FF3F3F3F"/>
      <name val="Calibri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7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10" fillId="4" borderId="5" applyNumberFormat="0" applyAlignment="0" applyProtection="0"/>
  </cellStyleXfs>
  <cellXfs count="47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2" borderId="2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0" fillId="2" borderId="3" xfId="0" applyFont="1" applyFill="1" applyBorder="1"/>
    <xf numFmtId="0" fontId="0" fillId="2" borderId="0" xfId="0" applyFont="1" applyFill="1"/>
    <xf numFmtId="0" fontId="0" fillId="2" borderId="3" xfId="0" applyFont="1" applyFill="1" applyBorder="1"/>
    <xf numFmtId="0" fontId="0" fillId="2" borderId="0" xfId="0" applyNumberFormat="1" applyFont="1" applyFill="1"/>
    <xf numFmtId="0" fontId="7" fillId="3" borderId="0" xfId="0" applyFont="1" applyFill="1"/>
    <xf numFmtId="10" fontId="2" fillId="2" borderId="0" xfId="0" applyNumberFormat="1" applyFont="1" applyFill="1" applyBorder="1" applyAlignment="1" applyProtection="1">
      <alignment horizontal="left" vertical="center" indent="2"/>
    </xf>
    <xf numFmtId="0" fontId="6" fillId="3" borderId="0" xfId="0" applyFont="1" applyFill="1"/>
    <xf numFmtId="0" fontId="6" fillId="3" borderId="3" xfId="0" applyFont="1" applyFill="1" applyBorder="1"/>
    <xf numFmtId="0" fontId="7" fillId="3" borderId="3" xfId="0" applyFont="1" applyFill="1" applyBorder="1"/>
    <xf numFmtId="0" fontId="0" fillId="2" borderId="0" xfId="0" applyFill="1"/>
    <xf numFmtId="0" fontId="0" fillId="2" borderId="4" xfId="0" applyFont="1" applyFill="1" applyBorder="1"/>
    <xf numFmtId="0" fontId="0" fillId="2" borderId="0" xfId="0" applyFill="1" applyBorder="1"/>
    <xf numFmtId="0" fontId="0" fillId="2" borderId="8" xfId="0" applyFill="1" applyBorder="1"/>
    <xf numFmtId="9" fontId="11" fillId="2" borderId="9" xfId="471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9" fontId="11" fillId="2" borderId="12" xfId="471" applyNumberFormat="1" applyFont="1" applyFill="1" applyBorder="1"/>
    <xf numFmtId="0" fontId="3" fillId="2" borderId="0" xfId="0" applyFont="1" applyFill="1"/>
    <xf numFmtId="10" fontId="0" fillId="2" borderId="0" xfId="0" applyNumberFormat="1" applyFill="1"/>
    <xf numFmtId="0" fontId="2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9" fontId="2" fillId="2" borderId="9" xfId="470" applyFont="1" applyFill="1" applyBorder="1"/>
    <xf numFmtId="0" fontId="0" fillId="0" borderId="0" xfId="0" applyFill="1"/>
    <xf numFmtId="0" fontId="0" fillId="0" borderId="4" xfId="0" applyFill="1" applyBorder="1"/>
    <xf numFmtId="10" fontId="0" fillId="0" borderId="0" xfId="0" applyNumberFormat="1" applyFill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9" fontId="11" fillId="0" borderId="17" xfId="471" applyNumberFormat="1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9" fontId="11" fillId="0" borderId="19" xfId="471" applyNumberFormat="1" applyFont="1" applyFill="1" applyBorder="1"/>
    <xf numFmtId="9" fontId="2" fillId="0" borderId="16" xfId="470" applyFont="1" applyFill="1" applyBorder="1"/>
    <xf numFmtId="9" fontId="2" fillId="0" borderId="18" xfId="47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</cellXfs>
  <cellStyles count="472">
    <cellStyle name="Comma 2" xfId="46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  <cellStyle name="Normal 2" xfId="467"/>
    <cellStyle name="Normal 3" xfId="469"/>
    <cellStyle name="Output" xfId="471" builtinId="21"/>
    <cellStyle name="Percent" xfId="47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</xdr:colOff>
      <xdr:row>2</xdr:row>
      <xdr:rowOff>152400</xdr:rowOff>
    </xdr:from>
    <xdr:ext cx="4749800" cy="430887"/>
    <xdr:sp macro="" textlink="">
      <xdr:nvSpPr>
        <xdr:cNvPr id="2" name="TextBox 1"/>
        <xdr:cNvSpPr txBox="1"/>
      </xdr:nvSpPr>
      <xdr:spPr>
        <a:xfrm>
          <a:off x="1676400" y="546100"/>
          <a:ext cx="4749800" cy="4308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 this file the initial transport shares are determined for most datasets. Below you can find information on each</a:t>
          </a:r>
          <a:r>
            <a:rPr lang="en-US" sz="1100" baseline="0"/>
            <a:t> sheet in this file.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602066</xdr:colOff>
      <xdr:row>39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78137</xdr:colOff>
      <xdr:row>54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429432</xdr:colOff>
      <xdr:row>89</xdr:row>
      <xdr:rowOff>101600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7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589366</xdr:colOff>
      <xdr:row>66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3600" y="10680700"/>
          <a:ext cx="5753100" cy="21209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164325</xdr:colOff>
      <xdr:row>20</xdr:row>
      <xdr:rowOff>96865</xdr:rowOff>
    </xdr:from>
    <xdr:to>
      <xdr:col>25</xdr:col>
      <xdr:colOff>533399</xdr:colOff>
      <xdr:row>28</xdr:row>
      <xdr:rowOff>125709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73054" y="4272797"/>
          <a:ext cx="5341447" cy="1750878"/>
        </a:xfrm>
        <a:prstGeom prst="rect">
          <a:avLst/>
        </a:prstGeom>
      </xdr:spPr>
    </xdr:pic>
    <xdr:clientData/>
  </xdr:twoCellAnchor>
  <xdr:twoCellAnchor editAs="oneCell">
    <xdr:from>
      <xdr:col>11</xdr:col>
      <xdr:colOff>688814</xdr:colOff>
      <xdr:row>8</xdr:row>
      <xdr:rowOff>44533</xdr:rowOff>
    </xdr:from>
    <xdr:to>
      <xdr:col>22</xdr:col>
      <xdr:colOff>243238</xdr:colOff>
      <xdr:row>19</xdr:row>
      <xdr:rowOff>171557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73983" y="1723516"/>
          <a:ext cx="8864170" cy="2419482"/>
        </a:xfrm>
        <a:prstGeom prst="rect">
          <a:avLst/>
        </a:prstGeom>
      </xdr:spPr>
    </xdr:pic>
    <xdr:clientData/>
  </xdr:twoCellAnchor>
  <xdr:twoCellAnchor editAs="oneCell">
    <xdr:from>
      <xdr:col>19</xdr:col>
      <xdr:colOff>287598</xdr:colOff>
      <xdr:row>30</xdr:row>
      <xdr:rowOff>43051</xdr:rowOff>
    </xdr:from>
    <xdr:to>
      <xdr:col>23</xdr:col>
      <xdr:colOff>611107</xdr:colOff>
      <xdr:row>39</xdr:row>
      <xdr:rowOff>33794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896327" y="6360763"/>
          <a:ext cx="3638424" cy="19065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1</xdr:row>
      <xdr:rowOff>228600</xdr:rowOff>
    </xdr:from>
    <xdr:to>
      <xdr:col>22</xdr:col>
      <xdr:colOff>647700</xdr:colOff>
      <xdr:row>37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31800"/>
          <a:ext cx="11811000" cy="740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431800</xdr:colOff>
      <xdr:row>15</xdr:row>
      <xdr:rowOff>63500</xdr:rowOff>
    </xdr:from>
    <xdr:to>
      <xdr:col>22</xdr:col>
      <xdr:colOff>736600</xdr:colOff>
      <xdr:row>59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8293100"/>
          <a:ext cx="11861800" cy="901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048567"/>
  <sheetViews>
    <sheetView workbookViewId="0">
      <selection activeCell="A11" sqref="A11:XFD19"/>
    </sheetView>
  </sheetViews>
  <sheetFormatPr baseColWidth="10" defaultRowHeight="16" x14ac:dyDescent="0.2"/>
  <cols>
    <col min="4" max="4" width="22" customWidth="1"/>
  </cols>
  <sheetData>
    <row r="1" spans="1:15" ht="17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7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4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7"/>
      <c r="B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">
      <c r="A6" s="7"/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">
      <c r="A7" s="7"/>
      <c r="B7" s="8"/>
      <c r="C7" s="7" t="s">
        <v>86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">
      <c r="A9" s="7"/>
      <c r="B9" s="8"/>
      <c r="C9" s="7"/>
      <c r="D9" s="7" t="s">
        <v>30</v>
      </c>
      <c r="E9" s="7" t="s">
        <v>89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">
      <c r="A10" s="7"/>
      <c r="B10" s="8"/>
      <c r="D10" s="7" t="s">
        <v>87</v>
      </c>
      <c r="E10" s="7" t="s">
        <v>88</v>
      </c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1048567" spans="5:5" x14ac:dyDescent="0.2">
      <c r="E1048567" s="7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31"/>
  <sheetViews>
    <sheetView workbookViewId="0">
      <selection activeCell="E27" sqref="E27"/>
    </sheetView>
  </sheetViews>
  <sheetFormatPr baseColWidth="10" defaultRowHeight="16" x14ac:dyDescent="0.2"/>
  <cols>
    <col min="6" max="6" width="63.6640625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x14ac:dyDescent="0.2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0" x14ac:dyDescent="0.2">
      <c r="A4" s="4"/>
      <c r="B4" s="5"/>
      <c r="C4" s="1" t="s">
        <v>85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1"/>
      <c r="B6" s="6"/>
      <c r="D6" s="7" t="s">
        <v>77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1"/>
      <c r="B7" s="6"/>
      <c r="C7" s="7"/>
      <c r="D7" s="7"/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/>
      <c r="B8" s="6"/>
      <c r="C8" s="7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"/>
      <c r="B10" s="6"/>
      <c r="C10" s="7"/>
      <c r="D10" s="7" t="s">
        <v>31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/>
      <c r="B11" s="6"/>
      <c r="D11" s="7" t="s">
        <v>32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/>
      <c r="B13" s="6"/>
      <c r="C13" s="1"/>
      <c r="E13" s="7" t="s">
        <v>33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7"/>
      <c r="B15" s="8"/>
      <c r="C15" s="7" t="s">
        <v>84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7"/>
      <c r="B16" s="8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7"/>
      <c r="B17" s="8"/>
      <c r="C17" s="7"/>
      <c r="D17" s="7" t="s">
        <v>82</v>
      </c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7"/>
      <c r="B18" s="8"/>
      <c r="D18" s="7" t="s">
        <v>83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7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7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7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7"/>
      <c r="D24" s="7"/>
      <c r="E24" s="7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7"/>
      <c r="D25" s="7"/>
      <c r="E25" s="7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"/>
  <sheetViews>
    <sheetView tabSelected="1" topLeftCell="G40" zoomScale="118" workbookViewId="0">
      <selection activeCell="H20" sqref="H20"/>
    </sheetView>
  </sheetViews>
  <sheetFormatPr baseColWidth="10" defaultRowHeight="16" x14ac:dyDescent="0.2"/>
  <cols>
    <col min="6" max="6" width="12.1640625" customWidth="1"/>
    <col min="7" max="7" width="13.83203125" customWidth="1"/>
    <col min="8" max="8" width="16.83203125" customWidth="1"/>
    <col min="9" max="9" width="23" customWidth="1"/>
    <col min="10" max="10" width="21.1640625" customWidth="1"/>
    <col min="11" max="11" width="13.33203125" customWidth="1"/>
    <col min="12" max="13" width="12.1640625" bestFit="1" customWidth="1"/>
  </cols>
  <sheetData>
    <row r="1" spans="1:24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0"/>
      <c r="U1" s="10"/>
      <c r="V1" s="10"/>
      <c r="W1" s="10"/>
      <c r="X1" s="10"/>
    </row>
    <row r="2" spans="1:24" ht="17" thickBo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s="7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4"/>
      <c r="B4" s="5"/>
      <c r="D4" s="7"/>
      <c r="E4" s="7"/>
      <c r="F4" s="7"/>
      <c r="G4" s="7"/>
      <c r="H4" s="7"/>
      <c r="I4" s="7"/>
      <c r="J4" s="7"/>
      <c r="K4" s="7"/>
      <c r="L4" s="7"/>
      <c r="M4" s="7"/>
      <c r="N4" s="10"/>
      <c r="O4" s="10"/>
      <c r="P4" s="7"/>
      <c r="Q4" s="10"/>
      <c r="R4" s="10"/>
      <c r="S4" s="7"/>
      <c r="T4" s="10"/>
      <c r="U4" s="10"/>
      <c r="V4" s="7"/>
      <c r="W4" s="7"/>
    </row>
    <row r="5" spans="1:24" x14ac:dyDescent="0.2">
      <c r="A5" s="7"/>
      <c r="B5" s="8"/>
      <c r="C5" s="11" t="s">
        <v>110</v>
      </c>
      <c r="E5" s="7"/>
      <c r="F5" s="7"/>
      <c r="G5" s="7"/>
      <c r="H5" s="7"/>
      <c r="I5" s="7" t="s">
        <v>51</v>
      </c>
      <c r="J5" s="7"/>
      <c r="K5" s="7"/>
      <c r="L5" s="7"/>
      <c r="M5" s="7"/>
      <c r="N5" s="10"/>
      <c r="O5" s="10"/>
      <c r="P5" s="7"/>
      <c r="Q5" s="10"/>
      <c r="R5" s="10"/>
      <c r="S5" s="7"/>
      <c r="T5" s="10"/>
      <c r="U5" s="10"/>
      <c r="V5" s="7"/>
      <c r="W5" s="7"/>
    </row>
    <row r="6" spans="1:24" ht="17" thickBot="1" x14ac:dyDescent="0.25">
      <c r="A6" s="7"/>
      <c r="B6" s="8"/>
      <c r="C6" s="7"/>
      <c r="D6" s="7"/>
      <c r="E6" s="7"/>
      <c r="F6" s="7" t="s">
        <v>46</v>
      </c>
      <c r="G6" s="7" t="s">
        <v>49</v>
      </c>
      <c r="H6" s="7" t="s">
        <v>47</v>
      </c>
      <c r="I6" s="7" t="s">
        <v>50</v>
      </c>
      <c r="J6" s="7"/>
      <c r="K6" s="7"/>
      <c r="L6" s="7" t="s">
        <v>75</v>
      </c>
      <c r="M6" s="7" t="s">
        <v>94</v>
      </c>
      <c r="N6" s="10"/>
      <c r="O6" s="10"/>
      <c r="P6" s="7"/>
      <c r="Q6" s="10"/>
      <c r="R6" s="10"/>
      <c r="S6" s="7"/>
      <c r="T6" s="10"/>
      <c r="U6" s="10"/>
      <c r="V6" s="7"/>
      <c r="W6" s="7"/>
    </row>
    <row r="7" spans="1:24" ht="17" thickBot="1" x14ac:dyDescent="0.25">
      <c r="A7" s="7"/>
      <c r="B7" s="8"/>
      <c r="C7" s="7"/>
      <c r="D7" s="7" t="s">
        <v>42</v>
      </c>
      <c r="E7" s="7"/>
      <c r="F7" s="16">
        <v>7979083</v>
      </c>
      <c r="G7" s="16">
        <v>102909.2</v>
      </c>
      <c r="H7" s="16">
        <v>97880.2</v>
      </c>
      <c r="I7" s="7">
        <f t="shared" ref="I7:I12" si="0">(G7*1000000)/F7</f>
        <v>12897.371790718307</v>
      </c>
      <c r="J7" s="7"/>
      <c r="K7" s="7"/>
      <c r="L7" s="7"/>
      <c r="M7" s="7" t="s">
        <v>93</v>
      </c>
      <c r="N7" s="7"/>
      <c r="O7" s="7"/>
      <c r="P7" s="7"/>
      <c r="Q7" s="10"/>
      <c r="R7" s="10"/>
      <c r="S7" s="7"/>
      <c r="T7" s="10"/>
      <c r="U7" s="10"/>
      <c r="V7" s="7"/>
      <c r="W7" s="7"/>
    </row>
    <row r="8" spans="1:24" ht="17" thickBot="1" x14ac:dyDescent="0.25">
      <c r="A8" s="7"/>
      <c r="B8" s="8"/>
      <c r="C8" s="7"/>
      <c r="D8" s="7" t="s">
        <v>43</v>
      </c>
      <c r="E8" s="7"/>
      <c r="F8" s="16">
        <v>814954</v>
      </c>
      <c r="G8" s="16">
        <v>16583.900000000001</v>
      </c>
      <c r="H8" s="16">
        <v>15903.9</v>
      </c>
      <c r="I8" s="7">
        <f t="shared" si="0"/>
        <v>20349.492118573566</v>
      </c>
      <c r="J8" s="7"/>
      <c r="K8" s="7"/>
      <c r="L8" s="7"/>
      <c r="M8" s="7" t="s">
        <v>95</v>
      </c>
      <c r="N8" s="7"/>
      <c r="O8" s="7"/>
      <c r="P8" s="7"/>
      <c r="Q8" s="10"/>
      <c r="R8" s="10"/>
      <c r="S8" s="7"/>
      <c r="T8" s="10"/>
      <c r="U8" s="10"/>
      <c r="V8" s="7"/>
      <c r="W8" s="7"/>
    </row>
    <row r="9" spans="1:24" ht="17" thickBot="1" x14ac:dyDescent="0.25">
      <c r="A9" s="4"/>
      <c r="B9" s="5"/>
      <c r="C9" s="7"/>
      <c r="D9" s="7" t="s">
        <v>44</v>
      </c>
      <c r="E9" s="7"/>
      <c r="F9" s="16">
        <v>63356</v>
      </c>
      <c r="G9" s="16">
        <v>2141.1</v>
      </c>
      <c r="H9" s="16">
        <v>2006.2</v>
      </c>
      <c r="I9" s="7">
        <f t="shared" si="0"/>
        <v>33794.747143127723</v>
      </c>
      <c r="J9" s="7"/>
      <c r="K9" s="7"/>
      <c r="L9" s="7"/>
      <c r="M9" s="7"/>
      <c r="N9" s="7"/>
      <c r="O9" s="7"/>
      <c r="P9" s="7"/>
      <c r="Q9" s="10"/>
      <c r="R9" s="10"/>
      <c r="S9" s="7"/>
      <c r="T9" s="10"/>
      <c r="U9" s="10"/>
      <c r="V9" s="7"/>
      <c r="W9" s="7"/>
    </row>
    <row r="10" spans="1:24" ht="17" thickBot="1" x14ac:dyDescent="0.25">
      <c r="A10" s="7"/>
      <c r="B10" s="8"/>
      <c r="C10" s="7"/>
      <c r="D10" s="7" t="s">
        <v>45</v>
      </c>
      <c r="E10" s="7"/>
      <c r="F10" s="16">
        <v>70533</v>
      </c>
      <c r="G10" s="16">
        <v>4661.1000000000004</v>
      </c>
      <c r="H10" s="16">
        <v>4054.1</v>
      </c>
      <c r="I10" s="7">
        <f t="shared" si="0"/>
        <v>66083.960699247167</v>
      </c>
      <c r="J10" s="7"/>
      <c r="K10" s="7"/>
      <c r="L10" s="7"/>
      <c r="M10" s="7"/>
      <c r="N10" s="7"/>
      <c r="O10" s="7"/>
      <c r="P10" s="7"/>
      <c r="Q10" s="10"/>
      <c r="R10" s="10"/>
      <c r="S10" s="7"/>
      <c r="T10" s="10"/>
      <c r="U10" s="10"/>
      <c r="V10" s="7"/>
      <c r="W10" s="7"/>
    </row>
    <row r="11" spans="1:24" ht="17" thickBot="1" x14ac:dyDescent="0.25">
      <c r="A11" s="7"/>
      <c r="B11" s="8"/>
      <c r="C11" s="7"/>
      <c r="D11" s="7" t="s">
        <v>37</v>
      </c>
      <c r="E11" s="7"/>
      <c r="F11" s="16">
        <v>61145</v>
      </c>
      <c r="G11" s="16">
        <v>433.6</v>
      </c>
      <c r="H11" s="16">
        <v>366.1</v>
      </c>
      <c r="I11" s="7">
        <f t="shared" si="0"/>
        <v>7091.3402567667017</v>
      </c>
      <c r="J11" s="7"/>
      <c r="K11" s="7"/>
      <c r="L11" s="7"/>
      <c r="M11" s="7"/>
      <c r="N11" s="7"/>
      <c r="O11" s="7"/>
      <c r="P11" s="7"/>
      <c r="Q11" s="10"/>
      <c r="R11" s="10"/>
      <c r="S11" s="7"/>
      <c r="T11" s="10"/>
      <c r="U11" s="10"/>
      <c r="V11" s="7"/>
      <c r="W11" s="7"/>
    </row>
    <row r="12" spans="1:24" ht="17" thickBot="1" x14ac:dyDescent="0.25">
      <c r="A12" s="7"/>
      <c r="B12" s="8"/>
      <c r="C12" s="7"/>
      <c r="D12" s="7" t="s">
        <v>38</v>
      </c>
      <c r="E12" s="7"/>
      <c r="F12" s="16">
        <v>9597</v>
      </c>
      <c r="G12" s="16">
        <v>621.79999999999995</v>
      </c>
      <c r="H12" s="16">
        <v>599.20000000000005</v>
      </c>
      <c r="I12" s="7">
        <f t="shared" si="0"/>
        <v>64791.080546003963</v>
      </c>
      <c r="J12" s="7"/>
      <c r="K12" s="7"/>
      <c r="L12" s="7"/>
      <c r="M12" s="7"/>
      <c r="N12" s="7"/>
      <c r="O12" s="9"/>
      <c r="P12" s="7"/>
      <c r="Q12" s="10"/>
      <c r="R12" s="10"/>
      <c r="S12" s="7"/>
      <c r="T12" s="10"/>
      <c r="U12" s="10"/>
      <c r="V12" s="7"/>
      <c r="W12" s="7"/>
    </row>
    <row r="13" spans="1:24" x14ac:dyDescent="0.2">
      <c r="A13" s="7"/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0"/>
      <c r="U13" s="10"/>
      <c r="V13" s="7"/>
      <c r="W13" s="7"/>
    </row>
    <row r="14" spans="1:24" x14ac:dyDescent="0.2">
      <c r="A14" s="7"/>
      <c r="B14" s="8"/>
      <c r="C14" s="7"/>
      <c r="D14" s="7" t="s">
        <v>48</v>
      </c>
      <c r="E14" s="7"/>
      <c r="F14" s="7"/>
      <c r="G14" s="7">
        <f>SUM(G7:G12)</f>
        <v>127350.70000000003</v>
      </c>
      <c r="H14" s="7">
        <f>SUM(H7:H12)</f>
        <v>120809.7</v>
      </c>
      <c r="I14" s="7" t="e">
        <f>(G14*1000000)/F14</f>
        <v>#DIV/0!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4" x14ac:dyDescent="0.2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4" x14ac:dyDescent="0.2">
      <c r="A16" s="7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 s="7"/>
      <c r="B17" s="8"/>
      <c r="C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 s="7"/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 s="7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 s="7"/>
      <c r="B20" s="8"/>
      <c r="C20" s="7"/>
      <c r="D20" s="4" t="s">
        <v>52</v>
      </c>
      <c r="E20" s="7"/>
      <c r="F20" s="7" t="s">
        <v>46</v>
      </c>
      <c r="G20" t="s">
        <v>55</v>
      </c>
      <c r="H20" s="7" t="s">
        <v>56</v>
      </c>
      <c r="I20" s="7" t="s">
        <v>60</v>
      </c>
      <c r="J20" s="7" t="s">
        <v>57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7" thickBot="1" x14ac:dyDescent="0.25">
      <c r="A21" s="7"/>
      <c r="B21" s="8"/>
      <c r="C21" s="7"/>
      <c r="E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7" thickBot="1" x14ac:dyDescent="0.25">
      <c r="A22" s="7"/>
      <c r="B22" s="8"/>
      <c r="C22" s="7"/>
      <c r="D22" s="7" t="s">
        <v>53</v>
      </c>
      <c r="E22" s="7"/>
      <c r="F22" s="16">
        <v>6331816</v>
      </c>
      <c r="G22" s="7">
        <f>$I$7</f>
        <v>12897.371790718307</v>
      </c>
      <c r="H22" s="16">
        <v>0.476190476190476</v>
      </c>
      <c r="I22" s="7">
        <f>G22/H22</f>
        <v>27084.480760508457</v>
      </c>
      <c r="J22" s="7">
        <f>I22*F22</f>
        <v>171493948631.07962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7" thickBot="1" x14ac:dyDescent="0.25">
      <c r="A23" s="7"/>
      <c r="B23" s="8"/>
      <c r="C23" s="7"/>
      <c r="D23" s="7" t="s">
        <v>34</v>
      </c>
      <c r="E23" s="7"/>
      <c r="F23" s="16">
        <v>1313752</v>
      </c>
      <c r="G23" s="7">
        <f t="shared" ref="G23:G27" si="1">$I$7</f>
        <v>12897.371790718307</v>
      </c>
      <c r="H23" s="16">
        <v>0.52631578947368396</v>
      </c>
      <c r="I23" s="7">
        <f t="shared" ref="I23:I26" si="2">G23/H23</f>
        <v>24505.006402364794</v>
      </c>
      <c r="J23" s="7">
        <f t="shared" ref="J23:J26" si="3">I23*F23</f>
        <v>32193501171.119553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7" thickBot="1" x14ac:dyDescent="0.25">
      <c r="A24" s="7"/>
      <c r="B24" s="8"/>
      <c r="C24" s="7"/>
      <c r="D24" s="7" t="s">
        <v>39</v>
      </c>
      <c r="E24" s="7"/>
      <c r="F24" s="16">
        <v>168234</v>
      </c>
      <c r="G24" s="7">
        <f t="shared" si="1"/>
        <v>12897.371790718307</v>
      </c>
      <c r="H24" s="16">
        <v>0.5</v>
      </c>
      <c r="I24" s="7">
        <f t="shared" si="2"/>
        <v>25794.743581436614</v>
      </c>
      <c r="J24" s="7">
        <f t="shared" si="3"/>
        <v>4339552891.6794071</v>
      </c>
      <c r="K24" s="7"/>
      <c r="L24" s="7" t="s">
        <v>80</v>
      </c>
      <c r="M24" s="7" t="s">
        <v>81</v>
      </c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7" thickBot="1" x14ac:dyDescent="0.25">
      <c r="A25" s="4"/>
      <c r="B25" s="5"/>
      <c r="C25" s="7"/>
      <c r="D25" s="7" t="s">
        <v>40</v>
      </c>
      <c r="E25" s="7"/>
      <c r="F25" s="16">
        <v>155938</v>
      </c>
      <c r="G25" s="7">
        <f t="shared" si="1"/>
        <v>12897.371790718307</v>
      </c>
      <c r="H25" s="16">
        <v>1.5384615384615401</v>
      </c>
      <c r="I25" s="7">
        <f t="shared" si="2"/>
        <v>8383.2916639668911</v>
      </c>
      <c r="J25" s="7">
        <f t="shared" si="3"/>
        <v>1307273735.4956691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7" thickBot="1" x14ac:dyDescent="0.25">
      <c r="A26" s="7"/>
      <c r="B26" s="8"/>
      <c r="C26" s="7"/>
      <c r="D26" s="7" t="s">
        <v>41</v>
      </c>
      <c r="E26" s="7"/>
      <c r="F26" s="16">
        <v>6706</v>
      </c>
      <c r="G26" s="7">
        <f t="shared" si="1"/>
        <v>12897.371790718307</v>
      </c>
      <c r="H26" s="16">
        <v>0.476190476190476</v>
      </c>
      <c r="I26" s="7">
        <f t="shared" si="2"/>
        <v>27084.480760508457</v>
      </c>
      <c r="J26" s="7">
        <f t="shared" si="3"/>
        <v>181628527.97996971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7" thickBot="1" x14ac:dyDescent="0.25">
      <c r="A27" s="7"/>
      <c r="B27" s="8"/>
      <c r="C27" s="7"/>
      <c r="D27" s="7" t="s">
        <v>54</v>
      </c>
      <c r="E27" s="7"/>
      <c r="F27" s="16">
        <v>2637</v>
      </c>
      <c r="G27" s="7">
        <f t="shared" si="1"/>
        <v>12897.371790718307</v>
      </c>
      <c r="H27" s="7"/>
      <c r="I27" s="7"/>
      <c r="J27" s="7"/>
      <c r="K27" s="7"/>
      <c r="L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7" thickBot="1" x14ac:dyDescent="0.25">
      <c r="A28" s="7"/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7" thickBot="1" x14ac:dyDescent="0.25">
      <c r="A29" s="7"/>
      <c r="B29" s="8"/>
      <c r="C29" s="7"/>
      <c r="D29" s="7" t="s">
        <v>48</v>
      </c>
      <c r="E29" s="7"/>
      <c r="F29" s="16">
        <v>7979083</v>
      </c>
      <c r="G29" s="7"/>
      <c r="H29" s="7"/>
      <c r="I29" s="7"/>
      <c r="J29" s="7">
        <f>SUM(J22:J26)</f>
        <v>209515904957.35422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">
      <c r="A30" s="4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">
      <c r="A32" s="7"/>
      <c r="B32" s="8"/>
      <c r="C32" s="7"/>
      <c r="D32" s="4" t="s">
        <v>58</v>
      </c>
      <c r="E32" s="7"/>
      <c r="F32" s="7" t="s">
        <v>46</v>
      </c>
      <c r="G32" t="s">
        <v>55</v>
      </c>
      <c r="H32" s="7" t="s">
        <v>56</v>
      </c>
      <c r="I32" s="7" t="s">
        <v>60</v>
      </c>
      <c r="J32" s="7" t="s">
        <v>57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7" thickBot="1" x14ac:dyDescent="0.25">
      <c r="A33" s="7"/>
      <c r="B33" s="8"/>
      <c r="C33" s="7"/>
      <c r="D33" s="7"/>
      <c r="E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7" thickBot="1" x14ac:dyDescent="0.25">
      <c r="A34" s="7"/>
      <c r="B34" s="8"/>
      <c r="C34" s="7"/>
      <c r="D34" s="7" t="s">
        <v>53</v>
      </c>
      <c r="E34" s="7"/>
      <c r="F34" s="16">
        <v>25372</v>
      </c>
      <c r="G34" s="7">
        <f>$I$8</f>
        <v>20349.492118573566</v>
      </c>
      <c r="H34" s="7">
        <f>(1-0.0907314815)*H35</f>
        <v>0.43298500880952379</v>
      </c>
      <c r="I34" s="7">
        <f>G34/H34</f>
        <v>46998.144749915795</v>
      </c>
      <c r="J34" s="7">
        <f>I34*F34</f>
        <v>1192436928.5948637</v>
      </c>
      <c r="K34" s="7" t="s">
        <v>67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7" thickBot="1" x14ac:dyDescent="0.25">
      <c r="A35" s="7"/>
      <c r="B35" s="8"/>
      <c r="C35" s="7"/>
      <c r="D35" s="7" t="s">
        <v>34</v>
      </c>
      <c r="E35" s="7"/>
      <c r="F35" s="16">
        <v>770286</v>
      </c>
      <c r="G35" s="7">
        <f t="shared" ref="G35:G41" si="4">$I$8</f>
        <v>20349.492118573566</v>
      </c>
      <c r="H35" s="7">
        <f>1/2.1</f>
        <v>0.47619047619047616</v>
      </c>
      <c r="I35" s="7">
        <f t="shared" ref="I35:I38" si="5">G35/H35</f>
        <v>42733.933449004493</v>
      </c>
      <c r="J35" s="7">
        <f t="shared" ref="J35:J38" si="6">I35*F35</f>
        <v>32917350660.699875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7" thickBot="1" x14ac:dyDescent="0.25">
      <c r="A36" s="7"/>
      <c r="B36" s="8"/>
      <c r="C36" s="7"/>
      <c r="D36" s="7" t="s">
        <v>39</v>
      </c>
      <c r="E36" s="7"/>
      <c r="F36" s="16">
        <v>15605</v>
      </c>
      <c r="G36" s="7">
        <f t="shared" si="4"/>
        <v>20349.492118573566</v>
      </c>
      <c r="H36" s="7">
        <f>H24*AVERAGE((H34/H22),(H35/H23),(H38/H26))</f>
        <v>0.45385355539213584</v>
      </c>
      <c r="I36" s="7">
        <f t="shared" si="5"/>
        <v>44837.132764094618</v>
      </c>
      <c r="J36" s="7">
        <f t="shared" si="6"/>
        <v>699683456.78369653</v>
      </c>
      <c r="K36" s="7" t="s">
        <v>74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7" thickBot="1" x14ac:dyDescent="0.25">
      <c r="A37" s="7"/>
      <c r="B37" s="8"/>
      <c r="C37" s="7"/>
      <c r="D37" s="7" t="s">
        <v>40</v>
      </c>
      <c r="E37" s="7"/>
      <c r="F37" s="16">
        <v>1168</v>
      </c>
      <c r="G37" s="7">
        <f t="shared" si="4"/>
        <v>20349.492118573566</v>
      </c>
      <c r="H37" s="7">
        <f>H25*AVERAGE((H34/H22),(H35/H23),(H38/H26))</f>
        <v>1.3964724781296503</v>
      </c>
      <c r="I37" s="7">
        <f t="shared" si="5"/>
        <v>14572.068148330734</v>
      </c>
      <c r="J37" s="7">
        <f t="shared" si="6"/>
        <v>17020175.597250298</v>
      </c>
      <c r="K37" s="7" t="s">
        <v>74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7" thickBot="1" x14ac:dyDescent="0.25">
      <c r="A38" s="7"/>
      <c r="B38" s="8"/>
      <c r="C38" s="7"/>
      <c r="D38" s="7" t="s">
        <v>41</v>
      </c>
      <c r="E38" s="7"/>
      <c r="F38" s="16">
        <v>2512</v>
      </c>
      <c r="G38" s="7">
        <f t="shared" si="4"/>
        <v>20349.492118573566</v>
      </c>
      <c r="H38" s="7">
        <f>1/2.31</f>
        <v>0.4329004329004329</v>
      </c>
      <c r="I38" s="7">
        <f t="shared" si="5"/>
        <v>47007.32679390494</v>
      </c>
      <c r="J38" s="7">
        <f t="shared" si="6"/>
        <v>118082404.9062892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7" thickBot="1" x14ac:dyDescent="0.25">
      <c r="A39" s="7"/>
      <c r="B39" s="8"/>
      <c r="C39" s="7"/>
      <c r="D39" s="7" t="s">
        <v>54</v>
      </c>
      <c r="E39" s="7"/>
      <c r="F39" s="16">
        <v>11</v>
      </c>
      <c r="G39" s="7">
        <f t="shared" si="4"/>
        <v>20349.492118573566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7" thickBot="1" x14ac:dyDescent="0.25">
      <c r="A40" s="7"/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7" thickBot="1" x14ac:dyDescent="0.25">
      <c r="A41" s="7"/>
      <c r="B41" s="8"/>
      <c r="C41" s="7"/>
      <c r="D41" s="7" t="s">
        <v>48</v>
      </c>
      <c r="E41" s="7"/>
      <c r="F41" s="16">
        <v>814954</v>
      </c>
      <c r="G41" s="7">
        <f t="shared" si="4"/>
        <v>20349.492118573566</v>
      </c>
      <c r="H41" s="7"/>
      <c r="I41" s="7"/>
      <c r="J41" s="7">
        <f>SUM(J34:J38)</f>
        <v>34944573626.581978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2">
      <c r="A42" s="7"/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">
      <c r="A43" s="7"/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2">
      <c r="A44" s="12"/>
      <c r="B44" s="13"/>
      <c r="C44" s="7"/>
      <c r="D44" s="4" t="s">
        <v>44</v>
      </c>
      <c r="E44" s="7"/>
      <c r="F44" s="7" t="s">
        <v>46</v>
      </c>
      <c r="G44" t="s">
        <v>55</v>
      </c>
      <c r="H44" s="7" t="s">
        <v>56</v>
      </c>
      <c r="I44" s="7" t="s">
        <v>60</v>
      </c>
      <c r="J44" s="7" t="s">
        <v>57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7" thickBot="1" x14ac:dyDescent="0.25">
      <c r="A45" s="10"/>
      <c r="B45" s="14"/>
      <c r="C45" s="7"/>
      <c r="D45" s="7"/>
      <c r="E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7" thickBot="1" x14ac:dyDescent="0.25">
      <c r="A46" s="10"/>
      <c r="B46" s="14"/>
      <c r="C46" s="7"/>
      <c r="D46" s="7" t="s">
        <v>53</v>
      </c>
      <c r="E46" s="7"/>
      <c r="F46" s="16">
        <v>891</v>
      </c>
      <c r="G46" s="7">
        <f>$I$9</f>
        <v>33794.747143127723</v>
      </c>
      <c r="H46" s="16">
        <v>9.6522852639873896E-2</v>
      </c>
      <c r="I46" s="7">
        <f>G46/H46</f>
        <v>350121.71956019261</v>
      </c>
      <c r="J46" s="7">
        <f>I46*F46</f>
        <v>311958452.12813163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7" thickBot="1" x14ac:dyDescent="0.25">
      <c r="A47" s="10"/>
      <c r="B47" s="14"/>
      <c r="C47" s="7"/>
      <c r="D47" s="7" t="s">
        <v>34</v>
      </c>
      <c r="E47" s="7"/>
      <c r="F47" s="16">
        <v>61915</v>
      </c>
      <c r="G47" s="7">
        <f t="shared" ref="G47:G53" si="7">$I$9</f>
        <v>33794.747143127723</v>
      </c>
      <c r="H47" s="16">
        <v>0.10638297872340401</v>
      </c>
      <c r="I47" s="7">
        <f t="shared" ref="I47:I51" si="8">G47/H47</f>
        <v>317670.62314540136</v>
      </c>
      <c r="J47" s="7">
        <f t="shared" ref="J47:J51" si="9">I47*F47</f>
        <v>19668576632.047523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7" thickBot="1" x14ac:dyDescent="0.25">
      <c r="A48" s="10"/>
      <c r="B48" s="14"/>
      <c r="C48" s="7"/>
      <c r="D48" s="7" t="s">
        <v>39</v>
      </c>
      <c r="E48" s="7"/>
      <c r="F48" s="16">
        <v>291</v>
      </c>
      <c r="G48" s="7">
        <f t="shared" si="7"/>
        <v>33794.747143127723</v>
      </c>
      <c r="H48" s="16"/>
      <c r="I48" s="7" t="e">
        <f t="shared" si="8"/>
        <v>#DIV/0!</v>
      </c>
      <c r="J48" s="7" t="e">
        <f t="shared" si="9"/>
        <v>#DIV/0!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7" thickBot="1" x14ac:dyDescent="0.25">
      <c r="A49" s="12"/>
      <c r="B49" s="13"/>
      <c r="C49" s="7"/>
      <c r="D49" s="7" t="s">
        <v>40</v>
      </c>
      <c r="E49" s="7"/>
      <c r="F49" s="16">
        <v>57</v>
      </c>
      <c r="G49" s="7">
        <f t="shared" si="7"/>
        <v>33794.747143127723</v>
      </c>
      <c r="H49" s="16">
        <v>0.19157088122605401</v>
      </c>
      <c r="I49" s="7">
        <f t="shared" si="8"/>
        <v>176408.58008712638</v>
      </c>
      <c r="J49" s="7">
        <f t="shared" si="9"/>
        <v>10055289.064966204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7" thickBot="1" x14ac:dyDescent="0.25">
      <c r="A50" s="10"/>
      <c r="B50" s="14"/>
      <c r="C50" s="7"/>
      <c r="D50" s="7" t="s">
        <v>41</v>
      </c>
      <c r="E50" s="7"/>
      <c r="F50" s="16">
        <v>186</v>
      </c>
      <c r="G50" s="7">
        <f t="shared" si="7"/>
        <v>33794.747143127723</v>
      </c>
      <c r="H50" s="16">
        <v>0.10638297872340401</v>
      </c>
      <c r="I50" s="7">
        <f t="shared" si="8"/>
        <v>317670.62314540136</v>
      </c>
      <c r="J50" s="7">
        <f t="shared" si="9"/>
        <v>59086735.905044653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7" thickBot="1" x14ac:dyDescent="0.25">
      <c r="A51" s="10"/>
      <c r="B51" s="14"/>
      <c r="C51" s="7"/>
      <c r="D51" s="7" t="s">
        <v>54</v>
      </c>
      <c r="E51" s="7"/>
      <c r="F51" s="16">
        <v>16</v>
      </c>
      <c r="G51" s="7">
        <f t="shared" si="7"/>
        <v>33794.747143127723</v>
      </c>
      <c r="H51" s="7"/>
      <c r="I51" s="7" t="e">
        <f t="shared" si="8"/>
        <v>#DIV/0!</v>
      </c>
      <c r="J51" s="7" t="e">
        <f t="shared" si="9"/>
        <v>#DIV/0!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7" thickBot="1" x14ac:dyDescent="0.25">
      <c r="A52" s="10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7" thickBot="1" x14ac:dyDescent="0.25">
      <c r="A53" s="10"/>
      <c r="B53" s="14"/>
      <c r="C53" s="7"/>
      <c r="D53" s="7" t="s">
        <v>48</v>
      </c>
      <c r="E53" s="7"/>
      <c r="F53" s="16">
        <v>63356</v>
      </c>
      <c r="G53" s="7">
        <f t="shared" si="7"/>
        <v>33794.747143127723</v>
      </c>
      <c r="H53" s="7"/>
      <c r="I53" s="7" t="e">
        <f>G53/H53</f>
        <v>#DIV/0!</v>
      </c>
      <c r="J53" s="7" t="e">
        <f>I53*F53</f>
        <v>#DIV/0!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">
      <c r="A54" s="10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2">
      <c r="A55" s="10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x14ac:dyDescent="0.2">
      <c r="A56" s="10"/>
      <c r="B56" s="14"/>
      <c r="C56" s="7"/>
      <c r="D56" s="4" t="s">
        <v>36</v>
      </c>
      <c r="E56" s="7"/>
      <c r="F56" s="7" t="s">
        <v>46</v>
      </c>
      <c r="G56" t="s">
        <v>55</v>
      </c>
      <c r="H56" s="7" t="s">
        <v>56</v>
      </c>
      <c r="I56" s="7" t="s">
        <v>60</v>
      </c>
      <c r="J56" s="7" t="s">
        <v>57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7" thickBot="1" x14ac:dyDescent="0.25">
      <c r="A57" s="10"/>
      <c r="B57" s="14"/>
      <c r="C57" s="7"/>
      <c r="D57" s="7"/>
      <c r="E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7" thickBot="1" x14ac:dyDescent="0.25">
      <c r="A58" s="10"/>
      <c r="B58" s="14"/>
      <c r="C58" s="7"/>
      <c r="D58" s="7" t="s">
        <v>53</v>
      </c>
      <c r="E58" s="7"/>
      <c r="F58" s="16">
        <v>27</v>
      </c>
      <c r="G58" s="7">
        <f t="shared" ref="G58:G62" si="10">$I$10</f>
        <v>66083.960699247167</v>
      </c>
      <c r="H58" s="16">
        <f>H59*(1-0.0907314815)</f>
        <v>7.3328106330645154E-2</v>
      </c>
      <c r="I58" s="7">
        <f>G58/H58</f>
        <v>901209.15438981506</v>
      </c>
      <c r="J58" s="7">
        <f>I58*F58</f>
        <v>24332647.168525007</v>
      </c>
      <c r="K58" s="7" t="s">
        <v>67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7" thickBot="1" x14ac:dyDescent="0.25">
      <c r="A59" s="10"/>
      <c r="B59" s="14"/>
      <c r="C59" s="7"/>
      <c r="D59" s="7" t="s">
        <v>34</v>
      </c>
      <c r="E59" s="7"/>
      <c r="F59" s="16">
        <v>70258</v>
      </c>
      <c r="G59" s="7">
        <f t="shared" si="10"/>
        <v>66083.960699247167</v>
      </c>
      <c r="H59" s="16">
        <f>1/12.4</f>
        <v>8.0645161290322578E-2</v>
      </c>
      <c r="I59" s="7">
        <f t="shared" ref="I59:I63" si="11">G59/H59</f>
        <v>819441.11267066491</v>
      </c>
      <c r="J59" s="7">
        <f t="shared" ref="J59:J63" si="12">I59*F59</f>
        <v>57572293694.015572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7" thickBot="1" x14ac:dyDescent="0.25">
      <c r="A60" s="10"/>
      <c r="B60" s="14"/>
      <c r="C60" s="7"/>
      <c r="D60" s="7" t="s">
        <v>39</v>
      </c>
      <c r="E60" s="7"/>
      <c r="F60" s="16">
        <v>18</v>
      </c>
      <c r="G60" s="7">
        <f>$I$10</f>
        <v>66083.960699247167</v>
      </c>
      <c r="H60" s="7"/>
      <c r="I60" s="7" t="e">
        <f t="shared" si="11"/>
        <v>#DIV/0!</v>
      </c>
      <c r="J60" s="7" t="e">
        <f t="shared" si="12"/>
        <v>#DIV/0!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7" thickBot="1" x14ac:dyDescent="0.25">
      <c r="A61" s="10"/>
      <c r="B61" s="14"/>
      <c r="C61" s="7"/>
      <c r="D61" s="7" t="s">
        <v>40</v>
      </c>
      <c r="E61" s="7"/>
      <c r="F61" s="16">
        <v>7</v>
      </c>
      <c r="G61" s="7">
        <f t="shared" si="10"/>
        <v>66083.960699247167</v>
      </c>
      <c r="H61" s="7"/>
      <c r="I61" s="7" t="e">
        <f t="shared" si="11"/>
        <v>#DIV/0!</v>
      </c>
      <c r="J61" s="7" t="e">
        <f t="shared" si="12"/>
        <v>#DIV/0!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7" thickBot="1" x14ac:dyDescent="0.25">
      <c r="A62" s="10"/>
      <c r="B62" s="14"/>
      <c r="C62" s="7"/>
      <c r="D62" s="7" t="s">
        <v>41</v>
      </c>
      <c r="E62" s="7"/>
      <c r="F62" s="16">
        <v>36</v>
      </c>
      <c r="G62" s="7">
        <f t="shared" si="10"/>
        <v>66083.960699247167</v>
      </c>
      <c r="H62" s="7"/>
      <c r="I62" s="7" t="e">
        <f t="shared" si="11"/>
        <v>#DIV/0!</v>
      </c>
      <c r="J62" s="7" t="e">
        <f t="shared" si="12"/>
        <v>#DIV/0!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7" thickBot="1" x14ac:dyDescent="0.25">
      <c r="A63" s="10"/>
      <c r="B63" s="14"/>
      <c r="C63" s="7"/>
      <c r="D63" s="7" t="s">
        <v>54</v>
      </c>
      <c r="E63" s="7"/>
      <c r="F63" s="16">
        <v>187</v>
      </c>
      <c r="G63" s="7">
        <f>$I$10</f>
        <v>66083.960699247167</v>
      </c>
      <c r="H63" s="7"/>
      <c r="I63" s="7" t="e">
        <f t="shared" si="11"/>
        <v>#DIV/0!</v>
      </c>
      <c r="J63" s="7" t="e">
        <f t="shared" si="12"/>
        <v>#DIV/0!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7" thickBot="1" x14ac:dyDescent="0.25">
      <c r="A64" s="12"/>
      <c r="B64" s="1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7" thickBot="1" x14ac:dyDescent="0.25">
      <c r="A65" s="10"/>
      <c r="B65" s="14"/>
      <c r="C65" s="7"/>
      <c r="D65" s="7" t="s">
        <v>48</v>
      </c>
      <c r="E65" s="7"/>
      <c r="F65" s="16">
        <v>70533</v>
      </c>
      <c r="G65" s="7">
        <f t="shared" ref="G65" si="13">$I$10</f>
        <v>66083.960699247167</v>
      </c>
      <c r="H65" s="7"/>
      <c r="I65" s="7" t="e">
        <f>G65/H65</f>
        <v>#DIV/0!</v>
      </c>
      <c r="J65" s="7" t="e">
        <f>I65*F65</f>
        <v>#DIV/0!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2">
      <c r="A66" s="10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2">
      <c r="A67" s="10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2">
      <c r="A68" s="10"/>
      <c r="B68" s="14"/>
      <c r="C68" s="7"/>
      <c r="D68" s="4" t="s">
        <v>59</v>
      </c>
      <c r="E68" s="7"/>
      <c r="F68" s="7" t="s">
        <v>46</v>
      </c>
      <c r="G68" t="s">
        <v>55</v>
      </c>
      <c r="H68" s="7" t="s">
        <v>56</v>
      </c>
      <c r="I68" s="7" t="s">
        <v>60</v>
      </c>
      <c r="J68" s="7" t="s">
        <v>57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7" thickBot="1" x14ac:dyDescent="0.25">
      <c r="A69" s="12"/>
      <c r="B69" s="13"/>
      <c r="C69" s="7"/>
      <c r="D69" s="7"/>
      <c r="E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7" thickBot="1" x14ac:dyDescent="0.25">
      <c r="A70" s="10"/>
      <c r="B70" s="14"/>
      <c r="C70" s="7"/>
      <c r="D70" s="7" t="s">
        <v>53</v>
      </c>
      <c r="E70" s="7"/>
      <c r="F70" s="16">
        <v>2767</v>
      </c>
      <c r="G70" s="7">
        <f>$I$11</f>
        <v>7091.3402567667017</v>
      </c>
      <c r="H70" s="16">
        <v>9.6522852639873896E-2</v>
      </c>
      <c r="I70" s="7">
        <f>G70/H70</f>
        <v>73467.99294488781</v>
      </c>
      <c r="J70" s="7">
        <f>I70*F70</f>
        <v>203285936.47850457</v>
      </c>
      <c r="K70" s="7" t="s">
        <v>78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7" thickBot="1" x14ac:dyDescent="0.25">
      <c r="A71" s="10"/>
      <c r="B71" s="14"/>
      <c r="C71" s="7"/>
      <c r="D71" s="7" t="s">
        <v>34</v>
      </c>
      <c r="E71" s="7"/>
      <c r="F71" s="16">
        <v>56453</v>
      </c>
      <c r="G71" s="7">
        <f t="shared" ref="G71:G77" si="14">$I$11</f>
        <v>7091.3402567667017</v>
      </c>
      <c r="H71" s="16">
        <v>0.10638297872340401</v>
      </c>
      <c r="I71" s="7">
        <f t="shared" ref="I71:I75" si="15">G71/H71</f>
        <v>66658.598413607149</v>
      </c>
      <c r="J71" s="7">
        <f t="shared" ref="J71:J75" si="16">I71*F71</f>
        <v>3763077856.2433643</v>
      </c>
      <c r="K71" s="7" t="s">
        <v>78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7" thickBot="1" x14ac:dyDescent="0.25">
      <c r="A72" s="10"/>
      <c r="B72" s="14"/>
      <c r="C72" s="7"/>
      <c r="D72" s="7" t="s">
        <v>39</v>
      </c>
      <c r="E72" s="7"/>
      <c r="F72" s="16">
        <v>1763</v>
      </c>
      <c r="G72" s="7">
        <f t="shared" si="14"/>
        <v>7091.3402567667017</v>
      </c>
      <c r="H72" s="7"/>
      <c r="I72" s="7" t="e">
        <f t="shared" si="15"/>
        <v>#DIV/0!</v>
      </c>
      <c r="J72" s="7" t="e">
        <f t="shared" si="16"/>
        <v>#DIV/0!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7" thickBot="1" x14ac:dyDescent="0.25">
      <c r="A73" s="10"/>
      <c r="B73" s="14"/>
      <c r="C73" s="7"/>
      <c r="D73" s="7" t="s">
        <v>40</v>
      </c>
      <c r="E73" s="7"/>
      <c r="F73" s="16">
        <v>9</v>
      </c>
      <c r="G73" s="7">
        <f t="shared" si="14"/>
        <v>7091.3402567667017</v>
      </c>
      <c r="H73" s="7"/>
      <c r="I73" s="7" t="e">
        <f>G73/H73</f>
        <v>#DIV/0!</v>
      </c>
      <c r="J73" s="7" t="e">
        <f t="shared" si="16"/>
        <v>#DIV/0!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7" thickBot="1" x14ac:dyDescent="0.25">
      <c r="A74" s="10"/>
      <c r="B74" s="14"/>
      <c r="C74" s="7"/>
      <c r="D74" s="7" t="s">
        <v>41</v>
      </c>
      <c r="E74" s="7"/>
      <c r="F74" s="16">
        <v>151</v>
      </c>
      <c r="G74" s="7">
        <f t="shared" si="14"/>
        <v>7091.3402567667017</v>
      </c>
      <c r="H74" s="7"/>
      <c r="I74" s="7" t="e">
        <f t="shared" si="15"/>
        <v>#DIV/0!</v>
      </c>
      <c r="J74" s="7" t="e">
        <f t="shared" si="16"/>
        <v>#DIV/0!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7" thickBot="1" x14ac:dyDescent="0.25">
      <c r="A75" s="10"/>
      <c r="B75" s="14"/>
      <c r="C75" s="7"/>
      <c r="D75" s="7" t="s">
        <v>54</v>
      </c>
      <c r="E75" s="7"/>
      <c r="F75" s="16">
        <v>2</v>
      </c>
      <c r="G75" s="7">
        <f t="shared" si="14"/>
        <v>7091.3402567667017</v>
      </c>
      <c r="H75" s="7"/>
      <c r="I75" s="7" t="e">
        <f t="shared" si="15"/>
        <v>#DIV/0!</v>
      </c>
      <c r="J75" s="7" t="e">
        <f t="shared" si="16"/>
        <v>#DIV/0!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7" thickBot="1" x14ac:dyDescent="0.25">
      <c r="A76" s="10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7" thickBot="1" x14ac:dyDescent="0.25">
      <c r="A77" s="12"/>
      <c r="B77" s="13"/>
      <c r="C77" s="7"/>
      <c r="D77" s="7" t="s">
        <v>48</v>
      </c>
      <c r="E77" s="7"/>
      <c r="F77" s="16">
        <v>61145</v>
      </c>
      <c r="G77" s="7">
        <f t="shared" si="14"/>
        <v>7091.3402567667017</v>
      </c>
      <c r="H77" s="7"/>
      <c r="I77" s="7" t="e">
        <f>G77/H77</f>
        <v>#DIV/0!</v>
      </c>
      <c r="J77" s="7" t="e">
        <f>I77*F77</f>
        <v>#DIV/0!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x14ac:dyDescent="0.2">
      <c r="A78" s="10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x14ac:dyDescent="0.2">
      <c r="A79" s="10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x14ac:dyDescent="0.2">
      <c r="A80" s="10"/>
      <c r="B80" s="14"/>
      <c r="C80" s="7"/>
      <c r="D80" s="4" t="s">
        <v>38</v>
      </c>
      <c r="E80" s="7"/>
      <c r="F80" s="7" t="s">
        <v>46</v>
      </c>
      <c r="G80" t="s">
        <v>55</v>
      </c>
      <c r="H80" s="7" t="s">
        <v>56</v>
      </c>
      <c r="I80" s="7" t="s">
        <v>60</v>
      </c>
      <c r="J80" s="7" t="s">
        <v>57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7" thickBot="1" x14ac:dyDescent="0.25">
      <c r="A81" s="10"/>
      <c r="B81" s="14"/>
      <c r="C81" s="7"/>
      <c r="D81" s="7"/>
      <c r="E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7" thickBot="1" x14ac:dyDescent="0.25">
      <c r="A82" s="12"/>
      <c r="B82" s="13"/>
      <c r="C82" s="7"/>
      <c r="D82" s="7" t="s">
        <v>53</v>
      </c>
      <c r="E82" s="7"/>
      <c r="F82" s="16">
        <v>23</v>
      </c>
      <c r="G82" s="7">
        <f>$I$12</f>
        <v>64791.080546003963</v>
      </c>
      <c r="H82" s="16">
        <f>(1-0.0907314815)*H83</f>
        <v>7.9760396359649113E-2</v>
      </c>
      <c r="I82" s="7">
        <f>G82/H82</f>
        <v>812321.44652157032</v>
      </c>
      <c r="J82" s="7">
        <f>I82*F82</f>
        <v>18683393.269996118</v>
      </c>
      <c r="K82" s="7" t="s">
        <v>67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7" thickBot="1" x14ac:dyDescent="0.25">
      <c r="A83" s="10"/>
      <c r="B83" s="14"/>
      <c r="C83" s="7"/>
      <c r="D83" s="7" t="s">
        <v>34</v>
      </c>
      <c r="E83" s="7"/>
      <c r="F83" s="16">
        <v>8770</v>
      </c>
      <c r="G83" s="7">
        <f t="shared" ref="G83:G89" si="17">$I$12</f>
        <v>64791.080546003963</v>
      </c>
      <c r="H83" s="16">
        <f>1/11.4</f>
        <v>8.771929824561403E-2</v>
      </c>
      <c r="I83" s="7">
        <f t="shared" ref="I83:I86" si="18">G83/H83</f>
        <v>738618.31822444522</v>
      </c>
      <c r="J83" s="7">
        <f t="shared" ref="J83:J86" si="19">I83*F83</f>
        <v>6477682650.8283844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7" thickBot="1" x14ac:dyDescent="0.25">
      <c r="A84" s="10"/>
      <c r="B84" s="14"/>
      <c r="C84" s="7"/>
      <c r="D84" s="7" t="s">
        <v>39</v>
      </c>
      <c r="E84" s="7"/>
      <c r="F84" s="16">
        <v>10</v>
      </c>
      <c r="G84" s="7">
        <f t="shared" si="17"/>
        <v>64791.080546003963</v>
      </c>
      <c r="H84" s="7"/>
      <c r="I84" s="7" t="e">
        <f t="shared" si="18"/>
        <v>#DIV/0!</v>
      </c>
      <c r="J84" s="7" t="e">
        <f t="shared" si="19"/>
        <v>#DIV/0!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7" thickBot="1" x14ac:dyDescent="0.25">
      <c r="A85" s="10"/>
      <c r="B85" s="14"/>
      <c r="C85" s="7"/>
      <c r="D85" s="7" t="s">
        <v>40</v>
      </c>
      <c r="E85" s="7"/>
      <c r="F85" s="16">
        <v>105</v>
      </c>
      <c r="G85" s="7">
        <f t="shared" si="17"/>
        <v>64791.080546003963</v>
      </c>
      <c r="H85" s="16">
        <f>1/5</f>
        <v>0.2</v>
      </c>
      <c r="I85" s="7">
        <f t="shared" si="18"/>
        <v>323955.40273001982</v>
      </c>
      <c r="J85" s="7">
        <f t="shared" si="19"/>
        <v>34015317.286652081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7" thickBot="1" x14ac:dyDescent="0.25">
      <c r="A86" s="10"/>
      <c r="B86" s="14"/>
      <c r="C86" s="7"/>
      <c r="D86" s="7" t="s">
        <v>41</v>
      </c>
      <c r="E86" s="7"/>
      <c r="F86" s="16">
        <v>687</v>
      </c>
      <c r="G86" s="7">
        <f t="shared" si="17"/>
        <v>64791.080546003963</v>
      </c>
      <c r="H86" s="16">
        <f>1/10.26</f>
        <v>9.7465886939571159E-2</v>
      </c>
      <c r="I86" s="7">
        <f t="shared" si="18"/>
        <v>664756.48640200065</v>
      </c>
      <c r="J86" s="7">
        <f t="shared" si="19"/>
        <v>456687706.15817446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7" thickBot="1" x14ac:dyDescent="0.25">
      <c r="A87" s="10"/>
      <c r="B87" s="14"/>
      <c r="C87" s="7"/>
      <c r="D87" s="7" t="s">
        <v>54</v>
      </c>
      <c r="E87" s="7"/>
      <c r="F87" s="16">
        <v>2</v>
      </c>
      <c r="G87" s="7">
        <f t="shared" si="17"/>
        <v>64791.080546003963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7" thickBot="1" x14ac:dyDescent="0.25">
      <c r="A88" s="10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7" thickBot="1" x14ac:dyDescent="0.25">
      <c r="A89" s="10"/>
      <c r="B89" s="14"/>
      <c r="C89" s="7"/>
      <c r="D89" s="7" t="s">
        <v>48</v>
      </c>
      <c r="E89" s="7"/>
      <c r="F89" s="16">
        <v>9597</v>
      </c>
      <c r="G89" s="7">
        <f t="shared" si="17"/>
        <v>64791.080546003963</v>
      </c>
      <c r="H89" s="7"/>
      <c r="I89" s="7" t="e">
        <f>G89/H89</f>
        <v>#DIV/0!</v>
      </c>
      <c r="J89" s="7" t="e">
        <f>I89*F89</f>
        <v>#DIV/0!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x14ac:dyDescent="0.2">
      <c r="A90" s="10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x14ac:dyDescent="0.2">
      <c r="A91" s="10"/>
      <c r="B91" s="14"/>
      <c r="C91" s="7"/>
      <c r="D91" s="7" t="s">
        <v>72</v>
      </c>
      <c r="E91" s="7"/>
      <c r="F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x14ac:dyDescent="0.2">
      <c r="A92" s="10"/>
      <c r="B92" s="14"/>
      <c r="C92" s="7"/>
      <c r="D92" s="7" t="s">
        <v>73</v>
      </c>
      <c r="E92" s="7"/>
      <c r="G92" s="7"/>
      <c r="H92" s="7"/>
      <c r="I92" s="7"/>
      <c r="J92" s="7"/>
      <c r="K92" s="7"/>
      <c r="L92" s="7"/>
      <c r="M92" s="7"/>
      <c r="N92" s="7" t="s">
        <v>76</v>
      </c>
      <c r="O92" s="7"/>
      <c r="P92" s="7"/>
      <c r="Q92" s="7"/>
      <c r="R92" s="7"/>
      <c r="S92" s="7"/>
      <c r="T92" s="7"/>
      <c r="U92" s="7"/>
      <c r="V92" s="7"/>
      <c r="W92" s="7"/>
    </row>
    <row r="93" spans="1:23" x14ac:dyDescent="0.2">
      <c r="A93" s="12"/>
      <c r="B93" s="13"/>
      <c r="C93" s="7"/>
      <c r="D93" s="7" t="s">
        <v>79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x14ac:dyDescent="0.2">
      <c r="A94" s="10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x14ac:dyDescent="0.2">
      <c r="A95" s="10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x14ac:dyDescent="0.2">
      <c r="A96" s="10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x14ac:dyDescent="0.2">
      <c r="A97" s="10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2">
      <c r="A98" s="12"/>
      <c r="B98" s="1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2">
      <c r="A99" s="10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2">
      <c r="A100" s="10"/>
      <c r="B100" s="14"/>
      <c r="C100" s="7"/>
      <c r="D100" s="4" t="s">
        <v>91</v>
      </c>
      <c r="E100" s="7"/>
      <c r="F100" s="7" t="s">
        <v>68</v>
      </c>
      <c r="G100" s="7"/>
      <c r="H100" s="7"/>
      <c r="I100" s="7" t="s">
        <v>68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x14ac:dyDescent="0.2">
      <c r="A101" s="10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x14ac:dyDescent="0.2">
      <c r="A102" s="10"/>
      <c r="B102" s="14"/>
      <c r="C102" s="7"/>
      <c r="D102" s="7" t="s">
        <v>42</v>
      </c>
      <c r="E102" s="7"/>
      <c r="F102" s="7">
        <f>J22</f>
        <v>171493948631.07962</v>
      </c>
      <c r="G102" s="7"/>
      <c r="H102" s="7" t="s">
        <v>35</v>
      </c>
      <c r="I102" s="7">
        <f>F102</f>
        <v>171493948631.07962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x14ac:dyDescent="0.2">
      <c r="A103" s="10"/>
      <c r="B103" s="14"/>
      <c r="C103" s="7"/>
      <c r="D103" s="7" t="s">
        <v>43</v>
      </c>
      <c r="E103" s="7"/>
      <c r="F103" s="7">
        <f>J34</f>
        <v>1192436928.5948637</v>
      </c>
      <c r="G103" s="7"/>
      <c r="H103" s="7" t="s">
        <v>62</v>
      </c>
      <c r="I103" s="7">
        <f>SUM(F103:F107)</f>
        <v>1750697357.6400211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x14ac:dyDescent="0.2">
      <c r="A104" s="10"/>
      <c r="B104" s="14"/>
      <c r="C104" s="7"/>
      <c r="D104" s="7" t="s">
        <v>61</v>
      </c>
      <c r="E104" s="7"/>
      <c r="F104" s="7">
        <f>J46</f>
        <v>311958452.12813163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x14ac:dyDescent="0.2">
      <c r="A105" s="10"/>
      <c r="B105" s="14"/>
      <c r="C105" s="7"/>
      <c r="D105" s="7" t="s">
        <v>45</v>
      </c>
      <c r="E105" s="7"/>
      <c r="F105" s="7">
        <f>J58</f>
        <v>24332647.168525007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x14ac:dyDescent="0.2">
      <c r="A106" s="10"/>
      <c r="B106" s="14"/>
      <c r="C106" s="7"/>
      <c r="D106" s="7" t="s">
        <v>59</v>
      </c>
      <c r="E106" s="7"/>
      <c r="F106" s="7">
        <f>J70</f>
        <v>203285936.47850457</v>
      </c>
      <c r="G106" s="15"/>
      <c r="H106" s="4" t="s">
        <v>63</v>
      </c>
      <c r="I106" s="4">
        <f>I102/(I102+I103)</f>
        <v>0.98989465245723085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x14ac:dyDescent="0.2">
      <c r="A107" s="10"/>
      <c r="B107" s="14"/>
      <c r="C107" s="7"/>
      <c r="D107" s="7" t="s">
        <v>38</v>
      </c>
      <c r="E107" s="7"/>
      <c r="F107">
        <f>J82</f>
        <v>18683393.269996118</v>
      </c>
      <c r="G107" s="7"/>
      <c r="H107" s="4" t="s">
        <v>64</v>
      </c>
      <c r="I107" s="4">
        <f>1-I106</f>
        <v>1.010534754276915E-2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x14ac:dyDescent="0.2">
      <c r="A108" s="10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x14ac:dyDescent="0.2">
      <c r="A109" s="12"/>
      <c r="B109" s="1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x14ac:dyDescent="0.2">
      <c r="A110" s="10"/>
      <c r="B110" s="14"/>
      <c r="C110" s="7"/>
      <c r="D110" s="4" t="s">
        <v>65</v>
      </c>
      <c r="E110" s="7"/>
      <c r="F110" s="7" t="s">
        <v>68</v>
      </c>
      <c r="G110" s="7"/>
      <c r="H110" s="7"/>
      <c r="I110" s="7" t="s">
        <v>68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x14ac:dyDescent="0.2">
      <c r="A111" s="10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x14ac:dyDescent="0.2">
      <c r="A112" s="10"/>
      <c r="B112" s="14"/>
      <c r="C112" s="7"/>
      <c r="D112" s="7" t="s">
        <v>42</v>
      </c>
      <c r="E112" s="7"/>
      <c r="F112" s="7">
        <f>J23</f>
        <v>32193501171.119553</v>
      </c>
      <c r="G112" s="7"/>
      <c r="H112" s="7" t="s">
        <v>35</v>
      </c>
      <c r="I112" s="7">
        <f>F112</f>
        <v>32193501171.119553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x14ac:dyDescent="0.2">
      <c r="A113" s="10"/>
      <c r="B113" s="14"/>
      <c r="C113" s="7"/>
      <c r="D113" s="7" t="s">
        <v>43</v>
      </c>
      <c r="E113" s="7"/>
      <c r="F113" s="7">
        <f>J35</f>
        <v>32917350660.699875</v>
      </c>
      <c r="G113" s="7"/>
      <c r="H113" s="7" t="s">
        <v>62</v>
      </c>
      <c r="I113" s="7">
        <f>SUM(F113:F117)</f>
        <v>113922037461.32455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">
      <c r="A114" s="12"/>
      <c r="B114" s="13"/>
      <c r="C114" s="7"/>
      <c r="D114" s="7" t="s">
        <v>61</v>
      </c>
      <c r="E114" s="7"/>
      <c r="F114" s="7">
        <f>J47</f>
        <v>19668576632.047523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x14ac:dyDescent="0.2">
      <c r="A115" s="10"/>
      <c r="B115" s="14"/>
      <c r="C115" s="7"/>
      <c r="D115" s="7" t="s">
        <v>45</v>
      </c>
      <c r="E115" s="7"/>
      <c r="F115" s="7">
        <f>J59</f>
        <v>57572293694.015572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x14ac:dyDescent="0.2">
      <c r="A116" s="10"/>
      <c r="B116" s="14"/>
      <c r="C116" s="7"/>
      <c r="D116" s="7" t="s">
        <v>59</v>
      </c>
      <c r="E116" s="7"/>
      <c r="F116" s="7">
        <f>J71</f>
        <v>3763077856.2433643</v>
      </c>
      <c r="G116" s="15"/>
      <c r="H116" s="4" t="s">
        <v>63</v>
      </c>
      <c r="I116" s="4">
        <f>I112/(I112+I113)</f>
        <v>0.22032907295440224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2">
      <c r="A117" s="10"/>
      <c r="B117" s="14"/>
      <c r="C117" s="7"/>
      <c r="D117" s="7" t="s">
        <v>38</v>
      </c>
      <c r="E117" s="7"/>
      <c r="F117">
        <f>I83</f>
        <v>738618.31822444522</v>
      </c>
      <c r="G117" s="7"/>
      <c r="H117" s="4" t="s">
        <v>64</v>
      </c>
      <c r="I117" s="4">
        <f>1-I116</f>
        <v>0.77967092704559771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2">
      <c r="A118" s="10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x14ac:dyDescent="0.2">
      <c r="A119" s="10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x14ac:dyDescent="0.2">
      <c r="A120" s="10"/>
      <c r="B120" s="14"/>
      <c r="C120" s="7"/>
      <c r="D120" s="4" t="s">
        <v>90</v>
      </c>
      <c r="E120" s="7"/>
      <c r="F120" s="7" t="s">
        <v>68</v>
      </c>
      <c r="G120" s="7"/>
      <c r="H120" s="7"/>
      <c r="I120" s="7" t="s">
        <v>68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x14ac:dyDescent="0.2">
      <c r="A121" s="10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2">
      <c r="A122" s="10"/>
      <c r="B122" s="14"/>
      <c r="C122" s="7"/>
      <c r="D122" s="7" t="s">
        <v>42</v>
      </c>
      <c r="E122" s="7"/>
      <c r="F122" s="7">
        <f>J25</f>
        <v>1307273735.4956691</v>
      </c>
      <c r="G122" s="7"/>
      <c r="H122" s="7" t="s">
        <v>35</v>
      </c>
      <c r="I122" s="7">
        <f>F122</f>
        <v>1307273735.4956691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2">
      <c r="A123" s="10"/>
      <c r="B123" s="14"/>
      <c r="C123" s="7"/>
      <c r="D123" s="7" t="s">
        <v>43</v>
      </c>
      <c r="E123" s="7"/>
      <c r="F123" s="7">
        <f>J37</f>
        <v>17020175.597250298</v>
      </c>
      <c r="G123" s="7"/>
      <c r="H123" s="7" t="s">
        <v>62</v>
      </c>
      <c r="I123" s="7">
        <f>SUM(F123:F127)</f>
        <v>61090781.94886858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2">
      <c r="A124" s="10"/>
      <c r="B124" s="14"/>
      <c r="C124" s="7"/>
      <c r="D124" s="7" t="s">
        <v>61</v>
      </c>
      <c r="E124" s="7"/>
      <c r="F124" s="7">
        <f>J49</f>
        <v>10055289.064966204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x14ac:dyDescent="0.2">
      <c r="A125" s="10"/>
      <c r="B125" s="14"/>
      <c r="C125" s="7"/>
      <c r="D125" s="7" t="s">
        <v>45</v>
      </c>
      <c r="E125" s="7"/>
      <c r="F125" s="7">
        <v>0</v>
      </c>
      <c r="G125" s="7" t="s">
        <v>66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">
      <c r="A126" s="10"/>
      <c r="B126" s="14"/>
      <c r="C126" s="7"/>
      <c r="D126" s="7" t="s">
        <v>59</v>
      </c>
      <c r="E126" s="7"/>
      <c r="F126" s="7">
        <v>0</v>
      </c>
      <c r="G126" s="15" t="s">
        <v>66</v>
      </c>
      <c r="H126" s="4" t="s">
        <v>63</v>
      </c>
      <c r="I126" s="4">
        <f>I122/(I122+I123)</f>
        <v>0.9553548917923147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">
      <c r="A127" s="10"/>
      <c r="B127" s="14"/>
      <c r="C127" s="7"/>
      <c r="D127" s="7" t="s">
        <v>38</v>
      </c>
      <c r="E127" s="7"/>
      <c r="F127">
        <f>J85</f>
        <v>34015317.286652081</v>
      </c>
      <c r="G127" s="7"/>
      <c r="H127" s="4" t="s">
        <v>64</v>
      </c>
      <c r="I127" s="4">
        <f>1-I126</f>
        <v>4.4645108207685302E-2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">
      <c r="A128" s="10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">
      <c r="A129" s="12"/>
      <c r="B129" s="13"/>
      <c r="C129" s="7"/>
      <c r="D129" s="44" t="s">
        <v>109</v>
      </c>
      <c r="E129" s="45"/>
      <c r="F129" s="4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17" thickBot="1" x14ac:dyDescent="0.25">
      <c r="A130" s="10"/>
      <c r="B130" s="14"/>
      <c r="C130" s="7"/>
      <c r="D130" s="34" t="s">
        <v>101</v>
      </c>
      <c r="E130" s="35" t="s">
        <v>97</v>
      </c>
      <c r="F130" s="42">
        <f>I106</f>
        <v>0.98989465245723085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">
      <c r="A131" s="10"/>
      <c r="B131" s="14"/>
      <c r="C131" s="7"/>
      <c r="D131" s="36" t="s">
        <v>102</v>
      </c>
      <c r="E131" s="33" t="s">
        <v>97</v>
      </c>
      <c r="F131" s="37">
        <f>1-F130</f>
        <v>1.010534754276915E-2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7" thickBot="1" x14ac:dyDescent="0.25">
      <c r="A132" s="10"/>
      <c r="B132" s="14"/>
      <c r="C132" s="7"/>
      <c r="D132" s="36"/>
      <c r="E132" s="33"/>
      <c r="F132" s="3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7" thickBot="1" x14ac:dyDescent="0.25">
      <c r="A133" s="10"/>
      <c r="B133" s="14"/>
      <c r="C133" s="7"/>
      <c r="D133" s="36" t="s">
        <v>103</v>
      </c>
      <c r="E133" s="33" t="s">
        <v>97</v>
      </c>
      <c r="F133" s="43">
        <f>I116</f>
        <v>0.22032907295440224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">
      <c r="A134" s="10"/>
      <c r="B134" s="14"/>
      <c r="C134" s="7"/>
      <c r="D134" s="36" t="s">
        <v>104</v>
      </c>
      <c r="E134" s="33" t="s">
        <v>97</v>
      </c>
      <c r="F134" s="37">
        <f>1-F133</f>
        <v>0.77967092704559771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7" thickBot="1" x14ac:dyDescent="0.25">
      <c r="A135" s="10"/>
      <c r="B135" s="14"/>
      <c r="C135" s="7"/>
      <c r="D135" s="36"/>
      <c r="E135" s="33"/>
      <c r="F135" s="3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ht="17" thickBot="1" x14ac:dyDescent="0.25">
      <c r="A136" s="10"/>
      <c r="B136" s="14"/>
      <c r="C136" s="7"/>
      <c r="D136" s="36" t="s">
        <v>105</v>
      </c>
      <c r="E136" s="33" t="s">
        <v>97</v>
      </c>
      <c r="F136" s="43">
        <f>I126</f>
        <v>0.9553548917923147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">
      <c r="A137" s="10"/>
      <c r="B137" s="14"/>
      <c r="C137" s="7"/>
      <c r="D137" s="36" t="s">
        <v>106</v>
      </c>
      <c r="E137" s="33" t="s">
        <v>97</v>
      </c>
      <c r="F137" s="37">
        <f>1-F136</f>
        <v>4.4645108207685302E-2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7" thickBot="1" x14ac:dyDescent="0.25">
      <c r="A138" s="10"/>
      <c r="B138" s="14"/>
      <c r="C138" s="7"/>
      <c r="D138" s="36"/>
      <c r="E138" s="33"/>
      <c r="F138" s="3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7" thickBot="1" x14ac:dyDescent="0.25">
      <c r="A139" s="10"/>
      <c r="B139" s="14"/>
      <c r="C139" s="7"/>
      <c r="D139" s="36" t="s">
        <v>107</v>
      </c>
      <c r="E139" s="33" t="s">
        <v>97</v>
      </c>
      <c r="F139" s="43">
        <f>I126</f>
        <v>0.9553548917923147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">
      <c r="A140" s="10"/>
      <c r="B140" s="14"/>
      <c r="C140" s="7"/>
      <c r="D140" s="39" t="s">
        <v>108</v>
      </c>
      <c r="E140" s="40" t="s">
        <v>97</v>
      </c>
      <c r="F140" s="41">
        <f>1-F139</f>
        <v>4.4645108207685302E-2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">
      <c r="A141" s="10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">
      <c r="A142" s="10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">
      <c r="A143" s="10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">
      <c r="A144" s="10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">
      <c r="A145" s="10"/>
      <c r="B145" s="14"/>
      <c r="C145" s="7"/>
      <c r="D145" s="4" t="s">
        <v>69</v>
      </c>
      <c r="E145" s="7"/>
      <c r="F145" s="7" t="s">
        <v>71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">
      <c r="A146" s="10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">
      <c r="A147" s="12"/>
      <c r="B147" s="1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">
      <c r="A148" s="10"/>
      <c r="B148" s="14"/>
      <c r="C148" s="7"/>
      <c r="D148" s="4" t="s">
        <v>52</v>
      </c>
      <c r="E148" s="7"/>
      <c r="F148" s="7" t="s">
        <v>46</v>
      </c>
      <c r="G148" t="s">
        <v>55</v>
      </c>
      <c r="H148" s="7" t="s">
        <v>56</v>
      </c>
      <c r="I148" s="7" t="s">
        <v>60</v>
      </c>
      <c r="J148" s="7" t="s">
        <v>57</v>
      </c>
      <c r="K148" s="7" t="s">
        <v>70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ht="17" thickBot="1" x14ac:dyDescent="0.25">
      <c r="A149" s="10"/>
      <c r="B149" s="14"/>
      <c r="C149" s="7"/>
      <c r="E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7" thickBot="1" x14ac:dyDescent="0.25">
      <c r="A150" s="10"/>
      <c r="B150" s="14"/>
      <c r="C150" s="7"/>
      <c r="D150" s="7" t="s">
        <v>53</v>
      </c>
      <c r="E150" s="7"/>
      <c r="F150" s="7">
        <f t="shared" ref="F150:F155" si="20">F22</f>
        <v>6331816</v>
      </c>
      <c r="G150" s="7">
        <f>$I$7</f>
        <v>12897.371790718307</v>
      </c>
      <c r="H150" s="16">
        <v>0.476190476190476</v>
      </c>
      <c r="I150" s="7">
        <f>G150/H150</f>
        <v>27084.480760508457</v>
      </c>
      <c r="J150" s="7">
        <f>I150*F150</f>
        <v>171493948631.07962</v>
      </c>
      <c r="K150" s="7">
        <f t="shared" ref="K150:K155" si="21">J150/$J$157</f>
        <v>0.81852472568126156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ht="17" thickBot="1" x14ac:dyDescent="0.25">
      <c r="A151" s="10"/>
      <c r="B151" s="14"/>
      <c r="C151" s="7"/>
      <c r="D151" s="7" t="s">
        <v>34</v>
      </c>
      <c r="E151" s="7"/>
      <c r="F151" s="7">
        <f t="shared" si="20"/>
        <v>1313752</v>
      </c>
      <c r="G151" s="7">
        <f t="shared" ref="G151:G155" si="22">$I$7</f>
        <v>12897.371790718307</v>
      </c>
      <c r="H151" s="16">
        <v>0.52631578947368396</v>
      </c>
      <c r="I151" s="7">
        <f t="shared" ref="I151:I154" si="23">G151/H151</f>
        <v>24505.006402364794</v>
      </c>
      <c r="J151" s="7">
        <f t="shared" ref="J151:J155" si="24">I151*F151</f>
        <v>32193501171.119553</v>
      </c>
      <c r="K151" s="7">
        <f t="shared" si="21"/>
        <v>0.15365659794502168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ht="17" thickBot="1" x14ac:dyDescent="0.25">
      <c r="A152" s="10"/>
      <c r="B152" s="14"/>
      <c r="C152" s="7"/>
      <c r="D152" s="7" t="s">
        <v>39</v>
      </c>
      <c r="E152" s="7"/>
      <c r="F152" s="7">
        <f t="shared" si="20"/>
        <v>168234</v>
      </c>
      <c r="G152" s="7">
        <f t="shared" si="22"/>
        <v>12897.371790718307</v>
      </c>
      <c r="H152" s="16">
        <v>0.5</v>
      </c>
      <c r="I152" s="7">
        <f t="shared" si="23"/>
        <v>25794.743581436614</v>
      </c>
      <c r="J152" s="7">
        <f t="shared" si="24"/>
        <v>4339552891.6794071</v>
      </c>
      <c r="K152" s="7">
        <f t="shared" si="21"/>
        <v>2.0712283836220924E-2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ht="17" thickBot="1" x14ac:dyDescent="0.25">
      <c r="A153" s="10"/>
      <c r="B153" s="14"/>
      <c r="C153" s="7"/>
      <c r="D153" s="7" t="s">
        <v>40</v>
      </c>
      <c r="E153" s="7"/>
      <c r="F153" s="7">
        <f t="shared" si="20"/>
        <v>155938</v>
      </c>
      <c r="G153" s="7">
        <f t="shared" si="22"/>
        <v>12897.371790718307</v>
      </c>
      <c r="H153" s="16">
        <v>1.5384615384615401</v>
      </c>
      <c r="I153" s="7">
        <f t="shared" si="23"/>
        <v>8383.2916639668911</v>
      </c>
      <c r="J153" s="7">
        <f t="shared" si="24"/>
        <v>1307273735.4956691</v>
      </c>
      <c r="K153" s="7">
        <f t="shared" si="21"/>
        <v>6.2394964036823711E-3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ht="17" thickBot="1" x14ac:dyDescent="0.25">
      <c r="A154" s="10"/>
      <c r="B154" s="14"/>
      <c r="C154" s="7"/>
      <c r="D154" s="7" t="s">
        <v>41</v>
      </c>
      <c r="E154" s="7"/>
      <c r="F154" s="7">
        <f t="shared" si="20"/>
        <v>6706</v>
      </c>
      <c r="G154" s="7">
        <f t="shared" si="22"/>
        <v>12897.371790718307</v>
      </c>
      <c r="H154" s="16">
        <v>0.476190476190476</v>
      </c>
      <c r="I154" s="7">
        <f t="shared" si="23"/>
        <v>27084.480760508457</v>
      </c>
      <c r="J154" s="7">
        <f t="shared" si="24"/>
        <v>181628527.97996971</v>
      </c>
      <c r="K154" s="7">
        <f t="shared" si="21"/>
        <v>8.6689613381351249E-4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ht="17" thickBot="1" x14ac:dyDescent="0.25">
      <c r="A155" s="10"/>
      <c r="B155" s="14"/>
      <c r="C155" s="7"/>
      <c r="D155" s="7" t="s">
        <v>54</v>
      </c>
      <c r="E155" s="7"/>
      <c r="F155" s="7">
        <f t="shared" si="20"/>
        <v>2637</v>
      </c>
      <c r="G155" s="7">
        <f t="shared" si="22"/>
        <v>12897.371790718307</v>
      </c>
      <c r="H155" s="16">
        <v>0</v>
      </c>
      <c r="I155" s="7">
        <v>0</v>
      </c>
      <c r="J155" s="7">
        <f t="shared" si="24"/>
        <v>0</v>
      </c>
      <c r="K155" s="7">
        <f t="shared" si="21"/>
        <v>0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x14ac:dyDescent="0.2">
      <c r="A156" s="10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x14ac:dyDescent="0.2">
      <c r="A157" s="10"/>
      <c r="B157" s="14"/>
      <c r="C157" s="7"/>
      <c r="D157" s="7" t="s">
        <v>48</v>
      </c>
      <c r="E157" s="7"/>
      <c r="F157" s="7">
        <f>F29</f>
        <v>7979083</v>
      </c>
      <c r="G157" s="7"/>
      <c r="H157" s="7"/>
      <c r="I157" s="7"/>
      <c r="J157" s="7">
        <f>SUM(J150:J155)</f>
        <v>209515904957.35422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2">
      <c r="A158" s="10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x14ac:dyDescent="0.2">
      <c r="A159" s="10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x14ac:dyDescent="0.2">
      <c r="A160" s="10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">
      <c r="A161" s="10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x14ac:dyDescent="0.2">
      <c r="A162" s="10"/>
      <c r="B162" s="14"/>
      <c r="C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x14ac:dyDescent="0.2">
      <c r="A163" s="10"/>
      <c r="B163" s="14"/>
      <c r="C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x14ac:dyDescent="0.2">
      <c r="A164" s="10"/>
      <c r="B164" s="14"/>
      <c r="C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x14ac:dyDescent="0.2">
      <c r="A165" s="10"/>
      <c r="B165" s="14"/>
      <c r="C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x14ac:dyDescent="0.2">
      <c r="A166" s="10"/>
      <c r="B166" s="14"/>
      <c r="C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x14ac:dyDescent="0.2">
      <c r="A167" s="10"/>
      <c r="B167" s="14"/>
      <c r="C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x14ac:dyDescent="0.2">
      <c r="A168" s="12"/>
      <c r="B168" s="13"/>
      <c r="C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x14ac:dyDescent="0.2">
      <c r="A169" s="10"/>
      <c r="B169" s="14"/>
      <c r="C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x14ac:dyDescent="0.2">
      <c r="A170" s="10"/>
      <c r="B170" s="14"/>
      <c r="C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x14ac:dyDescent="0.2">
      <c r="A171" s="10"/>
      <c r="B171" s="14"/>
      <c r="C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x14ac:dyDescent="0.2">
      <c r="A172" s="10"/>
      <c r="B172" s="14"/>
      <c r="C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x14ac:dyDescent="0.2">
      <c r="A173" s="12"/>
      <c r="B173" s="1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x14ac:dyDescent="0.2">
      <c r="A174" s="10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x14ac:dyDescent="0.2">
      <c r="A175" s="10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x14ac:dyDescent="0.2">
      <c r="A176" s="10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x14ac:dyDescent="0.2">
      <c r="A177" s="10"/>
      <c r="B177" s="14"/>
      <c r="C177" s="7"/>
      <c r="D177" s="7"/>
      <c r="E177" s="7"/>
      <c r="F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x14ac:dyDescent="0.2">
      <c r="A178" s="10"/>
      <c r="B178" s="14"/>
      <c r="C178" s="7"/>
      <c r="D178" s="7"/>
      <c r="E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x14ac:dyDescent="0.2">
      <c r="A179" s="10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x14ac:dyDescent="0.2">
      <c r="A180" s="10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x14ac:dyDescent="0.2">
      <c r="A181" s="10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x14ac:dyDescent="0.2">
      <c r="A182" s="10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x14ac:dyDescent="0.2">
      <c r="A183" s="10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x14ac:dyDescent="0.2">
      <c r="A184" s="10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x14ac:dyDescent="0.2">
      <c r="A185" s="10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2">
      <c r="A186" s="10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x14ac:dyDescent="0.2">
      <c r="A187" s="10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x14ac:dyDescent="0.2">
      <c r="A188" s="10"/>
      <c r="B188" s="14"/>
      <c r="C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x14ac:dyDescent="0.2">
      <c r="A189" s="10"/>
      <c r="B189" s="14"/>
      <c r="C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x14ac:dyDescent="0.2">
      <c r="A190" s="7"/>
      <c r="B190" s="7"/>
      <c r="C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x14ac:dyDescent="0.2">
      <c r="A191" s="7"/>
      <c r="B191" s="7"/>
      <c r="C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x14ac:dyDescent="0.2">
      <c r="A192" s="7"/>
      <c r="B192" s="7"/>
      <c r="C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x14ac:dyDescent="0.2">
      <c r="A193" s="7"/>
      <c r="B193" s="7"/>
      <c r="C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x14ac:dyDescent="0.2">
      <c r="A194" s="7"/>
      <c r="B194" s="7"/>
      <c r="C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x14ac:dyDescent="0.2">
      <c r="A195" s="7"/>
      <c r="B195" s="7"/>
      <c r="C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x14ac:dyDescent="0.2">
      <c r="A196" s="7"/>
      <c r="B196" s="7"/>
      <c r="C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x14ac:dyDescent="0.2">
      <c r="A197" s="7"/>
      <c r="B197" s="7"/>
      <c r="C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x14ac:dyDescent="0.2">
      <c r="A198" s="7"/>
      <c r="B198" s="7"/>
      <c r="C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">
      <c r="A199" s="7"/>
      <c r="B199" s="7"/>
      <c r="C199" s="7"/>
      <c r="O199" s="7"/>
      <c r="P199" s="7"/>
      <c r="Q199" s="7"/>
      <c r="R199" s="7"/>
      <c r="S199" s="7"/>
      <c r="T199" s="7"/>
      <c r="U199" s="7"/>
      <c r="V199" s="7"/>
      <c r="W199" s="7"/>
    </row>
  </sheetData>
  <mergeCells count="1">
    <mergeCell ref="D129:F129"/>
  </mergeCells>
  <dataValidations count="1">
    <dataValidation type="decimal" allowBlank="1" showInputMessage="1" showErrorMessage="1" errorTitle="Number Range" error="This cell can only contain a number between 0% and 100%" sqref="F130 F132:F133 F135:F136 F138:F139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opLeftCell="A3" workbookViewId="0">
      <selection activeCell="D31" sqref="D31:D35"/>
    </sheetView>
  </sheetViews>
  <sheetFormatPr baseColWidth="10" defaultRowHeight="16" x14ac:dyDescent="0.2"/>
  <cols>
    <col min="1" max="1" width="20.33203125" style="15" customWidth="1"/>
    <col min="2" max="2" width="10.83203125" style="15"/>
    <col min="3" max="4" width="12.1640625" style="15" bestFit="1" customWidth="1"/>
    <col min="5" max="16384" width="10.83203125" style="15"/>
  </cols>
  <sheetData>
    <row r="2" spans="1:7" ht="21" x14ac:dyDescent="0.25">
      <c r="B2" s="24" t="s">
        <v>20</v>
      </c>
    </row>
    <row r="5" spans="1:7" ht="17" thickBot="1" x14ac:dyDescent="0.25">
      <c r="B5" s="30" t="s">
        <v>0</v>
      </c>
      <c r="C5" s="30" t="s">
        <v>1</v>
      </c>
      <c r="D5" s="30" t="s">
        <v>2</v>
      </c>
      <c r="E5" s="30" t="s">
        <v>3</v>
      </c>
      <c r="F5" s="30" t="s">
        <v>4</v>
      </c>
    </row>
    <row r="6" spans="1:7" ht="17" thickBot="1" x14ac:dyDescent="0.25">
      <c r="B6" s="30" t="s">
        <v>5</v>
      </c>
      <c r="C6" s="31">
        <v>291</v>
      </c>
      <c r="D6" s="31">
        <v>1100</v>
      </c>
      <c r="E6" s="30">
        <f>D6-C6</f>
        <v>809</v>
      </c>
      <c r="F6" s="31">
        <v>5650</v>
      </c>
    </row>
    <row r="8" spans="1:7" x14ac:dyDescent="0.2">
      <c r="A8" s="4" t="s">
        <v>22</v>
      </c>
      <c r="B8" s="30" t="s">
        <v>0</v>
      </c>
      <c r="C8" s="30" t="s">
        <v>12</v>
      </c>
      <c r="D8" s="30" t="s">
        <v>11</v>
      </c>
      <c r="E8" s="30" t="s">
        <v>14</v>
      </c>
      <c r="F8" s="30" t="s">
        <v>92</v>
      </c>
    </row>
    <row r="9" spans="1:7" x14ac:dyDescent="0.2">
      <c r="B9" s="30" t="s">
        <v>5</v>
      </c>
      <c r="C9" s="30">
        <f>C6*F18</f>
        <v>147711600.00000003</v>
      </c>
      <c r="D9" s="30">
        <f>E6*F17+F6*F16</f>
        <v>638064750</v>
      </c>
      <c r="E9" s="32">
        <f t="shared" ref="E9" si="0">C9/(C9+D9)</f>
        <v>0.18798173297020204</v>
      </c>
      <c r="F9" s="32">
        <f t="shared" ref="F9" si="1">1-E9</f>
        <v>0.81201826702979796</v>
      </c>
    </row>
    <row r="10" spans="1:7" x14ac:dyDescent="0.2">
      <c r="E10" s="25"/>
      <c r="F10" s="25"/>
    </row>
    <row r="11" spans="1:7" x14ac:dyDescent="0.2">
      <c r="A11" s="4" t="s">
        <v>15</v>
      </c>
      <c r="B11" s="30" t="s">
        <v>0</v>
      </c>
      <c r="C11" s="30" t="s">
        <v>16</v>
      </c>
      <c r="D11" s="30" t="s">
        <v>17</v>
      </c>
      <c r="E11" s="30" t="s">
        <v>18</v>
      </c>
      <c r="F11" s="30" t="s">
        <v>19</v>
      </c>
    </row>
    <row r="12" spans="1:7" x14ac:dyDescent="0.2">
      <c r="B12" s="30" t="s">
        <v>5</v>
      </c>
      <c r="C12" s="30">
        <f>F6*F16</f>
        <v>181788750</v>
      </c>
      <c r="D12" s="30">
        <f>E6*F17</f>
        <v>456276000</v>
      </c>
      <c r="E12" s="32">
        <f t="shared" ref="E12" si="2">C12/(C12+D12)</f>
        <v>0.28490642995087884</v>
      </c>
      <c r="F12" s="32">
        <f t="shared" ref="F12" si="3">1-E12</f>
        <v>0.71509357004912122</v>
      </c>
    </row>
    <row r="13" spans="1:7" x14ac:dyDescent="0.2">
      <c r="B13" s="30" t="s">
        <v>21</v>
      </c>
      <c r="C13" s="30"/>
      <c r="D13" s="30"/>
      <c r="E13" s="30"/>
      <c r="F13" s="30"/>
    </row>
    <row r="15" spans="1:7" ht="17" thickBot="1" x14ac:dyDescent="0.25">
      <c r="B15" s="30" t="s">
        <v>29</v>
      </c>
      <c r="C15" s="30" t="s">
        <v>28</v>
      </c>
      <c r="D15" s="30" t="s">
        <v>8</v>
      </c>
      <c r="E15" s="30" t="s">
        <v>9</v>
      </c>
      <c r="F15" s="30" t="s">
        <v>10</v>
      </c>
      <c r="G15" s="30"/>
    </row>
    <row r="16" spans="1:7" ht="17" thickBot="1" x14ac:dyDescent="0.25">
      <c r="B16" s="30" t="s">
        <v>11</v>
      </c>
      <c r="C16" s="30" t="s">
        <v>6</v>
      </c>
      <c r="D16" s="31">
        <v>15000</v>
      </c>
      <c r="E16" s="30">
        <f>1/2.145</f>
        <v>0.46620046620046618</v>
      </c>
      <c r="F16" s="30">
        <f>D16/E16</f>
        <v>32175</v>
      </c>
      <c r="G16" s="30" t="s">
        <v>13</v>
      </c>
    </row>
    <row r="17" spans="2:7" ht="17" thickBot="1" x14ac:dyDescent="0.25">
      <c r="B17" s="30" t="s">
        <v>11</v>
      </c>
      <c r="C17" s="30" t="s">
        <v>7</v>
      </c>
      <c r="D17" s="31">
        <v>60000</v>
      </c>
      <c r="E17" s="30">
        <f>1/9.4</f>
        <v>0.10638297872340426</v>
      </c>
      <c r="F17" s="30">
        <f>D17/E17</f>
        <v>564000</v>
      </c>
      <c r="G17" s="30" t="s">
        <v>13</v>
      </c>
    </row>
    <row r="18" spans="2:7" ht="17" thickBot="1" x14ac:dyDescent="0.25">
      <c r="B18" s="30" t="s">
        <v>12</v>
      </c>
      <c r="C18" s="30" t="s">
        <v>7</v>
      </c>
      <c r="D18" s="31">
        <v>60000</v>
      </c>
      <c r="E18" s="30">
        <f>1/8.46</f>
        <v>0.11820330969267138</v>
      </c>
      <c r="F18" s="30">
        <f>D18/E18</f>
        <v>507600.00000000006</v>
      </c>
      <c r="G18" s="30" t="s">
        <v>13</v>
      </c>
    </row>
    <row r="22" spans="2:7" x14ac:dyDescent="0.2">
      <c r="B22" s="4" t="s">
        <v>27</v>
      </c>
    </row>
    <row r="24" spans="2:7" x14ac:dyDescent="0.2">
      <c r="B24" s="15" t="s">
        <v>23</v>
      </c>
    </row>
    <row r="25" spans="2:7" x14ac:dyDescent="0.2">
      <c r="B25" s="15" t="s">
        <v>24</v>
      </c>
    </row>
    <row r="27" spans="2:7" x14ac:dyDescent="0.2">
      <c r="B27" s="15" t="s">
        <v>25</v>
      </c>
    </row>
    <row r="28" spans="2:7" x14ac:dyDescent="0.2">
      <c r="B28" s="15" t="s">
        <v>26</v>
      </c>
    </row>
    <row r="30" spans="2:7" x14ac:dyDescent="0.2">
      <c r="B30" s="26" t="s">
        <v>109</v>
      </c>
      <c r="C30" s="27"/>
      <c r="D30" s="28"/>
    </row>
    <row r="31" spans="2:7" x14ac:dyDescent="0.2">
      <c r="B31" s="18" t="s">
        <v>96</v>
      </c>
      <c r="C31" s="17" t="s">
        <v>97</v>
      </c>
      <c r="D31" s="29">
        <f>E9</f>
        <v>0.18798173297020204</v>
      </c>
    </row>
    <row r="32" spans="2:7" x14ac:dyDescent="0.2">
      <c r="B32" s="18" t="s">
        <v>98</v>
      </c>
      <c r="C32" s="17" t="s">
        <v>97</v>
      </c>
      <c r="D32" s="19">
        <f>F9</f>
        <v>0.81201826702979796</v>
      </c>
    </row>
    <row r="33" spans="2:4" x14ac:dyDescent="0.2">
      <c r="B33" s="18"/>
      <c r="C33" s="17"/>
      <c r="D33" s="20"/>
    </row>
    <row r="34" spans="2:4" x14ac:dyDescent="0.2">
      <c r="B34" s="18" t="s">
        <v>99</v>
      </c>
      <c r="C34" s="17" t="s">
        <v>97</v>
      </c>
      <c r="D34" s="29">
        <f>E12</f>
        <v>0.28490642995087884</v>
      </c>
    </row>
    <row r="35" spans="2:4" x14ac:dyDescent="0.2">
      <c r="B35" s="21" t="s">
        <v>100</v>
      </c>
      <c r="C35" s="22" t="s">
        <v>97</v>
      </c>
      <c r="D35" s="23">
        <f>1-D34</f>
        <v>0.71509357004912122</v>
      </c>
    </row>
  </sheetData>
  <dataValidations count="1">
    <dataValidation type="decimal" allowBlank="1" showInputMessage="1" showErrorMessage="1" errorTitle="Number Range" error="This cell can only contain a number between 0% and 100%" sqref="D33:D34 D31">
      <formula1>0</formula1>
      <formula2>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Assumptions</vt:lpstr>
      <vt:lpstr>NL</vt:lpstr>
      <vt:lpstr>shares NVG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Microsoft Office User</cp:lastModifiedBy>
  <dcterms:created xsi:type="dcterms:W3CDTF">2015-10-26T10:03:38Z</dcterms:created>
  <dcterms:modified xsi:type="dcterms:W3CDTF">2017-10-09T16:19:47Z</dcterms:modified>
</cp:coreProperties>
</file>