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0D4FBF93-49D9-CE42-881C-09E4EBF7A5EE}" xr6:coauthVersionLast="44" xr6:coauthVersionMax="44"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L Poten" sheetId="17"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13" l="1"/>
  <c r="J4" i="17"/>
  <c r="N4" i="17"/>
  <c r="O4" i="17"/>
  <c r="B9" i="17"/>
  <c r="V9" i="17"/>
  <c r="Y9" i="17" s="1"/>
  <c r="Y4" i="17" s="1"/>
  <c r="W9" i="17"/>
  <c r="X9" i="17"/>
  <c r="Z9" i="17"/>
  <c r="B10" i="17"/>
  <c r="F10" i="17"/>
  <c r="H10" i="17"/>
  <c r="L10" i="17"/>
  <c r="L4" i="17" s="1"/>
  <c r="Q10" i="17"/>
  <c r="P10" i="17" s="1"/>
  <c r="V10" i="17"/>
  <c r="W10" i="17"/>
  <c r="X10" i="17"/>
  <c r="Y10" i="17"/>
  <c r="Z10" i="17"/>
  <c r="W11" i="17"/>
  <c r="X11" i="17"/>
  <c r="Y11" i="17"/>
  <c r="Z11" i="17"/>
  <c r="B12" i="17"/>
  <c r="F12" i="17"/>
  <c r="H12" i="17"/>
  <c r="P12" i="17" s="1"/>
  <c r="Q12" i="17"/>
  <c r="V12" i="17"/>
  <c r="W12" i="17"/>
  <c r="X12" i="17"/>
  <c r="Y12" i="17"/>
  <c r="Z12" i="17"/>
  <c r="B13" i="17"/>
  <c r="F13" i="17" s="1"/>
  <c r="H13" i="17" s="1"/>
  <c r="L13" i="17"/>
  <c r="Q13" i="17"/>
  <c r="V13" i="17"/>
  <c r="X13" i="17"/>
  <c r="Y13" i="17"/>
  <c r="Z13" i="17"/>
  <c r="B14" i="17"/>
  <c r="F14" i="17"/>
  <c r="K14" i="17" s="1"/>
  <c r="Q14" i="17"/>
  <c r="V14" i="17"/>
  <c r="W14" i="17"/>
  <c r="X14" i="17"/>
  <c r="Y14" i="17"/>
  <c r="W15" i="17"/>
  <c r="X15" i="17"/>
  <c r="Y15" i="17"/>
  <c r="Z15" i="17"/>
  <c r="F16" i="17"/>
  <c r="Q16" i="17"/>
  <c r="P16" i="17" s="1"/>
  <c r="V16" i="17"/>
  <c r="W16" i="17" s="1"/>
  <c r="X16" i="17"/>
  <c r="Y16" i="17"/>
  <c r="Z16" i="17"/>
  <c r="F17" i="17"/>
  <c r="V17" i="17"/>
  <c r="W17" i="17"/>
  <c r="X17" i="17"/>
  <c r="Y17" i="17"/>
  <c r="Z17" i="17"/>
  <c r="B18" i="17"/>
  <c r="I18" i="17"/>
  <c r="X18" i="17" s="1"/>
  <c r="V18" i="17"/>
  <c r="W18" i="17"/>
  <c r="Y18" i="17"/>
  <c r="Z18" i="17"/>
  <c r="B19" i="17"/>
  <c r="Q19" i="17"/>
  <c r="P19" i="17" s="1"/>
  <c r="V19" i="17"/>
  <c r="W19" i="17"/>
  <c r="X19" i="17"/>
  <c r="Y19" i="17"/>
  <c r="Z19" i="17"/>
  <c r="W20" i="17"/>
  <c r="X20" i="17"/>
  <c r="Y20" i="17"/>
  <c r="Z20" i="17"/>
  <c r="F21" i="17"/>
  <c r="L21" i="17"/>
  <c r="P21" i="17"/>
  <c r="Q21" i="17"/>
  <c r="V21" i="17"/>
  <c r="W21" i="17"/>
  <c r="X21" i="17"/>
  <c r="Y21" i="17"/>
  <c r="Z21" i="17"/>
  <c r="F22" i="17"/>
  <c r="P22" i="17" s="1"/>
  <c r="K22" i="17"/>
  <c r="Z22" i="17" s="1"/>
  <c r="L22" i="17"/>
  <c r="O22" i="17"/>
  <c r="Q22" i="17"/>
  <c r="V22" i="17"/>
  <c r="W22" i="17"/>
  <c r="X22" i="17"/>
  <c r="Y22" i="17"/>
  <c r="F23" i="17"/>
  <c r="I23" i="17"/>
  <c r="P23" i="17" s="1"/>
  <c r="M23" i="17"/>
  <c r="Q23" i="17"/>
  <c r="V23" i="17"/>
  <c r="W23" i="17"/>
  <c r="Y23" i="17"/>
  <c r="Z23" i="17"/>
  <c r="W24" i="17"/>
  <c r="X24" i="17"/>
  <c r="Y24" i="17"/>
  <c r="Z24" i="17"/>
  <c r="B25" i="17"/>
  <c r="F25" i="17" s="1"/>
  <c r="I25" i="17" s="1"/>
  <c r="X25" i="17" s="1"/>
  <c r="V25" i="17"/>
  <c r="W25" i="17"/>
  <c r="Y25" i="17"/>
  <c r="Z25" i="17"/>
  <c r="B26" i="17"/>
  <c r="F26" i="17" s="1"/>
  <c r="I26" i="17" s="1"/>
  <c r="X26" i="17" s="1"/>
  <c r="V26" i="17"/>
  <c r="W26" i="17"/>
  <c r="Y26" i="17"/>
  <c r="Z26" i="17"/>
  <c r="F27" i="17"/>
  <c r="Q27" i="17"/>
  <c r="P27" i="17" s="1"/>
  <c r="W27" i="17"/>
  <c r="X27" i="17"/>
  <c r="Y27" i="17"/>
  <c r="Z27" i="17"/>
  <c r="C28" i="17"/>
  <c r="E28" i="17"/>
  <c r="Q28" i="17" s="1"/>
  <c r="F28" i="17"/>
  <c r="W28" i="17"/>
  <c r="X28" i="17"/>
  <c r="Y28" i="17"/>
  <c r="F29" i="17"/>
  <c r="V29" i="17"/>
  <c r="W29" i="17"/>
  <c r="X29" i="17"/>
  <c r="Y29" i="17"/>
  <c r="Z29" i="17"/>
  <c r="W30" i="17"/>
  <c r="X30" i="17"/>
  <c r="Y30" i="17"/>
  <c r="Z30" i="17"/>
  <c r="B31" i="17"/>
  <c r="F31" i="17"/>
  <c r="I31" i="17"/>
  <c r="M31" i="17"/>
  <c r="V31" i="17"/>
  <c r="X31" i="17" s="1"/>
  <c r="W31" i="17"/>
  <c r="Y31" i="17"/>
  <c r="Z31" i="17"/>
  <c r="F32" i="17"/>
  <c r="Q32" i="17"/>
  <c r="P32" i="17" s="1"/>
  <c r="W32" i="17"/>
  <c r="X32" i="17"/>
  <c r="Y32" i="17"/>
  <c r="Z32" i="17"/>
  <c r="B33" i="17"/>
  <c r="F33" i="17"/>
  <c r="I33" i="17" s="1"/>
  <c r="V33" i="17"/>
  <c r="W33" i="17"/>
  <c r="Y33" i="17"/>
  <c r="Z33" i="17"/>
  <c r="B34" i="17"/>
  <c r="F34" i="17" s="1"/>
  <c r="I34" i="17" s="1"/>
  <c r="X34" i="17" s="1"/>
  <c r="V34" i="17"/>
  <c r="W34" i="17"/>
  <c r="Y34" i="17"/>
  <c r="Z34" i="17"/>
  <c r="F35" i="17"/>
  <c r="W35" i="17"/>
  <c r="X35" i="17"/>
  <c r="Y35" i="17"/>
  <c r="Z35" i="17"/>
  <c r="W36" i="17"/>
  <c r="X36" i="17"/>
  <c r="Y36" i="17"/>
  <c r="Z36" i="17"/>
  <c r="B37" i="17"/>
  <c r="F37" i="17"/>
  <c r="I37" i="17"/>
  <c r="P37" i="17"/>
  <c r="Q37" i="17"/>
  <c r="V37" i="17"/>
  <c r="W37" i="17"/>
  <c r="X37" i="17"/>
  <c r="Y37" i="17"/>
  <c r="Z37" i="17"/>
  <c r="B38" i="17"/>
  <c r="F38" i="17"/>
  <c r="I38" i="17" s="1"/>
  <c r="Q38" i="17"/>
  <c r="V38" i="17"/>
  <c r="W38" i="17"/>
  <c r="Y38" i="17"/>
  <c r="Z38" i="17"/>
  <c r="F39" i="17"/>
  <c r="Q39" i="17"/>
  <c r="P39" i="17" s="1"/>
  <c r="W39" i="17"/>
  <c r="X39" i="17"/>
  <c r="Y39" i="17"/>
  <c r="Z39" i="17"/>
  <c r="B40" i="17"/>
  <c r="F40" i="17" s="1"/>
  <c r="Q40" i="17"/>
  <c r="P40" i="17" s="1"/>
  <c r="V40" i="17"/>
  <c r="W40" i="17" s="1"/>
  <c r="X40" i="17"/>
  <c r="Y40" i="17"/>
  <c r="Z40" i="17"/>
  <c r="B41" i="17"/>
  <c r="F41" i="17"/>
  <c r="I41" i="17"/>
  <c r="X41" i="17" s="1"/>
  <c r="V41" i="17"/>
  <c r="W41" i="17"/>
  <c r="Y41" i="17"/>
  <c r="Z41" i="17"/>
  <c r="W42" i="17"/>
  <c r="X42" i="17"/>
  <c r="Y42" i="17"/>
  <c r="Z42" i="17"/>
  <c r="V43" i="17"/>
  <c r="W43" i="17"/>
  <c r="X43" i="17"/>
  <c r="Y43" i="17"/>
  <c r="Z43" i="17"/>
  <c r="S44" i="17"/>
  <c r="V44" i="17"/>
  <c r="W44" i="17"/>
  <c r="X44" i="17"/>
  <c r="Y44" i="17"/>
  <c r="Z44" i="17"/>
  <c r="V46" i="17"/>
  <c r="W46" i="17" s="1"/>
  <c r="X46" i="17"/>
  <c r="Y46" i="17"/>
  <c r="Z46" i="17"/>
  <c r="V47" i="17"/>
  <c r="W47" i="17"/>
  <c r="X47" i="17"/>
  <c r="Y47" i="17"/>
  <c r="Z47" i="17"/>
  <c r="W48" i="17"/>
  <c r="X48" i="17"/>
  <c r="Y48" i="17"/>
  <c r="Z48" i="17"/>
  <c r="B49" i="17"/>
  <c r="F49" i="17"/>
  <c r="S49" i="17"/>
  <c r="V49" i="17" s="1"/>
  <c r="W49" i="17" s="1"/>
  <c r="X49" i="17"/>
  <c r="Y49" i="17"/>
  <c r="Z49" i="17"/>
  <c r="S50" i="17"/>
  <c r="V50" i="17"/>
  <c r="X50" i="17" s="1"/>
  <c r="W50" i="17"/>
  <c r="Y50" i="17"/>
  <c r="Z50" i="17"/>
  <c r="B51" i="17"/>
  <c r="F51" i="17" s="1"/>
  <c r="S51" i="17"/>
  <c r="V51" i="17"/>
  <c r="W51" i="17"/>
  <c r="X51" i="17"/>
  <c r="Y51" i="17"/>
  <c r="Z51" i="17"/>
  <c r="B52" i="17"/>
  <c r="F52" i="17" s="1"/>
  <c r="S52" i="17"/>
  <c r="V52" i="17"/>
  <c r="W52" i="17"/>
  <c r="X52" i="17"/>
  <c r="Y52" i="17"/>
  <c r="Z52" i="17"/>
  <c r="B53" i="17"/>
  <c r="F53" i="17" s="1"/>
  <c r="V53" i="17"/>
  <c r="W53" i="17"/>
  <c r="X53" i="17"/>
  <c r="Y53" i="17"/>
  <c r="Z53" i="17"/>
  <c r="B54" i="17"/>
  <c r="F54" i="17"/>
  <c r="S54" i="17"/>
  <c r="V54" i="17"/>
  <c r="W54" i="17"/>
  <c r="X54" i="17"/>
  <c r="Y54" i="17"/>
  <c r="Z54" i="17"/>
  <c r="B55" i="17"/>
  <c r="F55" i="17"/>
  <c r="V55" i="17"/>
  <c r="W55" i="17"/>
  <c r="X55" i="17"/>
  <c r="Y55" i="17"/>
  <c r="Z55" i="17"/>
  <c r="O56" i="17"/>
  <c r="O58" i="17"/>
  <c r="P14" i="17" l="1"/>
  <c r="K4" i="17"/>
  <c r="Z14" i="17"/>
  <c r="X33" i="17"/>
  <c r="M33" i="17"/>
  <c r="M4" i="17"/>
  <c r="H4" i="17"/>
  <c r="W3" i="17" s="1"/>
  <c r="H3" i="17" s="1"/>
  <c r="X4" i="17"/>
  <c r="W13" i="17"/>
  <c r="P13" i="17"/>
  <c r="P38" i="17"/>
  <c r="X38" i="17"/>
  <c r="W4" i="17"/>
  <c r="Y3" i="17"/>
  <c r="J3" i="17" s="1"/>
  <c r="P28" i="17"/>
  <c r="I4" i="17"/>
  <c r="X3" i="17" s="1"/>
  <c r="I3" i="17" s="1"/>
  <c r="V28" i="17"/>
  <c r="Z28" i="17" s="1"/>
  <c r="X23" i="17"/>
  <c r="Z4" i="17" l="1"/>
  <c r="Z3" i="17"/>
  <c r="K3" i="17" s="1"/>
  <c r="G8" i="13" l="1"/>
  <c r="G9" i="13"/>
  <c r="G10" i="13"/>
  <c r="G11" i="13"/>
  <c r="G7" i="13"/>
  <c r="E14" i="12" l="1"/>
  <c r="E10" i="12"/>
  <c r="E13" i="12" l="1"/>
  <c r="E11" i="12" l="1"/>
  <c r="E1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12" authorId="0" shapeId="0" xr:uid="{9D853B3C-9DE7-4061-BE9E-D7487074FCB2}">
      <text>
        <r>
          <rPr>
            <b/>
            <sz val="9"/>
            <color indexed="81"/>
            <rFont val="Tahoma"/>
            <family val="2"/>
          </rPr>
          <t>Ir. P. Kroon:</t>
        </r>
        <r>
          <rPr>
            <sz val="9"/>
            <color indexed="81"/>
            <rFont val="Tahoma"/>
            <family val="2"/>
          </rPr>
          <t xml:space="preserve">
DNV GL noet 7,3 als totaal potentieel. Ze geven echter een energieinhoud aan diue veel lager is</t>
        </r>
      </text>
    </comment>
    <comment ref="B16" authorId="0" shapeId="0" xr:uid="{D0DBD4DA-74CA-483D-AC6B-5F1D8F8CAB3B}">
      <text>
        <r>
          <rPr>
            <b/>
            <sz val="9"/>
            <color indexed="81"/>
            <rFont val="Tahoma"/>
            <family val="2"/>
          </rPr>
          <t>Ir. P. Kroon:</t>
        </r>
        <r>
          <rPr>
            <sz val="9"/>
            <color indexed="81"/>
            <rFont val="Tahoma"/>
            <family val="2"/>
          </rPr>
          <t xml:space="preserve">
10% in de wei</t>
        </r>
      </text>
    </comment>
    <comment ref="H16" authorId="0" shapeId="0" xr:uid="{3ECB9A79-0CB7-496F-9DE7-CF6755D2A36C}">
      <text>
        <r>
          <rPr>
            <b/>
            <sz val="9"/>
            <color indexed="81"/>
            <rFont val="Tahoma"/>
            <family val="2"/>
          </rPr>
          <t>Ir. P. Kroon:</t>
        </r>
        <r>
          <rPr>
            <sz val="9"/>
            <color indexed="81"/>
            <rFont val="Tahoma"/>
            <family val="2"/>
          </rPr>
          <t xml:space="preserve">
=(30*5+21*7)/12</t>
        </r>
      </text>
    </comment>
    <comment ref="I18" authorId="0" shapeId="0" xr:uid="{223094BE-0732-4DD1-A4D3-C3C1266121B1}">
      <text>
        <r>
          <rPr>
            <b/>
            <sz val="9"/>
            <color indexed="81"/>
            <rFont val="Tahoma"/>
            <family val="2"/>
          </rPr>
          <t>Ir. P. Kroon:</t>
        </r>
        <r>
          <rPr>
            <sz val="9"/>
            <color indexed="81"/>
            <rFont val="Tahoma"/>
            <family val="2"/>
          </rPr>
          <t xml:space="preserve">
aaname 20% vgl Koppekan)</t>
        </r>
      </text>
    </comment>
    <comment ref="Q21" authorId="0" shapeId="0" xr:uid="{A5738DCE-88B2-41C9-BCEC-55430FC61958}">
      <text>
        <r>
          <rPr>
            <b/>
            <sz val="9"/>
            <color indexed="81"/>
            <rFont val="Tahoma"/>
            <family val="2"/>
          </rPr>
          <t>Ir. P. Kroon:</t>
        </r>
        <r>
          <rPr>
            <sz val="9"/>
            <color indexed="81"/>
            <rFont val="Tahoma"/>
            <family val="2"/>
          </rPr>
          <t xml:space="preserve">
2,5=3,1*0,66+1,36*0,34
zie voor andere cifjers ook: BIOMASSA IN FRACTIES
HUISHOUDELIJK RESTAFVAL
Uitvoering Afvalbeheer
</t>
        </r>
      </text>
    </comment>
    <comment ref="O22" authorId="0" shapeId="0" xr:uid="{0F756C2D-81FC-477A-A219-D2415843464A}">
      <text>
        <r>
          <rPr>
            <b/>
            <sz val="9"/>
            <color indexed="81"/>
            <rFont val="Tahoma"/>
            <family val="2"/>
          </rPr>
          <t>Ir. P. Kroon:</t>
        </r>
        <r>
          <rPr>
            <sz val="9"/>
            <color indexed="81"/>
            <rFont val="Tahoma"/>
            <family val="2"/>
          </rPr>
          <t xml:space="preserve">
DNV GL noemt 9,5 maar ik kan dit met hun verbrandingswaarden niet kloppend krijgen</t>
        </r>
      </text>
    </comment>
    <comment ref="Q22" authorId="0" shapeId="0" xr:uid="{FC0C4D8D-5E50-49B2-A7B2-70DDB2943022}">
      <text>
        <r>
          <rPr>
            <b/>
            <sz val="9"/>
            <color indexed="81"/>
            <rFont val="Tahoma"/>
            <family val="2"/>
          </rPr>
          <t>Ir. P. Kroon:</t>
        </r>
        <r>
          <rPr>
            <sz val="9"/>
            <color indexed="81"/>
            <rFont val="Tahoma"/>
            <family val="2"/>
          </rPr>
          <t xml:space="preserve">
ongescheiden 1,51</t>
        </r>
      </text>
    </comment>
    <comment ref="G23" authorId="0" shapeId="0" xr:uid="{035227EC-3ABD-4AF9-AA97-98BC3D1BCCFE}">
      <text>
        <r>
          <rPr>
            <b/>
            <sz val="9"/>
            <color indexed="81"/>
            <rFont val="Tahoma"/>
            <family val="2"/>
          </rPr>
          <t>Ir. P. Kroon:</t>
        </r>
        <r>
          <rPr>
            <sz val="9"/>
            <color indexed="81"/>
            <rFont val="Tahoma"/>
            <family val="2"/>
          </rPr>
          <t xml:space="preserve">
Grote houtstukken worden niet vergist en kunnen gezeefd worden uit de uitgang van de vergister. Mogelijk gaat deel naar de AVI</t>
        </r>
      </text>
    </comment>
    <comment ref="M23" authorId="0" shapeId="0" xr:uid="{D4BCAC49-4006-4301-8A69-4C7DD905E352}">
      <text>
        <r>
          <rPr>
            <b/>
            <sz val="9"/>
            <color indexed="81"/>
            <rFont val="Tahoma"/>
            <family val="2"/>
          </rPr>
          <t>Ir. P. Kroon:</t>
        </r>
        <r>
          <rPr>
            <sz val="9"/>
            <color indexed="81"/>
            <rFont val="Tahoma"/>
            <family val="2"/>
          </rPr>
          <t xml:space="preserve">
http://www.probos.nl/images/pdf/bosberichten/bosberichten2019-02.pdf</t>
        </r>
      </text>
    </comment>
    <comment ref="Q23" authorId="0" shapeId="0" xr:uid="{21884D7F-2DE2-415C-8661-E64C56412E5E}">
      <text>
        <r>
          <rPr>
            <b/>
            <sz val="9"/>
            <color indexed="81"/>
            <rFont val="Tahoma"/>
            <family val="2"/>
          </rPr>
          <t>Ir. P. Kroon:</t>
        </r>
        <r>
          <rPr>
            <sz val="9"/>
            <color indexed="81"/>
            <rFont val="Tahoma"/>
            <family val="2"/>
          </rPr>
          <t xml:space="preserve">
ongescheiden 1,51</t>
        </r>
      </text>
    </comment>
    <comment ref="F31" authorId="0" shapeId="0" xr:uid="{24050C4D-894E-43DB-88F4-A0CED9E0E429}">
      <text>
        <r>
          <rPr>
            <b/>
            <sz val="9"/>
            <color indexed="81"/>
            <rFont val="Tahoma"/>
            <family val="2"/>
          </rPr>
          <t>Ir. P. Kroon:</t>
        </r>
        <r>
          <rPr>
            <sz val="9"/>
            <color indexed="81"/>
            <rFont val="Tahoma"/>
            <family val="2"/>
          </rPr>
          <t xml:space="preserve">
50% is hout voor bouw
70% van de rest winbaar</t>
        </r>
      </text>
    </comment>
    <comment ref="I31" authorId="0" shapeId="0" xr:uid="{67292B88-1E24-49F8-8540-A00E55FAE2D1}">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en </t>
        </r>
      </text>
    </comment>
    <comment ref="M31" authorId="0" shapeId="0" xr:uid="{30E6CFD8-FBB0-42CC-98BA-3C5D05E7302A}">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Ofwel 1235 kton met 50% vocht: Chips 682, shreds 458 zeefoverloop 50 onbewerkt 46.
In Nederland 57% afgezet: 6,67 PJ. waarvan 93% voor energie</t>
        </r>
      </text>
    </comment>
    <comment ref="M32" authorId="0" shapeId="0" xr:uid="{F523148E-E561-441F-8647-1F3F42E14731}">
      <text>
        <r>
          <rPr>
            <b/>
            <sz val="9"/>
            <color indexed="81"/>
            <rFont val="Tahoma"/>
            <family val="2"/>
          </rPr>
          <t>Ir. P. Kroon:</t>
        </r>
        <r>
          <rPr>
            <sz val="9"/>
            <color indexed="81"/>
            <rFont val="Tahoma"/>
            <family val="2"/>
          </rPr>
          <t xml:space="preserve">
circa 1 PJ wordt geregisteerd</t>
        </r>
      </text>
    </comment>
    <comment ref="F33" authorId="0" shapeId="0" xr:uid="{2860832A-0849-4C4E-8B34-9233E881AF2B}">
      <text>
        <r>
          <rPr>
            <b/>
            <sz val="9"/>
            <color indexed="81"/>
            <rFont val="Tahoma"/>
            <family val="2"/>
          </rPr>
          <t>Ir. P. Kroon:</t>
        </r>
        <r>
          <rPr>
            <sz val="9"/>
            <color indexed="81"/>
            <rFont val="Tahoma"/>
            <family val="2"/>
          </rPr>
          <t xml:space="preserve">
25% energie</t>
        </r>
      </text>
    </comment>
    <comment ref="U33" authorId="0" shapeId="0" xr:uid="{7E109DEB-877D-48C6-A5A4-72E309BE9404}">
      <text>
        <r>
          <rPr>
            <b/>
            <sz val="9"/>
            <color indexed="81"/>
            <rFont val="Tahoma"/>
            <family val="2"/>
          </rPr>
          <t>Ir. P. Kroon:</t>
        </r>
        <r>
          <rPr>
            <sz val="9"/>
            <color indexed="81"/>
            <rFont val="Tahoma"/>
            <family val="2"/>
          </rPr>
          <t xml:space="preserve">
1000 euro/jaar/20 ton nat</t>
        </r>
      </text>
    </comment>
    <comment ref="F34" authorId="0" shapeId="0" xr:uid="{795C6970-E190-4AF6-B43D-12BAEAB81DA4}">
      <text>
        <r>
          <rPr>
            <b/>
            <sz val="9"/>
            <color indexed="81"/>
            <rFont val="Tahoma"/>
            <family val="2"/>
          </rPr>
          <t>Ir. P. Kroon:</t>
        </r>
        <r>
          <rPr>
            <sz val="9"/>
            <color indexed="81"/>
            <rFont val="Tahoma"/>
            <family val="2"/>
          </rPr>
          <t xml:space="preserve">
25% energie</t>
        </r>
      </text>
    </comment>
    <comment ref="A43" authorId="0" shapeId="0" xr:uid="{75B32DD8-EFA5-4268-9576-E04765E288CB}">
      <text>
        <r>
          <rPr>
            <b/>
            <sz val="9"/>
            <color indexed="81"/>
            <rFont val="Tahoma"/>
            <family val="2"/>
          </rPr>
          <t>Ir. P. Kroon:</t>
        </r>
        <r>
          <rPr>
            <sz val="9"/>
            <color indexed="81"/>
            <rFont val="Tahoma"/>
            <family val="2"/>
          </rPr>
          <t xml:space="preserve">
50% dakdekking, beetje bij en meestook, 85% lignocellulose en 15% eiwitten</t>
        </r>
      </text>
    </comment>
    <comment ref="B43" authorId="0" shapeId="0" xr:uid="{EBA32EFC-450E-45E8-8951-E0749D4A992E}">
      <text>
        <r>
          <rPr>
            <b/>
            <sz val="9"/>
            <color indexed="81"/>
            <rFont val="Tahoma"/>
            <family val="2"/>
          </rPr>
          <t>Ir. P. Kroon:</t>
        </r>
        <r>
          <rPr>
            <sz val="9"/>
            <color indexed="81"/>
            <rFont val="Tahoma"/>
            <family val="2"/>
          </rPr>
          <t xml:space="preserve">
platform groen grondstoffen</t>
        </r>
      </text>
    </comment>
    <comment ref="S43" authorId="0" shapeId="0" xr:uid="{EFCA0848-615F-44E4-9A1E-A1C5938C3C5A}">
      <text>
        <r>
          <rPr>
            <b/>
            <sz val="9"/>
            <color indexed="81"/>
            <rFont val="Tahoma"/>
            <family val="2"/>
          </rPr>
          <t>Ir. P. Kroon:</t>
        </r>
        <r>
          <rPr>
            <sz val="9"/>
            <color indexed="81"/>
            <rFont val="Tahoma"/>
            <family val="2"/>
          </rPr>
          <t xml:space="preserve">
deels door vochtgehalte, bij riet maar 15% maar wel heel volumieus</t>
        </r>
      </text>
    </comment>
    <comment ref="A44" authorId="0" shapeId="0" xr:uid="{E3B606D7-3574-4CDD-B193-F35985456938}">
      <text>
        <r>
          <rPr>
            <b/>
            <sz val="9"/>
            <color indexed="81"/>
            <rFont val="Tahoma"/>
            <family val="2"/>
          </rPr>
          <t>Ir. P. Kroon:</t>
        </r>
        <r>
          <rPr>
            <sz val="9"/>
            <color indexed="81"/>
            <rFont val="Tahoma"/>
            <family val="2"/>
          </rPr>
          <t xml:space="preserve">
(ca. 80%) uit lignocellulose, dat kan worden
ingezet voor energieproductie, en bevatten verder ca. 20% eiwitten</t>
        </r>
      </text>
    </comment>
    <comment ref="B44" authorId="0" shapeId="0" xr:uid="{A7F8D20F-BBBF-40D7-BEA2-E866DFD62F7D}">
      <text>
        <r>
          <rPr>
            <b/>
            <sz val="9"/>
            <color indexed="81"/>
            <rFont val="Tahoma"/>
            <family val="2"/>
          </rPr>
          <t>Ir. P. Kroon:</t>
        </r>
        <r>
          <rPr>
            <sz val="9"/>
            <color indexed="81"/>
            <rFont val="Tahoma"/>
            <family val="2"/>
          </rPr>
          <t xml:space="preserve">
platform groen grondstoffen</t>
        </r>
      </text>
    </comment>
    <comment ref="AB44" authorId="0" shapeId="0" xr:uid="{C9552710-2C7A-4498-96EF-E3DCDC468A9A}">
      <text>
        <r>
          <rPr>
            <b/>
            <sz val="9"/>
            <color indexed="81"/>
            <rFont val="Tahoma"/>
            <family val="2"/>
          </rPr>
          <t>Ir. P. Kroon:</t>
        </r>
        <r>
          <rPr>
            <sz val="9"/>
            <color indexed="81"/>
            <rFont val="Tahoma"/>
            <family val="2"/>
          </rPr>
          <t xml:space="preserve">
omdat de bodem een hoog zoutgehalte bevat. In Nederland gaat het naar verwachting binnen vijftien tot twintig jaar om 150.000 hectare land, vooral in de kustprovincies
https://edepot.wur.nl/354010
https://www.digitaleetalages.nl/thema/water/verzilting/verziltinginnederland.html
https://edepot.wur.nl/186856</t>
        </r>
      </text>
    </comment>
    <comment ref="A46" authorId="0" shapeId="0" xr:uid="{00D71CA9-4B65-48A3-A1F0-89A41ED13DBC}">
      <text>
        <r>
          <rPr>
            <b/>
            <sz val="9"/>
            <color indexed="81"/>
            <rFont val="Tahoma"/>
            <family val="2"/>
          </rPr>
          <t>Ir. P. Kroon:</t>
        </r>
        <r>
          <rPr>
            <sz val="9"/>
            <color indexed="81"/>
            <rFont val="Tahoma"/>
            <family val="2"/>
          </rPr>
          <t xml:space="preserve">
productiviteit van algenproductiesystemen is 5-10 maal hoger dan van landgebonden teelten</t>
        </r>
      </text>
    </comment>
    <comment ref="B46" authorId="0" shapeId="0" xr:uid="{12A5EF0E-63C9-4321-8561-B6E1352AA65C}">
      <text>
        <r>
          <rPr>
            <b/>
            <sz val="9"/>
            <color indexed="81"/>
            <rFont val="Tahoma"/>
            <family val="2"/>
          </rPr>
          <t>Ir. P. Kroon:</t>
        </r>
        <r>
          <rPr>
            <sz val="9"/>
            <color indexed="81"/>
            <rFont val="Tahoma"/>
            <family val="2"/>
          </rPr>
          <t xml:space="preserve">
platform groen grondstoffen</t>
        </r>
      </text>
    </comment>
    <comment ref="S46" authorId="0" shapeId="0" xr:uid="{1E6B854A-8E67-487F-9BD7-2985075EF102}">
      <text>
        <r>
          <rPr>
            <b/>
            <sz val="9"/>
            <color indexed="81"/>
            <rFont val="Tahoma"/>
            <family val="2"/>
          </rPr>
          <t>Ir. P. Kroon:</t>
        </r>
        <r>
          <rPr>
            <sz val="9"/>
            <color indexed="81"/>
            <rFont val="Tahoma"/>
            <family val="2"/>
          </rPr>
          <t xml:space="preserve">
Stelpost; opbrengt moet uit gewonnen grondstoffen komen voor vergisting</t>
        </r>
      </text>
    </comment>
    <comment ref="B47" authorId="0" shapeId="0" xr:uid="{569FD37A-D816-4BC3-A5FE-8F091DAEA416}">
      <text>
        <r>
          <rPr>
            <b/>
            <sz val="9"/>
            <color indexed="81"/>
            <rFont val="Tahoma"/>
            <family val="2"/>
          </rPr>
          <t>Ir. P. Kroon:</t>
        </r>
        <r>
          <rPr>
            <sz val="9"/>
            <color indexed="81"/>
            <rFont val="Tahoma"/>
            <family val="2"/>
          </rPr>
          <t xml:space="preserve">
opp windparken
</t>
        </r>
      </text>
    </comment>
    <comment ref="S47" authorId="0" shapeId="0" xr:uid="{F6021769-A8C4-4B92-8040-7AC01E1D4A80}">
      <text>
        <r>
          <rPr>
            <b/>
            <sz val="9"/>
            <color indexed="81"/>
            <rFont val="Tahoma"/>
            <family val="2"/>
          </rPr>
          <t>Ir. P. Kroon: Stelpost; opbrengt moet uit gewonnen grondstoffen komen voor vergisting</t>
        </r>
      </text>
    </comment>
    <comment ref="T47" authorId="0" shapeId="0" xr:uid="{4AC9EE50-C34B-4DE9-B164-36B285C3BE0A}">
      <text>
        <r>
          <rPr>
            <b/>
            <sz val="9"/>
            <color indexed="81"/>
            <rFont val="Tahoma"/>
            <family val="2"/>
          </rPr>
          <t>Ir. P. Kroon:</t>
        </r>
        <r>
          <rPr>
            <sz val="9"/>
            <color indexed="81"/>
            <rFont val="Tahoma"/>
            <family val="2"/>
          </rPr>
          <t xml:space="preserve">
1000 berekend uit 250 met 0,75 is learning 2020-2030 rn factor 0,8 is deel van de 50% range</t>
        </r>
      </text>
    </comment>
    <comment ref="U47" authorId="0" shapeId="0" xr:uid="{7AF4711F-B7C9-4AC8-9527-153E0C1B8750}">
      <text>
        <r>
          <rPr>
            <b/>
            <sz val="9"/>
            <color indexed="81"/>
            <rFont val="Tahoma"/>
            <family val="2"/>
          </rPr>
          <t>Ir. P. Kroon:</t>
        </r>
        <r>
          <rPr>
            <sz val="9"/>
            <color indexed="81"/>
            <rFont val="Tahoma"/>
            <family val="2"/>
          </rPr>
          <t xml:space="preserve">
8 ton nat is ongeveer 1,2 ton droog</t>
        </r>
      </text>
    </comment>
    <comment ref="L49" authorId="0" shapeId="0" xr:uid="{579D0439-807F-497E-9D8B-A1D7BD47BD2B}">
      <text>
        <r>
          <rPr>
            <b/>
            <sz val="9"/>
            <color indexed="81"/>
            <rFont val="Tahoma"/>
            <family val="2"/>
          </rPr>
          <t>Ir. P. Kroon:</t>
        </r>
        <r>
          <rPr>
            <sz val="9"/>
            <color indexed="81"/>
            <rFont val="Tahoma"/>
            <family val="2"/>
          </rPr>
          <t xml:space="preserve">
aangenomen is dat koolzaad niet als energiegewas is ingezet.</t>
        </r>
      </text>
    </comment>
    <comment ref="S49" authorId="0" shapeId="0" xr:uid="{78A6091F-936C-4D9F-8FCD-C1C231B6ADF9}">
      <text>
        <r>
          <rPr>
            <b/>
            <sz val="9"/>
            <color indexed="81"/>
            <rFont val="Tahoma"/>
            <family val="2"/>
          </rPr>
          <t>Ir. P. Kroon:</t>
        </r>
        <r>
          <rPr>
            <sz val="9"/>
            <color indexed="81"/>
            <rFont val="Tahoma"/>
            <family val="2"/>
          </rPr>
          <t xml:space="preserve">
Nat 30 euro/ton ds droog 45 euro/ton ds</t>
        </r>
      </text>
    </comment>
    <comment ref="U49" authorId="0" shapeId="0" xr:uid="{4A572173-80C1-4BA2-878F-1F536B3B2635}">
      <text>
        <r>
          <rPr>
            <b/>
            <sz val="9"/>
            <color indexed="81"/>
            <rFont val="Tahoma"/>
            <family val="2"/>
          </rPr>
          <t>Ir. P. Kroon:</t>
        </r>
        <r>
          <rPr>
            <sz val="9"/>
            <color indexed="81"/>
            <rFont val="Tahoma"/>
            <family val="2"/>
          </rPr>
          <t xml:space="preserve">
1000 euro/15 ton droog is 66</t>
        </r>
      </text>
    </comment>
    <comment ref="S52" authorId="0" shapeId="0" xr:uid="{979FC8F5-35CD-4CBF-824F-0923267059EA}">
      <text>
        <r>
          <rPr>
            <b/>
            <sz val="9"/>
            <color indexed="81"/>
            <rFont val="Tahoma"/>
            <family val="2"/>
          </rPr>
          <t>Ir. P. Kroon:</t>
        </r>
        <r>
          <rPr>
            <sz val="9"/>
            <color indexed="81"/>
            <rFont val="Tahoma"/>
            <family val="2"/>
          </rPr>
          <t xml:space="preserve">
mix van zaad en stro
</t>
        </r>
      </text>
    </comment>
    <comment ref="B54" authorId="0" shapeId="0" xr:uid="{E0E21871-A51A-4253-9962-CA5B1F08DD84}">
      <text>
        <r>
          <rPr>
            <b/>
            <sz val="9"/>
            <color indexed="81"/>
            <rFont val="Tahoma"/>
            <family val="2"/>
          </rPr>
          <t>Ir. P. Kroon:</t>
        </r>
        <r>
          <rPr>
            <sz val="9"/>
            <color indexed="81"/>
            <rFont val="Tahoma"/>
            <family val="2"/>
          </rPr>
          <t xml:space="preserve">
53 GJ/ha/j</t>
        </r>
      </text>
    </comment>
    <comment ref="S54" authorId="0" shapeId="0" xr:uid="{AF38A460-F725-4855-91AE-92C97B6FA7D9}">
      <text>
        <r>
          <rPr>
            <b/>
            <sz val="9"/>
            <color indexed="81"/>
            <rFont val="Tahoma"/>
            <family val="2"/>
          </rPr>
          <t>Ir. P. Kroon:</t>
        </r>
        <r>
          <rPr>
            <sz val="9"/>
            <color indexed="81"/>
            <rFont val="Tahoma"/>
            <family val="2"/>
          </rPr>
          <t xml:space="preserve">
35 euro voor balen van meer dan 300 kg droge stof</t>
        </r>
      </text>
    </comment>
    <comment ref="B55" authorId="0" shapeId="0" xr:uid="{7E7BAE5E-EE5B-4928-BD14-CF43C617B4CF}">
      <text>
        <r>
          <rPr>
            <b/>
            <sz val="9"/>
            <color indexed="81"/>
            <rFont val="Tahoma"/>
            <family val="2"/>
          </rPr>
          <t>Ir. P. Kroon:</t>
        </r>
        <r>
          <rPr>
            <sz val="9"/>
            <color indexed="81"/>
            <rFont val="Tahoma"/>
            <family val="2"/>
          </rPr>
          <t xml:space="preserve">
45 GJ/ha/j</t>
        </r>
      </text>
    </comment>
  </commentList>
</comments>
</file>

<file path=xl/sharedStrings.xml><?xml version="1.0" encoding="utf-8"?>
<sst xmlns="http://schemas.openxmlformats.org/spreadsheetml/2006/main" count="322" uniqueCount="225">
  <si>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</si>
  <si>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</si>
  <si>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</si>
  <si>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</si>
  <si>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</si>
  <si>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</si>
  <si>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</si>
  <si>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</si>
  <si>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</si>
  <si>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</si>
  <si>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</si>
  <si>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</si>
  <si>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</si>
  <si>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</si>
  <si>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</si>
  <si>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</si>
  <si>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</si>
  <si>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</si>
  <si>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</si>
  <si>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</si>
  <si>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</si>
  <si>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</si>
  <si>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</si>
  <si>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</si>
  <si>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</si>
  <si>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</si>
  <si>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</si>
  <si>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</si>
  <si>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</si>
  <si>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</si>
  <si>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</si>
  <si>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</si>
  <si>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</si>
  <si>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</si>
  <si>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</si>
  <si>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</si>
  <si>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</si>
  <si>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</si>
  <si>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</si>
  <si>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</si>
  <si>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</si>
  <si>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</si>
  <si>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</si>
  <si>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</si>
  <si>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</si>
  <si>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</si>
  <si>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</si>
  <si>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</si>
  <si>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</si>
  <si>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</si>
  <si>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</si>
  <si>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</si>
  <si>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</si>
  <si>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</si>
  <si>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</si>
  <si>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</si>
  <si>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</si>
  <si>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</si>
  <si>
    <t>ik kom niet tot 50%</t>
  </si>
  <si>
    <t>PJ</t>
  </si>
  <si>
    <t>Inzet in Afvalverbrandingsinstallaties 2015</t>
  </si>
  <si>
    <t>verbrand in PJ</t>
  </si>
  <si>
    <t>Alleen graankorrels</t>
  </si>
  <si>
    <t>euro/ton ds</t>
  </si>
  <si>
    <t>10000 ha (voorbeeld) korrels</t>
  </si>
  <si>
    <t>Graan</t>
  </si>
  <si>
    <t>internet</t>
  </si>
  <si>
    <t>10000 ha (voorbeeld)</t>
  </si>
  <si>
    <t>Gras</t>
  </si>
  <si>
    <t>hele plant</t>
  </si>
  <si>
    <t>10000 ha (voorbeeld) hele gewas</t>
  </si>
  <si>
    <t>Miscanthus</t>
  </si>
  <si>
    <t>Koolzaad</t>
  </si>
  <si>
    <t>hele plant weinig vervoer</t>
  </si>
  <si>
    <t>euro/ton</t>
  </si>
  <si>
    <t>Maïs</t>
  </si>
  <si>
    <t>schatting incl 70 euro voor het land</t>
  </si>
  <si>
    <t>ha totaal agrarisch terrein/2,236mln ha</t>
  </si>
  <si>
    <t>50000 ha (65% andere toepassingen)</t>
  </si>
  <si>
    <t>15 ton ds/ha</t>
  </si>
  <si>
    <t>Schatting Koppejan</t>
  </si>
  <si>
    <t>Energieteelt</t>
  </si>
  <si>
    <t>Noordzee</t>
  </si>
  <si>
    <t>(€ 250/tonne wet in2020; 131 euro/ton dry 2050) notitie J range +- 50%</t>
  </si>
  <si>
    <t>1000 euro/ton ds</t>
  </si>
  <si>
    <t>420000 ha 2035</t>
  </si>
  <si>
    <t>als droge stof</t>
  </si>
  <si>
    <t>Zeewier</t>
  </si>
  <si>
    <t>500 $/ton dry in 2030?</t>
  </si>
  <si>
    <t>400 euro/ton ds</t>
  </si>
  <si>
    <t>20000 ha 2035</t>
  </si>
  <si>
    <t>Microalgen</t>
  </si>
  <si>
    <t>https://www.gemeentenatlas.nl/</t>
  </si>
  <si>
    <t>Per gemeente via:</t>
  </si>
  <si>
    <t>Noord Beveland 10% Veere 20% Vlissingen 10% Middelburg 10% Texel 10% Het Hogeland 40%</t>
  </si>
  <si>
    <t>Donkerste gebieden pag 70 https://library.wur.nl/ebooks/hydrotheek/1880481.pdf</t>
  </si>
  <si>
    <t>50% zeeland, 10% noord Holland 40% Groningen</t>
  </si>
  <si>
    <t>Gekeken naar 117 voor gras opgehoogd naar 150</t>
  </si>
  <si>
    <t>125000 ha 2035</t>
  </si>
  <si>
    <t>Grassoorten op zoute grond</t>
  </si>
  <si>
    <t>ha open nat natuurlijk terein +ha recreatief binnenwater + ha overig binnenwater /(62631 ha+1242 ha+107129 ha)</t>
  </si>
  <si>
    <t>range 0-40 bij droog</t>
  </si>
  <si>
    <t xml:space="preserve">150000 ha </t>
  </si>
  <si>
    <t>Riet en andere waterplanten</t>
  </si>
  <si>
    <t>Aquatische biomassa</t>
  </si>
  <si>
    <t>ha Open droog natuurlijk terrein / 95055 ha</t>
  </si>
  <si>
    <t>range 0-40</t>
  </si>
  <si>
    <t>?</t>
  </si>
  <si>
    <t>Heide</t>
  </si>
  <si>
    <t>?? 0,4*km totaal gemeentelijke en waterschapswegen/126523 km + 0,6* ha bos/341270 ha  (er zijn geen betere indicatoren)</t>
  </si>
  <si>
    <t>range -10 tot -20</t>
  </si>
  <si>
    <t>euro/ton??</t>
  </si>
  <si>
    <t>nu 0,4 (60% natuur, 40% berm+slootmaaisel)</t>
  </si>
  <si>
    <t>Natuurgras+bermgras</t>
  </si>
  <si>
    <t>mln bevolking/17,282 mln</t>
  </si>
  <si>
    <t>25-100 (als er voor wordt betaald)</t>
  </si>
  <si>
    <t>Veel onderhands/zelf geregeld</t>
  </si>
  <si>
    <t>Tuin/landbouw/openbaar groen</t>
  </si>
  <si>
    <t>?? 0,5*km totaal gemeentelijke en waterschapswegen/126523 km + 0,5* ha park en plantsoen/30819 ha</t>
  </si>
  <si>
    <t>Hout uit landschap</t>
  </si>
  <si>
    <t>?? ha totaal agrarisch terrein/2,236mln ha</t>
  </si>
  <si>
    <t>nu 0,02 PJ</t>
  </si>
  <si>
    <t>Hout van fruit- en boomteelt</t>
  </si>
  <si>
    <t>Natuur en landschapsbeheer</t>
  </si>
  <si>
    <t>Met 4 posten nu 15 PJ verantwoord</t>
  </si>
  <si>
    <t>Import/onbekend particulier</t>
  </si>
  <si>
    <t>schatting incl 50 euro voor het land</t>
  </si>
  <si>
    <t>Probos 2050 0,8</t>
  </si>
  <si>
    <t>,, 36 =&gt; 4036 ha</t>
  </si>
  <si>
    <t>36 ha (8 jaar omloop)</t>
  </si>
  <si>
    <t>Korte omloop bomen</t>
  </si>
  <si>
    <t>Veel onderhands</t>
  </si>
  <si>
    <t>Productiebos particulier</t>
  </si>
  <si>
    <t>ha bos/341270</t>
  </si>
  <si>
    <t>Na houtproduct aftrek; Probos 2050 3,8</t>
  </si>
  <si>
    <t>Productiebos</t>
  </si>
  <si>
    <t>Nederlandse productiebossen</t>
  </si>
  <si>
    <t>In AVI</t>
  </si>
  <si>
    <t>Papier in Afval</t>
  </si>
  <si>
    <t>geen bron</t>
  </si>
  <si>
    <t>Verbranden in ketels en ovens</t>
  </si>
  <si>
    <t>Papierresiduen</t>
  </si>
  <si>
    <t>Afvalhout particulier</t>
  </si>
  <si>
    <t>schatting</t>
  </si>
  <si>
    <t>60% NL =&gt;80%</t>
  </si>
  <si>
    <t>Afvalhout</t>
  </si>
  <si>
    <t>evt aantal bedrijven industrie/72295 (er zijn geen cijfers op gemeente niveau die meer specifiek zijn)</t>
  </si>
  <si>
    <t>Van 50 % =&gt; 30% strooisel</t>
  </si>
  <si>
    <t>Resthout uit houtverwerkende industrie</t>
  </si>
  <si>
    <t>Droge biomassa</t>
  </si>
  <si>
    <t>Schatting</t>
  </si>
  <si>
    <t>80% hergebruik</t>
  </si>
  <si>
    <t>Zeefoverloop</t>
  </si>
  <si>
    <t>kloppend krijgen</t>
  </si>
  <si>
    <t>ONF in Afval</t>
  </si>
  <si>
    <t>BIOMASSA IN FRACTIES</t>
  </si>
  <si>
    <t>Kan dit niet goed</t>
  </si>
  <si>
    <t>GFT</t>
  </si>
  <si>
    <t>Groente-, Fruit- en Tuinafval &amp; Organische Natte Fractie (GFT en ONF)</t>
  </si>
  <si>
    <t>mln are akkerbouwgroenten/6,1 mln are</t>
  </si>
  <si>
    <t>Dit kost alleen transport al</t>
  </si>
  <si>
    <t>Natte gewasresten</t>
  </si>
  <si>
    <t>mln are granen/16,7 mln are</t>
  </si>
  <si>
    <t>Vooral toepas. buiten energie</t>
  </si>
  <si>
    <t>Stro</t>
  </si>
  <si>
    <t>0,26*mln melkoeien/1,62 mln+0,74*mln kippen/97mln</t>
  </si>
  <si>
    <t>Bron Belgie</t>
  </si>
  <si>
    <t>Verbranding</t>
  </si>
  <si>
    <t>Droge mest</t>
  </si>
  <si>
    <t>0,84*mln melkoeien/1,62 mln+0,74*mln varkens/12,4mln</t>
  </si>
  <si>
    <t>Drijfmest</t>
  </si>
  <si>
    <t>Agrarische reststromen</t>
  </si>
  <si>
    <t>verbrand in AVI/cement</t>
  </si>
  <si>
    <t>Verbrand</t>
  </si>
  <si>
    <t>?? (mln are cultuurgrond-mln are blijvend grasland)/(177 mln-68 mln)</t>
  </si>
  <si>
    <t>intern</t>
  </si>
  <si>
    <t>30% biogas</t>
  </si>
  <si>
    <t>• Slib AWZI</t>
  </si>
  <si>
    <t>30% biogas/deel verbrand</t>
  </si>
  <si>
    <t>• Slib RWZI</t>
  </si>
  <si>
    <t>RWZI/AWZI-slib</t>
  </si>
  <si>
    <t>?? (mln are cultuurgrond-mln are blijvend grasland)/(177 mln are-68 mln are)</t>
  </si>
  <si>
    <t>Natte stromen</t>
  </si>
  <si>
    <t>?? mln bevolking/17,282 mln</t>
  </si>
  <si>
    <t>vroeger 275</t>
  </si>
  <si>
    <t>Gaat naar biodiesel</t>
  </si>
  <si>
    <t>samen</t>
  </si>
  <si>
    <t>Frituur en restvetten</t>
  </si>
  <si>
    <t>Voedings en genotmiddelen industrie</t>
  </si>
  <si>
    <t>MJ/kg nat</t>
  </si>
  <si>
    <t>PJ LHV</t>
  </si>
  <si>
    <t>Potentieel</t>
  </si>
  <si>
    <t>MJ/kg ds</t>
  </si>
  <si>
    <t>os/ds</t>
  </si>
  <si>
    <t>gehalte</t>
  </si>
  <si>
    <t>kton</t>
  </si>
  <si>
    <t>Product/sector</t>
  </si>
  <si>
    <t>Euro/GJ</t>
  </si>
  <si>
    <t>Opmerking</t>
  </si>
  <si>
    <t xml:space="preserve">eenheid </t>
  </si>
  <si>
    <t>Prijs</t>
  </si>
  <si>
    <t>Stookwaarde</t>
  </si>
  <si>
    <t>Beschikbaar</t>
  </si>
  <si>
    <t>Theoretisch</t>
  </si>
  <si>
    <t>Verbr waarde</t>
  </si>
  <si>
    <t>organisch/totaal droog</t>
  </si>
  <si>
    <t>Droge stof</t>
  </si>
  <si>
    <t>Omvang</t>
  </si>
  <si>
    <t>mln euro/j</t>
  </si>
  <si>
    <t>Actueel</t>
  </si>
  <si>
    <t>Totaal</t>
  </si>
  <si>
    <t>PJ (droge stof basis)</t>
  </si>
  <si>
    <t>Huidige Nederlandse beschikbaarheid</t>
  </si>
  <si>
    <t>euro/GJ</t>
  </si>
  <si>
    <t>deze afvoerkosten na ontrekken van de energieinhoud zitten hier niet in.</t>
  </si>
  <si>
    <t>2014-2015</t>
  </si>
  <si>
    <t>Gemiddelde kosten per energieinhoud</t>
  </si>
  <si>
    <t>Biogeen afval</t>
  </si>
  <si>
    <t>Vethoudende biomassa</t>
  </si>
  <si>
    <t xml:space="preserve">Natte biomassa </t>
  </si>
  <si>
    <t>Opmerking: Let op: Er worden bij biomassagebruik ook afvalstoffen gemaakt</t>
  </si>
  <si>
    <t>Eenheid</t>
  </si>
  <si>
    <t>os=organische stof (vergistbaar/brandbaar)</t>
  </si>
  <si>
    <t>ds=drogestof</t>
  </si>
  <si>
    <t>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</si>
</sst>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8" formatCode="0.000000"/>
    <numFmt numFmtId="169" formatCode="0.0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
      <sz val="8"/>
      <color theme="1"/>
      <name val="Calibri"/>
      <family val="2"/>
      <scheme val="minor"/>
    </font>
    <font>
      <sz val="11"/>
      <color theme="1"/>
      <name val="Calibri"/>
      <family val="2"/>
      <scheme val="minor"/>
    </font>
    <font>
      <b/>
      <sz val="9"/>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9" tint="0.79998168889431442"/>
        <bgColor indexed="64"/>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34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196">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0" fontId="15" fillId="2" borderId="5" xfId="0" applyFont="1" applyFill="1" applyBorder="1"/>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9" fillId="2" borderId="0" xfId="0" applyFont="1" applyFill="1" applyBorder="1" applyAlignment="1">
      <alignment horizontal="left" indent="2"/>
    </xf>
    <xf numFmtId="0" fontId="9" fillId="2" borderId="0" xfId="0" applyFont="1" applyFill="1" applyBorder="1" applyAlignment="1"/>
    <xf numFmtId="0" fontId="17" fillId="0" borderId="0" xfId="183" applyAlignment="1" applyProtection="1"/>
    <xf numFmtId="0" fontId="8" fillId="2" borderId="18" xfId="0" applyFont="1" applyFill="1" applyBorder="1"/>
    <xf numFmtId="164" fontId="25" fillId="2" borderId="0" xfId="0" applyNumberFormat="1" applyFont="1" applyFill="1" applyAlignment="1">
      <alignment vertical="center"/>
    </xf>
    <xf numFmtId="0" fontId="29" fillId="0" borderId="0" xfId="0" applyFont="1" applyFill="1" applyBorder="1"/>
    <xf numFmtId="0" fontId="0" fillId="0" borderId="0" xfId="0" applyFill="1" applyBorder="1"/>
    <xf numFmtId="0" fontId="8" fillId="0" borderId="5" xfId="0" applyFont="1" applyFill="1" applyBorder="1"/>
    <xf numFmtId="0" fontId="7" fillId="2" borderId="0" xfId="0" applyFont="1" applyFill="1"/>
    <xf numFmtId="0" fontId="7" fillId="2" borderId="10" xfId="0" applyFont="1" applyFill="1" applyBorder="1"/>
    <xf numFmtId="0" fontId="7" fillId="0" borderId="11" xfId="0" applyFont="1" applyFill="1" applyBorder="1"/>
    <xf numFmtId="0" fontId="7" fillId="2" borderId="12"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30"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0" borderId="0" xfId="0" applyFont="1" applyFill="1" applyBorder="1"/>
    <xf numFmtId="0" fontId="5" fillId="0" borderId="0" xfId="0" applyFont="1" applyFill="1" applyBorder="1"/>
    <xf numFmtId="0" fontId="27" fillId="0" borderId="0" xfId="0" applyFont="1"/>
    <xf numFmtId="0" fontId="5" fillId="0" borderId="0" xfId="0" applyFont="1" applyFill="1" applyBorder="1" applyAlignment="1">
      <alignment horizontal="left" indent="2"/>
    </xf>
    <xf numFmtId="0" fontId="5" fillId="2" borderId="0" xfId="0" applyFont="1" applyFill="1"/>
    <xf numFmtId="0" fontId="27" fillId="4" borderId="0" xfId="0" applyFont="1" applyFill="1"/>
    <xf numFmtId="0" fontId="31" fillId="0" borderId="0" xfId="0" applyFont="1"/>
    <xf numFmtId="0" fontId="5" fillId="0" borderId="5" xfId="0" applyFont="1" applyFill="1" applyBorder="1"/>
    <xf numFmtId="0" fontId="5" fillId="2" borderId="0" xfId="0" applyFont="1" applyFill="1" applyBorder="1"/>
    <xf numFmtId="0" fontId="5" fillId="2" borderId="0" xfId="0" applyFont="1" applyFill="1" applyBorder="1" applyAlignment="1"/>
    <xf numFmtId="0" fontId="4" fillId="0" borderId="0" xfId="0" applyFont="1"/>
    <xf numFmtId="0" fontId="3" fillId="2" borderId="18" xfId="0" applyFont="1" applyFill="1" applyBorder="1"/>
    <xf numFmtId="2" fontId="19" fillId="2" borderId="27" xfId="0" applyNumberFormat="1" applyFont="1" applyFill="1" applyBorder="1" applyAlignment="1" applyProtection="1">
      <alignment horizontal="right" vertical="center"/>
    </xf>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2"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1" fillId="0" borderId="0" xfId="348"/>
    <xf numFmtId="1" fontId="1" fillId="0" borderId="28" xfId="348" applyNumberFormat="1" applyBorder="1"/>
    <xf numFmtId="0" fontId="1" fillId="0" borderId="12" xfId="348" applyBorder="1"/>
    <xf numFmtId="0" fontId="1" fillId="0" borderId="11" xfId="348" applyBorder="1"/>
    <xf numFmtId="0" fontId="1" fillId="0" borderId="10" xfId="348" applyBorder="1"/>
    <xf numFmtId="1" fontId="1" fillId="0" borderId="10" xfId="348" applyNumberFormat="1" applyBorder="1"/>
    <xf numFmtId="0" fontId="32" fillId="0" borderId="0" xfId="348" applyFont="1"/>
    <xf numFmtId="2" fontId="1" fillId="0" borderId="0" xfId="348" applyNumberFormat="1"/>
    <xf numFmtId="1" fontId="1" fillId="0" borderId="0" xfId="348" applyNumberFormat="1"/>
    <xf numFmtId="1" fontId="1" fillId="0" borderId="29" xfId="348" applyNumberFormat="1" applyBorder="1"/>
    <xf numFmtId="0" fontId="1" fillId="0" borderId="5" xfId="348" applyBorder="1"/>
    <xf numFmtId="0" fontId="1" fillId="0" borderId="6" xfId="348" applyBorder="1"/>
    <xf numFmtId="1" fontId="1" fillId="0" borderId="6" xfId="348" applyNumberFormat="1" applyBorder="1"/>
    <xf numFmtId="164" fontId="1" fillId="0" borderId="0" xfId="348" applyNumberFormat="1"/>
    <xf numFmtId="0" fontId="19" fillId="0" borderId="0" xfId="348" applyFont="1"/>
    <xf numFmtId="0" fontId="33" fillId="0" borderId="0" xfId="348" applyFont="1"/>
    <xf numFmtId="164" fontId="1" fillId="0" borderId="6" xfId="348" applyNumberFormat="1" applyBorder="1"/>
    <xf numFmtId="0" fontId="1" fillId="6" borderId="0" xfId="348" applyFill="1"/>
    <xf numFmtId="164" fontId="32" fillId="0" borderId="0" xfId="348" applyNumberFormat="1" applyFont="1"/>
    <xf numFmtId="0" fontId="1" fillId="13" borderId="0" xfId="348" applyFill="1"/>
    <xf numFmtId="164" fontId="1" fillId="0" borderId="5" xfId="348" applyNumberFormat="1" applyBorder="1"/>
    <xf numFmtId="0" fontId="1" fillId="0" borderId="29" xfId="348" applyBorder="1"/>
    <xf numFmtId="0" fontId="1" fillId="0" borderId="30" xfId="348" applyBorder="1"/>
    <xf numFmtId="0" fontId="1" fillId="14" borderId="5" xfId="348" applyFill="1" applyBorder="1"/>
    <xf numFmtId="0" fontId="1" fillId="14" borderId="0" xfId="348" applyFill="1"/>
    <xf numFmtId="0" fontId="1" fillId="14" borderId="6" xfId="348" applyFill="1" applyBorder="1"/>
    <xf numFmtId="0" fontId="1" fillId="14" borderId="4" xfId="348" applyFill="1" applyBorder="1"/>
    <xf numFmtId="0" fontId="1" fillId="14" borderId="3" xfId="348" applyFill="1" applyBorder="1"/>
    <xf numFmtId="164" fontId="1" fillId="14" borderId="31" xfId="348" applyNumberFormat="1" applyFill="1" applyBorder="1"/>
    <xf numFmtId="164" fontId="1" fillId="14" borderId="32" xfId="348" applyNumberFormat="1" applyFill="1" applyBorder="1"/>
    <xf numFmtId="164" fontId="1" fillId="14" borderId="33" xfId="348" applyNumberFormat="1" applyFill="1" applyBorder="1"/>
    <xf numFmtId="164" fontId="1" fillId="14" borderId="17" xfId="348" applyNumberFormat="1" applyFill="1" applyBorder="1"/>
    <xf numFmtId="164" fontId="1" fillId="14" borderId="34" xfId="348" applyNumberFormat="1" applyFill="1" applyBorder="1"/>
    <xf numFmtId="0" fontId="1" fillId="15" borderId="0" xfId="348" applyFill="1" applyAlignment="1">
      <alignment horizontal="right"/>
    </xf>
    <xf numFmtId="164" fontId="1" fillId="14" borderId="27" xfId="348" applyNumberFormat="1" applyFill="1" applyBorder="1"/>
    <xf numFmtId="0" fontId="34" fillId="0" borderId="0" xfId="348" applyFont="1"/>
    <xf numFmtId="166" fontId="1" fillId="14" borderId="0" xfId="348" applyNumberFormat="1" applyFill="1"/>
    <xf numFmtId="166" fontId="1" fillId="14" borderId="27" xfId="348" applyNumberFormat="1" applyFill="1" applyBorder="1"/>
    <xf numFmtId="168" fontId="15" fillId="2" borderId="18" xfId="0" applyNumberFormat="1" applyFont="1" applyFill="1" applyBorder="1"/>
    <xf numFmtId="169" fontId="15" fillId="2" borderId="18" xfId="0" applyNumberFormat="1" applyFont="1" applyFill="1" applyBorder="1"/>
    <xf numFmtId="168" fontId="19" fillId="2" borderId="27" xfId="0" applyNumberFormat="1" applyFont="1" applyFill="1" applyBorder="1" applyAlignment="1" applyProtection="1">
      <alignment horizontal="right" vertical="center"/>
    </xf>
    <xf numFmtId="0" fontId="1" fillId="0" borderId="5" xfId="0" applyFont="1" applyFill="1" applyBorder="1"/>
    <xf numFmtId="169" fontId="6" fillId="2" borderId="18" xfId="0" applyNumberFormat="1" applyFont="1" applyFill="1" applyBorder="1"/>
    <xf numFmtId="0" fontId="1" fillId="2" borderId="18" xfId="0" applyFont="1" applyFill="1" applyBorder="1"/>
  </cellXfs>
  <cellStyles count="3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48" xr:uid="{6E3E4480-86E4-8643-AAB4-7EFB45E8118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RowHeight="16"/>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c r="A1" s="25"/>
      <c r="B1" s="26"/>
      <c r="C1" s="26"/>
    </row>
    <row r="2" spans="1:4" ht="21">
      <c r="A2" s="7"/>
      <c r="B2" s="28" t="s">
        <v>6</v>
      </c>
      <c r="C2" s="28"/>
    </row>
    <row r="3" spans="1:4">
      <c r="A3" s="7"/>
      <c r="B3" s="14"/>
      <c r="C3" s="14"/>
    </row>
    <row r="4" spans="1:4">
      <c r="A4" s="7"/>
      <c r="B4" s="8" t="s">
        <v>50</v>
      </c>
      <c r="C4" s="9" t="s">
        <v>56</v>
      </c>
    </row>
    <row r="5" spans="1:4">
      <c r="A5" s="7"/>
      <c r="B5" s="10" t="s">
        <v>13</v>
      </c>
      <c r="C5" s="11" t="s">
        <v>57</v>
      </c>
    </row>
    <row r="6" spans="1:4">
      <c r="A6" s="7"/>
      <c r="B6" s="12" t="s">
        <v>8</v>
      </c>
      <c r="C6" s="13" t="s">
        <v>9</v>
      </c>
    </row>
    <row r="7" spans="1:4">
      <c r="A7" s="7"/>
      <c r="B7" s="14"/>
      <c r="C7" s="14"/>
    </row>
    <row r="8" spans="1:4">
      <c r="A8" s="7"/>
      <c r="B8" s="14"/>
      <c r="C8" s="14"/>
    </row>
    <row r="9" spans="1:4">
      <c r="A9" s="7"/>
      <c r="B9" s="73" t="s">
        <v>14</v>
      </c>
      <c r="C9" s="74"/>
      <c r="D9" s="124"/>
    </row>
    <row r="10" spans="1:4">
      <c r="A10" s="7"/>
      <c r="B10" s="75"/>
      <c r="C10" s="76"/>
      <c r="D10" s="125"/>
    </row>
    <row r="11" spans="1:4">
      <c r="A11" s="7"/>
      <c r="B11" s="75" t="s">
        <v>15</v>
      </c>
      <c r="C11" s="77" t="s">
        <v>16</v>
      </c>
      <c r="D11" s="125"/>
    </row>
    <row r="12" spans="1:4" ht="17" thickBot="1">
      <c r="A12" s="7"/>
      <c r="B12" s="75"/>
      <c r="C12" s="18" t="s">
        <v>17</v>
      </c>
      <c r="D12" s="125"/>
    </row>
    <row r="13" spans="1:4" ht="17" thickBot="1">
      <c r="A13" s="7"/>
      <c r="B13" s="75"/>
      <c r="C13" s="78" t="s">
        <v>18</v>
      </c>
      <c r="D13" s="125"/>
    </row>
    <row r="14" spans="1:4">
      <c r="A14" s="7"/>
      <c r="B14" s="75"/>
      <c r="C14" s="76" t="s">
        <v>19</v>
      </c>
      <c r="D14" s="125"/>
    </row>
    <row r="15" spans="1:4">
      <c r="A15" s="7"/>
      <c r="B15" s="75"/>
      <c r="C15" s="76"/>
      <c r="D15" s="125"/>
    </row>
    <row r="16" spans="1:4">
      <c r="A16" s="7"/>
      <c r="B16" s="75" t="s">
        <v>20</v>
      </c>
      <c r="C16" s="79" t="s">
        <v>21</v>
      </c>
      <c r="D16" s="125"/>
    </row>
    <row r="17" spans="1:4">
      <c r="A17" s="7"/>
      <c r="B17" s="75"/>
      <c r="C17" s="80" t="s">
        <v>22</v>
      </c>
      <c r="D17" s="125"/>
    </row>
    <row r="18" spans="1:4">
      <c r="A18" s="7"/>
      <c r="B18" s="75"/>
      <c r="C18" s="81" t="s">
        <v>23</v>
      </c>
      <c r="D18" s="125"/>
    </row>
    <row r="19" spans="1:4">
      <c r="A19" s="7"/>
      <c r="B19" s="75"/>
      <c r="C19" s="82" t="s">
        <v>24</v>
      </c>
      <c r="D19" s="125"/>
    </row>
    <row r="20" spans="1:4">
      <c r="A20" s="7"/>
      <c r="B20" s="83"/>
      <c r="C20" s="84" t="s">
        <v>25</v>
      </c>
      <c r="D20" s="125"/>
    </row>
    <row r="21" spans="1:4">
      <c r="A21" s="7"/>
      <c r="B21" s="83"/>
      <c r="C21" s="85" t="s">
        <v>26</v>
      </c>
      <c r="D21" s="125"/>
    </row>
    <row r="22" spans="1:4">
      <c r="A22" s="7"/>
      <c r="B22" s="83"/>
      <c r="C22" s="86" t="s">
        <v>27</v>
      </c>
      <c r="D22" s="125"/>
    </row>
    <row r="23" spans="1:4">
      <c r="B23" s="83"/>
      <c r="C23" s="87" t="s">
        <v>28</v>
      </c>
      <c r="D23" s="125"/>
    </row>
    <row r="24" spans="1:4">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tabSelected="1" workbookViewId="0">
      <selection activeCell="E14" sqref="E14"/>
    </sheetView>
  </sheetViews>
  <sheetFormatPr baseColWidth="10"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1">
      <c r="D1" s="33"/>
      <c r="E1" s="33"/>
      <c r="F1" s="33"/>
      <c r="G1" s="33"/>
    </row>
    <row r="2" spans="2:11" ht="15" customHeight="1">
      <c r="B2" s="143" t="s">
        <v>55</v>
      </c>
      <c r="C2" s="144"/>
      <c r="D2" s="144"/>
      <c r="E2" s="145"/>
      <c r="F2" s="33"/>
      <c r="G2" s="33"/>
    </row>
    <row r="3" spans="2:11">
      <c r="B3" s="146"/>
      <c r="C3" s="147"/>
      <c r="D3" s="147"/>
      <c r="E3" s="148"/>
      <c r="F3" s="33"/>
      <c r="G3" s="33"/>
    </row>
    <row r="4" spans="2:11" ht="59" customHeight="1">
      <c r="B4" s="149"/>
      <c r="C4" s="150"/>
      <c r="D4" s="150"/>
      <c r="E4" s="151"/>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3" t="s">
        <v>51</v>
      </c>
      <c r="D9" s="31"/>
      <c r="E9" s="18"/>
      <c r="F9" s="18"/>
      <c r="G9" s="18"/>
      <c r="H9" s="18"/>
      <c r="I9" s="18"/>
      <c r="J9" s="40"/>
    </row>
    <row r="10" spans="2:11" s="39" customFormat="1" ht="20" thickBot="1">
      <c r="B10" s="23"/>
      <c r="C10" s="95" t="s">
        <v>35</v>
      </c>
      <c r="D10" s="22" t="s">
        <v>1</v>
      </c>
      <c r="E10" s="102">
        <f>'Research data'!G6</f>
        <v>1</v>
      </c>
      <c r="F10" s="34"/>
      <c r="G10" s="101" t="s">
        <v>39</v>
      </c>
      <c r="H10" s="30"/>
      <c r="I10" s="142" t="s">
        <v>40</v>
      </c>
      <c r="J10" s="40"/>
    </row>
    <row r="11" spans="2:11" s="39" customFormat="1" ht="20" thickBot="1">
      <c r="B11" s="23"/>
      <c r="C11" s="101" t="s">
        <v>36</v>
      </c>
      <c r="D11" s="22" t="s">
        <v>44</v>
      </c>
      <c r="E11" s="191">
        <f>'Research data'!G7</f>
        <v>2.8830070463759412E-3</v>
      </c>
      <c r="F11" s="34"/>
      <c r="G11" s="101"/>
      <c r="H11" s="30"/>
      <c r="I11" s="195" t="s">
        <v>224</v>
      </c>
      <c r="J11" s="40"/>
    </row>
    <row r="12" spans="2:11" s="39" customFormat="1" ht="20" thickBot="1">
      <c r="B12" s="23"/>
      <c r="C12" s="101" t="s">
        <v>49</v>
      </c>
      <c r="D12" s="22" t="s">
        <v>43</v>
      </c>
      <c r="E12" s="191">
        <f>'Research data'!G8</f>
        <v>0</v>
      </c>
      <c r="F12" s="34"/>
      <c r="G12" s="101"/>
      <c r="H12" s="30"/>
      <c r="I12" s="110"/>
      <c r="J12" s="40"/>
    </row>
    <row r="13" spans="2:11" ht="17" thickBot="1">
      <c r="B13" s="38"/>
      <c r="C13" s="34" t="s">
        <v>38</v>
      </c>
      <c r="D13" s="22" t="s">
        <v>46</v>
      </c>
      <c r="E13" s="191">
        <f>'Research data'!G11</f>
        <v>0</v>
      </c>
      <c r="F13" s="34"/>
      <c r="G13" s="130"/>
      <c r="H13" s="34"/>
      <c r="I13" s="110"/>
      <c r="J13" s="91"/>
      <c r="K13" s="33"/>
    </row>
    <row r="14" spans="2:11" s="39" customFormat="1" ht="20" thickBot="1">
      <c r="B14" s="23"/>
      <c r="C14" s="129" t="s">
        <v>52</v>
      </c>
      <c r="D14" s="22" t="s">
        <v>41</v>
      </c>
      <c r="E14" s="194">
        <f>'Research data'!G10</f>
        <v>0</v>
      </c>
      <c r="F14" s="129"/>
      <c r="G14" s="131" t="s">
        <v>53</v>
      </c>
      <c r="H14" s="30"/>
      <c r="I14" s="140"/>
      <c r="J14" s="40"/>
    </row>
    <row r="15" spans="2:11" s="115" customFormat="1" ht="17" thickBot="1">
      <c r="B15" s="116"/>
      <c r="C15" s="117"/>
      <c r="D15" s="117"/>
      <c r="E15" s="117"/>
      <c r="F15" s="117"/>
      <c r="G15" s="117"/>
      <c r="H15" s="117"/>
      <c r="I15" s="117"/>
      <c r="J15" s="11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2"/>
  <sheetViews>
    <sheetView workbookViewId="0">
      <selection activeCell="L14" sqref="L14"/>
    </sheetView>
  </sheetViews>
  <sheetFormatPr baseColWidth="10" defaultRowHeight="16"/>
  <cols>
    <col min="1" max="2" width="3.5" style="62" customWidth="1"/>
    <col min="3" max="3" width="35.83203125" style="62" customWidth="1"/>
    <col min="4" max="4" width="16.5" style="62" hidden="1" customWidth="1"/>
    <col min="5" max="5" width="13.83203125" style="62" hidden="1" customWidth="1"/>
    <col min="6" max="6" width="12.5" style="62" customWidth="1"/>
    <col min="7" max="7" width="15.6640625" style="62" customWidth="1"/>
    <col min="8" max="8" width="4.6640625" style="62" customWidth="1"/>
    <col min="9" max="9" width="9.83203125" style="63" customWidth="1"/>
    <col min="10" max="10" width="3" style="63" customWidth="1"/>
    <col min="11" max="11" width="2.6640625" style="63" customWidth="1"/>
    <col min="12" max="12" width="60" style="62" customWidth="1"/>
    <col min="13" max="16384" width="10.8320312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48</v>
      </c>
      <c r="J3" s="60"/>
      <c r="K3" s="60"/>
      <c r="L3" s="1" t="s">
        <v>30</v>
      </c>
    </row>
    <row r="4" spans="2:12">
      <c r="B4" s="68"/>
      <c r="C4" s="69"/>
      <c r="D4" s="69"/>
      <c r="E4" s="69"/>
      <c r="F4" s="69"/>
      <c r="G4" s="70"/>
      <c r="H4" s="70"/>
      <c r="I4" s="92"/>
      <c r="J4" s="92"/>
      <c r="K4" s="93"/>
      <c r="L4" s="2"/>
    </row>
    <row r="5" spans="2:12" ht="17" thickBot="1">
      <c r="B5" s="68"/>
      <c r="C5" s="18" t="s">
        <v>45</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36</v>
      </c>
      <c r="D7" s="104" t="s">
        <v>36</v>
      </c>
      <c r="E7" s="104" t="s">
        <v>36</v>
      </c>
      <c r="F7" s="22" t="s">
        <v>44</v>
      </c>
      <c r="G7" s="190">
        <f>I7</f>
        <v>2.8830070463759412E-3</v>
      </c>
      <c r="H7" s="4"/>
      <c r="I7" s="192">
        <f>'NL Poten'!I3</f>
        <v>2.8830070463759412E-3</v>
      </c>
      <c r="J7" s="17"/>
      <c r="K7" s="16"/>
      <c r="L7" s="193" t="s">
        <v>224</v>
      </c>
    </row>
    <row r="8" spans="2:12" s="6" customFormat="1" ht="17" thickBot="1">
      <c r="B8" s="5"/>
      <c r="C8" s="104" t="s">
        <v>49</v>
      </c>
      <c r="D8" s="104" t="s">
        <v>42</v>
      </c>
      <c r="E8" s="104" t="s">
        <v>42</v>
      </c>
      <c r="F8" s="22" t="s">
        <v>43</v>
      </c>
      <c r="G8" s="190">
        <f t="shared" ref="G8:G11" si="0">I8</f>
        <v>0</v>
      </c>
      <c r="H8" s="4"/>
      <c r="I8" s="141"/>
      <c r="J8" s="17"/>
      <c r="K8" s="16"/>
      <c r="L8" s="114"/>
    </row>
    <row r="9" spans="2:12" s="6" customFormat="1" ht="17" thickBot="1">
      <c r="B9" s="5"/>
      <c r="C9" s="105" t="s">
        <v>37</v>
      </c>
      <c r="D9" s="105" t="s">
        <v>37</v>
      </c>
      <c r="E9" s="105" t="s">
        <v>37</v>
      </c>
      <c r="F9" s="22" t="s">
        <v>41</v>
      </c>
      <c r="G9" s="190">
        <f t="shared" si="0"/>
        <v>0</v>
      </c>
      <c r="H9" s="4"/>
      <c r="I9" s="141"/>
      <c r="J9" s="17"/>
      <c r="K9" s="16"/>
      <c r="L9" s="3"/>
    </row>
    <row r="10" spans="2:12" s="6" customFormat="1" ht="17" thickBot="1">
      <c r="B10" s="5"/>
      <c r="C10" s="132" t="s">
        <v>54</v>
      </c>
      <c r="D10" s="105" t="s">
        <v>37</v>
      </c>
      <c r="E10" s="105" t="s">
        <v>37</v>
      </c>
      <c r="F10" s="22" t="s">
        <v>41</v>
      </c>
      <c r="G10" s="190">
        <f t="shared" si="0"/>
        <v>0</v>
      </c>
      <c r="H10" s="4"/>
      <c r="I10" s="141"/>
      <c r="J10" s="17"/>
      <c r="K10" s="16"/>
      <c r="L10" s="136"/>
    </row>
    <row r="11" spans="2:12" ht="17" thickBot="1">
      <c r="B11" s="68"/>
      <c r="C11" s="105" t="s">
        <v>38</v>
      </c>
      <c r="D11" s="105" t="s">
        <v>38</v>
      </c>
      <c r="E11" s="105" t="s">
        <v>38</v>
      </c>
      <c r="F11" s="22" t="s">
        <v>46</v>
      </c>
      <c r="G11" s="190">
        <f t="shared" si="0"/>
        <v>0</v>
      </c>
      <c r="H11" s="72"/>
      <c r="I11" s="141"/>
      <c r="J11" s="17"/>
      <c r="K11" s="16"/>
      <c r="L11" s="114"/>
    </row>
    <row r="12" spans="2:12" ht="17" thickBot="1">
      <c r="B12" s="119"/>
      <c r="C12" s="120"/>
      <c r="D12" s="120"/>
      <c r="E12" s="120"/>
      <c r="F12" s="120"/>
      <c r="G12" s="120"/>
      <c r="H12" s="120"/>
      <c r="I12" s="121"/>
      <c r="J12" s="121"/>
      <c r="K12" s="121"/>
      <c r="L12"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640625" defaultRowHeight="16"/>
  <cols>
    <col min="1" max="1" width="3.33203125" style="42" customWidth="1"/>
    <col min="2" max="2" width="3.5" style="42" customWidth="1"/>
    <col min="3" max="3" width="28.6640625" style="42" customWidth="1"/>
    <col min="4" max="4" width="3.1640625" style="42" customWidth="1"/>
    <col min="5" max="5" width="16.1640625" style="42" customWidth="1"/>
    <col min="6" max="6" width="5" style="42" customWidth="1"/>
    <col min="7" max="7" width="10.33203125" style="42" customWidth="1"/>
    <col min="8" max="10" width="12.1640625" style="42" customWidth="1"/>
    <col min="11" max="11" width="33.1640625" style="43" customWidth="1"/>
    <col min="12" max="12" width="87.33203125" style="42" customWidth="1"/>
    <col min="13" max="16384" width="33.16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7"/>
      <c r="F6" s="107"/>
      <c r="G6" s="48"/>
      <c r="H6" s="48"/>
      <c r="I6" s="48"/>
      <c r="J6" s="48"/>
      <c r="K6" s="49"/>
      <c r="L6" s="48"/>
    </row>
    <row r="7" spans="2:12">
      <c r="B7" s="47"/>
      <c r="C7" s="111"/>
      <c r="D7" s="55"/>
      <c r="E7" s="106"/>
      <c r="G7" s="50"/>
      <c r="H7" s="51"/>
      <c r="I7" s="51"/>
      <c r="J7" s="51"/>
      <c r="K7" s="51"/>
      <c r="L7" s="109"/>
    </row>
    <row r="8" spans="2:12">
      <c r="B8" s="47"/>
      <c r="C8" s="137"/>
      <c r="D8" s="56"/>
      <c r="E8" s="138"/>
      <c r="F8" s="138"/>
      <c r="G8" s="50"/>
      <c r="H8" s="51"/>
      <c r="I8" s="51"/>
      <c r="J8" s="51"/>
      <c r="K8" s="139"/>
      <c r="L8" s="61"/>
    </row>
    <row r="9" spans="2:12">
      <c r="B9" s="47"/>
      <c r="C9" s="111"/>
      <c r="D9" s="56"/>
      <c r="L9" s="61"/>
    </row>
    <row r="10" spans="2:12">
      <c r="B10" s="47"/>
      <c r="C10" s="111"/>
      <c r="D10" s="56"/>
      <c r="E10" s="108"/>
      <c r="F10" s="108"/>
      <c r="G10" s="50"/>
      <c r="H10" s="51"/>
      <c r="I10" s="51"/>
      <c r="J10" s="51"/>
      <c r="K10" s="51"/>
      <c r="L10" s="61"/>
    </row>
    <row r="11" spans="2:12">
      <c r="B11" s="47"/>
      <c r="C11" s="111"/>
      <c r="D11" s="59"/>
      <c r="E11" s="106"/>
      <c r="F11" s="108"/>
      <c r="G11" s="57"/>
      <c r="H11" s="58"/>
      <c r="I11" s="58"/>
      <c r="J11" s="58"/>
      <c r="K11" s="51"/>
      <c r="L11" s="109"/>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57F96-622E-F74C-AFBF-29768E1EFEC6}">
  <dimension ref="A1:AM58"/>
  <sheetViews>
    <sheetView workbookViewId="0">
      <selection activeCell="F16" sqref="F16"/>
    </sheetView>
  </sheetViews>
  <sheetFormatPr baseColWidth="10" defaultColWidth="8.83203125" defaultRowHeight="16"/>
  <cols>
    <col min="1" max="1" width="18.6640625" style="152" customWidth="1"/>
    <col min="2" max="5" width="8.83203125" style="152"/>
    <col min="6" max="6" width="22.6640625" style="152" customWidth="1"/>
    <col min="7" max="7" width="26" style="152" customWidth="1"/>
    <col min="8" max="17" width="8.83203125" style="152"/>
    <col min="18" max="18" width="2.1640625" style="152" customWidth="1"/>
    <col min="19" max="19" width="8.83203125" style="152"/>
    <col min="20" max="20" width="10.6640625" style="152" customWidth="1"/>
    <col min="21" max="21" width="19.1640625" style="152" customWidth="1"/>
    <col min="22" max="16384" width="8.83203125" style="152"/>
  </cols>
  <sheetData>
    <row r="1" spans="1:35">
      <c r="B1" s="152" t="s">
        <v>223</v>
      </c>
    </row>
    <row r="2" spans="1:35">
      <c r="B2" s="152" t="s">
        <v>222</v>
      </c>
      <c r="G2" s="166" t="s">
        <v>221</v>
      </c>
      <c r="H2" s="166" t="s">
        <v>219</v>
      </c>
      <c r="I2" s="166" t="s">
        <v>149</v>
      </c>
      <c r="J2" s="166" t="s">
        <v>218</v>
      </c>
      <c r="K2" s="166" t="s">
        <v>217</v>
      </c>
      <c r="L2" s="166"/>
      <c r="M2" s="166"/>
      <c r="N2" s="166"/>
      <c r="O2" s="166"/>
      <c r="Q2" s="187" t="s">
        <v>220</v>
      </c>
      <c r="W2" s="166" t="s">
        <v>219</v>
      </c>
      <c r="X2" s="166" t="s">
        <v>149</v>
      </c>
      <c r="Y2" s="166" t="s">
        <v>218</v>
      </c>
      <c r="Z2" s="166" t="s">
        <v>217</v>
      </c>
    </row>
    <row r="3" spans="1:35" ht="17" thickBot="1">
      <c r="F3" s="185" t="s">
        <v>216</v>
      </c>
      <c r="G3" s="152" t="s">
        <v>44</v>
      </c>
      <c r="H3" s="189">
        <f>W3/1000</f>
        <v>-9.2522632403587303E-4</v>
      </c>
      <c r="I3" s="189">
        <f>X3/1000</f>
        <v>2.8830070463759412E-3</v>
      </c>
      <c r="J3" s="189">
        <f>Y3/1000</f>
        <v>1.3529236680466485E-2</v>
      </c>
      <c r="K3" s="189">
        <f>Z3/1000</f>
        <v>-8.9665629329060501E-3</v>
      </c>
      <c r="L3" s="188"/>
      <c r="M3" s="188" t="s">
        <v>215</v>
      </c>
      <c r="N3" s="188"/>
      <c r="O3" s="188"/>
      <c r="Q3" s="187" t="s">
        <v>214</v>
      </c>
      <c r="V3" s="152" t="s">
        <v>213</v>
      </c>
      <c r="W3" s="186">
        <f>SUM(W8:W55)/H4</f>
        <v>-0.92522632403587302</v>
      </c>
      <c r="X3" s="186">
        <f>SUM(X8:X55)/I4</f>
        <v>2.8830070463759414</v>
      </c>
      <c r="Y3" s="186">
        <f>SUM(Y8:Y55)/J4</f>
        <v>13.529236680466486</v>
      </c>
      <c r="Z3" s="186">
        <f>SUM(Z8:Z55)/K4</f>
        <v>-8.9665629329060508</v>
      </c>
    </row>
    <row r="4" spans="1:35" ht="17" thickBot="1">
      <c r="F4" s="185" t="s">
        <v>212</v>
      </c>
      <c r="G4" s="152" t="s">
        <v>211</v>
      </c>
      <c r="H4" s="184">
        <f>SUM(H8:H55)</f>
        <v>109.87299999999999</v>
      </c>
      <c r="I4" s="184">
        <f>SUM(I8:I55)</f>
        <v>62.160230000000013</v>
      </c>
      <c r="J4" s="184">
        <f>SUM(J8:J55)</f>
        <v>10.5</v>
      </c>
      <c r="K4" s="183">
        <f>SUM(K8:K55)</f>
        <v>21.38166</v>
      </c>
      <c r="L4" s="182">
        <f>SUM(L8:L55)</f>
        <v>16.78</v>
      </c>
      <c r="M4" s="181">
        <f>SUM(M8:M55)</f>
        <v>47.416855000000005</v>
      </c>
      <c r="N4" s="181">
        <f>SUM(N8:N55)</f>
        <v>10.5</v>
      </c>
      <c r="O4" s="180">
        <f>SUM(O8:O55)</f>
        <v>21.6</v>
      </c>
      <c r="V4" s="152" t="s">
        <v>210</v>
      </c>
      <c r="W4" s="152">
        <f>SUM(W9:W55)</f>
        <v>-101.65739190079347</v>
      </c>
      <c r="X4" s="152">
        <f>SUM(X9:X55)</f>
        <v>179.20838109434922</v>
      </c>
      <c r="Y4" s="152">
        <f>SUM(Y9:Y55)</f>
        <v>142.05698514489811</v>
      </c>
      <c r="Z4" s="152">
        <f>SUM(Z9:Z55)</f>
        <v>-191.72</v>
      </c>
    </row>
    <row r="5" spans="1:35" ht="17" thickBot="1">
      <c r="H5" s="179"/>
      <c r="I5" s="178"/>
      <c r="J5" s="178"/>
      <c r="K5" s="178"/>
      <c r="L5" s="177"/>
      <c r="M5" s="176"/>
      <c r="N5" s="176"/>
      <c r="O5" s="175"/>
      <c r="P5" s="152" t="s">
        <v>209</v>
      </c>
      <c r="W5" s="152" t="s">
        <v>208</v>
      </c>
      <c r="X5" s="152" t="s">
        <v>208</v>
      </c>
      <c r="Y5" s="152" t="s">
        <v>208</v>
      </c>
      <c r="Z5" s="152" t="s">
        <v>208</v>
      </c>
    </row>
    <row r="6" spans="1:35">
      <c r="B6" s="152" t="s">
        <v>207</v>
      </c>
      <c r="C6" s="152" t="s">
        <v>206</v>
      </c>
      <c r="D6" s="152" t="s">
        <v>205</v>
      </c>
      <c r="E6" s="152" t="s">
        <v>204</v>
      </c>
      <c r="F6" s="152" t="s">
        <v>203</v>
      </c>
      <c r="G6" s="152" t="s">
        <v>202</v>
      </c>
      <c r="H6" s="177"/>
      <c r="I6" s="176"/>
      <c r="J6" s="176"/>
      <c r="K6" s="176"/>
      <c r="L6" s="177"/>
      <c r="M6" s="176"/>
      <c r="N6" s="176"/>
      <c r="O6" s="175"/>
      <c r="Q6" s="152" t="s">
        <v>201</v>
      </c>
      <c r="S6" s="152" t="s">
        <v>200</v>
      </c>
      <c r="T6" s="152" t="s">
        <v>199</v>
      </c>
      <c r="U6" s="152" t="s">
        <v>198</v>
      </c>
      <c r="V6" s="174" t="s">
        <v>197</v>
      </c>
    </row>
    <row r="7" spans="1:35">
      <c r="A7" s="152" t="s">
        <v>196</v>
      </c>
      <c r="B7" s="152" t="s">
        <v>195</v>
      </c>
      <c r="C7" s="152" t="s">
        <v>194</v>
      </c>
      <c r="D7" s="152" t="s">
        <v>193</v>
      </c>
      <c r="E7" s="152" t="s">
        <v>192</v>
      </c>
      <c r="F7" s="152" t="s">
        <v>191</v>
      </c>
      <c r="H7" s="163"/>
      <c r="L7" s="163"/>
      <c r="O7" s="162"/>
      <c r="P7" s="152" t="s">
        <v>190</v>
      </c>
      <c r="Q7" s="152" t="s">
        <v>189</v>
      </c>
      <c r="V7" s="173"/>
    </row>
    <row r="8" spans="1:35">
      <c r="A8" s="166" t="s">
        <v>188</v>
      </c>
      <c r="H8" s="163"/>
      <c r="L8" s="163"/>
      <c r="O8" s="162"/>
      <c r="V8" s="173"/>
    </row>
    <row r="9" spans="1:35">
      <c r="A9" s="152" t="s">
        <v>187</v>
      </c>
      <c r="B9" s="160">
        <f>J9/E9/C9*1000</f>
        <v>284.11397028979627</v>
      </c>
      <c r="C9" s="152">
        <v>0.97</v>
      </c>
      <c r="D9" s="152">
        <v>0.95</v>
      </c>
      <c r="E9" s="152">
        <v>38.1</v>
      </c>
      <c r="F9" s="152" t="s">
        <v>186</v>
      </c>
      <c r="G9" s="152" t="s">
        <v>185</v>
      </c>
      <c r="H9" s="163"/>
      <c r="J9" s="152">
        <v>10.5</v>
      </c>
      <c r="L9" s="163"/>
      <c r="N9" s="152">
        <v>10.5</v>
      </c>
      <c r="O9" s="162"/>
      <c r="S9" s="152">
        <v>500</v>
      </c>
      <c r="T9" s="152" t="s">
        <v>74</v>
      </c>
      <c r="U9" s="152" t="s">
        <v>184</v>
      </c>
      <c r="V9" s="161">
        <f>S9/(C9*E9)</f>
        <v>13.529236680466488</v>
      </c>
      <c r="W9" s="152" t="str">
        <f>IF(H9="","",H9*$V9)</f>
        <v/>
      </c>
      <c r="X9" s="152" t="str">
        <f>IF(I9="","",I9*$V9)</f>
        <v/>
      </c>
      <c r="Y9" s="152">
        <f>IF(J9="","",J9*$V9)</f>
        <v>142.05698514489811</v>
      </c>
      <c r="Z9" s="152" t="str">
        <f>IF(K9="","",K9*$V9)</f>
        <v/>
      </c>
      <c r="AB9" s="152" t="s">
        <v>183</v>
      </c>
    </row>
    <row r="10" spans="1:35">
      <c r="A10" s="152" t="s">
        <v>182</v>
      </c>
      <c r="B10" s="160">
        <f>8100-B9</f>
        <v>7815.8860297102037</v>
      </c>
      <c r="C10" s="152">
        <v>0.25</v>
      </c>
      <c r="D10" s="152">
        <v>0.9</v>
      </c>
      <c r="E10" s="152">
        <v>17.399999999999999</v>
      </c>
      <c r="F10" s="160">
        <f>(B10+B9)*C10*E10/1000</f>
        <v>35.234999999999999</v>
      </c>
      <c r="G10" s="152">
        <v>17</v>
      </c>
      <c r="H10" s="168">
        <f>G10-J9</f>
        <v>6.5</v>
      </c>
      <c r="I10" s="165"/>
      <c r="J10" s="165"/>
      <c r="K10" s="165"/>
      <c r="L10" s="168">
        <f>14.1-N9</f>
        <v>3.5999999999999996</v>
      </c>
      <c r="M10" s="165"/>
      <c r="N10" s="165"/>
      <c r="O10" s="172"/>
      <c r="P10" s="152">
        <f>H10/E10*Q10</f>
        <v>0.99293103448275866</v>
      </c>
      <c r="Q10" s="152">
        <f>C10*E10+(1-C10)*-2.256</f>
        <v>2.6579999999999999</v>
      </c>
      <c r="S10" s="152">
        <v>28</v>
      </c>
      <c r="T10" s="152" t="s">
        <v>74</v>
      </c>
      <c r="V10" s="161">
        <f>S10/(C10*E10)</f>
        <v>6.4367816091954024</v>
      </c>
      <c r="W10" s="152">
        <f>IF(H10="","",H10*$V10)</f>
        <v>41.839080459770116</v>
      </c>
      <c r="X10" s="152" t="str">
        <f>IF(I10="","",I10*$V10)</f>
        <v/>
      </c>
      <c r="Y10" s="152" t="str">
        <f>IF(J10="","",J10*$V10)</f>
        <v/>
      </c>
      <c r="Z10" s="152" t="str">
        <f>IF(K10="","",K10*$V10)</f>
        <v/>
      </c>
      <c r="AB10" s="152" t="s">
        <v>181</v>
      </c>
    </row>
    <row r="11" spans="1:35">
      <c r="A11" s="166" t="s">
        <v>180</v>
      </c>
      <c r="H11" s="168"/>
      <c r="I11" s="165"/>
      <c r="J11" s="165"/>
      <c r="K11" s="165"/>
      <c r="L11" s="168"/>
      <c r="M11" s="165"/>
      <c r="N11" s="165"/>
      <c r="O11" s="172"/>
      <c r="V11" s="161"/>
      <c r="W11" s="152" t="str">
        <f>IF(H11="","",H11*$V11)</f>
        <v/>
      </c>
      <c r="X11" s="152" t="str">
        <f>IF(I11="","",I11*$V11)</f>
        <v/>
      </c>
      <c r="Y11" s="152" t="str">
        <f>IF(J11="","",J11*$V11)</f>
        <v/>
      </c>
      <c r="Z11" s="152" t="str">
        <f>IF(K11="","",K11*$V11)</f>
        <v/>
      </c>
    </row>
    <row r="12" spans="1:35">
      <c r="A12" s="152" t="s">
        <v>179</v>
      </c>
      <c r="B12" s="152">
        <f>320/C12</f>
        <v>8000</v>
      </c>
      <c r="C12" s="152">
        <v>0.04</v>
      </c>
      <c r="D12" s="152">
        <v>0.7</v>
      </c>
      <c r="E12" s="152">
        <v>11</v>
      </c>
      <c r="F12" s="152">
        <f>B12*C12*E12/1000</f>
        <v>3.52</v>
      </c>
      <c r="G12" s="152" t="s">
        <v>178</v>
      </c>
      <c r="H12" s="168">
        <f>F12</f>
        <v>3.52</v>
      </c>
      <c r="I12" s="165"/>
      <c r="J12" s="165"/>
      <c r="K12" s="165"/>
      <c r="L12" s="168">
        <v>2.4</v>
      </c>
      <c r="M12" s="165"/>
      <c r="N12" s="165"/>
      <c r="O12" s="172"/>
      <c r="P12" s="165">
        <f>H12/E12*Q12</f>
        <v>-0.55224319999999993</v>
      </c>
      <c r="Q12" s="159">
        <f>C12*E12+(1-C12)*-2.256</f>
        <v>-1.7257599999999997</v>
      </c>
      <c r="S12" s="152">
        <v>0</v>
      </c>
      <c r="T12" s="152" t="s">
        <v>175</v>
      </c>
      <c r="V12" s="161">
        <f>S12/(C12*E12)</f>
        <v>0</v>
      </c>
      <c r="W12" s="152">
        <f>IF(H12="","",H12*$V12)</f>
        <v>0</v>
      </c>
      <c r="X12" s="152" t="str">
        <f>IF(I12="","",I12*$V12)</f>
        <v/>
      </c>
      <c r="Y12" s="152" t="str">
        <f>IF(J12="","",J12*$V12)</f>
        <v/>
      </c>
      <c r="Z12" s="152" t="str">
        <f>IF(K12="","",K12*$V12)</f>
        <v/>
      </c>
      <c r="AB12" s="152" t="s">
        <v>114</v>
      </c>
    </row>
    <row r="13" spans="1:35">
      <c r="A13" s="152" t="s">
        <v>177</v>
      </c>
      <c r="B13" s="152">
        <f>123/C13</f>
        <v>3075</v>
      </c>
      <c r="C13" s="152">
        <v>0.04</v>
      </c>
      <c r="D13" s="152">
        <v>0.7</v>
      </c>
      <c r="E13" s="152">
        <v>11</v>
      </c>
      <c r="F13" s="152">
        <f>B13*C13*E13/1000</f>
        <v>1.353</v>
      </c>
      <c r="G13" s="152" t="s">
        <v>176</v>
      </c>
      <c r="H13" s="168">
        <f>F13</f>
        <v>1.353</v>
      </c>
      <c r="I13" s="165"/>
      <c r="J13" s="165"/>
      <c r="K13" s="165"/>
      <c r="L13" s="168">
        <f>1.4*0.3</f>
        <v>0.42</v>
      </c>
      <c r="M13" s="165"/>
      <c r="N13" s="165"/>
      <c r="O13" s="172"/>
      <c r="P13" s="165">
        <f>H13/E13*Q13</f>
        <v>-0.21226847999999995</v>
      </c>
      <c r="Q13" s="159">
        <f>C13*E13+(1-C13)*-2.256</f>
        <v>-1.7257599999999997</v>
      </c>
      <c r="S13" s="152">
        <v>0</v>
      </c>
      <c r="T13" s="152" t="s">
        <v>175</v>
      </c>
      <c r="V13" s="161">
        <f>S13/(C13*E13)</f>
        <v>0</v>
      </c>
      <c r="W13" s="152">
        <f>IF(H13="","",H13*$V13)</f>
        <v>0</v>
      </c>
      <c r="X13" s="152" t="str">
        <f>IF(I13="","",I13*$V13)</f>
        <v/>
      </c>
      <c r="Y13" s="152" t="str">
        <f>IF(J13="","",J13*$V13)</f>
        <v/>
      </c>
      <c r="Z13" s="152" t="str">
        <f>IF(K13="","",K13*$V13)</f>
        <v/>
      </c>
      <c r="AB13" s="152" t="s">
        <v>174</v>
      </c>
      <c r="AI13" s="152" t="s">
        <v>146</v>
      </c>
    </row>
    <row r="14" spans="1:35">
      <c r="A14" s="152" t="s">
        <v>173</v>
      </c>
      <c r="B14" s="152">
        <f>1200+142</f>
        <v>1342</v>
      </c>
      <c r="C14" s="152">
        <v>0.23</v>
      </c>
      <c r="E14" s="152">
        <v>11</v>
      </c>
      <c r="F14" s="152">
        <f>B14*C14*E14/1000</f>
        <v>3.3952600000000004</v>
      </c>
      <c r="G14" s="152" t="s">
        <v>172</v>
      </c>
      <c r="H14" s="168"/>
      <c r="I14" s="165"/>
      <c r="J14" s="165"/>
      <c r="K14" s="165">
        <f>F14</f>
        <v>3.3952600000000004</v>
      </c>
      <c r="L14" s="168"/>
      <c r="M14" s="165"/>
      <c r="N14" s="165"/>
      <c r="O14" s="172">
        <v>3.6</v>
      </c>
      <c r="P14" s="165">
        <f>K14/E14*Q14</f>
        <v>0.2447303408000002</v>
      </c>
      <c r="Q14" s="159">
        <f>C14*E14+(1-C14)*-2.256</f>
        <v>0.79288000000000047</v>
      </c>
      <c r="S14" s="152">
        <v>-60</v>
      </c>
      <c r="T14" s="152" t="s">
        <v>74</v>
      </c>
      <c r="V14" s="161">
        <f>S14/(C14*E14)</f>
        <v>-23.715415019762844</v>
      </c>
      <c r="W14" s="152" t="str">
        <f>IF(H14="","",H14*$V14)</f>
        <v/>
      </c>
      <c r="X14" s="152" t="str">
        <f>IF(I14="","",I14*$V14)</f>
        <v/>
      </c>
      <c r="Y14" s="152" t="str">
        <f>IF(J14="","",J14*$V14)</f>
        <v/>
      </c>
      <c r="Z14" s="152">
        <f>IF(K14="","",K14*$V14)</f>
        <v>-80.52</v>
      </c>
      <c r="AB14" s="152" t="s">
        <v>114</v>
      </c>
    </row>
    <row r="15" spans="1:35">
      <c r="A15" s="166" t="s">
        <v>171</v>
      </c>
      <c r="H15" s="168"/>
      <c r="I15" s="165"/>
      <c r="J15" s="165"/>
      <c r="K15" s="165"/>
      <c r="L15" s="168"/>
      <c r="M15" s="165"/>
      <c r="N15" s="165"/>
      <c r="O15" s="172"/>
      <c r="P15" s="165"/>
      <c r="Q15" s="159"/>
      <c r="V15" s="161"/>
      <c r="W15" s="152" t="str">
        <f>IF(H15="","",H15*$V15)</f>
        <v/>
      </c>
      <c r="X15" s="152" t="str">
        <f>IF(I15="","",I15*$V15)</f>
        <v/>
      </c>
      <c r="Y15" s="152" t="str">
        <f>IF(J15="","",J15*$V15)</f>
        <v/>
      </c>
      <c r="Z15" s="152" t="str">
        <f>IF(K15="","",K15*$V15)</f>
        <v/>
      </c>
    </row>
    <row r="16" spans="1:35">
      <c r="A16" s="152" t="s">
        <v>170</v>
      </c>
      <c r="B16" s="152">
        <v>73400</v>
      </c>
      <c r="C16" s="152">
        <v>7.4999999999999997E-2</v>
      </c>
      <c r="D16" s="152">
        <v>0.85</v>
      </c>
      <c r="E16" s="152">
        <v>16.7</v>
      </c>
      <c r="F16" s="152">
        <f>B16*C16*E16/1000</f>
        <v>91.933499999999995</v>
      </c>
      <c r="H16" s="168">
        <v>25</v>
      </c>
      <c r="I16" s="165"/>
      <c r="J16" s="165"/>
      <c r="K16" s="165"/>
      <c r="L16" s="168">
        <v>2.5</v>
      </c>
      <c r="M16" s="165"/>
      <c r="N16" s="165"/>
      <c r="O16" s="172"/>
      <c r="P16" s="165">
        <f>H16/E16*Q16</f>
        <v>-1.2489520958083831</v>
      </c>
      <c r="Q16" s="159">
        <f>C16*E16+(1-C16)*-2.256</f>
        <v>-0.83429999999999982</v>
      </c>
      <c r="S16" s="152">
        <v>-20</v>
      </c>
      <c r="T16" s="152" t="s">
        <v>74</v>
      </c>
      <c r="V16" s="161">
        <f>S16/(C16*E16)</f>
        <v>-15.96806387225549</v>
      </c>
      <c r="W16" s="152">
        <f>IF(H16="","",H16*$V16)</f>
        <v>-399.20159680638727</v>
      </c>
      <c r="X16" s="152" t="str">
        <f>IF(I16="","",I16*$V16)</f>
        <v/>
      </c>
      <c r="Y16" s="152" t="str">
        <f>IF(J16="","",J16*$V16)</f>
        <v/>
      </c>
      <c r="Z16" s="152" t="str">
        <f>IF(K16="","",K16*$V16)</f>
        <v/>
      </c>
      <c r="AB16" s="152" t="s">
        <v>169</v>
      </c>
    </row>
    <row r="17" spans="1:31">
      <c r="A17" s="152" t="s">
        <v>168</v>
      </c>
      <c r="B17" s="152">
        <v>3000</v>
      </c>
      <c r="C17" s="152">
        <v>0.2</v>
      </c>
      <c r="D17" s="152">
        <v>0.75</v>
      </c>
      <c r="E17" s="152">
        <v>16</v>
      </c>
      <c r="F17" s="152">
        <f>2+5.6+3.2</f>
        <v>10.8</v>
      </c>
      <c r="G17" s="152" t="s">
        <v>167</v>
      </c>
      <c r="H17" s="168"/>
      <c r="I17" s="165">
        <v>8.8000000000000007</v>
      </c>
      <c r="J17" s="165"/>
      <c r="K17" s="165"/>
      <c r="L17" s="168"/>
      <c r="M17" s="165">
        <v>8.8000000000000007</v>
      </c>
      <c r="N17" s="165"/>
      <c r="O17" s="172"/>
      <c r="P17" s="165"/>
      <c r="Q17" s="159"/>
      <c r="S17" s="152">
        <v>20</v>
      </c>
      <c r="T17" s="152" t="s">
        <v>74</v>
      </c>
      <c r="U17" s="152" t="s">
        <v>166</v>
      </c>
      <c r="V17" s="161">
        <f>S17/(C17*E17)</f>
        <v>6.25</v>
      </c>
      <c r="W17" s="152" t="str">
        <f>IF(H17="","",H17*$V17)</f>
        <v/>
      </c>
      <c r="X17" s="152">
        <f>IF(I17="","",I17*$V17)</f>
        <v>55.000000000000007</v>
      </c>
      <c r="Y17" s="152" t="str">
        <f>IF(J17="","",J17*$V17)</f>
        <v/>
      </c>
      <c r="Z17" s="152" t="str">
        <f>IF(K17="","",K17*$V17)</f>
        <v/>
      </c>
      <c r="AB17" s="152" t="s">
        <v>165</v>
      </c>
    </row>
    <row r="18" spans="1:31">
      <c r="A18" s="152" t="s">
        <v>164</v>
      </c>
      <c r="B18" s="160">
        <f>F18/E18/C18*1000</f>
        <v>830.00798084596977</v>
      </c>
      <c r="C18" s="152">
        <v>0.875</v>
      </c>
      <c r="D18" s="152">
        <v>0.94</v>
      </c>
      <c r="E18" s="152">
        <v>17.899999999999999</v>
      </c>
      <c r="F18" s="152">
        <v>13</v>
      </c>
      <c r="G18" s="152" t="s">
        <v>163</v>
      </c>
      <c r="H18" s="168"/>
      <c r="I18" s="165">
        <f>F18*0.2</f>
        <v>2.6</v>
      </c>
      <c r="J18" s="165"/>
      <c r="K18" s="165"/>
      <c r="L18" s="168"/>
      <c r="M18" s="165">
        <v>0</v>
      </c>
      <c r="N18" s="165"/>
      <c r="O18" s="172"/>
      <c r="P18" s="165"/>
      <c r="Q18" s="159"/>
      <c r="S18" s="152">
        <v>60</v>
      </c>
      <c r="T18" s="152" t="s">
        <v>74</v>
      </c>
      <c r="V18" s="161">
        <f>S18/(C18*E18)</f>
        <v>3.8308060654429377</v>
      </c>
      <c r="W18" s="152" t="str">
        <f>IF(H18="","",H18*$V18)</f>
        <v/>
      </c>
      <c r="X18" s="152">
        <f>IF(I18="","",I18*$V18)</f>
        <v>9.9600957701516375</v>
      </c>
      <c r="Y18" s="152" t="str">
        <f>IF(J18="","",J18*$V18)</f>
        <v/>
      </c>
      <c r="Z18" s="152" t="str">
        <f>IF(K18="","",K18*$V18)</f>
        <v/>
      </c>
      <c r="AB18" s="152" t="s">
        <v>162</v>
      </c>
    </row>
    <row r="19" spans="1:31">
      <c r="A19" s="152" t="s">
        <v>161</v>
      </c>
      <c r="B19" s="160">
        <f>F19/E19/C19*1000</f>
        <v>6629.8342541436459</v>
      </c>
      <c r="C19" s="159">
        <v>0.15</v>
      </c>
      <c r="D19" s="152">
        <v>0.85</v>
      </c>
      <c r="E19" s="152">
        <v>18.100000000000001</v>
      </c>
      <c r="F19" s="152">
        <v>18</v>
      </c>
      <c r="H19" s="168">
        <v>11</v>
      </c>
      <c r="I19" s="165"/>
      <c r="J19" s="165"/>
      <c r="K19" s="165"/>
      <c r="L19" s="168">
        <v>3</v>
      </c>
      <c r="M19" s="165"/>
      <c r="N19" s="165"/>
      <c r="O19" s="172"/>
      <c r="P19" s="165">
        <f>H19/E19*Q19</f>
        <v>0.48460773480663016</v>
      </c>
      <c r="Q19" s="159">
        <f>C19*E19+(1-C19)*-2.256</f>
        <v>0.79740000000000055</v>
      </c>
      <c r="S19" s="152">
        <v>20</v>
      </c>
      <c r="T19" s="152" t="s">
        <v>74</v>
      </c>
      <c r="U19" s="152" t="s">
        <v>160</v>
      </c>
      <c r="V19" s="161">
        <f>S19/(C19*E19)</f>
        <v>7.3664825046040505</v>
      </c>
      <c r="W19" s="152">
        <f>IF(H19="","",H19*$V19)</f>
        <v>81.031307550644556</v>
      </c>
      <c r="X19" s="152" t="str">
        <f>IF(I19="","",I19*$V19)</f>
        <v/>
      </c>
      <c r="Y19" s="152" t="str">
        <f>IF(J19="","",J19*$V19)</f>
        <v/>
      </c>
      <c r="Z19" s="152" t="str">
        <f>IF(K19="","",K19*$V19)</f>
        <v/>
      </c>
      <c r="AB19" s="152" t="s">
        <v>159</v>
      </c>
    </row>
    <row r="20" spans="1:31">
      <c r="A20" s="166" t="s">
        <v>158</v>
      </c>
      <c r="H20" s="168"/>
      <c r="I20" s="165"/>
      <c r="J20" s="165"/>
      <c r="K20" s="165"/>
      <c r="L20" s="168"/>
      <c r="M20" s="165"/>
      <c r="N20" s="165"/>
      <c r="O20" s="172"/>
      <c r="P20" s="165"/>
      <c r="Q20" s="159"/>
      <c r="V20" s="161"/>
      <c r="W20" s="152" t="str">
        <f>IF(H20="","",H20*$V20)</f>
        <v/>
      </c>
      <c r="X20" s="152" t="str">
        <f>IF(I20="","",I20*$V20)</f>
        <v/>
      </c>
      <c r="Y20" s="152" t="str">
        <f>IF(J20="","",J20*$V20)</f>
        <v/>
      </c>
      <c r="Z20" s="152" t="str">
        <f>IF(K20="","",K20*$V20)</f>
        <v/>
      </c>
    </row>
    <row r="21" spans="1:31">
      <c r="A21" s="152" t="s">
        <v>157</v>
      </c>
      <c r="B21" s="152">
        <v>1356</v>
      </c>
      <c r="C21" s="152">
        <v>0.38</v>
      </c>
      <c r="D21" s="152">
        <v>0.55000000000000004</v>
      </c>
      <c r="E21" s="152">
        <v>14</v>
      </c>
      <c r="F21" s="165">
        <f>B21*C21*E21/1000</f>
        <v>7.2139199999999999</v>
      </c>
      <c r="G21" s="165" t="s">
        <v>156</v>
      </c>
      <c r="H21" s="168">
        <v>8.6999999999999993</v>
      </c>
      <c r="I21" s="165"/>
      <c r="J21" s="165"/>
      <c r="K21" s="165"/>
      <c r="L21" s="168">
        <f>4.2-L22</f>
        <v>3.5625</v>
      </c>
      <c r="M21" s="165"/>
      <c r="N21" s="165"/>
      <c r="O21" s="172"/>
      <c r="P21" s="165">
        <f>F21/E21*Q21</f>
        <v>2.0205571583999999</v>
      </c>
      <c r="Q21" s="159">
        <f>C21*E21+(1-C21)*-2.256</f>
        <v>3.9212800000000003</v>
      </c>
      <c r="S21" s="152">
        <v>-60</v>
      </c>
      <c r="T21" s="152" t="s">
        <v>74</v>
      </c>
      <c r="U21" s="152" t="s">
        <v>155</v>
      </c>
      <c r="V21" s="161">
        <f>S21/(C21*E21)</f>
        <v>-11.278195488721805</v>
      </c>
      <c r="W21" s="152">
        <f>IF(H21="","",H21*$V21)</f>
        <v>-98.120300751879697</v>
      </c>
      <c r="X21" s="152" t="str">
        <f>IF(I21="","",I21*$V21)</f>
        <v/>
      </c>
      <c r="Y21" s="152" t="str">
        <f>IF(J21="","",J21*$V21)</f>
        <v/>
      </c>
      <c r="Z21" s="152" t="str">
        <f>IF(K21="","",K21*$V21)</f>
        <v/>
      </c>
      <c r="AB21" s="152" t="s">
        <v>114</v>
      </c>
    </row>
    <row r="22" spans="1:31">
      <c r="A22" s="152" t="s">
        <v>154</v>
      </c>
      <c r="B22" s="152">
        <v>1270</v>
      </c>
      <c r="C22" s="152">
        <v>0.36</v>
      </c>
      <c r="D22" s="152">
        <v>0.5</v>
      </c>
      <c r="E22" s="152">
        <v>12</v>
      </c>
      <c r="F22" s="165">
        <f>B22*C22*E22/1000</f>
        <v>5.4863999999999997</v>
      </c>
      <c r="G22" s="165" t="s">
        <v>153</v>
      </c>
      <c r="H22" s="168">
        <v>1.8</v>
      </c>
      <c r="I22" s="165"/>
      <c r="J22" s="165"/>
      <c r="K22" s="165">
        <f>F22-H22</f>
        <v>3.6863999999999999</v>
      </c>
      <c r="L22" s="168">
        <f>4.2*85/560</f>
        <v>0.63749999999999996</v>
      </c>
      <c r="M22" s="165"/>
      <c r="N22" s="165"/>
      <c r="O22" s="172">
        <f>3.7+1.8-0.6</f>
        <v>4.9000000000000004</v>
      </c>
      <c r="P22" s="165">
        <f>F22/E22*Q22</f>
        <v>1.3149803520000003</v>
      </c>
      <c r="Q22" s="159">
        <f>C22*E22+(1-C22)*-2.256</f>
        <v>2.8761600000000005</v>
      </c>
      <c r="S22" s="152">
        <v>-60</v>
      </c>
      <c r="T22" s="152" t="s">
        <v>74</v>
      </c>
      <c r="V22" s="161">
        <f>S22/(C22*E22)</f>
        <v>-13.888888888888888</v>
      </c>
      <c r="W22" s="152">
        <f>IF(H22="","",H22*$V22)</f>
        <v>-24.999999999999996</v>
      </c>
      <c r="X22" s="152" t="str">
        <f>IF(I22="","",I22*$V22)</f>
        <v/>
      </c>
      <c r="Y22" s="152" t="str">
        <f>IF(J22="","",J22*$V22)</f>
        <v/>
      </c>
      <c r="Z22" s="152">
        <f>IF(K22="","",K22*$V22)</f>
        <v>-51.199999999999996</v>
      </c>
      <c r="AB22" s="152" t="s">
        <v>114</v>
      </c>
    </row>
    <row r="23" spans="1:31">
      <c r="A23" s="171" t="s">
        <v>152</v>
      </c>
      <c r="B23" s="171">
        <v>140</v>
      </c>
      <c r="C23" s="171">
        <v>0.5</v>
      </c>
      <c r="D23" s="171">
        <v>0.6</v>
      </c>
      <c r="E23" s="171">
        <v>13</v>
      </c>
      <c r="F23" s="165">
        <f>B23*C23*E23/1000</f>
        <v>0.91</v>
      </c>
      <c r="G23" s="165" t="s">
        <v>151</v>
      </c>
      <c r="H23" s="168"/>
      <c r="I23" s="152">
        <f>0.8*F23</f>
        <v>0.72800000000000009</v>
      </c>
      <c r="J23" s="165"/>
      <c r="K23" s="165"/>
      <c r="L23" s="168"/>
      <c r="M23" s="165">
        <f>1200*0.04*C23*F23/B23</f>
        <v>0.156</v>
      </c>
      <c r="N23" s="165"/>
      <c r="O23" s="172"/>
      <c r="P23" s="165">
        <f>I23/E23*Q23</f>
        <v>0.30083200000000004</v>
      </c>
      <c r="Q23" s="159">
        <f>C23*E23+(1-C23)*-2.256</f>
        <v>5.3719999999999999</v>
      </c>
      <c r="S23" s="171">
        <v>25</v>
      </c>
      <c r="T23" s="171" t="s">
        <v>74</v>
      </c>
      <c r="U23" s="171" t="s">
        <v>150</v>
      </c>
      <c r="V23" s="161">
        <f>S23/(C23*E23)</f>
        <v>3.8461538461538463</v>
      </c>
      <c r="W23" s="152" t="str">
        <f>IF(H23="","",H23*$V23)</f>
        <v/>
      </c>
      <c r="X23" s="152">
        <f>IF(I23="","",I23*$V23)</f>
        <v>2.8000000000000003</v>
      </c>
      <c r="Y23" s="152" t="str">
        <f>IF(J23="","",J23*$V23)</f>
        <v/>
      </c>
      <c r="Z23" s="152" t="str">
        <f>IF(K23="","",K23*$V23)</f>
        <v/>
      </c>
      <c r="AB23" s="169" t="s">
        <v>114</v>
      </c>
    </row>
    <row r="24" spans="1:31">
      <c r="A24" s="166" t="s">
        <v>149</v>
      </c>
      <c r="H24" s="163"/>
      <c r="L24" s="163"/>
      <c r="O24" s="162"/>
      <c r="P24" s="165"/>
      <c r="Q24" s="159"/>
      <c r="V24" s="161"/>
      <c r="W24" s="152" t="str">
        <f>IF(H24="","",H24*$V24)</f>
        <v/>
      </c>
      <c r="X24" s="152" t="str">
        <f>IF(I24="","",I24*$V24)</f>
        <v/>
      </c>
      <c r="Y24" s="152" t="str">
        <f>IF(J24="","",J24*$V24)</f>
        <v/>
      </c>
      <c r="Z24" s="152" t="str">
        <f>IF(K24="","",K24*$V24)</f>
        <v/>
      </c>
    </row>
    <row r="25" spans="1:31">
      <c r="A25" s="152" t="s">
        <v>148</v>
      </c>
      <c r="B25" s="160">
        <f>400/C25</f>
        <v>430.10752688172039</v>
      </c>
      <c r="C25" s="152">
        <v>0.93</v>
      </c>
      <c r="D25" s="152">
        <v>0.97</v>
      </c>
      <c r="E25" s="152">
        <v>19</v>
      </c>
      <c r="F25" s="152">
        <f>B25*C25*E25/1000</f>
        <v>7.6</v>
      </c>
      <c r="G25" s="152" t="s">
        <v>147</v>
      </c>
      <c r="H25" s="163"/>
      <c r="I25" s="152">
        <f>F25*0.7</f>
        <v>5.3199999999999994</v>
      </c>
      <c r="L25" s="163"/>
      <c r="M25" s="152">
        <v>4</v>
      </c>
      <c r="O25" s="162"/>
      <c r="P25" s="165"/>
      <c r="Q25" s="159"/>
      <c r="S25" s="152">
        <v>100</v>
      </c>
      <c r="T25" s="152" t="s">
        <v>74</v>
      </c>
      <c r="U25" s="152" t="s">
        <v>143</v>
      </c>
      <c r="V25" s="161">
        <f>S25/(C25*E25)</f>
        <v>5.6593095642331628</v>
      </c>
      <c r="W25" s="152" t="str">
        <f>IF(H25="","",H25*$V25)</f>
        <v/>
      </c>
      <c r="X25" s="152">
        <f>IF(I25="","",I25*$V25)</f>
        <v>30.107526881720421</v>
      </c>
      <c r="Y25" s="152" t="str">
        <f>IF(J25="","",J25*$V25)</f>
        <v/>
      </c>
      <c r="Z25" s="152" t="str">
        <f>IF(K25="","",K25*$V25)</f>
        <v/>
      </c>
      <c r="AB25" s="152" t="s">
        <v>114</v>
      </c>
      <c r="AE25" s="152" t="s">
        <v>146</v>
      </c>
    </row>
    <row r="26" spans="1:31">
      <c r="A26" s="152" t="s">
        <v>145</v>
      </c>
      <c r="B26" s="160">
        <f>1300/C26</f>
        <v>1397.8494623655913</v>
      </c>
      <c r="C26" s="152">
        <v>0.93</v>
      </c>
      <c r="D26" s="152">
        <v>0.97</v>
      </c>
      <c r="E26" s="152">
        <v>19</v>
      </c>
      <c r="F26" s="152">
        <f>B26*C26*E26/1000</f>
        <v>24.7</v>
      </c>
      <c r="G26" s="152" t="s">
        <v>144</v>
      </c>
      <c r="H26" s="163"/>
      <c r="I26" s="152">
        <f>F26*0.8</f>
        <v>19.760000000000002</v>
      </c>
      <c r="L26" s="163"/>
      <c r="M26" s="152">
        <v>12.5</v>
      </c>
      <c r="O26" s="162"/>
      <c r="P26" s="165"/>
      <c r="Q26" s="159"/>
      <c r="S26" s="152">
        <v>35</v>
      </c>
      <c r="T26" s="152" t="s">
        <v>74</v>
      </c>
      <c r="U26" s="152" t="s">
        <v>143</v>
      </c>
      <c r="V26" s="161">
        <f>S26/(C26*E26)</f>
        <v>1.9807583474816071</v>
      </c>
      <c r="W26" s="152" t="str">
        <f>IF(H26="","",H26*$V26)</f>
        <v/>
      </c>
      <c r="X26" s="152">
        <f>IF(I26="","",I26*$V26)</f>
        <v>39.13978494623656</v>
      </c>
      <c r="Y26" s="152" t="str">
        <f>IF(J26="","",J26*$V26)</f>
        <v/>
      </c>
      <c r="Z26" s="152" t="str">
        <f>IF(K26="","",K26*$V26)</f>
        <v/>
      </c>
      <c r="AB26" s="152" t="s">
        <v>114</v>
      </c>
    </row>
    <row r="27" spans="1:31">
      <c r="A27" s="169" t="s">
        <v>142</v>
      </c>
      <c r="B27" s="169">
        <v>200</v>
      </c>
      <c r="C27" s="169">
        <v>0.5</v>
      </c>
      <c r="D27" s="169">
        <v>0.97</v>
      </c>
      <c r="E27" s="169">
        <v>19</v>
      </c>
      <c r="F27" s="165">
        <f>B27*C27*E27/1000</f>
        <v>1.9</v>
      </c>
      <c r="G27" s="158" t="s">
        <v>116</v>
      </c>
      <c r="H27" s="163"/>
      <c r="I27" s="152">
        <v>2</v>
      </c>
      <c r="L27" s="163"/>
      <c r="M27" s="152">
        <v>2</v>
      </c>
      <c r="O27" s="162"/>
      <c r="P27" s="165">
        <f>I27/E27*Q27</f>
        <v>0.88126315789473675</v>
      </c>
      <c r="Q27" s="159">
        <f>C27*E27+(1-C27)*-2.256</f>
        <v>8.3719999999999999</v>
      </c>
      <c r="S27" s="169">
        <v>60</v>
      </c>
      <c r="T27" s="169" t="s">
        <v>74</v>
      </c>
      <c r="U27" s="169" t="s">
        <v>115</v>
      </c>
      <c r="V27" s="161"/>
      <c r="W27" s="152" t="str">
        <f>IF(H27="","",H27*$V27)</f>
        <v/>
      </c>
      <c r="X27" s="152">
        <f>IF(I27="","",I27*$V27)</f>
        <v>0</v>
      </c>
      <c r="Y27" s="152" t="str">
        <f>IF(J27="","",J27*$V27)</f>
        <v/>
      </c>
      <c r="Z27" s="152" t="str">
        <f>IF(K27="","",K27*$V27)</f>
        <v/>
      </c>
      <c r="AB27" s="169" t="s">
        <v>114</v>
      </c>
    </row>
    <row r="28" spans="1:31">
      <c r="A28" s="152" t="s">
        <v>141</v>
      </c>
      <c r="B28" s="152">
        <v>1000</v>
      </c>
      <c r="C28" s="152">
        <f>232/1000</f>
        <v>0.23200000000000001</v>
      </c>
      <c r="E28" s="165">
        <f>F28/(B28*C28)*1000</f>
        <v>9.9137931034482758</v>
      </c>
      <c r="F28" s="152">
        <f>1.8+0.1+0.4</f>
        <v>2.3000000000000003</v>
      </c>
      <c r="G28" s="152" t="s">
        <v>140</v>
      </c>
      <c r="H28" s="163"/>
      <c r="K28" s="152">
        <v>2.2999999999999998</v>
      </c>
      <c r="L28" s="163"/>
      <c r="O28" s="162">
        <v>1.1000000000000001</v>
      </c>
      <c r="P28" s="165">
        <f>K28/E28*Q28</f>
        <v>0.13163494400000006</v>
      </c>
      <c r="Q28" s="159">
        <f>C28*E28+(1-C28)*-2.256</f>
        <v>0.56739200000000034</v>
      </c>
      <c r="S28" s="152">
        <v>0</v>
      </c>
      <c r="T28" s="152" t="s">
        <v>74</v>
      </c>
      <c r="U28" s="152" t="s">
        <v>139</v>
      </c>
      <c r="V28" s="161">
        <f>S28/(C28*E28)</f>
        <v>0</v>
      </c>
      <c r="W28" s="152" t="str">
        <f>IF(H28="","",H28*$V28)</f>
        <v/>
      </c>
      <c r="X28" s="152" t="str">
        <f>IF(I28="","",I28*$V28)</f>
        <v/>
      </c>
      <c r="Y28" s="152" t="str">
        <f>IF(J28="","",J28*$V28)</f>
        <v/>
      </c>
      <c r="Z28" s="152">
        <f>IF(K28="","",K28*$V28)</f>
        <v>0</v>
      </c>
      <c r="AB28" s="152" t="s">
        <v>114</v>
      </c>
    </row>
    <row r="29" spans="1:31">
      <c r="A29" s="152" t="s">
        <v>138</v>
      </c>
      <c r="B29" s="152">
        <v>908</v>
      </c>
      <c r="C29" s="152">
        <v>0.8</v>
      </c>
      <c r="D29" s="152">
        <v>0.7</v>
      </c>
      <c r="E29" s="152">
        <v>15</v>
      </c>
      <c r="F29" s="165">
        <f>B29*C29*E29/1000</f>
        <v>10.896000000000003</v>
      </c>
      <c r="G29" s="152" t="s">
        <v>137</v>
      </c>
      <c r="H29" s="163"/>
      <c r="K29" s="152">
        <v>12</v>
      </c>
      <c r="L29" s="163"/>
      <c r="O29" s="162">
        <v>12</v>
      </c>
      <c r="P29" s="165"/>
      <c r="Q29" s="159"/>
      <c r="S29" s="152">
        <v>-60</v>
      </c>
      <c r="T29" s="152" t="s">
        <v>74</v>
      </c>
      <c r="V29" s="161">
        <f>S29/(C29*E29)</f>
        <v>-5</v>
      </c>
      <c r="W29" s="152" t="str">
        <f>IF(H29="","",H29*$V29)</f>
        <v/>
      </c>
      <c r="X29" s="152" t="str">
        <f>IF(I29="","",I29*$V29)</f>
        <v/>
      </c>
      <c r="Y29" s="152" t="str">
        <f>IF(J29="","",J29*$V29)</f>
        <v/>
      </c>
      <c r="Z29" s="152">
        <f>IF(K29="","",K29*$V29)</f>
        <v>-60</v>
      </c>
      <c r="AB29" s="152" t="s">
        <v>114</v>
      </c>
    </row>
    <row r="30" spans="1:31">
      <c r="A30" s="166" t="s">
        <v>136</v>
      </c>
      <c r="H30" s="163"/>
      <c r="L30" s="163"/>
      <c r="O30" s="162"/>
      <c r="P30" s="165"/>
      <c r="Q30" s="159"/>
      <c r="V30" s="161"/>
      <c r="W30" s="152" t="str">
        <f>IF(H30="","",H30*$V30)</f>
        <v/>
      </c>
      <c r="X30" s="152" t="str">
        <f>IF(I30="","",I30*$V30)</f>
        <v/>
      </c>
      <c r="Y30" s="152" t="str">
        <f>IF(J30="","",J30*$V30)</f>
        <v/>
      </c>
      <c r="Z30" s="152" t="str">
        <f>IF(K30="","",K30*$V30)</f>
        <v/>
      </c>
    </row>
    <row r="31" spans="1:31">
      <c r="A31" s="152" t="s">
        <v>135</v>
      </c>
      <c r="B31" s="152">
        <f>1060/C31</f>
        <v>2120</v>
      </c>
      <c r="C31" s="152">
        <v>0.5</v>
      </c>
      <c r="D31" s="152">
        <v>0.97</v>
      </c>
      <c r="E31" s="152">
        <v>19</v>
      </c>
      <c r="F31" s="152">
        <f>B31*C31*E31/1000*0.5*0.7</f>
        <v>7.0489999999999995</v>
      </c>
      <c r="G31" s="158" t="s">
        <v>134</v>
      </c>
      <c r="H31" s="163"/>
      <c r="I31" s="152">
        <f>3.7-0.5</f>
        <v>3.2</v>
      </c>
      <c r="L31" s="163"/>
      <c r="M31" s="152">
        <f>2.4-0.5</f>
        <v>1.9</v>
      </c>
      <c r="O31" s="162"/>
      <c r="P31" s="165"/>
      <c r="Q31" s="159"/>
      <c r="S31" s="152">
        <v>40</v>
      </c>
      <c r="T31" s="152" t="s">
        <v>74</v>
      </c>
      <c r="V31" s="161">
        <f>S31/(C31*E31)</f>
        <v>4.2105263157894735</v>
      </c>
      <c r="W31" s="152" t="str">
        <f>IF(H31="","",H31*$V31)</f>
        <v/>
      </c>
      <c r="X31" s="152">
        <f>IF(I31="","",I31*$V31)</f>
        <v>13.473684210526315</v>
      </c>
      <c r="Y31" s="152" t="str">
        <f>IF(J31="","",J31*$V31)</f>
        <v/>
      </c>
      <c r="Z31" s="152" t="str">
        <f>IF(K31="","",K31*$V31)</f>
        <v/>
      </c>
      <c r="AB31" s="152" t="s">
        <v>133</v>
      </c>
    </row>
    <row r="32" spans="1:31">
      <c r="A32" s="169" t="s">
        <v>132</v>
      </c>
      <c r="B32" s="169">
        <v>400</v>
      </c>
      <c r="C32" s="169">
        <v>0.5</v>
      </c>
      <c r="D32" s="169">
        <v>0.97</v>
      </c>
      <c r="E32" s="169">
        <v>19</v>
      </c>
      <c r="F32" s="165">
        <f>B32*C32*E32/1000</f>
        <v>3.8</v>
      </c>
      <c r="G32" s="158" t="s">
        <v>131</v>
      </c>
      <c r="H32" s="163"/>
      <c r="I32" s="152">
        <v>4</v>
      </c>
      <c r="L32" s="163"/>
      <c r="M32" s="152">
        <v>4</v>
      </c>
      <c r="O32" s="162"/>
      <c r="P32" s="165">
        <f>I32/E32*Q32</f>
        <v>1.7625263157894735</v>
      </c>
      <c r="Q32" s="159">
        <f>C32*E32+(1-C32)*-2.256</f>
        <v>8.3719999999999999</v>
      </c>
      <c r="S32" s="169">
        <v>60</v>
      </c>
      <c r="T32" s="169" t="s">
        <v>74</v>
      </c>
      <c r="U32" s="169" t="s">
        <v>115</v>
      </c>
      <c r="V32" s="161"/>
      <c r="W32" s="152" t="str">
        <f>IF(H32="","",H32*$V32)</f>
        <v/>
      </c>
      <c r="X32" s="152">
        <f>IF(I32="","",I32*$V32)</f>
        <v>0</v>
      </c>
      <c r="Y32" s="152" t="str">
        <f>IF(J32="","",J32*$V32)</f>
        <v/>
      </c>
      <c r="Z32" s="152" t="str">
        <f>IF(K32="","",K32*$V32)</f>
        <v/>
      </c>
      <c r="AB32" s="169" t="s">
        <v>114</v>
      </c>
    </row>
    <row r="33" spans="1:39">
      <c r="A33" s="152" t="s">
        <v>130</v>
      </c>
      <c r="B33" s="152">
        <f>0.18/C33</f>
        <v>0.36</v>
      </c>
      <c r="C33" s="152">
        <v>0.5</v>
      </c>
      <c r="D33" s="152">
        <v>0.97</v>
      </c>
      <c r="E33" s="152">
        <v>19</v>
      </c>
      <c r="F33" s="152">
        <f>B33*C33*E33/1000*0.25</f>
        <v>8.5499999999999997E-4</v>
      </c>
      <c r="G33" s="152" t="s">
        <v>129</v>
      </c>
      <c r="H33" s="163"/>
      <c r="I33" s="165">
        <f>F33</f>
        <v>8.5499999999999997E-4</v>
      </c>
      <c r="L33" s="163"/>
      <c r="M33" s="165">
        <f>I33</f>
        <v>8.5499999999999997E-4</v>
      </c>
      <c r="O33" s="162"/>
      <c r="P33" s="165"/>
      <c r="Q33" s="159"/>
      <c r="S33" s="152">
        <v>80</v>
      </c>
      <c r="T33" s="152" t="s">
        <v>74</v>
      </c>
      <c r="U33" s="152" t="s">
        <v>126</v>
      </c>
      <c r="V33" s="161">
        <f>S33/(C33*E33)</f>
        <v>8.4210526315789469</v>
      </c>
      <c r="W33" s="152" t="str">
        <f>IF(H33="","",H33*$V33)</f>
        <v/>
      </c>
      <c r="X33" s="152">
        <f>IF(I33="","",I33*$V33)</f>
        <v>7.1999999999999989E-3</v>
      </c>
      <c r="Y33" s="152" t="str">
        <f>IF(J33="","",J33*$V33)</f>
        <v/>
      </c>
      <c r="Z33" s="152" t="str">
        <f>IF(K33="","",K33*$V33)</f>
        <v/>
      </c>
      <c r="AB33" s="152" t="s">
        <v>77</v>
      </c>
    </row>
    <row r="34" spans="1:39">
      <c r="A34" s="152" t="s">
        <v>128</v>
      </c>
      <c r="B34" s="152">
        <f>0.18/C34*4000/36</f>
        <v>40</v>
      </c>
      <c r="C34" s="152">
        <v>0.5</v>
      </c>
      <c r="D34" s="152">
        <v>0.97</v>
      </c>
      <c r="E34" s="152">
        <v>19</v>
      </c>
      <c r="F34" s="152">
        <f>B34*C34*E34/1000</f>
        <v>0.38</v>
      </c>
      <c r="G34" s="152" t="s">
        <v>127</v>
      </c>
      <c r="H34" s="163"/>
      <c r="I34" s="152">
        <f>F34</f>
        <v>0.38</v>
      </c>
      <c r="L34" s="163"/>
      <c r="M34" s="152">
        <v>0</v>
      </c>
      <c r="O34" s="162"/>
      <c r="P34" s="165"/>
      <c r="Q34" s="159"/>
      <c r="S34" s="152">
        <v>80</v>
      </c>
      <c r="T34" s="152" t="s">
        <v>74</v>
      </c>
      <c r="U34" s="152" t="s">
        <v>126</v>
      </c>
      <c r="V34" s="161">
        <f>S34/(C34*E34)</f>
        <v>8.4210526315789469</v>
      </c>
      <c r="W34" s="152" t="str">
        <f>IF(H34="","",H34*$V34)</f>
        <v/>
      </c>
      <c r="X34" s="152">
        <f>IF(I34="","",I34*$V34)</f>
        <v>3.1999999999999997</v>
      </c>
      <c r="Y34" s="152" t="str">
        <f>IF(J34="","",J34*$V34)</f>
        <v/>
      </c>
      <c r="Z34" s="152" t="str">
        <f>IF(K34="","",K34*$V34)</f>
        <v/>
      </c>
      <c r="AB34" s="152" t="s">
        <v>77</v>
      </c>
    </row>
    <row r="35" spans="1:39">
      <c r="A35" s="169" t="s">
        <v>125</v>
      </c>
      <c r="B35" s="169">
        <v>200</v>
      </c>
      <c r="C35" s="169">
        <v>0.7</v>
      </c>
      <c r="D35" s="169">
        <v>0.97</v>
      </c>
      <c r="E35" s="169">
        <v>15</v>
      </c>
      <c r="F35" s="165">
        <f>B35*C35*E35/1000</f>
        <v>2.1</v>
      </c>
      <c r="G35" s="170" t="s">
        <v>124</v>
      </c>
      <c r="H35" s="163"/>
      <c r="I35" s="152">
        <v>2</v>
      </c>
      <c r="L35" s="163"/>
      <c r="M35" s="152">
        <v>2</v>
      </c>
      <c r="O35" s="162"/>
      <c r="P35" s="165"/>
      <c r="Q35" s="159"/>
      <c r="S35" s="169">
        <v>60</v>
      </c>
      <c r="T35" s="169" t="s">
        <v>74</v>
      </c>
      <c r="U35" s="169" t="s">
        <v>115</v>
      </c>
      <c r="V35" s="161"/>
      <c r="W35" s="152" t="str">
        <f>IF(H35="","",H35*$V35)</f>
        <v/>
      </c>
      <c r="X35" s="152">
        <f>IF(I35="","",I35*$V35)</f>
        <v>0</v>
      </c>
      <c r="Y35" s="152" t="str">
        <f>IF(J35="","",J35*$V35)</f>
        <v/>
      </c>
      <c r="Z35" s="152" t="str">
        <f>IF(K35="","",K35*$V35)</f>
        <v/>
      </c>
      <c r="AB35" s="169" t="s">
        <v>114</v>
      </c>
    </row>
    <row r="36" spans="1:39">
      <c r="A36" s="166" t="s">
        <v>123</v>
      </c>
      <c r="H36" s="163"/>
      <c r="L36" s="163"/>
      <c r="O36" s="162"/>
      <c r="P36" s="165"/>
      <c r="Q36" s="159"/>
      <c r="V36" s="161"/>
      <c r="W36" s="152" t="str">
        <f>IF(H36="","",H36*$V36)</f>
        <v/>
      </c>
      <c r="X36" s="152" t="str">
        <f>IF(I36="","",I36*$V36)</f>
        <v/>
      </c>
      <c r="Y36" s="152" t="str">
        <f>IF(J36="","",J36*$V36)</f>
        <v/>
      </c>
      <c r="Z36" s="152" t="str">
        <f>IF(K36="","",K36*$V36)</f>
        <v/>
      </c>
    </row>
    <row r="37" spans="1:39">
      <c r="A37" s="152" t="s">
        <v>122</v>
      </c>
      <c r="B37" s="160">
        <f>80/C37</f>
        <v>160</v>
      </c>
      <c r="C37" s="152">
        <v>0.5</v>
      </c>
      <c r="D37" s="152">
        <v>0.9</v>
      </c>
      <c r="E37" s="152">
        <v>19.8</v>
      </c>
      <c r="F37" s="165">
        <f>B37*C37*E37/1000</f>
        <v>1.5840000000000001</v>
      </c>
      <c r="G37" s="152" t="s">
        <v>121</v>
      </c>
      <c r="H37" s="163"/>
      <c r="I37" s="165">
        <f>F37/4</f>
        <v>0.39600000000000002</v>
      </c>
      <c r="L37" s="163"/>
      <c r="M37" s="152">
        <v>0.02</v>
      </c>
      <c r="O37" s="162"/>
      <c r="P37" s="165">
        <f>I37/E37*Q37</f>
        <v>0.17544000000000001</v>
      </c>
      <c r="Q37" s="159">
        <f>C37*E37+(1-C37)*-2.256</f>
        <v>8.7720000000000002</v>
      </c>
      <c r="S37" s="152">
        <v>20</v>
      </c>
      <c r="T37" s="152" t="s">
        <v>74</v>
      </c>
      <c r="V37" s="161">
        <f>S37/(C37*E37)</f>
        <v>2.0202020202020203</v>
      </c>
      <c r="W37" s="152" t="str">
        <f>IF(H37="","",H37*$V37)</f>
        <v/>
      </c>
      <c r="X37" s="152">
        <f>IF(I37="","",I37*$V37)</f>
        <v>0.8</v>
      </c>
      <c r="Y37" s="152" t="str">
        <f>IF(J37="","",J37*$V37)</f>
        <v/>
      </c>
      <c r="Z37" s="152" t="str">
        <f>IF(K37="","",K37*$V37)</f>
        <v/>
      </c>
      <c r="AB37" s="152" t="s">
        <v>120</v>
      </c>
    </row>
    <row r="38" spans="1:39">
      <c r="A38" s="152" t="s">
        <v>119</v>
      </c>
      <c r="B38" s="160">
        <f>480/C38</f>
        <v>960</v>
      </c>
      <c r="C38" s="152">
        <v>0.5</v>
      </c>
      <c r="D38" s="152">
        <v>0.9</v>
      </c>
      <c r="E38" s="152">
        <v>19.8</v>
      </c>
      <c r="F38" s="165">
        <f>B38*C38*E38/1000</f>
        <v>9.5039999999999996</v>
      </c>
      <c r="H38" s="163"/>
      <c r="I38" s="165">
        <f>F38/2</f>
        <v>4.7519999999999998</v>
      </c>
      <c r="L38" s="163"/>
      <c r="M38" s="152">
        <v>5</v>
      </c>
      <c r="O38" s="162"/>
      <c r="P38" s="165">
        <f>I38/E38*Q38</f>
        <v>2.10528</v>
      </c>
      <c r="Q38" s="159">
        <f>C38*E38+(1-C38)*-2.256</f>
        <v>8.7720000000000002</v>
      </c>
      <c r="S38" s="152">
        <v>35</v>
      </c>
      <c r="T38" s="152" t="s">
        <v>74</v>
      </c>
      <c r="V38" s="161">
        <f>S38/(C38*E38)</f>
        <v>3.535353535353535</v>
      </c>
      <c r="W38" s="152" t="str">
        <f>IF(H38="","",H38*$V38)</f>
        <v/>
      </c>
      <c r="X38" s="152">
        <f>IF(I38="","",I38*$V38)</f>
        <v>16.799999999999997</v>
      </c>
      <c r="Y38" s="152" t="str">
        <f>IF(J38="","",J38*$V38)</f>
        <v/>
      </c>
      <c r="Z38" s="152" t="str">
        <f>IF(K38="","",K38*$V38)</f>
        <v/>
      </c>
      <c r="AB38" s="152" t="s">
        <v>118</v>
      </c>
    </row>
    <row r="39" spans="1:39">
      <c r="A39" s="169" t="s">
        <v>117</v>
      </c>
      <c r="B39" s="169">
        <v>700</v>
      </c>
      <c r="C39" s="169">
        <v>0.5</v>
      </c>
      <c r="D39" s="169">
        <v>0.97</v>
      </c>
      <c r="E39" s="169">
        <v>19</v>
      </c>
      <c r="F39" s="165">
        <f>B39*C39*E39/1000</f>
        <v>6.65</v>
      </c>
      <c r="G39" s="158" t="s">
        <v>116</v>
      </c>
      <c r="H39" s="163"/>
      <c r="I39" s="165">
        <v>7</v>
      </c>
      <c r="L39" s="163"/>
      <c r="M39" s="152">
        <v>7</v>
      </c>
      <c r="O39" s="162"/>
      <c r="P39" s="165">
        <f>I39/E39*Q39</f>
        <v>3.084421052631579</v>
      </c>
      <c r="Q39" s="159">
        <f>C39*E39+(1-C39)*-2.256</f>
        <v>8.3719999999999999</v>
      </c>
      <c r="S39" s="169">
        <v>60</v>
      </c>
      <c r="T39" s="169" t="s">
        <v>74</v>
      </c>
      <c r="U39" s="169" t="s">
        <v>115</v>
      </c>
      <c r="V39" s="161"/>
      <c r="W39" s="152" t="str">
        <f>IF(H39="","",H39*$V39)</f>
        <v/>
      </c>
      <c r="X39" s="152">
        <f>IF(I39="","",I39*$V39)</f>
        <v>0</v>
      </c>
      <c r="Y39" s="152" t="str">
        <f>IF(J39="","",J39*$V39)</f>
        <v/>
      </c>
      <c r="Z39" s="152" t="str">
        <f>IF(K39="","",K39*$V39)</f>
        <v/>
      </c>
      <c r="AB39" s="169" t="s">
        <v>114</v>
      </c>
    </row>
    <row r="40" spans="1:39">
      <c r="A40" s="152" t="s">
        <v>113</v>
      </c>
      <c r="B40" s="160">
        <f>1400/C40</f>
        <v>4666.666666666667</v>
      </c>
      <c r="C40" s="152">
        <v>0.3</v>
      </c>
      <c r="D40" s="152">
        <v>0.85</v>
      </c>
      <c r="E40" s="152">
        <v>17</v>
      </c>
      <c r="F40" s="165">
        <f>B40*C40*E40/1000</f>
        <v>23.8</v>
      </c>
      <c r="G40" s="158" t="s">
        <v>112</v>
      </c>
      <c r="H40" s="168">
        <v>5</v>
      </c>
      <c r="L40" s="163">
        <v>0.4</v>
      </c>
      <c r="O40" s="162"/>
      <c r="P40" s="165">
        <f>H40/E40*Q40</f>
        <v>1.0355294117647058</v>
      </c>
      <c r="Q40" s="159">
        <f>C40*E40+(1-C40)*-2.256</f>
        <v>3.5207999999999999</v>
      </c>
      <c r="S40" s="152">
        <v>-15</v>
      </c>
      <c r="T40" s="152" t="s">
        <v>111</v>
      </c>
      <c r="U40" s="152" t="s">
        <v>110</v>
      </c>
      <c r="V40" s="161">
        <f>S40/(C40*E40)</f>
        <v>-2.9411764705882355</v>
      </c>
      <c r="W40" s="152">
        <f>IF(H40="","",H40*$V40)</f>
        <v>-14.705882352941178</v>
      </c>
      <c r="X40" s="152" t="str">
        <f>IF(I40="","",I40*$V40)</f>
        <v/>
      </c>
      <c r="Y40" s="152" t="str">
        <f>IF(J40="","",J40*$V40)</f>
        <v/>
      </c>
      <c r="Z40" s="152" t="str">
        <f>IF(K40="","",K40*$V40)</f>
        <v/>
      </c>
      <c r="AB40" s="152" t="s">
        <v>109</v>
      </c>
    </row>
    <row r="41" spans="1:39">
      <c r="A41" s="152" t="s">
        <v>108</v>
      </c>
      <c r="B41" s="160">
        <f>5.5/C41</f>
        <v>6.875</v>
      </c>
      <c r="C41" s="152">
        <v>0.8</v>
      </c>
      <c r="D41" s="152">
        <v>0.85</v>
      </c>
      <c r="E41" s="152">
        <v>17</v>
      </c>
      <c r="F41" s="165">
        <f>B41*C41*E41/1000</f>
        <v>9.35E-2</v>
      </c>
      <c r="G41" s="152" t="s">
        <v>107</v>
      </c>
      <c r="H41" s="163"/>
      <c r="I41" s="165">
        <f>F41/4</f>
        <v>2.3375E-2</v>
      </c>
      <c r="L41" s="163"/>
      <c r="M41" s="152">
        <v>0</v>
      </c>
      <c r="O41" s="162"/>
      <c r="S41" s="152">
        <v>20</v>
      </c>
      <c r="T41" s="152" t="s">
        <v>74</v>
      </c>
      <c r="U41" s="152" t="s">
        <v>106</v>
      </c>
      <c r="V41" s="161">
        <f>S41/(C41*E41)</f>
        <v>1.4705882352941175</v>
      </c>
      <c r="W41" s="152" t="str">
        <f>IF(H41="","",H41*$V41)</f>
        <v/>
      </c>
      <c r="X41" s="152">
        <f>IF(I41="","",I41*$V41)</f>
        <v>3.4374999999999996E-2</v>
      </c>
      <c r="Y41" s="152" t="str">
        <f>IF(J41="","",J41*$V41)</f>
        <v/>
      </c>
      <c r="Z41" s="152" t="str">
        <f>IF(K41="","",K41*$V41)</f>
        <v/>
      </c>
      <c r="AB41" s="152" t="s">
        <v>105</v>
      </c>
    </row>
    <row r="42" spans="1:39">
      <c r="A42" s="166" t="s">
        <v>104</v>
      </c>
      <c r="H42" s="163"/>
      <c r="L42" s="163"/>
      <c r="O42" s="162"/>
      <c r="V42" s="161"/>
      <c r="W42" s="152" t="str">
        <f>IF(H42="","",H42*$V42)</f>
        <v/>
      </c>
      <c r="X42" s="152" t="str">
        <f>IF(I42="","",I42*$V42)</f>
        <v/>
      </c>
      <c r="Y42" s="152" t="str">
        <f>IF(J42="","",J42*$V42)</f>
        <v/>
      </c>
      <c r="Z42" s="152" t="str">
        <f>IF(K42="","",K42*$V42)</f>
        <v/>
      </c>
    </row>
    <row r="43" spans="1:39">
      <c r="A43" s="152" t="s">
        <v>103</v>
      </c>
      <c r="B43" s="152">
        <v>1500</v>
      </c>
      <c r="C43" s="152" t="s">
        <v>86</v>
      </c>
      <c r="E43" s="152">
        <v>16</v>
      </c>
      <c r="F43" s="152">
        <v>24</v>
      </c>
      <c r="G43" s="152" t="s">
        <v>102</v>
      </c>
      <c r="H43" s="163">
        <v>18</v>
      </c>
      <c r="L43" s="163">
        <v>0</v>
      </c>
      <c r="O43" s="162"/>
      <c r="S43" s="152">
        <v>40</v>
      </c>
      <c r="T43" s="152" t="s">
        <v>63</v>
      </c>
      <c r="U43" s="152" t="s">
        <v>101</v>
      </c>
      <c r="V43" s="161">
        <f>S43/E43</f>
        <v>2.5</v>
      </c>
      <c r="W43" s="152">
        <f>IF(H43="","",H43*$V43)</f>
        <v>45</v>
      </c>
      <c r="X43" s="152" t="str">
        <f>IF(I43="","",I43*$V43)</f>
        <v/>
      </c>
      <c r="Y43" s="152" t="str">
        <f>IF(J43="","",J43*$V43)</f>
        <v/>
      </c>
      <c r="Z43" s="152" t="str">
        <f>IF(K43="","",K43*$V43)</f>
        <v/>
      </c>
      <c r="AB43" s="152" t="s">
        <v>100</v>
      </c>
    </row>
    <row r="44" spans="1:39">
      <c r="A44" s="152" t="s">
        <v>99</v>
      </c>
      <c r="B44" s="152">
        <v>1250</v>
      </c>
      <c r="C44" s="152" t="s">
        <v>86</v>
      </c>
      <c r="E44" s="152">
        <v>16</v>
      </c>
      <c r="F44" s="152">
        <v>20</v>
      </c>
      <c r="G44" s="152" t="s">
        <v>98</v>
      </c>
      <c r="H44" s="163">
        <v>12</v>
      </c>
      <c r="L44" s="163">
        <v>0</v>
      </c>
      <c r="O44" s="162"/>
      <c r="S44" s="152">
        <f>150</f>
        <v>150</v>
      </c>
      <c r="T44" s="152" t="s">
        <v>63</v>
      </c>
      <c r="U44" s="152" t="s">
        <v>97</v>
      </c>
      <c r="V44" s="161">
        <f>S44/E44</f>
        <v>9.375</v>
      </c>
      <c r="W44" s="152">
        <f>IF(H44="","",H44*$V44)</f>
        <v>112.5</v>
      </c>
      <c r="X44" s="152" t="str">
        <f>IF(I44="","",I44*$V44)</f>
        <v/>
      </c>
      <c r="Y44" s="152" t="str">
        <f>IF(J44="","",J44*$V44)</f>
        <v/>
      </c>
      <c r="Z44" s="152" t="str">
        <f>IF(K44="","",K44*$V44)</f>
        <v/>
      </c>
      <c r="AB44" s="152" t="s">
        <v>96</v>
      </c>
      <c r="AF44" s="152" t="s">
        <v>95</v>
      </c>
    </row>
    <row r="45" spans="1:39">
      <c r="H45" s="163"/>
      <c r="L45" s="163"/>
      <c r="O45" s="162"/>
      <c r="V45" s="161"/>
      <c r="AB45" s="152" t="s">
        <v>94</v>
      </c>
      <c r="AK45" s="152" t="s">
        <v>93</v>
      </c>
      <c r="AM45" s="152" t="s">
        <v>92</v>
      </c>
    </row>
    <row r="46" spans="1:39">
      <c r="A46" s="152" t="s">
        <v>91</v>
      </c>
      <c r="B46" s="152">
        <v>1000</v>
      </c>
      <c r="C46" s="152" t="s">
        <v>86</v>
      </c>
      <c r="E46" s="152">
        <v>20</v>
      </c>
      <c r="F46" s="152">
        <v>2.5</v>
      </c>
      <c r="G46" s="152" t="s">
        <v>90</v>
      </c>
      <c r="H46" s="163">
        <v>1.5</v>
      </c>
      <c r="L46" s="163">
        <v>0</v>
      </c>
      <c r="O46" s="162"/>
      <c r="S46" s="152">
        <v>200</v>
      </c>
      <c r="T46" s="152" t="s">
        <v>89</v>
      </c>
      <c r="U46" s="152" t="s">
        <v>88</v>
      </c>
      <c r="V46" s="161">
        <f>S46/E46</f>
        <v>10</v>
      </c>
      <c r="W46" s="152">
        <f>IF(H46="","",H46*$V46)</f>
        <v>15</v>
      </c>
      <c r="X46" s="152" t="str">
        <f>IF(I46="","",I46*$V46)</f>
        <v/>
      </c>
      <c r="Y46" s="152" t="str">
        <f>IF(J46="","",J46*$V46)</f>
        <v/>
      </c>
      <c r="Z46" s="152" t="str">
        <f>IF(K46="","",K46*$V46)</f>
        <v/>
      </c>
      <c r="AB46" s="152" t="s">
        <v>77</v>
      </c>
    </row>
    <row r="47" spans="1:39">
      <c r="A47" s="152" t="s">
        <v>87</v>
      </c>
      <c r="B47" s="152">
        <v>8400</v>
      </c>
      <c r="C47" s="152" t="s">
        <v>86</v>
      </c>
      <c r="E47" s="152">
        <v>15</v>
      </c>
      <c r="F47" s="152">
        <v>30</v>
      </c>
      <c r="G47" s="152" t="s">
        <v>85</v>
      </c>
      <c r="H47" s="163">
        <v>12</v>
      </c>
      <c r="L47" s="163">
        <v>0</v>
      </c>
      <c r="O47" s="162"/>
      <c r="S47" s="152">
        <v>150</v>
      </c>
      <c r="T47" s="152" t="s">
        <v>84</v>
      </c>
      <c r="U47" s="167" t="s">
        <v>83</v>
      </c>
      <c r="V47" s="161">
        <f>S47/E47</f>
        <v>10</v>
      </c>
      <c r="W47" s="152">
        <f>IF(H47="","",H47*$V47)</f>
        <v>120</v>
      </c>
      <c r="X47" s="152" t="str">
        <f>IF(I47="","",I47*$V47)</f>
        <v/>
      </c>
      <c r="Y47" s="152" t="str">
        <f>IF(J47="","",J47*$V47)</f>
        <v/>
      </c>
      <c r="Z47" s="152" t="str">
        <f>IF(K47="","",K47*$V47)</f>
        <v/>
      </c>
      <c r="AB47" s="152" t="s">
        <v>82</v>
      </c>
    </row>
    <row r="48" spans="1:39">
      <c r="A48" s="166" t="s">
        <v>81</v>
      </c>
      <c r="H48" s="163"/>
      <c r="L48" s="163"/>
      <c r="O48" s="162"/>
      <c r="V48" s="161"/>
      <c r="W48" s="152" t="str">
        <f>IF(H48="","",H48*$V48)</f>
        <v/>
      </c>
      <c r="X48" s="152" t="str">
        <f>IF(I48="","",I48*$V48)</f>
        <v/>
      </c>
      <c r="Y48" s="152" t="str">
        <f>IF(J48="","",J48*$V48)</f>
        <v/>
      </c>
      <c r="Z48" s="152" t="str">
        <f>IF(K48="","",K48*$V48)</f>
        <v/>
      </c>
    </row>
    <row r="49" spans="1:28">
      <c r="A49" s="152" t="s">
        <v>80</v>
      </c>
      <c r="B49" s="152">
        <f>15*50000</f>
        <v>750000</v>
      </c>
      <c r="C49" s="152" t="s">
        <v>79</v>
      </c>
      <c r="E49" s="152">
        <v>17.5</v>
      </c>
      <c r="F49" s="165">
        <f>B49*E49/1000000</f>
        <v>13.125</v>
      </c>
      <c r="G49" s="158" t="s">
        <v>78</v>
      </c>
      <c r="H49" s="163">
        <v>3.5</v>
      </c>
      <c r="L49" s="163">
        <v>0.26</v>
      </c>
      <c r="O49" s="162"/>
      <c r="S49" s="152">
        <f>30+70</f>
        <v>100</v>
      </c>
      <c r="T49" s="152" t="s">
        <v>63</v>
      </c>
      <c r="U49" s="152" t="s">
        <v>76</v>
      </c>
      <c r="V49" s="161">
        <f>S49/E49</f>
        <v>5.7142857142857144</v>
      </c>
      <c r="W49" s="152">
        <f>IF(H49="","",H49*$V49)</f>
        <v>20</v>
      </c>
      <c r="X49" s="152" t="str">
        <f>IF(I49="","",I49*$V49)</f>
        <v/>
      </c>
      <c r="Y49" s="152" t="str">
        <f>IF(J49="","",J49*$V49)</f>
        <v/>
      </c>
      <c r="Z49" s="152" t="str">
        <f>IF(K49="","",K49*$V49)</f>
        <v/>
      </c>
      <c r="AB49" s="152" t="s">
        <v>77</v>
      </c>
    </row>
    <row r="50" spans="1:28">
      <c r="E50" s="152">
        <v>17.5</v>
      </c>
      <c r="F50" s="165"/>
      <c r="G50" s="158"/>
      <c r="H50" s="163"/>
      <c r="I50" s="152">
        <v>1.2</v>
      </c>
      <c r="L50" s="163"/>
      <c r="M50" s="152">
        <v>0.04</v>
      </c>
      <c r="O50" s="162"/>
      <c r="S50" s="152">
        <f>45+70</f>
        <v>115</v>
      </c>
      <c r="T50" s="152" t="s">
        <v>63</v>
      </c>
      <c r="U50" s="152" t="s">
        <v>76</v>
      </c>
      <c r="V50" s="161">
        <f>S50/E50</f>
        <v>6.5714285714285712</v>
      </c>
      <c r="W50" s="152" t="str">
        <f>IF(H50="","",H50*$V50)</f>
        <v/>
      </c>
      <c r="X50" s="152">
        <f>IF(I50="","",I50*$V50)</f>
        <v>7.8857142857142852</v>
      </c>
      <c r="Y50" s="152" t="str">
        <f>IF(J50="","",J50*$V50)</f>
        <v/>
      </c>
      <c r="Z50" s="152" t="str">
        <f>IF(K50="","",K50*$V50)</f>
        <v/>
      </c>
    </row>
    <row r="51" spans="1:28">
      <c r="A51" s="152" t="s">
        <v>75</v>
      </c>
      <c r="B51" s="160">
        <f>20/C51*10</f>
        <v>727.27272727272725</v>
      </c>
      <c r="C51" s="159">
        <v>0.27500000000000002</v>
      </c>
      <c r="D51" s="152">
        <v>0.95</v>
      </c>
      <c r="E51" s="152">
        <v>18.100000000000001</v>
      </c>
      <c r="F51" s="159">
        <f>B51*C51*E51/1000</f>
        <v>3.6200000000000006</v>
      </c>
      <c r="G51" s="158" t="s">
        <v>70</v>
      </c>
      <c r="H51" s="164"/>
      <c r="L51" s="163"/>
      <c r="O51" s="162"/>
      <c r="S51" s="152">
        <f>S10</f>
        <v>28</v>
      </c>
      <c r="T51" s="152" t="s">
        <v>74</v>
      </c>
      <c r="U51" s="152" t="s">
        <v>73</v>
      </c>
      <c r="V51" s="161">
        <f>S51/(C51*E51)</f>
        <v>5.6253139126067291</v>
      </c>
      <c r="W51" s="152" t="str">
        <f>IF(H51="","",H51*$V51)</f>
        <v/>
      </c>
      <c r="X51" s="152" t="str">
        <f>IF(I51="","",I51*$V51)</f>
        <v/>
      </c>
      <c r="Y51" s="152" t="str">
        <f>IF(J51="","",J51*$V51)</f>
        <v/>
      </c>
      <c r="Z51" s="152" t="str">
        <f>IF(K51="","",K51*$V51)</f>
        <v/>
      </c>
    </row>
    <row r="52" spans="1:28">
      <c r="A52" s="152" t="s">
        <v>72</v>
      </c>
      <c r="B52" s="160">
        <f>11.25/C52*10</f>
        <v>703.125</v>
      </c>
      <c r="C52" s="152">
        <v>0.16</v>
      </c>
      <c r="D52" s="152">
        <v>0.8</v>
      </c>
      <c r="E52" s="152">
        <v>20.100000000000001</v>
      </c>
      <c r="F52" s="159">
        <f>B52*C52*E52/1000</f>
        <v>2.26125</v>
      </c>
      <c r="G52" s="158" t="s">
        <v>70</v>
      </c>
      <c r="H52" s="164"/>
      <c r="L52" s="163"/>
      <c r="O52" s="162"/>
      <c r="S52" s="152">
        <f>(10*20+60)/2</f>
        <v>130</v>
      </c>
      <c r="T52" s="152" t="s">
        <v>63</v>
      </c>
      <c r="U52" s="152" t="s">
        <v>69</v>
      </c>
      <c r="V52" s="161">
        <f>S52/(C52*E52)</f>
        <v>40.4228855721393</v>
      </c>
      <c r="W52" s="152" t="str">
        <f>IF(H52="","",H52*$V52)</f>
        <v/>
      </c>
      <c r="X52" s="152" t="str">
        <f>IF(I52="","",I52*$V52)</f>
        <v/>
      </c>
      <c r="Y52" s="152" t="str">
        <f>IF(J52="","",J52*$V52)</f>
        <v/>
      </c>
      <c r="Z52" s="152" t="str">
        <f>IF(K52="","",K52*$V52)</f>
        <v/>
      </c>
    </row>
    <row r="53" spans="1:28">
      <c r="A53" s="152" t="s">
        <v>71</v>
      </c>
      <c r="B53" s="160">
        <f>14/C53*10</f>
        <v>400</v>
      </c>
      <c r="C53" s="152">
        <v>0.35</v>
      </c>
      <c r="D53" s="152">
        <v>0.85</v>
      </c>
      <c r="E53" s="152">
        <v>17</v>
      </c>
      <c r="F53" s="159">
        <f>B53*C53*E53/1000</f>
        <v>2.38</v>
      </c>
      <c r="G53" s="158" t="s">
        <v>70</v>
      </c>
      <c r="H53" s="164"/>
      <c r="L53" s="163"/>
      <c r="O53" s="162"/>
      <c r="S53" s="152">
        <v>44</v>
      </c>
      <c r="T53" s="152" t="s">
        <v>63</v>
      </c>
      <c r="U53" s="152" t="s">
        <v>69</v>
      </c>
      <c r="V53" s="161">
        <f>S53/(C53*E53)</f>
        <v>7.3949579831932786</v>
      </c>
      <c r="W53" s="152" t="str">
        <f>IF(H53="","",H53*$V53)</f>
        <v/>
      </c>
      <c r="X53" s="152" t="str">
        <f>IF(I53="","",I53*$V53)</f>
        <v/>
      </c>
      <c r="Y53" s="152" t="str">
        <f>IF(J53="","",J53*$V53)</f>
        <v/>
      </c>
      <c r="Z53" s="152" t="str">
        <f>IF(K53="","",K53*$V53)</f>
        <v/>
      </c>
    </row>
    <row r="54" spans="1:28">
      <c r="A54" s="152" t="s">
        <v>68</v>
      </c>
      <c r="B54" s="160">
        <f>53/E54*10/C54</f>
        <v>117.12707182320442</v>
      </c>
      <c r="C54" s="152">
        <v>0.25</v>
      </c>
      <c r="D54" s="152">
        <v>0.85</v>
      </c>
      <c r="E54" s="152">
        <v>18.100000000000001</v>
      </c>
      <c r="F54" s="159">
        <f>B54*C54*E54/1000</f>
        <v>0.53</v>
      </c>
      <c r="G54" s="158" t="s">
        <v>67</v>
      </c>
      <c r="H54" s="164"/>
      <c r="L54" s="163"/>
      <c r="O54" s="162"/>
      <c r="S54" s="160">
        <f>35/0.3</f>
        <v>116.66666666666667</v>
      </c>
      <c r="T54" s="152" t="s">
        <v>63</v>
      </c>
      <c r="U54" s="152" t="s">
        <v>66</v>
      </c>
      <c r="V54" s="161">
        <f>S54/(C54*E54)</f>
        <v>25.78268876611418</v>
      </c>
      <c r="W54" s="152" t="str">
        <f>IF(H54="","",H54*$V54)</f>
        <v/>
      </c>
      <c r="X54" s="152" t="str">
        <f>IF(I54="","",I54*$V54)</f>
        <v/>
      </c>
      <c r="Y54" s="152" t="str">
        <f>IF(J54="","",J54*$V54)</f>
        <v/>
      </c>
      <c r="Z54" s="152" t="str">
        <f>IF(K54="","",K54*$V54)</f>
        <v/>
      </c>
    </row>
    <row r="55" spans="1:28" ht="17" thickBot="1">
      <c r="A55" s="152" t="s">
        <v>65</v>
      </c>
      <c r="B55" s="160">
        <f>45/E55*10/C55</f>
        <v>66.17647058823529</v>
      </c>
      <c r="C55" s="152">
        <v>0.4</v>
      </c>
      <c r="D55" s="152">
        <v>0.94</v>
      </c>
      <c r="E55" s="152">
        <v>17</v>
      </c>
      <c r="F55" s="159">
        <f>B55*C55*E55/1000</f>
        <v>0.45</v>
      </c>
      <c r="G55" s="158" t="s">
        <v>64</v>
      </c>
      <c r="H55" s="157"/>
      <c r="I55" s="155"/>
      <c r="J55" s="155"/>
      <c r="K55" s="155"/>
      <c r="L55" s="156"/>
      <c r="M55" s="155"/>
      <c r="N55" s="155"/>
      <c r="O55" s="154"/>
      <c r="S55" s="152">
        <v>200</v>
      </c>
      <c r="T55" s="152" t="s">
        <v>63</v>
      </c>
      <c r="U55" s="152" t="s">
        <v>62</v>
      </c>
      <c r="V55" s="153">
        <f>S55/(C55*E55)</f>
        <v>29.411764705882351</v>
      </c>
      <c r="W55" s="152" t="str">
        <f>IF(H55="","",H55*$V55)</f>
        <v/>
      </c>
      <c r="X55" s="152" t="str">
        <f>IF(I55="","",I55*$V55)</f>
        <v/>
      </c>
      <c r="Y55" s="152" t="str">
        <f>IF(J55="","",J55*$V55)</f>
        <v/>
      </c>
      <c r="Z55" s="152" t="str">
        <f>IF(K55="","",K55*$V55)</f>
        <v/>
      </c>
    </row>
    <row r="56" spans="1:28">
      <c r="O56" s="152">
        <f>SUM(O5:O55)</f>
        <v>21.6</v>
      </c>
      <c r="P56" s="152" t="s">
        <v>61</v>
      </c>
    </row>
    <row r="57" spans="1:28">
      <c r="A57" s="152" t="s">
        <v>60</v>
      </c>
      <c r="O57" s="152">
        <v>65</v>
      </c>
      <c r="P57" s="152" t="s">
        <v>59</v>
      </c>
    </row>
    <row r="58" spans="1:28">
      <c r="O58" s="152">
        <f>O56/O57</f>
        <v>0.3323076923076923</v>
      </c>
      <c r="P58" s="152" t="s">
        <v>58</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zoomScale="115" zoomScaleNormal="115" zoomScalePageLayoutView="115" workbookViewId="0">
      <selection activeCell="V50" sqref="V50"/>
    </sheetView>
  </sheetViews>
  <sheetFormatPr baseColWidth="10" defaultColWidth="7" defaultRowHeight="16"/>
  <cols>
    <col min="1" max="1" width="5.5" style="96" customWidth="1"/>
    <col min="2" max="2" width="5" style="96" customWidth="1"/>
    <col min="3" max="5" width="7" style="96"/>
    <col min="6" max="6" width="10.83203125" style="96" bestFit="1" customWidth="1"/>
    <col min="7" max="7" width="7" style="96"/>
    <col min="8" max="8" width="8.83203125" style="96" bestFit="1" customWidth="1"/>
    <col min="9" max="16384" width="7" style="96"/>
  </cols>
  <sheetData>
    <row r="1" spans="2:26" ht="17" thickBot="1"/>
    <row r="2" spans="2:26" s="24" customFormat="1">
      <c r="B2" s="99"/>
      <c r="C2" s="100" t="s">
        <v>24</v>
      </c>
      <c r="D2" s="100" t="s">
        <v>47</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3" customFormat="1">
      <c r="A69"/>
      <c r="B69" s="97"/>
      <c r="C69" s="106"/>
      <c r="D69" s="106"/>
      <c r="E69" s="106"/>
      <c r="F69" s="106"/>
      <c r="G69" s="106"/>
      <c r="H69" s="106"/>
      <c r="I69" s="106"/>
      <c r="J69" s="106"/>
      <c r="K69" s="106"/>
      <c r="L69" s="106"/>
      <c r="M69" s="106"/>
      <c r="N69" s="106"/>
      <c r="O69" s="106"/>
      <c r="P69" s="106"/>
      <c r="Q69" s="106"/>
      <c r="R69" s="106"/>
      <c r="S69" s="106"/>
      <c r="T69" s="106"/>
      <c r="U69" s="106"/>
      <c r="V69" s="112"/>
      <c r="W69" s="112"/>
      <c r="X69" s="112"/>
      <c r="Y69" s="112"/>
      <c r="Z69" s="112"/>
    </row>
    <row r="70" spans="1:26" s="113" customFormat="1">
      <c r="A70"/>
      <c r="B70" s="97"/>
      <c r="C70" s="106"/>
      <c r="D70" s="106"/>
      <c r="E70" s="106"/>
      <c r="F70" s="106"/>
      <c r="G70" s="106"/>
      <c r="H70" s="106"/>
      <c r="I70" s="106"/>
      <c r="J70" s="106"/>
      <c r="K70" s="106"/>
      <c r="L70" s="106"/>
      <c r="M70" s="106"/>
      <c r="N70" s="106"/>
      <c r="O70" s="106"/>
      <c r="P70" s="106"/>
      <c r="Q70" s="106"/>
      <c r="R70" s="106"/>
      <c r="S70" s="106"/>
      <c r="T70" s="106"/>
      <c r="U70" s="106"/>
      <c r="V70" s="112"/>
      <c r="W70" s="112"/>
      <c r="X70" s="112"/>
      <c r="Y70" s="112"/>
      <c r="Z70" s="112"/>
    </row>
    <row r="71" spans="1:26" s="113" customFormat="1">
      <c r="A71"/>
      <c r="B71" s="97"/>
      <c r="C71" s="106"/>
      <c r="D71" s="106"/>
      <c r="E71" s="106"/>
      <c r="F71" s="106"/>
      <c r="G71" s="106"/>
      <c r="H71" s="106"/>
      <c r="I71" s="106"/>
      <c r="J71" s="106"/>
      <c r="K71" s="106"/>
      <c r="L71" s="106"/>
      <c r="M71" s="106"/>
      <c r="N71" s="106"/>
      <c r="O71" s="106"/>
      <c r="P71" s="106"/>
      <c r="Q71" s="106"/>
      <c r="R71" s="106"/>
      <c r="S71" s="106"/>
      <c r="T71" s="106"/>
      <c r="U71" s="106"/>
      <c r="V71" s="112"/>
      <c r="W71" s="112"/>
      <c r="X71" s="112"/>
      <c r="Y71" s="112"/>
      <c r="Z71" s="112"/>
    </row>
    <row r="72" spans="1:26" s="113" customFormat="1">
      <c r="A72"/>
      <c r="B72" s="97"/>
      <c r="C72" s="106"/>
      <c r="D72" s="106"/>
      <c r="E72" s="106"/>
      <c r="F72" s="106"/>
      <c r="G72" s="106"/>
      <c r="H72" s="106"/>
      <c r="I72" s="106"/>
      <c r="J72" s="106"/>
      <c r="K72" s="106"/>
      <c r="L72" s="106"/>
      <c r="M72" s="106"/>
      <c r="N72" s="106"/>
      <c r="O72" s="106"/>
      <c r="P72" s="106"/>
      <c r="Q72" s="106"/>
      <c r="R72" s="106"/>
      <c r="S72" s="106"/>
      <c r="T72" s="106"/>
      <c r="U72" s="106"/>
      <c r="V72" s="112"/>
      <c r="W72" s="112"/>
      <c r="X72" s="112"/>
      <c r="Y72" s="112"/>
      <c r="Z72" s="112"/>
    </row>
    <row r="73" spans="1:26" s="113" customFormat="1">
      <c r="A73"/>
      <c r="B73" s="97"/>
      <c r="C73" s="106"/>
      <c r="D73" s="106"/>
      <c r="E73" s="106"/>
      <c r="F73" s="106"/>
      <c r="G73" s="106"/>
      <c r="H73" s="106"/>
      <c r="I73" s="106"/>
      <c r="J73" s="106"/>
      <c r="K73" s="106"/>
      <c r="L73" s="106"/>
      <c r="M73" s="106"/>
      <c r="N73" s="106"/>
      <c r="O73" s="106"/>
      <c r="P73" s="106"/>
      <c r="Q73" s="106"/>
      <c r="R73" s="106"/>
      <c r="S73" s="106"/>
      <c r="T73" s="106"/>
      <c r="U73" s="106"/>
      <c r="V73" s="112"/>
      <c r="W73" s="112"/>
      <c r="X73" s="112"/>
      <c r="Y73" s="112"/>
      <c r="Z73" s="112"/>
    </row>
    <row r="74" spans="1:26" s="113" customFormat="1">
      <c r="A74"/>
      <c r="B74" s="97"/>
      <c r="C74" s="106"/>
      <c r="D74" s="106"/>
      <c r="E74" s="106"/>
      <c r="F74" s="106"/>
      <c r="G74" s="106"/>
      <c r="H74" s="106"/>
      <c r="I74" s="106"/>
      <c r="J74" s="106"/>
      <c r="K74" s="106"/>
      <c r="L74" s="106"/>
      <c r="M74" s="106"/>
      <c r="N74" s="106"/>
      <c r="O74" s="106"/>
      <c r="P74" s="106"/>
      <c r="Q74" s="106"/>
      <c r="R74" s="106"/>
      <c r="S74" s="106"/>
      <c r="T74" s="106"/>
      <c r="U74" s="106"/>
      <c r="V74" s="112"/>
      <c r="W74" s="112"/>
      <c r="X74" s="112"/>
      <c r="Y74" s="112"/>
      <c r="Z74" s="112"/>
    </row>
    <row r="75" spans="1:26" s="113" customFormat="1">
      <c r="A75"/>
      <c r="B75" s="97"/>
      <c r="C75" s="106"/>
      <c r="D75" s="106"/>
      <c r="E75" s="106"/>
      <c r="F75" s="106"/>
      <c r="G75" s="106"/>
      <c r="H75" s="106"/>
      <c r="I75" s="106"/>
      <c r="J75" s="106"/>
      <c r="K75" s="106"/>
      <c r="L75" s="106"/>
      <c r="M75" s="106"/>
      <c r="N75" s="106"/>
      <c r="O75" s="106"/>
      <c r="P75" s="106"/>
      <c r="Q75" s="106"/>
      <c r="R75" s="106"/>
      <c r="S75" s="106"/>
      <c r="T75" s="106"/>
      <c r="U75" s="106"/>
      <c r="V75" s="112"/>
      <c r="W75" s="112"/>
      <c r="X75" s="112"/>
      <c r="Y75" s="112"/>
      <c r="Z75" s="112"/>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3"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3"/>
      <c r="W456" s="123"/>
      <c r="X456" s="123"/>
      <c r="Y456" s="123"/>
      <c r="Z456" s="123"/>
      <c r="AA456" s="123"/>
      <c r="AB456" s="123"/>
      <c r="AC456" s="123"/>
      <c r="AD456" s="123"/>
      <c r="AE456" s="123"/>
      <c r="AF456" s="123"/>
      <c r="AG456" s="123"/>
      <c r="AH456" s="123"/>
      <c r="AI456" s="123"/>
    </row>
    <row r="457" spans="1:35" s="133"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4"/>
      <c r="W457" s="134"/>
      <c r="X457" s="134"/>
      <c r="Y457" s="134"/>
      <c r="Z457" s="134"/>
      <c r="AA457" s="134"/>
      <c r="AB457" s="134"/>
      <c r="AC457" s="134"/>
      <c r="AD457" s="134"/>
      <c r="AE457" s="134"/>
      <c r="AF457" s="134"/>
      <c r="AG457" s="134"/>
      <c r="AH457" s="134"/>
      <c r="AI457" s="134"/>
    </row>
    <row r="458" spans="1:35" s="133"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5"/>
      <c r="AA458" s="135"/>
      <c r="AB458" s="135"/>
      <c r="AC458" s="135"/>
      <c r="AD458" s="135"/>
      <c r="AE458" s="135"/>
      <c r="AF458" s="135"/>
      <c r="AG458" s="135"/>
      <c r="AH458" s="135"/>
      <c r="AI458" s="135"/>
    </row>
    <row r="459" spans="1:35" s="133"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5"/>
      <c r="AA459" s="135"/>
      <c r="AB459" s="135"/>
      <c r="AC459" s="135"/>
      <c r="AD459" s="135"/>
      <c r="AE459" s="135"/>
      <c r="AF459" s="135"/>
      <c r="AG459" s="135"/>
      <c r="AH459" s="135"/>
      <c r="AI459" s="135"/>
    </row>
    <row r="460" spans="1:35" s="133"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5"/>
      <c r="AA460" s="135"/>
      <c r="AB460" s="135"/>
      <c r="AC460" s="135"/>
      <c r="AD460" s="135"/>
      <c r="AE460" s="135"/>
      <c r="AF460" s="135"/>
      <c r="AG460" s="135"/>
      <c r="AH460" s="135"/>
      <c r="AI460" s="135"/>
    </row>
    <row r="461" spans="1:35" s="133"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5"/>
      <c r="AA461" s="135"/>
      <c r="AB461" s="135"/>
      <c r="AC461" s="135"/>
      <c r="AD461" s="135"/>
      <c r="AE461" s="135"/>
      <c r="AF461" s="135"/>
      <c r="AG461" s="135"/>
      <c r="AH461" s="135"/>
      <c r="AI461" s="135"/>
    </row>
    <row r="462" spans="1:35" s="133"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5"/>
      <c r="AA462" s="135"/>
      <c r="AB462" s="135"/>
      <c r="AC462" s="135"/>
      <c r="AD462" s="135"/>
      <c r="AE462" s="135"/>
      <c r="AF462" s="135"/>
      <c r="AG462" s="135"/>
      <c r="AH462" s="135"/>
      <c r="AI462" s="135"/>
    </row>
    <row r="463" spans="1:35" s="133"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5"/>
      <c r="AA463" s="135"/>
      <c r="AB463" s="135"/>
      <c r="AC463" s="135"/>
      <c r="AD463" s="135"/>
      <c r="AE463" s="135"/>
      <c r="AF463" s="135"/>
      <c r="AG463" s="135"/>
      <c r="AH463" s="135"/>
      <c r="AI463" s="135"/>
    </row>
    <row r="464" spans="1:35" s="133"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5"/>
      <c r="AA464" s="135"/>
      <c r="AB464" s="135"/>
      <c r="AC464" s="135"/>
      <c r="AD464" s="135"/>
      <c r="AE464" s="135"/>
      <c r="AF464" s="135"/>
      <c r="AG464" s="135"/>
      <c r="AH464" s="135"/>
      <c r="AI464" s="135"/>
    </row>
    <row r="465" spans="1:35" s="133"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5"/>
      <c r="AA465" s="135"/>
      <c r="AB465" s="135"/>
      <c r="AC465" s="135"/>
      <c r="AD465" s="135"/>
      <c r="AE465" s="135"/>
      <c r="AF465" s="135"/>
      <c r="AG465" s="135"/>
      <c r="AH465" s="135"/>
      <c r="AI465" s="135"/>
    </row>
    <row r="466" spans="1:35" s="133"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5"/>
      <c r="AA466" s="135"/>
      <c r="AB466" s="135"/>
      <c r="AC466" s="135"/>
      <c r="AD466" s="135"/>
      <c r="AE466" s="135"/>
      <c r="AF466" s="135"/>
      <c r="AG466" s="135"/>
      <c r="AH466" s="135"/>
      <c r="AI466" s="135"/>
    </row>
    <row r="467" spans="1:35" s="133"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5"/>
      <c r="AA467" s="135"/>
      <c r="AB467" s="135"/>
      <c r="AC467" s="135"/>
      <c r="AD467" s="135"/>
      <c r="AE467" s="135"/>
      <c r="AF467" s="135"/>
      <c r="AG467" s="135"/>
      <c r="AH467" s="135"/>
      <c r="AI467" s="135"/>
    </row>
    <row r="468" spans="1:35" s="133"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5"/>
      <c r="AA468" s="135"/>
      <c r="AB468" s="135"/>
      <c r="AC468" s="135"/>
      <c r="AD468" s="135"/>
      <c r="AE468" s="135"/>
      <c r="AF468" s="135"/>
      <c r="AG468" s="135"/>
      <c r="AH468" s="135"/>
      <c r="AI468" s="135"/>
    </row>
    <row r="469" spans="1:35" s="133"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5"/>
      <c r="AA469" s="135"/>
      <c r="AB469" s="135"/>
      <c r="AC469" s="135"/>
      <c r="AD469" s="135"/>
      <c r="AE469" s="135"/>
      <c r="AF469" s="135"/>
      <c r="AG469" s="135"/>
      <c r="AH469" s="135"/>
      <c r="AI469" s="135"/>
    </row>
    <row r="470" spans="1:35" s="133"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5"/>
      <c r="AA470" s="135"/>
      <c r="AB470" s="135"/>
      <c r="AC470" s="135"/>
      <c r="AD470" s="135"/>
      <c r="AE470" s="135"/>
      <c r="AF470" s="135"/>
      <c r="AG470" s="135"/>
      <c r="AH470" s="135"/>
      <c r="AI470" s="135"/>
    </row>
    <row r="471" spans="1:35" s="133"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5"/>
      <c r="AA471" s="135"/>
      <c r="AB471" s="135"/>
      <c r="AC471" s="135"/>
      <c r="AD471" s="135"/>
      <c r="AE471" s="135"/>
      <c r="AF471" s="135"/>
      <c r="AG471" s="135"/>
      <c r="AH471" s="135"/>
      <c r="AI471" s="135"/>
    </row>
    <row r="472" spans="1:35" s="133"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5"/>
      <c r="AA472" s="135"/>
      <c r="AB472" s="135"/>
      <c r="AC472" s="135"/>
      <c r="AD472" s="135"/>
      <c r="AE472" s="135"/>
      <c r="AF472" s="135"/>
      <c r="AG472" s="135"/>
      <c r="AH472" s="135"/>
      <c r="AI472" s="135"/>
    </row>
    <row r="473" spans="1:35" s="133"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5"/>
      <c r="AA473" s="135"/>
      <c r="AB473" s="135"/>
      <c r="AC473" s="135"/>
      <c r="AD473" s="135"/>
      <c r="AE473" s="135"/>
      <c r="AF473" s="135"/>
      <c r="AG473" s="135"/>
      <c r="AH473" s="135"/>
      <c r="AI473" s="135"/>
    </row>
    <row r="474" spans="1:35" s="133"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5"/>
      <c r="AA474" s="135"/>
      <c r="AB474" s="135"/>
      <c r="AC474" s="135"/>
      <c r="AD474" s="135"/>
      <c r="AE474" s="135"/>
      <c r="AF474" s="135"/>
      <c r="AG474" s="135"/>
      <c r="AH474" s="135"/>
      <c r="AI474" s="135"/>
    </row>
    <row r="475" spans="1:35" s="133"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5"/>
      <c r="AA475" s="135"/>
      <c r="AB475" s="135"/>
      <c r="AC475" s="135"/>
      <c r="AD475" s="135"/>
      <c r="AE475" s="135"/>
      <c r="AF475" s="135"/>
      <c r="AG475" s="135"/>
      <c r="AH475" s="135"/>
      <c r="AI475" s="135"/>
    </row>
    <row r="476" spans="1:35" s="133"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5"/>
      <c r="AA476" s="135"/>
      <c r="AB476" s="135"/>
      <c r="AC476" s="135"/>
      <c r="AD476" s="135"/>
      <c r="AE476" s="135"/>
      <c r="AF476" s="135"/>
      <c r="AG476" s="135"/>
      <c r="AH476" s="135"/>
      <c r="AI476" s="135"/>
    </row>
    <row r="477" spans="1:35" s="133"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5"/>
      <c r="AA477" s="135"/>
      <c r="AB477" s="135"/>
      <c r="AC477" s="135"/>
      <c r="AD477" s="135"/>
      <c r="AE477" s="135"/>
      <c r="AF477" s="135"/>
      <c r="AG477" s="135"/>
      <c r="AH477" s="135"/>
      <c r="AI477" s="135"/>
    </row>
    <row r="478" spans="1:35" s="133"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5"/>
      <c r="AA478" s="135"/>
      <c r="AB478" s="135"/>
      <c r="AC478" s="135"/>
      <c r="AD478" s="135"/>
      <c r="AE478" s="135"/>
      <c r="AF478" s="135"/>
      <c r="AG478" s="135"/>
      <c r="AH478" s="135"/>
      <c r="AI478" s="135"/>
    </row>
    <row r="479" spans="1:35" s="133"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5"/>
      <c r="AA479" s="135"/>
      <c r="AB479" s="135"/>
      <c r="AC479" s="135"/>
      <c r="AD479" s="135"/>
      <c r="AE479" s="135"/>
      <c r="AF479" s="135"/>
      <c r="AG479" s="135"/>
      <c r="AH479" s="135"/>
      <c r="AI479" s="135"/>
    </row>
    <row r="480" spans="1:35" s="133"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5"/>
      <c r="AA480" s="135"/>
      <c r="AB480" s="135"/>
      <c r="AC480" s="135"/>
      <c r="AD480" s="135"/>
      <c r="AE480" s="135"/>
      <c r="AF480" s="135"/>
      <c r="AG480" s="135"/>
      <c r="AH480" s="135"/>
      <c r="AI480" s="135"/>
    </row>
    <row r="481" spans="1:35" s="133"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5"/>
      <c r="AA481" s="135"/>
      <c r="AB481" s="135"/>
      <c r="AC481" s="135"/>
      <c r="AD481" s="135"/>
      <c r="AE481" s="135"/>
      <c r="AF481" s="135"/>
      <c r="AG481" s="135"/>
      <c r="AH481" s="135"/>
      <c r="AI481" s="135"/>
    </row>
    <row r="482" spans="1:35" s="133"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5"/>
      <c r="AA482" s="135"/>
      <c r="AB482" s="135"/>
      <c r="AC482" s="135"/>
      <c r="AD482" s="135"/>
      <c r="AE482" s="135"/>
      <c r="AF482" s="135"/>
      <c r="AG482" s="135"/>
      <c r="AH482" s="135"/>
      <c r="AI482" s="135"/>
    </row>
    <row r="483" spans="1:35" s="133"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5"/>
      <c r="W483" s="135"/>
      <c r="X483" s="135"/>
      <c r="Y483" s="135"/>
      <c r="Z483" s="135"/>
      <c r="AA483" s="135"/>
      <c r="AB483" s="135"/>
      <c r="AC483" s="135"/>
      <c r="AD483" s="135"/>
      <c r="AE483" s="135"/>
      <c r="AF483" s="135"/>
      <c r="AG483" s="135"/>
      <c r="AH483" s="135"/>
      <c r="AI483" s="135"/>
    </row>
    <row r="484" spans="1:35" s="133"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5"/>
      <c r="W484" s="135"/>
      <c r="X484" s="135"/>
      <c r="Y484" s="135"/>
      <c r="Z484" s="135"/>
      <c r="AA484" s="135"/>
      <c r="AB484" s="135"/>
      <c r="AC484" s="135"/>
      <c r="AD484" s="135"/>
      <c r="AE484" s="135"/>
      <c r="AF484" s="135"/>
      <c r="AG484" s="135"/>
      <c r="AH484" s="135"/>
      <c r="AI484" s="135"/>
    </row>
    <row r="485" spans="1:35" s="133"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5"/>
      <c r="W485" s="135"/>
      <c r="X485" s="135"/>
      <c r="Y485" s="135"/>
      <c r="Z485" s="135"/>
      <c r="AA485" s="135"/>
      <c r="AB485" s="135"/>
      <c r="AC485" s="135"/>
      <c r="AD485" s="135"/>
      <c r="AE485" s="135"/>
      <c r="AF485" s="135"/>
      <c r="AG485" s="135"/>
      <c r="AH485" s="135"/>
      <c r="AI485" s="135"/>
    </row>
    <row r="486" spans="1:35" s="133"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5"/>
      <c r="W486" s="135"/>
      <c r="X486" s="135"/>
      <c r="Y486" s="135"/>
      <c r="Z486" s="135"/>
      <c r="AA486" s="135"/>
      <c r="AB486" s="135"/>
      <c r="AC486" s="135"/>
      <c r="AD486" s="135"/>
      <c r="AE486" s="135"/>
      <c r="AF486" s="135"/>
      <c r="AG486" s="135"/>
      <c r="AH486" s="135"/>
      <c r="AI486" s="135"/>
    </row>
    <row r="487" spans="1:35" s="133"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5"/>
      <c r="W487" s="135"/>
      <c r="X487" s="135"/>
      <c r="Y487" s="135"/>
      <c r="Z487" s="135"/>
      <c r="AA487" s="135"/>
      <c r="AB487" s="135"/>
      <c r="AC487" s="135"/>
      <c r="AD487" s="135"/>
      <c r="AE487" s="135"/>
      <c r="AF487" s="135"/>
      <c r="AG487" s="135"/>
      <c r="AH487" s="135"/>
      <c r="AI487" s="135"/>
    </row>
    <row r="488" spans="1:35" s="133"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5"/>
      <c r="W488" s="135"/>
      <c r="X488" s="135"/>
      <c r="Y488" s="135"/>
      <c r="Z488" s="135"/>
      <c r="AA488" s="135"/>
      <c r="AB488" s="135"/>
      <c r="AC488" s="135"/>
      <c r="AD488" s="135"/>
      <c r="AE488" s="135"/>
      <c r="AF488" s="135"/>
      <c r="AG488" s="135"/>
      <c r="AH488" s="135"/>
      <c r="AI488" s="135"/>
    </row>
    <row r="489" spans="1:35" s="133"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5"/>
      <c r="W489" s="135"/>
      <c r="X489" s="135"/>
      <c r="Y489" s="135"/>
      <c r="Z489" s="135"/>
      <c r="AA489" s="135"/>
      <c r="AB489" s="135"/>
      <c r="AC489" s="135"/>
      <c r="AD489" s="135"/>
      <c r="AE489" s="135"/>
      <c r="AF489" s="135"/>
      <c r="AG489" s="135"/>
      <c r="AH489" s="135"/>
      <c r="AI489" s="135"/>
    </row>
    <row r="490" spans="1:35" s="133"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5"/>
      <c r="W490" s="135"/>
      <c r="X490" s="135"/>
      <c r="Y490" s="135"/>
      <c r="Z490" s="135"/>
      <c r="AA490" s="135"/>
      <c r="AB490" s="135"/>
      <c r="AC490" s="135"/>
      <c r="AD490" s="135"/>
      <c r="AE490" s="135"/>
      <c r="AF490" s="135"/>
      <c r="AG490" s="135"/>
      <c r="AH490" s="135"/>
      <c r="AI490" s="135"/>
    </row>
    <row r="491" spans="1:35" s="133"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5"/>
      <c r="W491" s="135"/>
      <c r="X491" s="135"/>
      <c r="Y491" s="135"/>
      <c r="Z491" s="135"/>
      <c r="AA491" s="135"/>
      <c r="AB491" s="135"/>
      <c r="AC491" s="135"/>
      <c r="AD491" s="135"/>
      <c r="AE491" s="135"/>
      <c r="AF491" s="135"/>
      <c r="AG491" s="135"/>
      <c r="AH491" s="135"/>
      <c r="AI491" s="135"/>
    </row>
    <row r="492" spans="1:35" s="133"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5"/>
      <c r="W492" s="135"/>
      <c r="X492" s="135"/>
      <c r="Y492" s="135"/>
      <c r="Z492" s="135"/>
      <c r="AA492" s="135"/>
      <c r="AB492" s="135"/>
      <c r="AC492" s="135"/>
      <c r="AD492" s="135"/>
      <c r="AE492" s="135"/>
      <c r="AF492" s="135"/>
      <c r="AG492" s="135"/>
      <c r="AH492" s="135"/>
      <c r="AI492" s="135"/>
    </row>
    <row r="493" spans="1:35" s="133"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5"/>
      <c r="W493" s="135"/>
      <c r="X493" s="135"/>
      <c r="Y493" s="135"/>
      <c r="Z493" s="135"/>
      <c r="AA493" s="135"/>
      <c r="AB493" s="135"/>
      <c r="AC493" s="135"/>
      <c r="AD493" s="135"/>
      <c r="AE493" s="135"/>
      <c r="AF493" s="135"/>
      <c r="AG493" s="135"/>
      <c r="AH493" s="135"/>
      <c r="AI493" s="135"/>
    </row>
    <row r="494" spans="1:35" s="133"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5"/>
      <c r="W494" s="135"/>
      <c r="X494" s="135"/>
      <c r="Y494" s="135"/>
      <c r="Z494" s="135"/>
      <c r="AA494" s="135"/>
      <c r="AB494" s="135"/>
      <c r="AC494" s="135"/>
      <c r="AD494" s="135"/>
      <c r="AE494" s="135"/>
      <c r="AF494" s="135"/>
      <c r="AG494" s="135"/>
      <c r="AH494" s="135"/>
      <c r="AI494" s="135"/>
    </row>
    <row r="495" spans="1:35" s="133"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5"/>
      <c r="W495" s="135"/>
      <c r="X495" s="135"/>
      <c r="Y495" s="135"/>
      <c r="Z495" s="135"/>
      <c r="AA495" s="135"/>
      <c r="AB495" s="135"/>
      <c r="AC495" s="135"/>
      <c r="AD495" s="135"/>
      <c r="AE495" s="135"/>
      <c r="AF495" s="135"/>
      <c r="AG495" s="135"/>
      <c r="AH495" s="135"/>
      <c r="AI495" s="135"/>
    </row>
    <row r="496" spans="1:35" s="133"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5"/>
      <c r="W496" s="135"/>
      <c r="X496" s="135"/>
      <c r="Y496" s="135"/>
      <c r="Z496" s="135"/>
      <c r="AA496" s="135"/>
      <c r="AB496" s="135"/>
      <c r="AC496" s="135"/>
      <c r="AD496" s="135"/>
      <c r="AE496" s="135"/>
      <c r="AF496" s="135"/>
      <c r="AG496" s="135"/>
      <c r="AH496" s="135"/>
      <c r="AI496" s="135"/>
    </row>
    <row r="497" spans="1:35" s="133"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5"/>
      <c r="W497" s="135"/>
      <c r="X497" s="135"/>
      <c r="Y497" s="135"/>
      <c r="Z497" s="135"/>
      <c r="AA497" s="135"/>
      <c r="AB497" s="135"/>
      <c r="AC497" s="135"/>
      <c r="AD497" s="135"/>
      <c r="AE497" s="135"/>
      <c r="AF497" s="135"/>
      <c r="AG497" s="135"/>
      <c r="AH497" s="135"/>
      <c r="AI497" s="135"/>
    </row>
    <row r="498" spans="1:35" s="133"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5"/>
      <c r="W498" s="135"/>
      <c r="X498" s="135"/>
      <c r="Y498" s="135"/>
      <c r="Z498" s="135"/>
      <c r="AA498" s="135"/>
      <c r="AB498" s="135"/>
      <c r="AC498" s="135"/>
      <c r="AD498" s="135"/>
      <c r="AE498" s="135"/>
      <c r="AF498" s="135"/>
      <c r="AG498" s="135"/>
      <c r="AH498" s="135"/>
      <c r="AI498" s="135"/>
    </row>
    <row r="499" spans="1:35" s="133"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5"/>
      <c r="W499" s="135"/>
      <c r="X499" s="135"/>
      <c r="Y499" s="135"/>
      <c r="Z499" s="135"/>
      <c r="AA499" s="135"/>
      <c r="AB499" s="135"/>
      <c r="AC499" s="135"/>
      <c r="AD499" s="135"/>
      <c r="AE499" s="135"/>
      <c r="AF499" s="135"/>
      <c r="AG499" s="135"/>
      <c r="AH499" s="135"/>
      <c r="AI499" s="135"/>
    </row>
    <row r="500" spans="1:35" s="133"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5"/>
      <c r="W500" s="135"/>
      <c r="X500" s="135"/>
      <c r="Y500" s="135"/>
      <c r="Z500" s="135"/>
      <c r="AA500" s="135"/>
      <c r="AB500" s="135"/>
      <c r="AC500" s="135"/>
      <c r="AD500" s="135"/>
      <c r="AE500" s="135"/>
      <c r="AF500" s="135"/>
      <c r="AG500" s="135"/>
      <c r="AH500" s="135"/>
      <c r="AI500" s="135"/>
    </row>
    <row r="501" spans="1:35" s="133"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5"/>
      <c r="W501" s="135"/>
      <c r="X501" s="135"/>
      <c r="Y501" s="135"/>
      <c r="Z501" s="135"/>
      <c r="AA501" s="135"/>
      <c r="AB501" s="135"/>
      <c r="AC501" s="135"/>
      <c r="AD501" s="135"/>
      <c r="AE501" s="135"/>
      <c r="AF501" s="135"/>
      <c r="AG501" s="135"/>
      <c r="AH501" s="135"/>
      <c r="AI501" s="135"/>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NL Poten</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2019-09-05T13:57:21Z</dcterms:modified>
</cp:coreProperties>
</file>