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92889B5B-9DA8-C24A-BA95-7E205B190C92}" xr6:coauthVersionLast="47" xr6:coauthVersionMax="47" xr10:uidLastSave="{00000000-0000-0000-0000-000000000000}"/>
  <bookViews>
    <workbookView xWindow="-120" yWindow="-22180" windowWidth="28800" windowHeight="16080" tabRatio="762" activeTab="3"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97" i="16" l="1"/>
  <c r="E19" i="12" l="1"/>
  <c r="E16" i="12"/>
  <c r="E14" i="12"/>
  <c r="E13" i="12"/>
  <c r="E12" i="12"/>
  <c r="E11" i="12"/>
  <c r="E10" i="12"/>
  <c r="O10" i="13"/>
  <c r="G10" i="13" s="1"/>
  <c r="O9" i="13"/>
  <c r="D108" i="16"/>
  <c r="D107" i="16"/>
  <c r="I30" i="12"/>
  <c r="I29" i="12"/>
  <c r="I24" i="12"/>
  <c r="I23" i="12"/>
  <c r="I19" i="12"/>
  <c r="I16" i="12"/>
  <c r="I14" i="12"/>
  <c r="I12" i="12"/>
  <c r="I11" i="12"/>
  <c r="I10" i="12"/>
  <c r="G9" i="13"/>
  <c r="G8" i="13"/>
  <c r="O8" i="13"/>
  <c r="O18" i="13"/>
  <c r="G18" i="13" s="1"/>
  <c r="O17" i="13"/>
  <c r="G17" i="13" s="1"/>
  <c r="D102" i="16"/>
  <c r="O14" i="13"/>
  <c r="G14" i="13" s="1"/>
  <c r="O7" i="13"/>
  <c r="G7" i="13" s="1"/>
  <c r="O6" i="13"/>
  <c r="G6" i="13" s="1"/>
  <c r="D101" i="16"/>
  <c r="D96" i="16"/>
  <c r="D74" i="16" l="1"/>
  <c r="M14" i="13" l="1"/>
  <c r="E60" i="16" l="1"/>
  <c r="M19" i="13" s="1"/>
  <c r="E58" i="16"/>
  <c r="E56" i="16"/>
  <c r="E57" i="16" s="1"/>
  <c r="M17" i="13" s="1"/>
  <c r="E55" i="16"/>
  <c r="E54" i="16"/>
  <c r="M6" i="13"/>
  <c r="K14" i="13"/>
  <c r="E30" i="12" s="1"/>
  <c r="K13" i="13"/>
  <c r="I14" i="13"/>
  <c r="G13" i="13"/>
  <c r="E29" i="12" s="1"/>
  <c r="E64" i="16" l="1"/>
  <c r="E65" i="16" s="1"/>
  <c r="E66" i="16" s="1"/>
  <c r="M7" i="13"/>
  <c r="E59" i="16"/>
  <c r="M18" i="13" s="1"/>
  <c r="E23" i="12" s="1"/>
  <c r="E62" i="16" l="1"/>
  <c r="M21" i="13" s="1"/>
  <c r="G21" i="13" s="1"/>
  <c r="E61" i="16"/>
  <c r="M20" i="13" s="1"/>
  <c r="G20" i="13" s="1"/>
  <c r="E24" i="12" s="1"/>
</calcChain>
</file>

<file path=xl/sharedStrings.xml><?xml version="1.0" encoding="utf-8"?>
<sst xmlns="http://schemas.openxmlformats.org/spreadsheetml/2006/main" count="248" uniqueCount="174">
  <si>
    <t>Source</t>
  </si>
  <si>
    <t>Construction time</t>
  </si>
  <si>
    <t>years</t>
  </si>
  <si>
    <t>%</t>
  </si>
  <si>
    <t>-</t>
  </si>
  <si>
    <t>Technical lifetime</t>
  </si>
  <si>
    <t>Value</t>
  </si>
  <si>
    <t>Other</t>
  </si>
  <si>
    <t>Initial investment costs</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</si>
  <si>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</si>
  <si>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</si>
  <si>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</si>
  <si>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</si>
  <si>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</si>
  <si>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</si>
  <si>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</si>
  <si>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</si>
  <si>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</si>
  <si>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</si>
  <si>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</si>
  <si>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</si>
  <si>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</si>
  <si>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</si>
  <si>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</si>
  <si>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</si>
  <si>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</si>
  <si>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</si>
  <si>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</si>
  <si>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</si>
  <si>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</si>
  <si>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</si>
  <si>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</si>
  <si>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</si>
  <si>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</si>
  <si>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</si>
  <si>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</si>
  <si>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</si>
  <si>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</si>
  <si>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</si>
  <si>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</si>
  <si>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</si>
  <si>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</si>
  <si>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</si>
  <si>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</si>
  <si>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</si>
  <si>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</si>
  <si>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</si>
  <si>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</si>
  <si>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</si>
  <si>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</si>
  <si>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MW</t>
  </si>
  <si>
    <t>EU</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</si>
  <si>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</si>
  <si>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</si>
  <si>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</si>
  <si>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</si>
  <si>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</si>
  <si>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</si>
  <si>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</si>
  <si>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</si>
  <si>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</si>
  <si>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</si>
  <si>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</si>
  <si>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</si>
  <si>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</si>
  <si>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</si>
  <si>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</si>
  <si>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</si>
  <si>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</si>
  <si>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</si>
  <si>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</si>
  <si>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</si>
  <si>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</si>
  <si>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</si>
  <si>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</si>
  <si>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 xml:space="preserve">        Fixed operational and maintenance costs</t>
  </si>
  <si>
    <t xml:space="preserve">        Variable operational and maintenance costs</t>
  </si>
  <si>
    <t>Investment cost</t>
  </si>
  <si>
    <t>Comments</t>
  </si>
  <si>
    <t>Maria Tsagkaraki</t>
  </si>
  <si>
    <t>Technical</t>
  </si>
  <si>
    <t xml:space="preserve">                 </t>
  </si>
  <si>
    <t>output.steam_hot_water</t>
  </si>
  <si>
    <t xml:space="preserve">       Heat output capacity</t>
  </si>
  <si>
    <t>euro/KW/year</t>
  </si>
  <si>
    <t>iea-etsap</t>
  </si>
  <si>
    <t>http://www.iea-etsap.org/web/e-techds/pdf/e06-geoth_energy-gs-gct.pdf</t>
  </si>
  <si>
    <t>2010</t>
  </si>
  <si>
    <t>Fixed operational and maintenance costs</t>
  </si>
  <si>
    <t xml:space="preserve"> Heat output capacity</t>
  </si>
  <si>
    <t>Subject year</t>
  </si>
  <si>
    <t>Notes</t>
  </si>
  <si>
    <t>https://ec.europa.eu/energy/sites/ener/files/documents/2011_financing_renewable.pdf</t>
  </si>
  <si>
    <t>p.14</t>
  </si>
  <si>
    <t>euro/KW</t>
  </si>
  <si>
    <t>yr</t>
  </si>
  <si>
    <t>Initial investment</t>
  </si>
  <si>
    <t>O&amp;M</t>
  </si>
  <si>
    <t>Lifetime</t>
  </si>
  <si>
    <t>p.5</t>
  </si>
  <si>
    <t>months</t>
  </si>
  <si>
    <t>construction time</t>
  </si>
  <si>
    <t>ETM Library URL</t>
  </si>
  <si>
    <t>http://refman.et-model.com/publications/1940</t>
  </si>
  <si>
    <t>http://refman.et-model.com/publications/1941</t>
  </si>
  <si>
    <t>Ecofys-ISE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</si>
  <si>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</si>
  <si>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Case for Martha</t>
  </si>
  <si>
    <t>Case 1- Warmtenet en Glastuinbouw</t>
  </si>
  <si>
    <t>Case 2 - LT warmte industrie</t>
  </si>
  <si>
    <t>Case in SDE</t>
  </si>
  <si>
    <t>&gt;500&lt;4000 m</t>
  </si>
  <si>
    <t>&gt;4000 m</t>
  </si>
  <si>
    <t>Capaciteit</t>
  </si>
  <si>
    <t>Load Hours</t>
  </si>
  <si>
    <t>Hours/Year</t>
  </si>
  <si>
    <t>Investerings kosten</t>
  </si>
  <si>
    <r>
      <t xml:space="preserve">EUR/kW </t>
    </r>
    <r>
      <rPr>
        <vertAlign val="subscript"/>
        <sz val="11"/>
        <color theme="1"/>
        <rFont val="Calibri"/>
        <family val="2"/>
        <scheme val="minor"/>
      </rPr>
      <t>Th</t>
    </r>
  </si>
  <si>
    <t>Vaste O&amp;M-kosten</t>
  </si>
  <si>
    <r>
      <t xml:space="preserve">EUR/kW </t>
    </r>
    <r>
      <rPr>
        <vertAlign val="subscript"/>
        <sz val="11"/>
        <color theme="1"/>
        <rFont val="Calibri"/>
        <family val="2"/>
        <scheme val="minor"/>
      </rPr>
      <t>Th</t>
    </r>
    <r>
      <rPr>
        <sz val="12"/>
        <color theme="1"/>
        <rFont val="Lettertype hoofdtekst"/>
        <family val="2"/>
      </rPr>
      <t>/year</t>
    </r>
  </si>
  <si>
    <t>Variable O&amp;M-kosten</t>
  </si>
  <si>
    <r>
      <t xml:space="preserve">EUR/kWh </t>
    </r>
    <r>
      <rPr>
        <vertAlign val="subscript"/>
        <sz val="11"/>
        <color theme="1"/>
        <rFont val="Calibri"/>
        <family val="2"/>
        <scheme val="minor"/>
      </rPr>
      <t>Th</t>
    </r>
  </si>
  <si>
    <t>SDE period</t>
  </si>
  <si>
    <t>(Proxy for 'levensduur' of the technology?)</t>
  </si>
  <si>
    <t>Stroom verbruik</t>
  </si>
  <si>
    <t>kWh_e/GJth</t>
  </si>
  <si>
    <t>EBN</t>
  </si>
  <si>
    <t>Response to request from interview EBN</t>
  </si>
  <si>
    <t>EBN, 2019</t>
  </si>
  <si>
    <t>Full load hours</t>
  </si>
  <si>
    <t>Capacity</t>
  </si>
  <si>
    <t>kW</t>
  </si>
  <si>
    <t>euro/kWheat</t>
  </si>
  <si>
    <t>production</t>
  </si>
  <si>
    <t>kWh</t>
  </si>
  <si>
    <t>variable O&amp;M  costs</t>
  </si>
  <si>
    <t>variable O&amp;M  costs/full oad hour</t>
  </si>
  <si>
    <t xml:space="preserve">Initial investment costs </t>
  </si>
  <si>
    <t>NL</t>
  </si>
  <si>
    <t>Interview with EBN, for outcomes see Notes</t>
  </si>
  <si>
    <t xml:space="preserve">Fixed operational and maintenance costs </t>
  </si>
  <si>
    <t>full_load_hours</t>
  </si>
  <si>
    <t>hours</t>
  </si>
  <si>
    <t>euro/kW/year</t>
  </si>
  <si>
    <t>See https://github.com/quintel/documentation/blob/master/general/cost_calculations.md#weighted-average-cost-of-capital</t>
  </si>
  <si>
    <t>input.electricity</t>
  </si>
  <si>
    <t>input.geothermal</t>
  </si>
  <si>
    <t>COP</t>
  </si>
  <si>
    <t>PBL</t>
  </si>
  <si>
    <t>https://refman.energytransitionmodel.com/publications</t>
  </si>
  <si>
    <t>energy_heat_well_deep_ht_geothermal.ad</t>
  </si>
  <si>
    <t>TNO</t>
  </si>
  <si>
    <t>https://energy.nl/wp-content/uploads/geothermal-heat-production-deep_2021-9.pdf</t>
  </si>
  <si>
    <t>Date retrieved</t>
  </si>
  <si>
    <t>Datasheet geothermal heat production, deep (&gt;1500&lt;4000 meter)</t>
  </si>
  <si>
    <t>Heat output capacity (MWth)</t>
  </si>
  <si>
    <t>Technical lifetime (years)</t>
  </si>
  <si>
    <t>Investment costs (mln € / MWth) - min</t>
  </si>
  <si>
    <t>Fixed operational costs per year (excl. fuel costs) (mln € / MWth) - min</t>
  </si>
  <si>
    <t>Fixed operational costs per year (excl. fuel costs) (mln € / MWth) - max</t>
  </si>
  <si>
    <t>Fixed operational costs per year (excl. fuel costs) (mln € / MWth) - avg</t>
  </si>
  <si>
    <t>Investment costs (mln € / MWth) - max</t>
  </si>
  <si>
    <t>Investment costs (mln € / MWth) - avg</t>
  </si>
  <si>
    <t>Output of steam hot water</t>
  </si>
  <si>
    <t>Input of electricity</t>
  </si>
  <si>
    <t>Input of geothermal</t>
  </si>
  <si>
    <t>Fixed operational costs per year per unit (€)</t>
  </si>
  <si>
    <t>Investment costs per unit (€)</t>
  </si>
  <si>
    <t>Quintel assumption</t>
  </si>
  <si>
    <t>Quintel assumption (no CCS)</t>
  </si>
  <si>
    <t>No data available</t>
  </si>
  <si>
    <t>Scaled input of electricity</t>
  </si>
  <si>
    <t>Scaled input of geothermal</t>
  </si>
  <si>
    <t>https://refman.energytransitionmodel.com/publications/2167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</si>
</sst>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vertAlign val="subscript"/>
      <sz val="11"/>
      <color theme="1"/>
      <name val="Calibri"/>
      <family val="2"/>
      <scheme val="minor"/>
    </font>
    <font>
      <b/>
      <sz val="12"/>
      <color theme="1"/>
      <name val="Lettertype hoofdtekst"/>
    </font>
    <font>
      <u/>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56">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54">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xf numFmtId="0" fontId="17" fillId="2" borderId="0" xfId="0" applyFont="1" applyFill="1" applyAlignment="1">
      <alignment vertical="center"/>
    </xf>
    <xf numFmtId="1" fontId="17" fillId="2" borderId="0" xfId="0" applyNumberFormat="1" applyFont="1" applyFill="1" applyAlignment="1">
      <alignment vertical="center"/>
    </xf>
    <xf numFmtId="1" fontId="17" fillId="2" borderId="0" xfId="0" applyNumberFormat="1" applyFont="1" applyFill="1" applyAlignment="1">
      <alignment horizontal="right" vertical="center"/>
    </xf>
    <xf numFmtId="2" fontId="17" fillId="2" borderId="0" xfId="0" applyNumberFormat="1" applyFont="1" applyFill="1" applyAlignment="1">
      <alignment horizontal="right" vertical="center"/>
    </xf>
    <xf numFmtId="0" fontId="17" fillId="2" borderId="0" xfId="0" applyFont="1" applyFill="1"/>
    <xf numFmtId="0" fontId="17" fillId="2" borderId="9" xfId="0" applyFont="1" applyFill="1" applyBorder="1"/>
    <xf numFmtId="0" fontId="17" fillId="2" borderId="4" xfId="0" applyFont="1" applyFill="1" applyBorder="1"/>
    <xf numFmtId="0" fontId="19" fillId="0" borderId="0" xfId="0" applyFont="1"/>
    <xf numFmtId="0" fontId="14" fillId="2" borderId="0" xfId="0" applyFont="1" applyFill="1"/>
    <xf numFmtId="0" fontId="18" fillId="0" borderId="0" xfId="0" applyFont="1"/>
    <xf numFmtId="0" fontId="17" fillId="2" borderId="6" xfId="0" applyFont="1" applyFill="1" applyBorder="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xf numFmtId="0" fontId="14" fillId="2" borderId="7" xfId="0" applyFont="1" applyFill="1" applyBorder="1"/>
    <xf numFmtId="0" fontId="17" fillId="0" borderId="0" xfId="0" applyFont="1"/>
    <xf numFmtId="0" fontId="19" fillId="3" borderId="0" xfId="0" applyFont="1" applyFill="1"/>
    <xf numFmtId="0" fontId="17" fillId="2" borderId="0" xfId="0" applyFont="1" applyFill="1" applyAlignment="1">
      <alignment horizontal="left" vertical="center"/>
    </xf>
    <xf numFmtId="0" fontId="13" fillId="2" borderId="0" xfId="0" applyFont="1" applyFill="1"/>
    <xf numFmtId="0" fontId="13" fillId="0" borderId="0" xfId="0" applyFont="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xf numFmtId="49" fontId="25" fillId="2" borderId="0" xfId="0" applyNumberFormat="1" applyFont="1" applyFill="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Alignment="1">
      <alignment vertical="top"/>
    </xf>
    <xf numFmtId="0" fontId="24" fillId="2" borderId="0" xfId="0" applyFont="1" applyFill="1" applyAlignment="1">
      <alignment horizontal="left" vertical="center" indent="2"/>
    </xf>
    <xf numFmtId="0" fontId="24" fillId="2" borderId="0" xfId="0" applyFont="1" applyFill="1" applyAlignment="1">
      <alignment vertical="top" wrapText="1"/>
    </xf>
    <xf numFmtId="49" fontId="24" fillId="2" borderId="0" xfId="0" applyNumberFormat="1" applyFont="1" applyFill="1" applyAlignment="1">
      <alignment vertical="top" wrapText="1"/>
    </xf>
    <xf numFmtId="0" fontId="24" fillId="2" borderId="0" xfId="177" applyFont="1" applyFill="1" applyBorder="1" applyAlignment="1" applyProtection="1">
      <alignment vertical="top"/>
    </xf>
    <xf numFmtId="164" fontId="24" fillId="2" borderId="0" xfId="0" applyNumberFormat="1" applyFont="1" applyFill="1" applyAlignment="1">
      <alignment horizontal="left" vertical="center" indent="2"/>
    </xf>
    <xf numFmtId="0" fontId="24" fillId="0" borderId="0" xfId="0" applyFont="1" applyAlignment="1">
      <alignment vertical="top"/>
    </xf>
    <xf numFmtId="49" fontId="24" fillId="2" borderId="0" xfId="0" applyNumberFormat="1" applyFont="1" applyFill="1" applyAlignment="1">
      <alignment vertical="top"/>
    </xf>
    <xf numFmtId="2" fontId="17" fillId="2" borderId="9" xfId="0" applyNumberFormat="1" applyFont="1" applyFill="1" applyBorder="1" applyAlignment="1">
      <alignment vertical="center"/>
    </xf>
    <xf numFmtId="0" fontId="24" fillId="2" borderId="0" xfId="0" applyFont="1" applyFill="1" applyAlignment="1">
      <alignment horizontal="left" vertical="top"/>
    </xf>
    <xf numFmtId="0" fontId="24" fillId="2" borderId="0" xfId="177" applyFont="1" applyFill="1" applyBorder="1" applyAlignment="1" applyProtection="1"/>
    <xf numFmtId="0" fontId="24" fillId="4" borderId="0" xfId="0" applyFont="1" applyFill="1" applyAlignment="1">
      <alignment vertical="top"/>
    </xf>
    <xf numFmtId="0" fontId="12" fillId="2" borderId="0" xfId="0" applyFont="1" applyFill="1"/>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xf numFmtId="0" fontId="27" fillId="2" borderId="0" xfId="0" applyFont="1" applyFill="1"/>
    <xf numFmtId="0" fontId="11" fillId="2" borderId="18" xfId="0" applyFont="1" applyFill="1" applyBorder="1"/>
    <xf numFmtId="0" fontId="11" fillId="5" borderId="0" xfId="0" applyFont="1" applyFill="1"/>
    <xf numFmtId="0" fontId="11" fillId="6" borderId="0" xfId="0" applyFont="1" applyFill="1"/>
    <xf numFmtId="0" fontId="11" fillId="7" borderId="0" xfId="0" applyFont="1" applyFill="1"/>
    <xf numFmtId="0" fontId="11" fillId="8" borderId="0" xfId="0" applyFont="1" applyFill="1"/>
    <xf numFmtId="0" fontId="11" fillId="2" borderId="7" xfId="0" applyFont="1" applyFill="1" applyBorder="1"/>
    <xf numFmtId="0" fontId="11" fillId="9" borderId="0" xfId="0" applyFont="1" applyFill="1"/>
    <xf numFmtId="0" fontId="11" fillId="10" borderId="0" xfId="0" applyFont="1" applyFill="1"/>
    <xf numFmtId="0" fontId="11" fillId="11" borderId="0" xfId="0" applyFont="1" applyFill="1"/>
    <xf numFmtId="0" fontId="11" fillId="12" borderId="0" xfId="0" applyFont="1" applyFill="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xf numFmtId="2" fontId="13" fillId="2" borderId="0" xfId="0" applyNumberFormat="1" applyFont="1" applyFill="1"/>
    <xf numFmtId="164" fontId="13" fillId="2" borderId="20" xfId="0" applyNumberFormat="1" applyFont="1" applyFill="1" applyBorder="1"/>
    <xf numFmtId="164" fontId="13" fillId="2" borderId="0" xfId="0" applyNumberFormat="1" applyFont="1" applyFill="1"/>
    <xf numFmtId="0" fontId="23" fillId="2" borderId="19" xfId="0" applyFont="1" applyFill="1" applyBorder="1"/>
    <xf numFmtId="0" fontId="13" fillId="2" borderId="5" xfId="0" applyFont="1" applyFill="1" applyBorder="1"/>
    <xf numFmtId="1" fontId="17" fillId="2" borderId="0" xfId="0" applyNumberFormat="1" applyFont="1" applyFill="1" applyAlignment="1">
      <alignment horizontal="left" vertical="center"/>
    </xf>
    <xf numFmtId="0" fontId="17" fillId="2" borderId="9" xfId="0" applyFont="1" applyFill="1" applyBorder="1" applyAlignment="1">
      <alignment vertical="center"/>
    </xf>
    <xf numFmtId="0" fontId="10" fillId="0" borderId="0" xfId="0" applyFont="1"/>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6" xfId="0" applyFont="1" applyFill="1" applyBorder="1"/>
    <xf numFmtId="0" fontId="10" fillId="2" borderId="0" xfId="0" applyFont="1" applyFill="1" applyAlignment="1">
      <alignment horizontal="left" vertical="center"/>
    </xf>
    <xf numFmtId="1" fontId="10" fillId="2" borderId="0" xfId="0" applyNumberFormat="1" applyFont="1" applyFill="1" applyAlignment="1">
      <alignment vertical="center"/>
    </xf>
    <xf numFmtId="165" fontId="10" fillId="2" borderId="0" xfId="0" applyNumberFormat="1" applyFont="1" applyFill="1" applyAlignment="1">
      <alignment vertical="center"/>
    </xf>
    <xf numFmtId="10" fontId="10" fillId="2" borderId="0" xfId="0" applyNumberFormat="1" applyFont="1" applyFill="1" applyAlignment="1">
      <alignment horizontal="left" vertical="center" indent="2"/>
    </xf>
    <xf numFmtId="2" fontId="10" fillId="2" borderId="0" xfId="0" applyNumberFormat="1" applyFont="1" applyFill="1" applyAlignment="1">
      <alignment horizontal="right" vertical="center"/>
    </xf>
    <xf numFmtId="164" fontId="10" fillId="2" borderId="18" xfId="0" applyNumberFormat="1" applyFont="1" applyFill="1" applyBorder="1" applyAlignment="1">
      <alignment horizontal="right" vertical="center"/>
    </xf>
    <xf numFmtId="0" fontId="10" fillId="2" borderId="18" xfId="0" applyFont="1" applyFill="1" applyBorder="1"/>
    <xf numFmtId="164" fontId="10" fillId="2" borderId="0" xfId="0" applyNumberFormat="1" applyFont="1" applyFill="1"/>
    <xf numFmtId="1" fontId="10" fillId="2" borderId="18" xfId="0" applyNumberFormat="1" applyFont="1" applyFill="1" applyBorder="1" applyAlignment="1">
      <alignment vertical="center"/>
    </xf>
    <xf numFmtId="0" fontId="7" fillId="2" borderId="0" xfId="0" applyFont="1" applyFill="1"/>
    <xf numFmtId="0" fontId="7" fillId="2" borderId="6" xfId="0" applyFont="1" applyFill="1" applyBorder="1"/>
    <xf numFmtId="0" fontId="17" fillId="2" borderId="22" xfId="0" applyFont="1" applyFill="1" applyBorder="1"/>
    <xf numFmtId="0" fontId="17" fillId="2" borderId="23" xfId="0" applyFont="1" applyFill="1" applyBorder="1"/>
    <xf numFmtId="0" fontId="0" fillId="5" borderId="0" xfId="0" applyFill="1"/>
    <xf numFmtId="0" fontId="0" fillId="5" borderId="0" xfId="0" quotePrefix="1" applyFill="1"/>
    <xf numFmtId="0" fontId="29" fillId="5" borderId="0" xfId="0" applyFont="1" applyFill="1"/>
    <xf numFmtId="0" fontId="6" fillId="2" borderId="0" xfId="0" applyFont="1" applyFill="1"/>
    <xf numFmtId="0" fontId="24" fillId="2" borderId="0" xfId="0" applyFont="1" applyFill="1" applyAlignment="1">
      <alignment horizontal="left"/>
    </xf>
    <xf numFmtId="3" fontId="24" fillId="2" borderId="0" xfId="0" applyNumberFormat="1" applyFont="1" applyFill="1" applyAlignment="1">
      <alignment horizontal="left"/>
    </xf>
    <xf numFmtId="0" fontId="5" fillId="0" borderId="0" xfId="0" applyFont="1"/>
    <xf numFmtId="0" fontId="4" fillId="2" borderId="0" xfId="0" applyFont="1" applyFill="1"/>
    <xf numFmtId="0" fontId="26" fillId="4" borderId="18" xfId="0" applyFont="1" applyFill="1" applyBorder="1"/>
    <xf numFmtId="0" fontId="3" fillId="2" borderId="0" xfId="0" applyFont="1" applyFill="1"/>
    <xf numFmtId="0" fontId="24" fillId="2" borderId="5" xfId="0" applyFont="1" applyFill="1" applyBorder="1"/>
    <xf numFmtId="49" fontId="24" fillId="0" borderId="0" xfId="0" applyNumberFormat="1" applyFont="1"/>
    <xf numFmtId="0" fontId="2" fillId="2" borderId="0" xfId="0" applyFont="1" applyFill="1"/>
    <xf numFmtId="0" fontId="30" fillId="2" borderId="0" xfId="0" applyFont="1" applyFill="1"/>
    <xf numFmtId="2" fontId="7" fillId="2" borderId="0" xfId="0" applyNumberFormat="1" applyFont="1" applyFill="1"/>
    <xf numFmtId="1" fontId="7" fillId="2" borderId="0" xfId="0" applyNumberFormat="1" applyFont="1" applyFill="1"/>
    <xf numFmtId="1" fontId="10" fillId="2" borderId="21" xfId="0" applyNumberFormat="1" applyFont="1" applyFill="1" applyBorder="1"/>
    <xf numFmtId="1" fontId="10" fillId="2" borderId="18" xfId="0" applyNumberFormat="1" applyFont="1" applyFill="1" applyBorder="1"/>
    <xf numFmtId="164" fontId="10" fillId="2" borderId="0" xfId="0" applyNumberFormat="1" applyFont="1" applyFill="1" applyAlignment="1">
      <alignment horizontal="right" vertical="center"/>
    </xf>
    <xf numFmtId="0" fontId="8" fillId="2" borderId="0" xfId="0" applyFont="1" applyFill="1" applyAlignment="1">
      <alignment horizontal="left" vertical="center"/>
    </xf>
    <xf numFmtId="0" fontId="5" fillId="2" borderId="0" xfId="0" applyFont="1" applyFill="1" applyAlignment="1">
      <alignment horizontal="left" vertical="center" indent="2"/>
    </xf>
    <xf numFmtId="165" fontId="5" fillId="2" borderId="0" xfId="0" applyNumberFormat="1" applyFont="1" applyFill="1" applyAlignment="1">
      <alignment vertical="center"/>
    </xf>
    <xf numFmtId="0" fontId="22" fillId="2" borderId="0" xfId="177" applyFont="1" applyFill="1" applyBorder="1" applyAlignment="1" applyProtection="1"/>
    <xf numFmtId="164" fontId="10" fillId="2" borderId="0" xfId="0" applyNumberFormat="1" applyFont="1" applyFill="1" applyAlignment="1">
      <alignment horizontal="left" vertical="center" indent="2"/>
    </xf>
    <xf numFmtId="0" fontId="10" fillId="2" borderId="0" xfId="0" applyFont="1" applyFill="1" applyAlignment="1">
      <alignment horizontal="left" vertical="center" indent="2"/>
    </xf>
    <xf numFmtId="3" fontId="10" fillId="2" borderId="11" xfId="0" applyNumberFormat="1" applyFont="1" applyFill="1" applyBorder="1" applyAlignment="1">
      <alignment horizontal="left" vertical="center" indent="3"/>
    </xf>
    <xf numFmtId="3" fontId="10" fillId="2" borderId="0" xfId="0" applyNumberFormat="1" applyFont="1" applyFill="1" applyAlignment="1">
      <alignment horizontal="left" vertical="center" indent="3"/>
    </xf>
    <xf numFmtId="0" fontId="2" fillId="2" borderId="0" xfId="0" applyFont="1" applyFill="1" applyAlignment="1">
      <alignment horizontal="left" vertical="center" indent="2"/>
    </xf>
    <xf numFmtId="2" fontId="10" fillId="2" borderId="18" xfId="0" applyNumberFormat="1" applyFont="1" applyFill="1" applyBorder="1"/>
    <xf numFmtId="2" fontId="10" fillId="2" borderId="18" xfId="0" applyNumberFormat="1" applyFont="1" applyFill="1" applyBorder="1" applyAlignment="1">
      <alignment vertical="center"/>
    </xf>
    <xf numFmtId="0" fontId="2" fillId="2" borderId="18" xfId="0" applyFont="1" applyFill="1" applyBorder="1"/>
    <xf numFmtId="2" fontId="9" fillId="2" borderId="18" xfId="0" applyNumberFormat="1" applyFont="1" applyFill="1" applyBorder="1"/>
    <xf numFmtId="0" fontId="1" fillId="2" borderId="0" xfId="0" applyFont="1" applyFill="1"/>
    <xf numFmtId="1" fontId="13" fillId="2" borderId="18" xfId="0" applyNumberFormat="1"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49" fontId="24" fillId="0" borderId="0" xfId="0" applyNumberFormat="1" applyFont="1" applyFill="1"/>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749621</xdr:colOff>
      <xdr:row>3</xdr:row>
      <xdr:rowOff>1</xdr:rowOff>
    </xdr:from>
    <xdr:to>
      <xdr:col>11</xdr:col>
      <xdr:colOff>762000</xdr:colOff>
      <xdr:row>29</xdr:row>
      <xdr:rowOff>114301</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988121" y="571501"/>
          <a:ext cx="7568879" cy="5067300"/>
        </a:xfrm>
        <a:prstGeom prst="rect">
          <a:avLst/>
        </a:prstGeom>
      </xdr:spPr>
    </xdr:pic>
    <xdr:clientData/>
  </xdr:twoCellAnchor>
  <xdr:twoCellAnchor editAs="oneCell">
    <xdr:from>
      <xdr:col>4</xdr:col>
      <xdr:colOff>889000</xdr:colOff>
      <xdr:row>31</xdr:row>
      <xdr:rowOff>145876</xdr:rowOff>
    </xdr:from>
    <xdr:to>
      <xdr:col>12</xdr:col>
      <xdr:colOff>736600</xdr:colOff>
      <xdr:row>48</xdr:row>
      <xdr:rowOff>50799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19600" y="6051376"/>
          <a:ext cx="8483600" cy="3143423"/>
        </a:xfrm>
        <a:prstGeom prst="rect">
          <a:avLst/>
        </a:prstGeom>
      </xdr:spPr>
    </xdr:pic>
    <xdr:clientData/>
  </xdr:twoCellAnchor>
  <xdr:twoCellAnchor editAs="oneCell">
    <xdr:from>
      <xdr:col>5</xdr:col>
      <xdr:colOff>800100</xdr:colOff>
      <xdr:row>72</xdr:row>
      <xdr:rowOff>25400</xdr:rowOff>
    </xdr:from>
    <xdr:to>
      <xdr:col>15</xdr:col>
      <xdr:colOff>800101</xdr:colOff>
      <xdr:row>82</xdr:row>
      <xdr:rowOff>101600</xdr:rowOff>
    </xdr:to>
    <xdr:pic>
      <xdr:nvPicPr>
        <xdr:cNvPr id="4" name="Picture 3">
          <a:extLst>
            <a:ext uri="{FF2B5EF4-FFF2-40B4-BE49-F238E27FC236}">
              <a16:creationId xmlns:a16="http://schemas.microsoft.com/office/drawing/2014/main" id="{F7401CDA-52F0-E741-A8DA-FC6157667AD6}"/>
            </a:ext>
          </a:extLst>
        </xdr:cNvPr>
        <xdr:cNvPicPr>
          <a:picLocks noChangeAspect="1"/>
        </xdr:cNvPicPr>
      </xdr:nvPicPr>
      <xdr:blipFill>
        <a:blip xmlns:r="http://schemas.openxmlformats.org/officeDocument/2006/relationships" r:embed="rId3"/>
        <a:stretch>
          <a:fillRect/>
        </a:stretch>
      </xdr:blipFill>
      <xdr:spPr>
        <a:xfrm>
          <a:off x="6629400" y="14706600"/>
          <a:ext cx="8128000" cy="2108200"/>
        </a:xfrm>
        <a:prstGeom prst="rect">
          <a:avLst/>
        </a:prstGeom>
      </xdr:spPr>
    </xdr:pic>
    <xdr:clientData/>
  </xdr:twoCellAnchor>
  <xdr:twoCellAnchor editAs="oneCell">
    <xdr:from>
      <xdr:col>5</xdr:col>
      <xdr:colOff>948850</xdr:colOff>
      <xdr:row>87</xdr:row>
      <xdr:rowOff>204367</xdr:rowOff>
    </xdr:from>
    <xdr:to>
      <xdr:col>19</xdr:col>
      <xdr:colOff>565175</xdr:colOff>
      <xdr:row>117</xdr:row>
      <xdr:rowOff>43792</xdr:rowOff>
    </xdr:to>
    <xdr:pic>
      <xdr:nvPicPr>
        <xdr:cNvPr id="5" name="Picture 4">
          <a:extLst>
            <a:ext uri="{FF2B5EF4-FFF2-40B4-BE49-F238E27FC236}">
              <a16:creationId xmlns:a16="http://schemas.microsoft.com/office/drawing/2014/main" id="{7045DED3-789D-C487-0ACA-32BF7794CA1D}"/>
            </a:ext>
          </a:extLst>
        </xdr:cNvPr>
        <xdr:cNvPicPr>
          <a:picLocks noChangeAspect="1"/>
        </xdr:cNvPicPr>
      </xdr:nvPicPr>
      <xdr:blipFill>
        <a:blip xmlns:r="http://schemas.openxmlformats.org/officeDocument/2006/relationships" r:embed="rId4"/>
        <a:stretch>
          <a:fillRect/>
        </a:stretch>
      </xdr:blipFill>
      <xdr:spPr>
        <a:xfrm>
          <a:off x="7736781" y="18042758"/>
          <a:ext cx="12900233" cy="5970459"/>
        </a:xfrm>
        <a:prstGeom prst="rect">
          <a:avLst/>
        </a:prstGeom>
      </xdr:spPr>
    </xdr:pic>
    <xdr:clientData/>
  </xdr:twoCellAnchor>
  <xdr:twoCellAnchor editAs="oneCell">
    <xdr:from>
      <xdr:col>6</xdr:col>
      <xdr:colOff>0</xdr:colOff>
      <xdr:row>118</xdr:row>
      <xdr:rowOff>0</xdr:rowOff>
    </xdr:from>
    <xdr:to>
      <xdr:col>19</xdr:col>
      <xdr:colOff>540114</xdr:colOff>
      <xdr:row>142</xdr:row>
      <xdr:rowOff>123943</xdr:rowOff>
    </xdr:to>
    <xdr:pic>
      <xdr:nvPicPr>
        <xdr:cNvPr id="6" name="Picture 5">
          <a:extLst>
            <a:ext uri="{FF2B5EF4-FFF2-40B4-BE49-F238E27FC236}">
              <a16:creationId xmlns:a16="http://schemas.microsoft.com/office/drawing/2014/main" id="{4F3D7C04-DC90-6074-3F43-E5E4D80838AB}"/>
            </a:ext>
          </a:extLst>
        </xdr:cNvPr>
        <xdr:cNvPicPr>
          <a:picLocks noChangeAspect="1"/>
        </xdr:cNvPicPr>
      </xdr:nvPicPr>
      <xdr:blipFill>
        <a:blip xmlns:r="http://schemas.openxmlformats.org/officeDocument/2006/relationships" r:embed="rId5"/>
        <a:stretch>
          <a:fillRect/>
        </a:stretch>
      </xdr:blipFill>
      <xdr:spPr>
        <a:xfrm>
          <a:off x="7736782" y="24173793"/>
          <a:ext cx="12875172" cy="5028771"/>
        </a:xfrm>
        <a:prstGeom prst="rect">
          <a:avLst/>
        </a:prstGeom>
      </xdr:spPr>
    </xdr:pic>
    <xdr:clientData/>
  </xdr:twoCellAnchor>
  <xdr:twoCellAnchor editAs="oneCell">
    <xdr:from>
      <xdr:col>6</xdr:col>
      <xdr:colOff>0</xdr:colOff>
      <xdr:row>143</xdr:row>
      <xdr:rowOff>0</xdr:rowOff>
    </xdr:from>
    <xdr:to>
      <xdr:col>19</xdr:col>
      <xdr:colOff>526868</xdr:colOff>
      <xdr:row>156</xdr:row>
      <xdr:rowOff>29196</xdr:rowOff>
    </xdr:to>
    <xdr:pic>
      <xdr:nvPicPr>
        <xdr:cNvPr id="7" name="Picture 6">
          <a:extLst>
            <a:ext uri="{FF2B5EF4-FFF2-40B4-BE49-F238E27FC236}">
              <a16:creationId xmlns:a16="http://schemas.microsoft.com/office/drawing/2014/main" id="{94CC8EF0-4D2C-E94C-2030-6A681EF70F2E}"/>
            </a:ext>
          </a:extLst>
        </xdr:cNvPr>
        <xdr:cNvPicPr>
          <a:picLocks noChangeAspect="1"/>
        </xdr:cNvPicPr>
      </xdr:nvPicPr>
      <xdr:blipFill>
        <a:blip xmlns:r="http://schemas.openxmlformats.org/officeDocument/2006/relationships" r:embed="rId6"/>
        <a:stretch>
          <a:fillRect/>
        </a:stretch>
      </xdr:blipFill>
      <xdr:spPr>
        <a:xfrm>
          <a:off x="7736782" y="29282989"/>
          <a:ext cx="12861926" cy="268597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D25" sqref="D25"/>
    </sheetView>
  </sheetViews>
  <sheetFormatPr baseColWidth="10" defaultColWidth="10.7109375" defaultRowHeight="16"/>
  <cols>
    <col min="1" max="1" width="3.42578125" style="24" customWidth="1"/>
    <col min="2" max="2" width="9.140625" style="17" customWidth="1"/>
    <col min="3" max="3" width="44.140625" style="17" customWidth="1"/>
    <col min="4" max="16384" width="10.7109375" style="17"/>
  </cols>
  <sheetData>
    <row r="1" spans="1:3" s="22" customFormat="1">
      <c r="A1" s="20"/>
      <c r="B1" s="21"/>
      <c r="C1" s="21"/>
    </row>
    <row r="2" spans="1:3" ht="21">
      <c r="A2" s="1"/>
      <c r="B2" s="23" t="s">
        <v>13</v>
      </c>
      <c r="C2" s="23"/>
    </row>
    <row r="3" spans="1:3">
      <c r="A3" s="1"/>
      <c r="B3" s="8"/>
      <c r="C3" s="8"/>
    </row>
    <row r="4" spans="1:3">
      <c r="A4" s="1"/>
      <c r="B4" s="2" t="s">
        <v>14</v>
      </c>
      <c r="C4" s="3" t="s">
        <v>150</v>
      </c>
    </row>
    <row r="5" spans="1:3">
      <c r="A5" s="1"/>
      <c r="B5" s="4" t="s">
        <v>53</v>
      </c>
      <c r="C5" s="5" t="s">
        <v>79</v>
      </c>
    </row>
    <row r="6" spans="1:3">
      <c r="A6" s="1"/>
      <c r="B6" s="6" t="s">
        <v>16</v>
      </c>
      <c r="C6" s="7" t="s">
        <v>17</v>
      </c>
    </row>
    <row r="7" spans="1:3">
      <c r="A7" s="1"/>
      <c r="B7" s="8"/>
      <c r="C7" s="8"/>
    </row>
    <row r="8" spans="1:3">
      <c r="A8" s="1"/>
      <c r="B8" s="8"/>
      <c r="C8" s="8"/>
    </row>
    <row r="9" spans="1:3">
      <c r="A9" s="1"/>
      <c r="B9" s="64" t="s">
        <v>54</v>
      </c>
      <c r="C9" s="65"/>
    </row>
    <row r="10" spans="1:3">
      <c r="A10" s="1"/>
      <c r="B10" s="66"/>
      <c r="C10" s="67"/>
    </row>
    <row r="11" spans="1:3">
      <c r="A11" s="1"/>
      <c r="B11" s="66" t="s">
        <v>55</v>
      </c>
      <c r="C11" s="68" t="s">
        <v>56</v>
      </c>
    </row>
    <row r="12" spans="1:3" ht="17" thickBot="1">
      <c r="A12" s="1"/>
      <c r="B12" s="66"/>
      <c r="C12" s="13" t="s">
        <v>57</v>
      </c>
    </row>
    <row r="13" spans="1:3" ht="17" thickBot="1">
      <c r="A13" s="1"/>
      <c r="B13" s="66"/>
      <c r="C13" s="69" t="s">
        <v>58</v>
      </c>
    </row>
    <row r="14" spans="1:3">
      <c r="A14" s="1"/>
      <c r="B14" s="66"/>
      <c r="C14" s="67" t="s">
        <v>59</v>
      </c>
    </row>
    <row r="15" spans="1:3">
      <c r="A15" s="1"/>
      <c r="B15" s="66"/>
      <c r="C15" s="67"/>
    </row>
    <row r="16" spans="1:3">
      <c r="A16" s="1"/>
      <c r="B16" s="66" t="s">
        <v>60</v>
      </c>
      <c r="C16" s="70" t="s">
        <v>61</v>
      </c>
    </row>
    <row r="17" spans="1:3">
      <c r="A17" s="1"/>
      <c r="B17" s="66"/>
      <c r="C17" s="71" t="s">
        <v>62</v>
      </c>
    </row>
    <row r="18" spans="1:3">
      <c r="A18" s="1"/>
      <c r="B18" s="66"/>
      <c r="C18" s="72" t="s">
        <v>63</v>
      </c>
    </row>
    <row r="19" spans="1:3">
      <c r="A19" s="1"/>
      <c r="B19" s="66"/>
      <c r="C19" s="73" t="s">
        <v>64</v>
      </c>
    </row>
    <row r="20" spans="1:3">
      <c r="A20" s="1"/>
      <c r="B20" s="74"/>
      <c r="C20" s="75" t="s">
        <v>65</v>
      </c>
    </row>
    <row r="21" spans="1:3">
      <c r="A21" s="1"/>
      <c r="B21" s="74"/>
      <c r="C21" s="76" t="s">
        <v>66</v>
      </c>
    </row>
    <row r="22" spans="1:3">
      <c r="A22" s="1"/>
      <c r="B22" s="74"/>
      <c r="C22" s="77" t="s">
        <v>67</v>
      </c>
    </row>
    <row r="23" spans="1:3">
      <c r="B23" s="74"/>
      <c r="C23" s="78" t="s">
        <v>68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2"/>
  <sheetViews>
    <sheetView topLeftCell="A5" workbookViewId="0">
      <selection activeCell="E24" sqref="E24"/>
    </sheetView>
  </sheetViews>
  <sheetFormatPr baseColWidth="10" defaultColWidth="10.7109375" defaultRowHeight="16"/>
  <cols>
    <col min="1" max="1" width="3.28515625" style="28" customWidth="1"/>
    <col min="2" max="2" width="3.7109375" style="28" customWidth="1"/>
    <col min="3" max="3" width="62.85546875" style="28" customWidth="1"/>
    <col min="4" max="4" width="12.7109375" style="28" customWidth="1"/>
    <col min="5" max="5" width="17.42578125" style="28" customWidth="1"/>
    <col min="6" max="6" width="4.42578125" style="28" customWidth="1"/>
    <col min="7" max="7" width="45" style="28" customWidth="1"/>
    <col min="8" max="8" width="5.140625" style="28" customWidth="1"/>
    <col min="9" max="9" width="51.42578125" style="28" customWidth="1"/>
    <col min="10" max="10" width="5.42578125" style="28" customWidth="1"/>
    <col min="11" max="16384" width="10.7109375" style="28"/>
  </cols>
  <sheetData>
    <row r="2" spans="2:10">
      <c r="B2" s="144" t="s">
        <v>106</v>
      </c>
      <c r="C2" s="145"/>
      <c r="D2" s="145"/>
      <c r="E2" s="146"/>
    </row>
    <row r="3" spans="2:10">
      <c r="B3" s="147"/>
      <c r="C3" s="148"/>
      <c r="D3" s="148"/>
      <c r="E3" s="149"/>
    </row>
    <row r="4" spans="2:10" ht="36" customHeight="1">
      <c r="B4" s="150"/>
      <c r="C4" s="151"/>
      <c r="D4" s="151"/>
      <c r="E4" s="152"/>
    </row>
    <row r="5" spans="2:10" ht="17" thickBot="1"/>
    <row r="6" spans="2:10">
      <c r="B6" s="30"/>
      <c r="C6" s="15"/>
      <c r="D6" s="15"/>
      <c r="E6" s="15"/>
      <c r="F6" s="15"/>
      <c r="G6" s="15"/>
      <c r="H6" s="15"/>
      <c r="I6" s="15"/>
      <c r="J6" s="31"/>
    </row>
    <row r="7" spans="2:10" s="36" customFormat="1" ht="19">
      <c r="B7" s="79"/>
      <c r="C7" s="14" t="s">
        <v>28</v>
      </c>
      <c r="D7" s="80" t="s">
        <v>11</v>
      </c>
      <c r="E7" s="14" t="s">
        <v>6</v>
      </c>
      <c r="F7" s="14"/>
      <c r="G7" s="14" t="s">
        <v>10</v>
      </c>
      <c r="H7" s="14"/>
      <c r="I7" s="14" t="s">
        <v>0</v>
      </c>
      <c r="J7" s="86"/>
    </row>
    <row r="8" spans="2:10" s="36" customFormat="1" ht="19">
      <c r="B8" s="19"/>
      <c r="C8" s="13"/>
      <c r="D8" s="26"/>
      <c r="E8" s="13"/>
      <c r="F8" s="13"/>
      <c r="G8" s="13"/>
      <c r="H8" s="13"/>
      <c r="I8" s="13"/>
      <c r="J8" s="37"/>
    </row>
    <row r="9" spans="2:10" s="36" customFormat="1" ht="20" thickBot="1">
      <c r="B9" s="19"/>
      <c r="C9" s="13" t="s">
        <v>80</v>
      </c>
      <c r="D9" s="26"/>
      <c r="E9" s="13"/>
      <c r="F9" s="13"/>
      <c r="G9" s="13"/>
      <c r="H9" s="13"/>
      <c r="I9" s="13"/>
      <c r="J9" s="37"/>
    </row>
    <row r="10" spans="2:10" s="36" customFormat="1" ht="20" thickBot="1">
      <c r="B10" s="19"/>
      <c r="C10" s="119" t="s">
        <v>145</v>
      </c>
      <c r="D10" s="26"/>
      <c r="E10" s="38">
        <f>ROUND('Research data'!G9,2)</f>
        <v>0.05</v>
      </c>
      <c r="F10" s="13"/>
      <c r="G10" s="13"/>
      <c r="H10" s="13"/>
      <c r="I10" s="38" t="str">
        <f>'Research data'!$O$3</f>
        <v>TNO</v>
      </c>
      <c r="J10" s="37"/>
    </row>
    <row r="11" spans="2:10" s="36" customFormat="1" ht="20" thickBot="1">
      <c r="B11" s="19"/>
      <c r="C11" s="119" t="s">
        <v>146</v>
      </c>
      <c r="D11" s="26"/>
      <c r="E11" s="38">
        <f>ROUND('Research data'!G10,2)</f>
        <v>0.95</v>
      </c>
      <c r="F11" s="13"/>
      <c r="G11" s="13"/>
      <c r="H11" s="13"/>
      <c r="I11" s="38" t="str">
        <f>'Research data'!$O$3</f>
        <v>TNO</v>
      </c>
      <c r="J11" s="37"/>
    </row>
    <row r="12" spans="2:10" s="36" customFormat="1" ht="20" thickBot="1">
      <c r="B12" s="19"/>
      <c r="C12" s="90" t="s">
        <v>82</v>
      </c>
      <c r="D12" s="16" t="s">
        <v>4</v>
      </c>
      <c r="E12" s="39">
        <f>ROUND('Research data'!G8,1)</f>
        <v>1</v>
      </c>
      <c r="F12" s="29"/>
      <c r="G12" s="29"/>
      <c r="H12" s="25"/>
      <c r="I12" s="38" t="str">
        <f>'Research data'!$O$3</f>
        <v>TNO</v>
      </c>
      <c r="J12" s="37"/>
    </row>
    <row r="13" spans="2:10" ht="17" thickBot="1">
      <c r="B13" s="32"/>
      <c r="C13" s="29" t="s">
        <v>30</v>
      </c>
      <c r="D13" s="18" t="s">
        <v>4</v>
      </c>
      <c r="E13" s="39">
        <f>ROUND(1,1)</f>
        <v>1</v>
      </c>
      <c r="F13" s="29"/>
      <c r="G13" s="29"/>
      <c r="H13" s="29"/>
      <c r="I13" s="140" t="s">
        <v>168</v>
      </c>
      <c r="J13" s="87"/>
    </row>
    <row r="14" spans="2:10" ht="17" thickBot="1">
      <c r="B14" s="32"/>
      <c r="C14" s="116" t="s">
        <v>141</v>
      </c>
      <c r="D14" s="18"/>
      <c r="E14" s="143">
        <f>ROUND('Research data'!G7,0)</f>
        <v>6000</v>
      </c>
      <c r="F14" s="29"/>
      <c r="G14" s="29"/>
      <c r="H14" s="29"/>
      <c r="I14" s="38" t="str">
        <f>'Research data'!$O$3</f>
        <v>TNO</v>
      </c>
      <c r="J14" s="87"/>
    </row>
    <row r="15" spans="2:10" ht="17" thickBot="1">
      <c r="B15" s="32"/>
      <c r="C15" s="29" t="s">
        <v>32</v>
      </c>
      <c r="D15" s="18" t="s">
        <v>50</v>
      </c>
      <c r="E15" s="39">
        <v>0</v>
      </c>
      <c r="F15" s="29"/>
      <c r="G15" s="29" t="s">
        <v>24</v>
      </c>
      <c r="H15" s="29"/>
      <c r="I15" s="140" t="s">
        <v>168</v>
      </c>
      <c r="J15" s="87"/>
    </row>
    <row r="16" spans="2:10" ht="17" thickBot="1">
      <c r="B16" s="32"/>
      <c r="C16" s="29" t="s">
        <v>33</v>
      </c>
      <c r="D16" s="18" t="s">
        <v>50</v>
      </c>
      <c r="E16" s="39">
        <f>ROUND('Research data'!G6,1)</f>
        <v>15</v>
      </c>
      <c r="F16" s="29"/>
      <c r="G16" s="29" t="s">
        <v>45</v>
      </c>
      <c r="H16" s="29"/>
      <c r="I16" s="38" t="str">
        <f>'Research data'!$O$3</f>
        <v>TNO</v>
      </c>
      <c r="J16" s="87"/>
    </row>
    <row r="17" spans="2:10">
      <c r="B17" s="32"/>
      <c r="C17" s="63"/>
      <c r="D17" s="82"/>
      <c r="E17" s="83"/>
      <c r="G17" s="63"/>
      <c r="J17" s="87"/>
    </row>
    <row r="18" spans="2:10" ht="17" thickBot="1">
      <c r="B18" s="32"/>
      <c r="C18" s="13" t="s">
        <v>69</v>
      </c>
      <c r="D18" s="82"/>
      <c r="E18" s="83"/>
      <c r="G18" s="63"/>
      <c r="J18" s="87"/>
    </row>
    <row r="19" spans="2:10" ht="17" thickBot="1">
      <c r="B19" s="32"/>
      <c r="C19" s="29" t="s">
        <v>34</v>
      </c>
      <c r="D19" s="18" t="s">
        <v>29</v>
      </c>
      <c r="E19" s="143">
        <f>ROUND('Research data'!G17,0)</f>
        <v>19875000</v>
      </c>
      <c r="F19" s="29"/>
      <c r="G19" s="29" t="s">
        <v>8</v>
      </c>
      <c r="H19" s="29"/>
      <c r="I19" s="38" t="str">
        <f>'Research data'!$O$3</f>
        <v>TNO</v>
      </c>
      <c r="J19" s="87"/>
    </row>
    <row r="20" spans="2:10" ht="17" thickBot="1">
      <c r="B20" s="32"/>
      <c r="C20" s="29" t="s">
        <v>35</v>
      </c>
      <c r="D20" s="18" t="s">
        <v>29</v>
      </c>
      <c r="E20" s="39">
        <v>0</v>
      </c>
      <c r="F20" s="29"/>
      <c r="G20" s="29" t="s">
        <v>46</v>
      </c>
      <c r="H20" s="29"/>
      <c r="I20" s="140" t="s">
        <v>169</v>
      </c>
      <c r="J20" s="87"/>
    </row>
    <row r="21" spans="2:10" ht="17" thickBot="1">
      <c r="B21" s="32"/>
      <c r="C21" s="29" t="s">
        <v>9</v>
      </c>
      <c r="D21" s="18" t="s">
        <v>29</v>
      </c>
      <c r="E21" s="39">
        <v>0</v>
      </c>
      <c r="F21" s="29"/>
      <c r="G21" s="29" t="s">
        <v>20</v>
      </c>
      <c r="H21" s="29"/>
      <c r="I21" s="140" t="s">
        <v>170</v>
      </c>
      <c r="J21" s="87"/>
    </row>
    <row r="22" spans="2:10" ht="17" thickBot="1">
      <c r="B22" s="32"/>
      <c r="C22" s="29" t="s">
        <v>36</v>
      </c>
      <c r="D22" s="18" t="s">
        <v>25</v>
      </c>
      <c r="E22" s="39">
        <v>0</v>
      </c>
      <c r="F22" s="29"/>
      <c r="G22" s="29" t="s">
        <v>23</v>
      </c>
      <c r="H22" s="29"/>
      <c r="I22" s="140" t="s">
        <v>170</v>
      </c>
      <c r="J22" s="87"/>
    </row>
    <row r="23" spans="2:10" ht="17" thickBot="1">
      <c r="B23" s="32"/>
      <c r="C23" s="29" t="s">
        <v>37</v>
      </c>
      <c r="D23" s="18" t="s">
        <v>44</v>
      </c>
      <c r="E23" s="81">
        <f>'Research data'!G18</f>
        <v>1500000</v>
      </c>
      <c r="F23" s="29"/>
      <c r="G23" s="29" t="s">
        <v>47</v>
      </c>
      <c r="H23" s="29"/>
      <c r="I23" s="38" t="str">
        <f>'Research data'!$O$3</f>
        <v>TNO</v>
      </c>
      <c r="J23" s="87"/>
    </row>
    <row r="24" spans="2:10" ht="17" thickBot="1">
      <c r="B24" s="32"/>
      <c r="C24" s="29" t="s">
        <v>38</v>
      </c>
      <c r="D24" s="18" t="s">
        <v>43</v>
      </c>
      <c r="E24" s="38">
        <f>'Research data'!G20</f>
        <v>26.6</v>
      </c>
      <c r="F24" s="29"/>
      <c r="G24" s="29" t="s">
        <v>48</v>
      </c>
      <c r="H24" s="29"/>
      <c r="I24" s="38" t="str">
        <f>'Research data'!$M$3</f>
        <v>EBN</v>
      </c>
      <c r="J24" s="87"/>
    </row>
    <row r="25" spans="2:10" ht="17" thickBot="1">
      <c r="B25" s="32"/>
      <c r="C25" s="29" t="s">
        <v>39</v>
      </c>
      <c r="D25" s="18" t="s">
        <v>43</v>
      </c>
      <c r="E25" s="84">
        <v>0</v>
      </c>
      <c r="F25" s="29"/>
      <c r="G25" s="29" t="s">
        <v>49</v>
      </c>
      <c r="H25" s="29"/>
      <c r="I25" s="140" t="s">
        <v>169</v>
      </c>
      <c r="J25" s="87"/>
    </row>
    <row r="26" spans="2:10" ht="17" thickBot="1">
      <c r="B26" s="32"/>
      <c r="C26" s="29" t="s">
        <v>42</v>
      </c>
      <c r="D26" s="18" t="s">
        <v>3</v>
      </c>
      <c r="E26" s="39">
        <v>0.04</v>
      </c>
      <c r="F26" s="29"/>
      <c r="G26" s="29" t="s">
        <v>19</v>
      </c>
      <c r="H26" s="29"/>
      <c r="I26" s="118" t="s">
        <v>144</v>
      </c>
      <c r="J26" s="87"/>
    </row>
    <row r="27" spans="2:10">
      <c r="B27" s="32"/>
      <c r="C27" s="29"/>
      <c r="D27" s="18"/>
      <c r="E27" s="85"/>
      <c r="F27" s="29"/>
      <c r="G27" s="29"/>
      <c r="H27" s="29"/>
      <c r="J27" s="87"/>
    </row>
    <row r="28" spans="2:10" ht="17" thickBot="1">
      <c r="B28" s="32"/>
      <c r="C28" s="13" t="s">
        <v>7</v>
      </c>
      <c r="D28" s="82"/>
      <c r="E28" s="85"/>
      <c r="J28" s="87"/>
    </row>
    <row r="29" spans="2:10" ht="17" thickBot="1">
      <c r="B29" s="32"/>
      <c r="C29" s="29" t="s">
        <v>40</v>
      </c>
      <c r="D29" s="18" t="s">
        <v>2</v>
      </c>
      <c r="E29" s="39">
        <f>'Research data'!G13</f>
        <v>2</v>
      </c>
      <c r="F29" s="29"/>
      <c r="G29" s="29" t="s">
        <v>22</v>
      </c>
      <c r="H29" s="29"/>
      <c r="I29" s="141" t="str">
        <f>'Research data'!$K$3</f>
        <v>iea-etsap</v>
      </c>
      <c r="J29" s="87"/>
    </row>
    <row r="30" spans="2:10" ht="17" thickBot="1">
      <c r="B30" s="32"/>
      <c r="C30" s="29" t="s">
        <v>41</v>
      </c>
      <c r="D30" s="18" t="s">
        <v>2</v>
      </c>
      <c r="E30" s="39">
        <f>'Research data'!G14</f>
        <v>30</v>
      </c>
      <c r="F30" s="29"/>
      <c r="G30" s="29" t="s">
        <v>21</v>
      </c>
      <c r="H30" s="29"/>
      <c r="I30" s="38" t="str">
        <f>'Research data'!$O$3</f>
        <v>TNO</v>
      </c>
      <c r="J30" s="87"/>
    </row>
    <row r="31" spans="2:10" ht="17" thickBot="1">
      <c r="B31" s="32"/>
      <c r="C31" s="29" t="s">
        <v>31</v>
      </c>
      <c r="D31" s="18" t="s">
        <v>4</v>
      </c>
      <c r="E31" s="39">
        <v>0</v>
      </c>
      <c r="F31" s="29"/>
      <c r="G31" s="29"/>
      <c r="H31" s="29"/>
      <c r="I31" s="140" t="s">
        <v>168</v>
      </c>
      <c r="J31" s="87"/>
    </row>
    <row r="32" spans="2:10" ht="20" customHeight="1" thickBot="1">
      <c r="B32" s="33"/>
      <c r="C32" s="34"/>
      <c r="D32" s="34"/>
      <c r="E32" s="34"/>
      <c r="F32" s="34"/>
      <c r="G32" s="34"/>
      <c r="H32" s="34"/>
      <c r="I32" s="34"/>
      <c r="J32" s="35"/>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21"/>
  <sheetViews>
    <sheetView workbookViewId="0">
      <selection activeCell="O11" sqref="O11"/>
    </sheetView>
  </sheetViews>
  <sheetFormatPr baseColWidth="10" defaultColWidth="10.7109375" defaultRowHeight="16"/>
  <cols>
    <col min="1" max="2" width="3.42578125" style="91" customWidth="1"/>
    <col min="3" max="3" width="35.85546875" style="91" customWidth="1"/>
    <col min="4" max="4" width="16.42578125" style="91" hidden="1" customWidth="1"/>
    <col min="5" max="5" width="13.85546875" style="91" hidden="1" customWidth="1"/>
    <col min="6" max="6" width="12.42578125" style="91" customWidth="1"/>
    <col min="7" max="7" width="10.7109375" style="91" customWidth="1"/>
    <col min="8" max="8" width="3.28515625" style="91" customWidth="1"/>
    <col min="9" max="9" width="10.7109375" style="92" customWidth="1"/>
    <col min="10" max="10" width="3.28515625" style="92" customWidth="1"/>
    <col min="11" max="11" width="10.7109375" style="92" customWidth="1"/>
    <col min="12" max="12" width="3.28515625" style="92" customWidth="1"/>
    <col min="13" max="13" width="10.7109375" style="92" customWidth="1"/>
    <col min="14" max="14" width="3.28515625" style="92" customWidth="1"/>
    <col min="15" max="15" width="10.7109375" style="92" customWidth="1"/>
    <col min="16" max="16" width="3.28515625" style="92" customWidth="1"/>
    <col min="17" max="17" width="60" style="91" customWidth="1"/>
    <col min="18" max="16384" width="10.7109375" style="91"/>
  </cols>
  <sheetData>
    <row r="1" spans="2:17" ht="17" thickBot="1"/>
    <row r="2" spans="2:17">
      <c r="B2" s="93"/>
      <c r="C2" s="94"/>
      <c r="D2" s="94"/>
      <c r="E2" s="94"/>
      <c r="F2" s="94"/>
      <c r="G2" s="94"/>
      <c r="H2" s="94"/>
      <c r="I2" s="95"/>
      <c r="J2" s="95"/>
      <c r="K2" s="95"/>
      <c r="L2" s="95"/>
      <c r="M2" s="95"/>
      <c r="N2" s="95"/>
      <c r="O2" s="95"/>
      <c r="P2" s="95"/>
      <c r="Q2" s="94"/>
    </row>
    <row r="3" spans="2:17" s="13" customFormat="1">
      <c r="B3" s="19"/>
      <c r="C3" s="89" t="s">
        <v>71</v>
      </c>
      <c r="D3" s="9"/>
      <c r="E3" s="9"/>
      <c r="F3" s="89" t="s">
        <v>11</v>
      </c>
      <c r="G3" s="89" t="s">
        <v>65</v>
      </c>
      <c r="H3" s="89"/>
      <c r="I3" s="59" t="s">
        <v>105</v>
      </c>
      <c r="J3" s="59"/>
      <c r="K3" s="59" t="s">
        <v>85</v>
      </c>
      <c r="L3" s="59"/>
      <c r="M3" s="59" t="s">
        <v>126</v>
      </c>
      <c r="N3" s="59"/>
      <c r="O3" s="59" t="s">
        <v>151</v>
      </c>
      <c r="P3" s="59"/>
      <c r="Q3" s="89" t="s">
        <v>78</v>
      </c>
    </row>
    <row r="4" spans="2:17">
      <c r="B4" s="96"/>
      <c r="C4" s="97"/>
      <c r="D4" s="97"/>
      <c r="E4" s="97"/>
      <c r="F4" s="97"/>
      <c r="G4" s="98"/>
      <c r="H4" s="98"/>
      <c r="I4" s="88"/>
      <c r="J4" s="88"/>
      <c r="K4" s="88"/>
      <c r="L4" s="88"/>
      <c r="M4" s="88"/>
      <c r="N4" s="88"/>
      <c r="O4" s="88"/>
      <c r="P4" s="88"/>
      <c r="Q4" s="9"/>
    </row>
    <row r="5" spans="2:17" ht="17" thickBot="1">
      <c r="B5" s="96"/>
      <c r="C5" s="27" t="s">
        <v>70</v>
      </c>
      <c r="D5" s="27"/>
      <c r="E5" s="27"/>
      <c r="F5" s="27"/>
      <c r="G5" s="10"/>
      <c r="H5" s="10"/>
      <c r="I5" s="10"/>
      <c r="J5" s="10"/>
      <c r="K5" s="10"/>
      <c r="L5" s="10"/>
      <c r="M5" s="10"/>
      <c r="N5" s="10"/>
      <c r="O5" s="10"/>
      <c r="P5" s="10"/>
    </row>
    <row r="6" spans="2:17" ht="17" thickBot="1">
      <c r="B6" s="96"/>
      <c r="C6" s="129" t="s">
        <v>83</v>
      </c>
      <c r="D6" s="97"/>
      <c r="E6" s="97"/>
      <c r="F6" s="99" t="s">
        <v>50</v>
      </c>
      <c r="G6" s="105">
        <f>O6</f>
        <v>15</v>
      </c>
      <c r="H6" s="99"/>
      <c r="I6" s="98"/>
      <c r="J6" s="98"/>
      <c r="K6" s="98"/>
      <c r="L6" s="10"/>
      <c r="M6" s="91">
        <f>Notes!K57</f>
        <v>14</v>
      </c>
      <c r="N6" s="91"/>
      <c r="O6" s="103">
        <f>Notes!D90</f>
        <v>15</v>
      </c>
      <c r="P6" s="91"/>
    </row>
    <row r="7" spans="2:17" ht="17" thickBot="1">
      <c r="B7" s="96"/>
      <c r="C7" s="130" t="s">
        <v>141</v>
      </c>
      <c r="D7" s="97"/>
      <c r="E7" s="97"/>
      <c r="F7" s="131" t="s">
        <v>142</v>
      </c>
      <c r="G7" s="105">
        <f>O7</f>
        <v>6000</v>
      </c>
      <c r="H7" s="99"/>
      <c r="I7" s="98"/>
      <c r="J7" s="98"/>
      <c r="K7" s="98"/>
      <c r="L7" s="10"/>
      <c r="M7" s="91">
        <f>Notes!E54</f>
        <v>6000</v>
      </c>
      <c r="N7" s="91"/>
      <c r="O7" s="103">
        <f>Notes!D91</f>
        <v>6000</v>
      </c>
      <c r="P7" s="91"/>
    </row>
    <row r="8" spans="2:17" ht="17" thickBot="1">
      <c r="B8" s="96"/>
      <c r="C8" s="137" t="s">
        <v>163</v>
      </c>
      <c r="D8" s="97"/>
      <c r="E8" s="97"/>
      <c r="F8" s="131"/>
      <c r="G8" s="139">
        <f>O8</f>
        <v>1</v>
      </c>
      <c r="H8" s="99"/>
      <c r="I8" s="98"/>
      <c r="J8" s="98"/>
      <c r="K8" s="98"/>
      <c r="L8" s="10"/>
      <c r="M8" s="91"/>
      <c r="N8" s="91"/>
      <c r="O8" s="138">
        <f>Notes!D104</f>
        <v>1</v>
      </c>
      <c r="P8" s="91"/>
    </row>
    <row r="9" spans="2:17" ht="17" thickBot="1">
      <c r="B9" s="96"/>
      <c r="C9" s="137" t="s">
        <v>164</v>
      </c>
      <c r="D9" s="97"/>
      <c r="E9" s="97"/>
      <c r="F9" s="131"/>
      <c r="G9" s="139">
        <f>O9</f>
        <v>0.05</v>
      </c>
      <c r="H9" s="99"/>
      <c r="I9" s="98"/>
      <c r="J9" s="98"/>
      <c r="K9" s="98"/>
      <c r="L9" s="10"/>
      <c r="M9" s="91"/>
      <c r="N9" s="91"/>
      <c r="O9" s="138">
        <f>Notes!D107</f>
        <v>0.05</v>
      </c>
      <c r="P9" s="91"/>
    </row>
    <row r="10" spans="2:17" ht="17" thickBot="1">
      <c r="B10" s="96"/>
      <c r="C10" s="137" t="s">
        <v>165</v>
      </c>
      <c r="D10" s="97"/>
      <c r="E10" s="97"/>
      <c r="F10" s="99"/>
      <c r="G10" s="139">
        <f>O10</f>
        <v>0.95</v>
      </c>
      <c r="H10" s="99"/>
      <c r="I10" s="98"/>
      <c r="J10" s="98"/>
      <c r="K10" s="98"/>
      <c r="L10" s="10"/>
      <c r="M10" s="91"/>
      <c r="N10" s="91"/>
      <c r="O10" s="138">
        <f>Notes!D108</f>
        <v>0.95</v>
      </c>
      <c r="P10" s="91"/>
    </row>
    <row r="11" spans="2:17">
      <c r="B11" s="96"/>
      <c r="C11" s="100"/>
      <c r="D11" s="100"/>
      <c r="E11" s="100"/>
      <c r="G11" s="101"/>
      <c r="H11" s="101"/>
      <c r="I11" s="101"/>
      <c r="J11" s="101"/>
      <c r="K11" s="101"/>
      <c r="L11" s="101"/>
      <c r="M11" s="101"/>
      <c r="N11" s="101"/>
      <c r="O11" s="101"/>
      <c r="P11" s="101"/>
    </row>
    <row r="12" spans="2:17" ht="17" thickBot="1">
      <c r="B12" s="96"/>
      <c r="C12" s="27" t="s">
        <v>7</v>
      </c>
      <c r="D12" s="27"/>
      <c r="E12" s="27"/>
      <c r="F12" s="27"/>
      <c r="G12" s="11"/>
      <c r="H12" s="11"/>
      <c r="I12" s="91"/>
      <c r="J12" s="91"/>
      <c r="K12" s="91"/>
      <c r="L12" s="91"/>
      <c r="M12" s="91"/>
      <c r="N12" s="91"/>
      <c r="O12" s="91"/>
      <c r="P12" s="91"/>
      <c r="Q12" s="132"/>
    </row>
    <row r="13" spans="2:17" ht="17" thickBot="1">
      <c r="B13" s="96"/>
      <c r="C13" s="133" t="s">
        <v>1</v>
      </c>
      <c r="D13" s="133"/>
      <c r="E13" s="133"/>
      <c r="F13" s="99" t="s">
        <v>2</v>
      </c>
      <c r="G13" s="102">
        <f>ROUND(2,0)</f>
        <v>2</v>
      </c>
      <c r="H13" s="101"/>
      <c r="I13" s="91"/>
      <c r="J13" s="91"/>
      <c r="K13" s="103">
        <f>Notes!D42/12</f>
        <v>2</v>
      </c>
      <c r="L13" s="91"/>
      <c r="M13" s="91"/>
      <c r="N13" s="91"/>
      <c r="O13" s="91"/>
      <c r="P13" s="91"/>
      <c r="Q13" s="61" t="s">
        <v>81</v>
      </c>
    </row>
    <row r="14" spans="2:17" ht="17" thickBot="1">
      <c r="B14" s="96"/>
      <c r="C14" s="134" t="s">
        <v>5</v>
      </c>
      <c r="D14" s="134"/>
      <c r="E14" s="134"/>
      <c r="F14" s="99" t="s">
        <v>2</v>
      </c>
      <c r="G14" s="105">
        <f>O14</f>
        <v>30</v>
      </c>
      <c r="H14" s="101"/>
      <c r="I14" s="91">
        <f>Notes!D20</f>
        <v>30</v>
      </c>
      <c r="J14" s="91"/>
      <c r="K14" s="91">
        <f>Notes!D43</f>
        <v>30</v>
      </c>
      <c r="L14" s="91"/>
      <c r="M14" s="91">
        <f>Notes!E68</f>
        <v>0</v>
      </c>
      <c r="N14" s="91"/>
      <c r="O14" s="103">
        <f>Notes!D92</f>
        <v>30</v>
      </c>
      <c r="P14" s="91"/>
    </row>
    <row r="15" spans="2:17">
      <c r="B15" s="96"/>
      <c r="C15" s="27"/>
      <c r="D15" s="27"/>
      <c r="E15" s="27"/>
      <c r="F15" s="27"/>
      <c r="G15" s="12"/>
      <c r="H15" s="12"/>
      <c r="I15" s="91"/>
      <c r="J15" s="91"/>
      <c r="K15" s="91"/>
      <c r="L15" s="91"/>
      <c r="M15" s="91"/>
      <c r="N15" s="91"/>
      <c r="O15" s="91"/>
      <c r="P15" s="91"/>
    </row>
    <row r="16" spans="2:17" ht="17" thickBot="1">
      <c r="B16" s="96"/>
      <c r="C16" s="27" t="s">
        <v>72</v>
      </c>
      <c r="D16" s="27"/>
      <c r="E16" s="27"/>
      <c r="F16" s="27"/>
      <c r="G16" s="12"/>
      <c r="H16" s="12"/>
      <c r="I16" s="91"/>
      <c r="J16" s="91"/>
      <c r="K16" s="91"/>
      <c r="L16" s="91"/>
      <c r="M16" s="91"/>
      <c r="N16" s="91"/>
      <c r="O16" s="91"/>
      <c r="P16" s="91"/>
    </row>
    <row r="17" spans="2:17" ht="17" thickBot="1">
      <c r="B17" s="96"/>
      <c r="C17" s="97" t="s">
        <v>73</v>
      </c>
      <c r="D17" s="27"/>
      <c r="E17" s="27"/>
      <c r="F17" s="97" t="s">
        <v>29</v>
      </c>
      <c r="G17" s="102">
        <f>O17</f>
        <v>19875000.000000004</v>
      </c>
      <c r="H17" s="12"/>
      <c r="I17" s="91"/>
      <c r="J17" s="91"/>
      <c r="K17" s="91"/>
      <c r="L17" s="91"/>
      <c r="M17" s="91">
        <f>Notes!E57</f>
        <v>26726000</v>
      </c>
      <c r="N17" s="91"/>
      <c r="O17" s="127">
        <f>Notes!D97</f>
        <v>19875000.000000004</v>
      </c>
      <c r="P17" s="91"/>
    </row>
    <row r="18" spans="2:17" ht="17" thickBot="1">
      <c r="B18" s="96"/>
      <c r="C18" s="97" t="s">
        <v>74</v>
      </c>
      <c r="D18" s="27"/>
      <c r="E18" s="27"/>
      <c r="F18" s="97" t="s">
        <v>44</v>
      </c>
      <c r="G18" s="102">
        <f>O18</f>
        <v>1500000</v>
      </c>
      <c r="H18" s="12"/>
      <c r="I18" s="104"/>
      <c r="J18" s="91"/>
      <c r="K18" s="91"/>
      <c r="L18" s="91"/>
      <c r="M18" s="91">
        <f>Notes!E59</f>
        <v>1414000</v>
      </c>
      <c r="N18" s="91"/>
      <c r="O18" s="126">
        <f>Notes!D102</f>
        <v>1500000</v>
      </c>
      <c r="P18" s="91"/>
    </row>
    <row r="19" spans="2:17" ht="17" thickBot="1">
      <c r="B19" s="96"/>
      <c r="C19" s="97" t="s">
        <v>75</v>
      </c>
      <c r="D19" s="27"/>
      <c r="E19" s="27"/>
      <c r="F19" s="97" t="s">
        <v>84</v>
      </c>
      <c r="G19" s="128"/>
      <c r="H19" s="12"/>
      <c r="I19" s="104"/>
      <c r="J19" s="91"/>
      <c r="K19" s="91"/>
      <c r="L19" s="91"/>
      <c r="M19" s="91">
        <f>Notes!E60</f>
        <v>101</v>
      </c>
      <c r="N19" s="91"/>
      <c r="O19" s="91"/>
      <c r="P19" s="91"/>
    </row>
    <row r="20" spans="2:17" ht="17" thickBot="1">
      <c r="B20" s="96"/>
      <c r="C20" s="97" t="s">
        <v>76</v>
      </c>
      <c r="D20" s="135"/>
      <c r="E20" s="135"/>
      <c r="F20" s="99" t="s">
        <v>43</v>
      </c>
      <c r="G20" s="102">
        <f>M20</f>
        <v>26.6</v>
      </c>
      <c r="H20" s="101"/>
      <c r="I20" s="104"/>
      <c r="J20" s="91"/>
      <c r="K20" s="91"/>
      <c r="L20" s="91"/>
      <c r="M20" s="103">
        <f>Notes!E61</f>
        <v>26.6</v>
      </c>
      <c r="N20" s="91"/>
      <c r="O20" s="91"/>
      <c r="P20" s="91"/>
    </row>
    <row r="21" spans="2:17" ht="17" thickBot="1">
      <c r="B21" s="96"/>
      <c r="C21" s="97" t="s">
        <v>76</v>
      </c>
      <c r="D21" s="136"/>
      <c r="E21" s="136"/>
      <c r="F21" s="99" t="s">
        <v>25</v>
      </c>
      <c r="G21" s="102">
        <f>M21</f>
        <v>1.9</v>
      </c>
      <c r="H21" s="101"/>
      <c r="I21" s="91"/>
      <c r="J21" s="91"/>
      <c r="K21" s="91"/>
      <c r="L21" s="91"/>
      <c r="M21" s="103">
        <f>Notes!E62</f>
        <v>1.9</v>
      </c>
      <c r="N21" s="91"/>
      <c r="O21" s="91"/>
      <c r="P21" s="91"/>
      <c r="Q21" s="13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35"/>
  <sheetViews>
    <sheetView tabSelected="1" workbookViewId="0">
      <selection activeCell="J7" sqref="J7"/>
    </sheetView>
  </sheetViews>
  <sheetFormatPr baseColWidth="10" defaultColWidth="33.140625" defaultRowHeight="16"/>
  <cols>
    <col min="1" max="1" width="3.28515625" style="40" customWidth="1"/>
    <col min="2" max="2" width="3.42578125" style="40" customWidth="1"/>
    <col min="3" max="3" width="48.28515625" style="40" bestFit="1" customWidth="1"/>
    <col min="4" max="4" width="3.140625" style="40" customWidth="1"/>
    <col min="5" max="5" width="16.140625" style="40" customWidth="1"/>
    <col min="6" max="6" width="10.28515625" style="40" customWidth="1"/>
    <col min="7" max="9" width="12.140625" style="40" customWidth="1"/>
    <col min="10" max="10" width="34.42578125" style="41" customWidth="1"/>
    <col min="11" max="11" width="60.42578125" style="40" customWidth="1"/>
    <col min="12" max="16384" width="33.140625" style="40"/>
  </cols>
  <sheetData>
    <row r="1" spans="2:12" ht="17" thickBot="1"/>
    <row r="2" spans="2:12">
      <c r="B2" s="42"/>
      <c r="C2" s="43"/>
      <c r="D2" s="43"/>
      <c r="E2" s="43"/>
      <c r="F2" s="43"/>
      <c r="G2" s="43"/>
      <c r="H2" s="43"/>
      <c r="I2" s="43"/>
      <c r="J2" s="44"/>
      <c r="K2" s="43"/>
    </row>
    <row r="3" spans="2:12">
      <c r="B3" s="45"/>
      <c r="C3" s="46" t="s">
        <v>18</v>
      </c>
      <c r="D3" s="46"/>
      <c r="E3" s="46"/>
      <c r="F3" s="46"/>
      <c r="G3" s="46"/>
      <c r="H3" s="46"/>
      <c r="I3" s="46"/>
      <c r="J3" s="47"/>
    </row>
    <row r="4" spans="2:12">
      <c r="B4" s="45"/>
    </row>
    <row r="5" spans="2:12">
      <c r="B5" s="48"/>
      <c r="C5" s="49" t="s">
        <v>26</v>
      </c>
      <c r="D5" s="49"/>
      <c r="E5" s="49" t="s">
        <v>0</v>
      </c>
      <c r="F5" s="49" t="s">
        <v>15</v>
      </c>
      <c r="G5" s="49" t="s">
        <v>27</v>
      </c>
      <c r="H5" s="49" t="s">
        <v>90</v>
      </c>
      <c r="I5" s="49" t="s">
        <v>153</v>
      </c>
      <c r="J5" s="50" t="s">
        <v>102</v>
      </c>
      <c r="K5" s="49" t="s">
        <v>12</v>
      </c>
    </row>
    <row r="6" spans="2:12">
      <c r="B6" s="45"/>
      <c r="C6" s="46"/>
      <c r="D6" s="46"/>
      <c r="E6" s="46"/>
      <c r="F6" s="46"/>
      <c r="G6" s="46"/>
      <c r="H6" s="46"/>
      <c r="I6" s="46"/>
      <c r="J6" s="47"/>
      <c r="K6" s="46"/>
    </row>
    <row r="7" spans="2:12">
      <c r="B7" s="45"/>
      <c r="C7" s="40" t="s">
        <v>154</v>
      </c>
      <c r="E7" s="40" t="s">
        <v>151</v>
      </c>
      <c r="F7" s="40" t="s">
        <v>138</v>
      </c>
      <c r="G7" s="40">
        <v>2021</v>
      </c>
      <c r="I7" s="40">
        <v>2023</v>
      </c>
      <c r="J7" s="153" t="s">
        <v>173</v>
      </c>
      <c r="K7" s="40" t="s">
        <v>152</v>
      </c>
      <c r="L7" s="120"/>
    </row>
    <row r="8" spans="2:12">
      <c r="B8" s="45"/>
      <c r="J8" s="121"/>
    </row>
    <row r="9" spans="2:12">
      <c r="B9" s="45"/>
      <c r="J9" s="121"/>
    </row>
    <row r="10" spans="2:12">
      <c r="B10" s="45"/>
      <c r="J10" s="121"/>
    </row>
    <row r="11" spans="2:12">
      <c r="B11" s="45"/>
      <c r="C11" s="57"/>
      <c r="D11" s="51"/>
      <c r="E11" s="40" t="s">
        <v>85</v>
      </c>
      <c r="F11" s="40" t="s">
        <v>51</v>
      </c>
      <c r="G11" s="41" t="s">
        <v>87</v>
      </c>
      <c r="H11" s="41" t="s">
        <v>87</v>
      </c>
      <c r="I11" s="41"/>
      <c r="J11" s="41" t="s">
        <v>103</v>
      </c>
      <c r="K11" s="61" t="s">
        <v>86</v>
      </c>
    </row>
    <row r="12" spans="2:12">
      <c r="B12" s="45"/>
      <c r="C12" s="52" t="s">
        <v>1</v>
      </c>
      <c r="D12" s="52"/>
      <c r="G12" s="41"/>
      <c r="H12" s="41"/>
      <c r="I12" s="41"/>
      <c r="K12" s="62"/>
    </row>
    <row r="13" spans="2:12">
      <c r="B13" s="45"/>
      <c r="C13" s="51" t="s">
        <v>52</v>
      </c>
      <c r="D13" s="52"/>
      <c r="G13" s="41"/>
      <c r="H13" s="41"/>
      <c r="I13" s="41"/>
      <c r="K13" s="62"/>
    </row>
    <row r="14" spans="2:12">
      <c r="B14" s="45"/>
      <c r="C14" s="56"/>
      <c r="D14" s="56"/>
      <c r="E14" s="51"/>
      <c r="F14" s="53"/>
      <c r="G14" s="54"/>
      <c r="H14" s="54"/>
      <c r="I14" s="54"/>
      <c r="J14" s="54"/>
      <c r="K14" s="51"/>
    </row>
    <row r="15" spans="2:12">
      <c r="B15" s="45"/>
      <c r="C15" s="51"/>
      <c r="D15" s="51"/>
      <c r="E15" s="40" t="s">
        <v>105</v>
      </c>
      <c r="F15" s="51" t="s">
        <v>51</v>
      </c>
      <c r="G15" s="60">
        <v>2011</v>
      </c>
      <c r="H15" s="60">
        <v>2011</v>
      </c>
      <c r="I15" s="51"/>
      <c r="J15" s="58" t="s">
        <v>104</v>
      </c>
      <c r="K15" s="55" t="s">
        <v>92</v>
      </c>
    </row>
    <row r="16" spans="2:12">
      <c r="B16" s="45"/>
      <c r="C16" s="52" t="s">
        <v>77</v>
      </c>
      <c r="D16" s="51"/>
      <c r="F16" s="51"/>
      <c r="G16" s="60"/>
      <c r="H16" s="60"/>
      <c r="I16" s="51"/>
      <c r="J16" s="58"/>
      <c r="K16" s="55"/>
    </row>
    <row r="17" spans="2:11">
      <c r="B17" s="45"/>
      <c r="C17" s="52" t="s">
        <v>88</v>
      </c>
      <c r="D17" s="51"/>
      <c r="F17" s="51"/>
      <c r="G17" s="60"/>
      <c r="H17" s="60"/>
      <c r="I17" s="51"/>
      <c r="J17" s="58"/>
      <c r="K17" s="51"/>
    </row>
    <row r="18" spans="2:11">
      <c r="B18" s="45"/>
      <c r="C18" s="52" t="s">
        <v>5</v>
      </c>
      <c r="D18" s="51"/>
      <c r="F18" s="51"/>
      <c r="G18" s="60"/>
      <c r="H18" s="60"/>
      <c r="I18" s="51"/>
      <c r="J18" s="58"/>
      <c r="K18" s="51"/>
    </row>
    <row r="19" spans="2:11">
      <c r="B19" s="45"/>
      <c r="C19" s="52" t="s">
        <v>89</v>
      </c>
      <c r="D19" s="51"/>
      <c r="F19" s="51"/>
      <c r="G19" s="60"/>
      <c r="H19" s="60"/>
      <c r="I19" s="51"/>
      <c r="J19" s="58"/>
      <c r="K19" s="51"/>
    </row>
    <row r="20" spans="2:11">
      <c r="B20" s="45"/>
    </row>
    <row r="21" spans="2:11">
      <c r="B21" s="45"/>
    </row>
    <row r="22" spans="2:11">
      <c r="B22" s="45"/>
      <c r="C22" s="114" t="s">
        <v>137</v>
      </c>
      <c r="E22" s="40" t="s">
        <v>126</v>
      </c>
      <c r="F22" s="40" t="s">
        <v>138</v>
      </c>
      <c r="G22" s="40">
        <v>2019</v>
      </c>
      <c r="H22" s="40">
        <v>2019</v>
      </c>
      <c r="K22" s="40" t="s">
        <v>139</v>
      </c>
    </row>
    <row r="23" spans="2:11">
      <c r="B23" s="45"/>
      <c r="C23" s="115" t="s">
        <v>8</v>
      </c>
    </row>
    <row r="24" spans="2:11">
      <c r="B24" s="45"/>
      <c r="C24" s="114" t="s">
        <v>140</v>
      </c>
    </row>
    <row r="25" spans="2:11">
      <c r="B25" s="45"/>
      <c r="C25" s="114" t="s">
        <v>88</v>
      </c>
    </row>
    <row r="26" spans="2:11">
      <c r="B26" s="45"/>
      <c r="C26" s="114" t="s">
        <v>48</v>
      </c>
    </row>
    <row r="27" spans="2:11">
      <c r="B27" s="45"/>
      <c r="C27" s="114" t="s">
        <v>48</v>
      </c>
    </row>
    <row r="28" spans="2:11">
      <c r="B28" s="45"/>
      <c r="C28" s="114" t="s">
        <v>129</v>
      </c>
    </row>
    <row r="29" spans="2:11">
      <c r="B29" s="45"/>
      <c r="C29" s="114" t="s">
        <v>130</v>
      </c>
    </row>
    <row r="30" spans="2:11">
      <c r="B30" s="45"/>
    </row>
    <row r="31" spans="2:11">
      <c r="B31" s="45"/>
      <c r="C31" s="40" t="s">
        <v>147</v>
      </c>
      <c r="D31" s="40" t="s">
        <v>148</v>
      </c>
      <c r="E31" s="40" t="s">
        <v>138</v>
      </c>
      <c r="G31" s="40">
        <v>2019</v>
      </c>
      <c r="H31" s="40">
        <v>2020</v>
      </c>
      <c r="J31" s="41" t="s">
        <v>149</v>
      </c>
    </row>
    <row r="32" spans="2:11">
      <c r="B32" s="45"/>
    </row>
    <row r="33" spans="2:2">
      <c r="B33" s="45"/>
    </row>
    <row r="34" spans="2:2">
      <c r="B34" s="45"/>
    </row>
    <row r="35" spans="2:2">
      <c r="B35" s="45"/>
    </row>
  </sheetData>
  <pageMargins left="0.75" right="0.75" top="1" bottom="1" header="0.5" footer="0.5"/>
  <pageSetup paperSize="9" orientation="portrait" horizontalDpi="4294967292" verticalDpi="4294967292"/>
  <ignoredErrors>
    <ignoredError sqref="G11:H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R108"/>
  <sheetViews>
    <sheetView topLeftCell="A87" zoomScale="87" workbookViewId="0">
      <selection activeCell="D114" sqref="D114"/>
    </sheetView>
  </sheetViews>
  <sheetFormatPr baseColWidth="10" defaultColWidth="10.7109375" defaultRowHeight="16"/>
  <cols>
    <col min="1" max="1" width="5.28515625" style="106" customWidth="1"/>
    <col min="2" max="2" width="5.42578125" style="106" customWidth="1"/>
    <col min="3" max="3" width="51.28515625" style="106" bestFit="1" customWidth="1"/>
    <col min="4" max="4" width="12.85546875" style="106" bestFit="1" customWidth="1"/>
    <col min="5" max="16384" width="10.7109375" style="106"/>
  </cols>
  <sheetData>
    <row r="1" spans="2:13" ht="17" thickBot="1"/>
    <row r="2" spans="2:13" s="13" customFormat="1">
      <c r="B2" s="108"/>
      <c r="C2" s="109" t="s">
        <v>64</v>
      </c>
      <c r="D2" s="109" t="s">
        <v>91</v>
      </c>
      <c r="E2" s="109"/>
      <c r="F2" s="109"/>
      <c r="G2" s="109"/>
      <c r="H2" s="109"/>
      <c r="I2" s="109"/>
      <c r="J2" s="109"/>
      <c r="K2" s="109"/>
      <c r="L2" s="109"/>
      <c r="M2" s="109"/>
    </row>
    <row r="3" spans="2:13">
      <c r="B3" s="107"/>
    </row>
    <row r="4" spans="2:13">
      <c r="B4" s="107"/>
      <c r="C4" s="106" t="s">
        <v>105</v>
      </c>
    </row>
    <row r="5" spans="2:13">
      <c r="B5" s="107"/>
      <c r="C5" s="106" t="s">
        <v>93</v>
      </c>
    </row>
    <row r="6" spans="2:13">
      <c r="B6" s="107"/>
    </row>
    <row r="7" spans="2:13">
      <c r="B7" s="107"/>
    </row>
    <row r="8" spans="2:13">
      <c r="B8" s="107"/>
    </row>
    <row r="9" spans="2:13">
      <c r="B9" s="107"/>
    </row>
    <row r="10" spans="2:13">
      <c r="B10" s="107"/>
    </row>
    <row r="11" spans="2:13">
      <c r="B11" s="107"/>
    </row>
    <row r="12" spans="2:13">
      <c r="B12" s="107"/>
    </row>
    <row r="13" spans="2:13">
      <c r="B13" s="107"/>
    </row>
    <row r="14" spans="2:13">
      <c r="B14" s="107"/>
    </row>
    <row r="15" spans="2:13">
      <c r="B15" s="107"/>
    </row>
    <row r="16" spans="2:13">
      <c r="B16" s="107"/>
    </row>
    <row r="17" spans="2:5">
      <c r="B17" s="107"/>
      <c r="D17" s="106">
        <v>10</v>
      </c>
      <c r="E17" s="106" t="s">
        <v>50</v>
      </c>
    </row>
    <row r="18" spans="2:5">
      <c r="B18" s="107"/>
      <c r="C18" s="106" t="s">
        <v>96</v>
      </c>
      <c r="D18" s="106">
        <v>800</v>
      </c>
      <c r="E18" s="106" t="s">
        <v>94</v>
      </c>
    </row>
    <row r="19" spans="2:5">
      <c r="B19" s="107"/>
      <c r="C19" s="106" t="s">
        <v>97</v>
      </c>
      <c r="D19" s="106">
        <v>50</v>
      </c>
      <c r="E19" s="106" t="s">
        <v>94</v>
      </c>
    </row>
    <row r="20" spans="2:5">
      <c r="B20" s="107"/>
      <c r="C20" s="106" t="s">
        <v>98</v>
      </c>
      <c r="D20" s="106">
        <v>30</v>
      </c>
      <c r="E20" s="106" t="s">
        <v>95</v>
      </c>
    </row>
    <row r="21" spans="2:5">
      <c r="B21" s="107"/>
    </row>
    <row r="22" spans="2:5">
      <c r="B22" s="107"/>
    </row>
    <row r="23" spans="2:5">
      <c r="B23" s="107"/>
    </row>
    <row r="24" spans="2:5">
      <c r="B24" s="107"/>
    </row>
    <row r="25" spans="2:5">
      <c r="B25" s="107"/>
    </row>
    <row r="26" spans="2:5">
      <c r="B26" s="107"/>
    </row>
    <row r="27" spans="2:5">
      <c r="B27" s="107"/>
    </row>
    <row r="28" spans="2:5">
      <c r="B28" s="107"/>
    </row>
    <row r="29" spans="2:5">
      <c r="B29" s="107"/>
    </row>
    <row r="30" spans="2:5">
      <c r="B30" s="107"/>
    </row>
    <row r="31" spans="2:5">
      <c r="B31" s="107"/>
      <c r="C31" s="106" t="s">
        <v>85</v>
      </c>
    </row>
    <row r="32" spans="2:5">
      <c r="B32" s="107"/>
      <c r="C32" s="106" t="s">
        <v>99</v>
      </c>
    </row>
    <row r="33" spans="2:5">
      <c r="B33" s="107"/>
    </row>
    <row r="34" spans="2:5">
      <c r="B34" s="107"/>
    </row>
    <row r="35" spans="2:5">
      <c r="B35" s="107"/>
    </row>
    <row r="36" spans="2:5">
      <c r="B36" s="107"/>
    </row>
    <row r="37" spans="2:5">
      <c r="B37" s="107"/>
    </row>
    <row r="38" spans="2:5">
      <c r="B38" s="107"/>
    </row>
    <row r="39" spans="2:5">
      <c r="B39" s="107"/>
    </row>
    <row r="40" spans="2:5">
      <c r="B40" s="107"/>
    </row>
    <row r="41" spans="2:5">
      <c r="B41" s="107"/>
    </row>
    <row r="42" spans="2:5">
      <c r="B42" s="107"/>
      <c r="C42" s="106" t="s">
        <v>101</v>
      </c>
      <c r="D42" s="106">
        <v>24</v>
      </c>
      <c r="E42" s="106" t="s">
        <v>100</v>
      </c>
    </row>
    <row r="43" spans="2:5">
      <c r="B43" s="107"/>
      <c r="C43" s="106" t="s">
        <v>98</v>
      </c>
      <c r="D43" s="106">
        <v>30</v>
      </c>
      <c r="E43" s="106" t="s">
        <v>95</v>
      </c>
    </row>
    <row r="44" spans="2:5">
      <c r="B44" s="107"/>
    </row>
    <row r="45" spans="2:5">
      <c r="B45" s="107"/>
    </row>
    <row r="46" spans="2:5">
      <c r="B46" s="107"/>
    </row>
    <row r="47" spans="2:5">
      <c r="B47" s="107"/>
    </row>
    <row r="48" spans="2:5">
      <c r="B48" s="107"/>
    </row>
    <row r="49" spans="2:18">
      <c r="B49" s="107"/>
    </row>
    <row r="51" spans="2:18">
      <c r="G51" s="112" t="s">
        <v>127</v>
      </c>
      <c r="H51" s="110"/>
      <c r="I51" s="110"/>
      <c r="J51" s="110"/>
      <c r="K51" s="110"/>
      <c r="L51" s="110"/>
      <c r="M51" s="110"/>
      <c r="N51" s="110"/>
      <c r="O51" s="110"/>
      <c r="P51" s="110"/>
      <c r="Q51" s="110"/>
      <c r="R51" s="110"/>
    </row>
    <row r="52" spans="2:18">
      <c r="C52" s="113" t="s">
        <v>128</v>
      </c>
      <c r="G52" s="110"/>
      <c r="H52" s="110"/>
      <c r="I52" s="110"/>
      <c r="J52" s="110"/>
      <c r="K52" s="110"/>
      <c r="L52" s="110"/>
      <c r="M52" s="110"/>
      <c r="N52" s="110"/>
      <c r="O52" s="110"/>
      <c r="P52" s="110"/>
      <c r="Q52" s="110"/>
      <c r="R52" s="110"/>
    </row>
    <row r="53" spans="2:18">
      <c r="G53" s="110" t="s">
        <v>107</v>
      </c>
      <c r="H53" s="110"/>
      <c r="I53" s="110"/>
      <c r="J53" s="110"/>
      <c r="K53" s="110" t="s">
        <v>108</v>
      </c>
      <c r="L53" s="110"/>
      <c r="M53" s="110"/>
      <c r="N53" s="110"/>
      <c r="O53" s="110"/>
      <c r="P53" s="110"/>
      <c r="Q53" s="110" t="s">
        <v>109</v>
      </c>
      <c r="R53" s="110"/>
    </row>
    <row r="54" spans="2:18">
      <c r="C54" s="113" t="s">
        <v>129</v>
      </c>
      <c r="E54" s="106">
        <f>K59</f>
        <v>6000</v>
      </c>
      <c r="G54" s="110"/>
      <c r="H54" s="110"/>
      <c r="I54" s="110"/>
      <c r="J54" s="110"/>
      <c r="K54" s="110"/>
      <c r="L54" s="110"/>
      <c r="M54" s="110"/>
      <c r="N54" s="110"/>
      <c r="O54" s="110"/>
      <c r="P54" s="110"/>
      <c r="Q54" s="110"/>
      <c r="R54" s="110"/>
    </row>
    <row r="55" spans="2:18">
      <c r="C55" s="113" t="s">
        <v>130</v>
      </c>
      <c r="E55" s="106">
        <f>K57</f>
        <v>14</v>
      </c>
      <c r="F55" s="113" t="s">
        <v>50</v>
      </c>
      <c r="G55" s="110" t="s">
        <v>110</v>
      </c>
      <c r="H55" s="110"/>
      <c r="I55" s="110"/>
      <c r="J55" s="110"/>
      <c r="K55" s="110" t="s">
        <v>111</v>
      </c>
      <c r="L55" s="110"/>
      <c r="M55" s="110"/>
      <c r="N55" s="110"/>
      <c r="O55" s="110"/>
      <c r="P55" s="110"/>
      <c r="Q55" s="110" t="s">
        <v>112</v>
      </c>
      <c r="R55" s="110"/>
    </row>
    <row r="56" spans="2:18">
      <c r="E56" s="106">
        <f>E55*1000</f>
        <v>14000</v>
      </c>
      <c r="F56" s="113" t="s">
        <v>131</v>
      </c>
      <c r="G56" s="110"/>
      <c r="H56" s="110"/>
      <c r="I56" s="110"/>
      <c r="J56" s="110"/>
      <c r="K56" s="110"/>
      <c r="L56" s="110"/>
      <c r="M56" s="110"/>
      <c r="N56" s="110"/>
      <c r="O56" s="110"/>
      <c r="P56" s="110"/>
      <c r="Q56" s="110"/>
      <c r="R56" s="110"/>
    </row>
    <row r="57" spans="2:18">
      <c r="C57" s="106" t="s">
        <v>73</v>
      </c>
      <c r="D57" s="106" t="s">
        <v>29</v>
      </c>
      <c r="E57" s="106">
        <f>K61*E56</f>
        <v>26726000</v>
      </c>
      <c r="G57" s="110" t="s">
        <v>113</v>
      </c>
      <c r="H57" s="110"/>
      <c r="I57" s="110"/>
      <c r="J57" s="110"/>
      <c r="K57" s="110">
        <v>14</v>
      </c>
      <c r="L57" s="110" t="s">
        <v>50</v>
      </c>
      <c r="M57" s="110"/>
      <c r="N57" s="110"/>
      <c r="O57" s="110"/>
      <c r="P57" s="110"/>
      <c r="Q57" s="110">
        <v>30</v>
      </c>
      <c r="R57" s="110" t="s">
        <v>50</v>
      </c>
    </row>
    <row r="58" spans="2:18">
      <c r="C58" s="106" t="s">
        <v>8</v>
      </c>
      <c r="D58" s="106" t="s">
        <v>132</v>
      </c>
      <c r="E58" s="106">
        <f>K61</f>
        <v>1909</v>
      </c>
      <c r="G58" s="110"/>
      <c r="H58" s="110"/>
      <c r="I58" s="110"/>
      <c r="J58" s="110"/>
      <c r="K58" s="110"/>
      <c r="L58" s="110"/>
      <c r="M58" s="110"/>
      <c r="N58" s="110"/>
      <c r="O58" s="110"/>
      <c r="P58" s="110"/>
      <c r="Q58" s="110"/>
      <c r="R58" s="110"/>
    </row>
    <row r="59" spans="2:18">
      <c r="C59" s="106" t="s">
        <v>74</v>
      </c>
      <c r="D59" s="106" t="s">
        <v>44</v>
      </c>
      <c r="E59" s="106">
        <f>E60*E56</f>
        <v>1414000</v>
      </c>
      <c r="G59" s="110" t="s">
        <v>114</v>
      </c>
      <c r="H59" s="110"/>
      <c r="I59" s="110"/>
      <c r="J59" s="110"/>
      <c r="K59" s="110">
        <v>6000</v>
      </c>
      <c r="L59" s="110" t="s">
        <v>115</v>
      </c>
      <c r="M59" s="110"/>
      <c r="N59" s="110"/>
      <c r="O59" s="110"/>
      <c r="P59" s="110"/>
      <c r="Q59" s="110">
        <v>7000</v>
      </c>
      <c r="R59" s="110" t="s">
        <v>115</v>
      </c>
    </row>
    <row r="60" spans="2:18">
      <c r="C60" s="106" t="s">
        <v>75</v>
      </c>
      <c r="D60" s="117" t="s">
        <v>143</v>
      </c>
      <c r="E60" s="106">
        <f>K63</f>
        <v>101</v>
      </c>
      <c r="G60" s="110"/>
      <c r="H60" s="110"/>
      <c r="I60" s="110"/>
      <c r="J60" s="110"/>
      <c r="K60" s="110"/>
      <c r="L60" s="110"/>
      <c r="M60" s="110"/>
      <c r="N60" s="110"/>
      <c r="O60" s="110"/>
      <c r="P60" s="110"/>
      <c r="Q60" s="110"/>
      <c r="R60" s="110"/>
    </row>
    <row r="61" spans="2:18" ht="17">
      <c r="C61" s="106" t="s">
        <v>76</v>
      </c>
      <c r="D61" s="106" t="s">
        <v>43</v>
      </c>
      <c r="E61" s="106">
        <f>E66</f>
        <v>26.6</v>
      </c>
      <c r="G61" s="110" t="s">
        <v>116</v>
      </c>
      <c r="H61" s="110"/>
      <c r="I61" s="110"/>
      <c r="J61" s="110"/>
      <c r="K61" s="110">
        <v>1909</v>
      </c>
      <c r="L61" s="110" t="s">
        <v>117</v>
      </c>
      <c r="M61" s="110"/>
      <c r="N61" s="110"/>
      <c r="O61" s="110"/>
      <c r="P61" s="110"/>
      <c r="Q61" s="110">
        <v>2509</v>
      </c>
      <c r="R61" s="110"/>
    </row>
    <row r="62" spans="2:18">
      <c r="C62" s="106" t="s">
        <v>76</v>
      </c>
      <c r="D62" s="106" t="s">
        <v>25</v>
      </c>
      <c r="E62" s="106">
        <f>E65/(E64/1000)</f>
        <v>1.9</v>
      </c>
      <c r="G62" s="110"/>
      <c r="H62" s="110"/>
      <c r="I62" s="110"/>
      <c r="J62" s="110"/>
      <c r="K62" s="110"/>
      <c r="L62" s="110"/>
      <c r="M62" s="110"/>
      <c r="N62" s="110"/>
      <c r="O62" s="110"/>
      <c r="P62" s="110"/>
      <c r="Q62" s="110"/>
      <c r="R62" s="110"/>
    </row>
    <row r="63" spans="2:18" ht="17">
      <c r="G63" s="110" t="s">
        <v>118</v>
      </c>
      <c r="H63" s="110"/>
      <c r="I63" s="110"/>
      <c r="J63" s="110"/>
      <c r="K63" s="110">
        <v>101</v>
      </c>
      <c r="L63" s="110" t="s">
        <v>119</v>
      </c>
      <c r="M63" s="110"/>
      <c r="N63" s="110"/>
      <c r="O63" s="110"/>
      <c r="P63" s="110"/>
      <c r="Q63" s="110">
        <v>107</v>
      </c>
      <c r="R63" s="110"/>
    </row>
    <row r="64" spans="2:18">
      <c r="C64" s="113" t="s">
        <v>133</v>
      </c>
      <c r="D64" s="113" t="s">
        <v>134</v>
      </c>
      <c r="E64" s="106">
        <f>E54*E56</f>
        <v>84000000</v>
      </c>
      <c r="G64" s="110"/>
      <c r="H64" s="110"/>
      <c r="I64" s="110"/>
      <c r="J64" s="110"/>
      <c r="K64" s="110"/>
      <c r="L64" s="110"/>
      <c r="M64" s="110"/>
      <c r="N64" s="110"/>
      <c r="O64" s="110"/>
      <c r="P64" s="110"/>
      <c r="Q64" s="110"/>
      <c r="R64" s="110"/>
    </row>
    <row r="65" spans="3:18" ht="17">
      <c r="C65" s="113" t="s">
        <v>135</v>
      </c>
      <c r="D65" s="113" t="s">
        <v>29</v>
      </c>
      <c r="E65" s="106">
        <f>E64*K65</f>
        <v>159600</v>
      </c>
      <c r="G65" s="110" t="s">
        <v>120</v>
      </c>
      <c r="H65" s="110"/>
      <c r="I65" s="110"/>
      <c r="J65" s="110"/>
      <c r="K65" s="110">
        <v>1.9E-3</v>
      </c>
      <c r="L65" s="110" t="s">
        <v>121</v>
      </c>
      <c r="M65" s="110"/>
      <c r="N65" s="110"/>
      <c r="O65" s="110"/>
      <c r="P65" s="110"/>
      <c r="Q65" s="110">
        <v>7.6E-3</v>
      </c>
      <c r="R65" s="110"/>
    </row>
    <row r="66" spans="3:18">
      <c r="C66" s="113" t="s">
        <v>136</v>
      </c>
      <c r="D66" s="113" t="s">
        <v>43</v>
      </c>
      <c r="E66" s="106">
        <f>E65/E54</f>
        <v>26.6</v>
      </c>
      <c r="G66" s="110"/>
      <c r="H66" s="110"/>
      <c r="I66" s="110"/>
      <c r="J66" s="110"/>
      <c r="K66" s="110"/>
      <c r="L66" s="110"/>
      <c r="M66" s="110"/>
      <c r="N66" s="110"/>
      <c r="O66" s="110"/>
      <c r="P66" s="110"/>
      <c r="Q66" s="110"/>
      <c r="R66" s="110"/>
    </row>
    <row r="67" spans="3:18">
      <c r="G67" s="110" t="s">
        <v>122</v>
      </c>
      <c r="H67" s="110"/>
      <c r="I67" s="110"/>
      <c r="J67" s="110"/>
      <c r="K67" s="110">
        <v>15</v>
      </c>
      <c r="L67" s="110" t="s">
        <v>2</v>
      </c>
      <c r="M67" s="110"/>
      <c r="N67" s="110"/>
      <c r="O67" s="110"/>
      <c r="P67" s="110"/>
      <c r="Q67" s="110">
        <v>15</v>
      </c>
      <c r="R67" s="110" t="s">
        <v>2</v>
      </c>
    </row>
    <row r="68" spans="3:18">
      <c r="G68" s="111" t="s">
        <v>123</v>
      </c>
      <c r="H68" s="110"/>
      <c r="I68" s="110"/>
      <c r="J68" s="110"/>
      <c r="K68" s="110"/>
      <c r="L68" s="110"/>
      <c r="M68" s="110"/>
      <c r="N68" s="110"/>
      <c r="O68" s="110"/>
      <c r="P68" s="110"/>
      <c r="Q68" s="110"/>
      <c r="R68" s="110"/>
    </row>
    <row r="69" spans="3:18">
      <c r="G69" s="110"/>
      <c r="H69" s="110"/>
      <c r="I69" s="110"/>
      <c r="J69" s="110"/>
      <c r="K69" s="110"/>
      <c r="L69" s="110"/>
      <c r="M69" s="110"/>
      <c r="N69" s="110"/>
      <c r="O69" s="110"/>
      <c r="P69" s="110"/>
      <c r="Q69" s="110"/>
      <c r="R69" s="110"/>
    </row>
    <row r="70" spans="3:18">
      <c r="G70" s="110" t="s">
        <v>124</v>
      </c>
      <c r="H70" s="110"/>
      <c r="I70" s="110"/>
      <c r="J70" s="110"/>
      <c r="K70" s="110">
        <v>2.5</v>
      </c>
      <c r="L70" s="110" t="s">
        <v>125</v>
      </c>
      <c r="M70" s="110"/>
      <c r="N70" s="110"/>
      <c r="O70" s="110"/>
      <c r="P70" s="110"/>
      <c r="Q70" s="110">
        <v>2.5</v>
      </c>
      <c r="R70" s="110" t="s">
        <v>125</v>
      </c>
    </row>
    <row r="72" spans="3:18">
      <c r="C72" s="13" t="s">
        <v>147</v>
      </c>
    </row>
    <row r="73" spans="3:18">
      <c r="C73" s="119" t="s">
        <v>145</v>
      </c>
      <c r="D73" s="117">
        <v>4.3400000000000001E-2</v>
      </c>
    </row>
    <row r="74" spans="3:18">
      <c r="C74" s="119" t="s">
        <v>146</v>
      </c>
      <c r="D74" s="106">
        <f>1-D73</f>
        <v>0.95660000000000001</v>
      </c>
    </row>
    <row r="88" spans="3:4">
      <c r="C88" s="123" t="s">
        <v>151</v>
      </c>
    </row>
    <row r="90" spans="3:4">
      <c r="C90" s="122" t="s">
        <v>155</v>
      </c>
      <c r="D90" s="106">
        <v>15</v>
      </c>
    </row>
    <row r="91" spans="3:4">
      <c r="C91" s="122" t="s">
        <v>129</v>
      </c>
      <c r="D91" s="106">
        <v>6000</v>
      </c>
    </row>
    <row r="92" spans="3:4">
      <c r="C92" s="122" t="s">
        <v>156</v>
      </c>
      <c r="D92" s="106">
        <v>30</v>
      </c>
    </row>
    <row r="94" spans="3:4">
      <c r="C94" s="122" t="s">
        <v>157</v>
      </c>
      <c r="D94" s="106">
        <v>1.04</v>
      </c>
    </row>
    <row r="95" spans="3:4">
      <c r="C95" s="122" t="s">
        <v>161</v>
      </c>
      <c r="D95" s="106">
        <v>1.61</v>
      </c>
    </row>
    <row r="96" spans="3:4">
      <c r="C96" s="122" t="s">
        <v>162</v>
      </c>
      <c r="D96" s="124">
        <f>AVERAGE(D94:D95)</f>
        <v>1.3250000000000002</v>
      </c>
    </row>
    <row r="97" spans="3:4">
      <c r="C97" s="122" t="s">
        <v>167</v>
      </c>
      <c r="D97" s="125">
        <f>D96*D90*1000000</f>
        <v>19875000.000000004</v>
      </c>
    </row>
    <row r="99" spans="3:4">
      <c r="C99" s="122" t="s">
        <v>158</v>
      </c>
      <c r="D99" s="124">
        <v>0.1</v>
      </c>
    </row>
    <row r="100" spans="3:4">
      <c r="C100" s="122" t="s">
        <v>159</v>
      </c>
      <c r="D100" s="106">
        <v>0.13</v>
      </c>
    </row>
    <row r="101" spans="3:4">
      <c r="C101" s="122" t="s">
        <v>160</v>
      </c>
      <c r="D101" s="124">
        <f>AVERAGE(D99:D100)</f>
        <v>0.115</v>
      </c>
    </row>
    <row r="102" spans="3:4">
      <c r="C102" s="122" t="s">
        <v>166</v>
      </c>
      <c r="D102" s="125">
        <f>D99*D90*1000000</f>
        <v>1500000</v>
      </c>
    </row>
    <row r="104" spans="3:4">
      <c r="C104" s="122" t="s">
        <v>163</v>
      </c>
      <c r="D104" s="124">
        <v>1</v>
      </c>
    </row>
    <row r="105" spans="3:4">
      <c r="C105" s="122" t="s">
        <v>164</v>
      </c>
      <c r="D105" s="122">
        <v>0.05</v>
      </c>
    </row>
    <row r="106" spans="3:4">
      <c r="C106" s="122" t="s">
        <v>165</v>
      </c>
      <c r="D106" s="124">
        <v>1</v>
      </c>
    </row>
    <row r="107" spans="3:4">
      <c r="C107" s="142" t="s">
        <v>171</v>
      </c>
      <c r="D107" s="106">
        <f>ROUND(D105/SUM(D105:D106),2)</f>
        <v>0.05</v>
      </c>
    </row>
    <row r="108" spans="3:4">
      <c r="C108" s="142" t="s">
        <v>172</v>
      </c>
      <c r="D108" s="106">
        <f>ROUND(D106/SUM(D105:D106),2)</f>
        <v>0.95</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2023-08-23T11:52:43Z</dcterms:modified>
</cp:coreProperties>
</file>