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athijsbijkerk/Projects/etdataset/source_analyses/general/11_area/"/>
    </mc:Choice>
  </mc:AlternateContent>
  <xr:revisionPtr revIDLastSave="0" documentId="13_ncr:1_{4AC612D8-63F6-1E46-921E-B26C6D560239}" xr6:coauthVersionLast="47" xr6:coauthVersionMax="47" xr10:uidLastSave="{00000000-0000-0000-0000-000000000000}"/>
  <bookViews>
    <workbookView xWindow="0" yWindow="500" windowWidth="28800" windowHeight="16380" activeTab="2" xr2:uid="{8713F9D1-264C-3947-9D9C-E197E0278D80}"/>
  </bookViews>
  <sheets>
    <sheet name="Cover sheet" sheetId="12" r:id="rId1"/>
    <sheet name="Assumptions" sheetId="8" r:id="rId2"/>
    <sheet name="Dashboard" sheetId="13" r:id="rId3"/>
    <sheet name="Sources" sheetId="15" r:id="rId4"/>
    <sheet name="Notes" sheetId="17" r:id="rId5"/>
  </sheets>
  <externalReferences>
    <externalReference r:id="rId6"/>
    <externalReference r:id="rId7"/>
  </externalReferences>
  <definedNames>
    <definedName name="ap_subfuel_allo">'[1]CEB allocation factors'!$F$12:$BC$12</definedName>
    <definedName name="base_year">[1]Dashboard!$E$13</definedName>
    <definedName name="country">[1]Dashboard!$E$12</definedName>
    <definedName name="Eff_cooking_biomass">[2]technical_specs!$M$50</definedName>
    <definedName name="Eff_cooking_electric">[2]technical_specs!$M$47</definedName>
    <definedName name="Eff_cooking_gas">[2]technical_specs!$M$46</definedName>
    <definedName name="Eff_cooking_halogen">[2]technical_specs!$M$48</definedName>
    <definedName name="Eff_cooking_induction">[2]technical_specs!$M$49</definedName>
    <definedName name="Eff_cooling_airco">[2]technical_specs!$M$43</definedName>
    <definedName name="Eff_cooling_pump_air">[2]technical_specs!$M$42</definedName>
    <definedName name="Eff_cooling_pump_ground">[2]technical_specs!$M$41</definedName>
    <definedName name="Eff_hot_water_coal">[2]technical_specs!$M$36</definedName>
    <definedName name="Eff_hot_water_combi_boiler">[2]technical_specs!$M$26</definedName>
    <definedName name="Eff_hot_water_district">[2]technical_specs!$M$30</definedName>
    <definedName name="Eff_hot_water_electric">[2]technical_specs!$M$33</definedName>
    <definedName name="Eff_hot_water_fuel_cell">[2]technical_specs!$M$37</definedName>
    <definedName name="Eff_hot_water_gas">[2]technical_specs!$M$34</definedName>
    <definedName name="Eff_hot_water_micro_CHP">[2]technical_specs!$M$29</definedName>
    <definedName name="Eff_hot_water_oil">[2]technical_specs!$M$35</definedName>
    <definedName name="Eff_hot_water_pump_air">[2]technical_specs!$M$31</definedName>
    <definedName name="Eff_hot_water_pump_ground">[2]technical_specs!$M$28</definedName>
    <definedName name="Eff_hot_water_solar_thermal_panel">[2]technical_specs!$M$27</definedName>
    <definedName name="Eff_hot_water_woodpellets">[2]technical_specs!$M$32</definedName>
    <definedName name="Eff_lighting_fluorescent">[2]technical_specs!$M$54</definedName>
    <definedName name="Eff_lighting_incandescent">[2]technical_specs!$M$53</definedName>
    <definedName name="Eff_lighting_led">[2]technical_specs!$M$55</definedName>
    <definedName name="Eff_space_heating_coal">[2]technical_specs!$M$21</definedName>
    <definedName name="Eff_space_heating_combi_boiler">[2]technical_specs!$M$11</definedName>
    <definedName name="Eff_space_heating_district">[2]technical_specs!$M$15</definedName>
    <definedName name="Eff_space_heating_electric">[2]technical_specs!$M$18</definedName>
    <definedName name="Eff_space_heating_gas">[2]technical_specs!$M$19</definedName>
    <definedName name="Eff_space_heating_micro_CHP">[2]technical_specs!$M$14</definedName>
    <definedName name="Eff_space_heating_oil">[2]technical_specs!$M$20</definedName>
    <definedName name="Eff_space_heating_pump_add_on">[2]technical_specs!$M$22</definedName>
    <definedName name="Eff_space_heating_pump_air">[2]technical_specs!$M$16</definedName>
    <definedName name="Eff_space_heating_pump_ground">[2]technical_specs!$M$13</definedName>
    <definedName name="Eff_space_heating_solar_thermal">[2]technical_specs!$M$12</definedName>
    <definedName name="Eff_space_heating_woodpellets">[2]technical_specs!$M$17</definedName>
    <definedName name="ei_subsector_allo">'[1]CEB allocation factors'!$D$17:$D$33</definedName>
    <definedName name="Final_demand_appliances">[2]Dashboard!$E$25</definedName>
    <definedName name="Final_demand_coal">'[2]Fuel aggregation'!$C$11</definedName>
    <definedName name="Final_demand_cooking">[2]Dashboard!$E$24</definedName>
    <definedName name="Final_demand_cooling">[2]Dashboard!$E$22</definedName>
    <definedName name="Final_demand_electricity">'[2]Fuel aggregation'!$I$11</definedName>
    <definedName name="Final_demand_gas">'[2]Fuel aggregation'!$D$11</definedName>
    <definedName name="Final_demand_heat">'[2]Fuel aggregation'!$J$11</definedName>
    <definedName name="Final_demand_hot_water">[2]Dashboard!$E$21</definedName>
    <definedName name="Final_demand_lighting">[2]Dashboard!$E$23</definedName>
    <definedName name="Final_demand_oil">'[2]Fuel aggregation'!$E$11</definedName>
    <definedName name="Final_demand_residences">'[2]Fuel aggregation'!$L$11</definedName>
    <definedName name="Final_demand_solar_thermal">'[2]Fuel aggregation'!$G$11</definedName>
    <definedName name="Final_demand_space_heating">[2]Dashboard!$E$20</definedName>
    <definedName name="Final_demand_woodpellets">'[2]Fuel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7" i="13" l="1"/>
  <c r="F58" i="13"/>
  <c r="F56" i="13"/>
  <c r="F50" i="13"/>
  <c r="F51" i="13"/>
  <c r="F52" i="13"/>
  <c r="F53" i="13"/>
  <c r="F54" i="13"/>
  <c r="F49" i="13"/>
  <c r="F37" i="13"/>
  <c r="F38" i="13"/>
  <c r="F39" i="13"/>
  <c r="F40" i="13"/>
  <c r="F41" i="13"/>
  <c r="F42" i="13"/>
  <c r="F43" i="13"/>
  <c r="F44" i="13"/>
  <c r="F45" i="13"/>
  <c r="F36" i="13"/>
  <c r="F34" i="13"/>
  <c r="F33" i="13"/>
  <c r="F24" i="13"/>
  <c r="F25" i="13"/>
  <c r="F26" i="13"/>
  <c r="F27" i="13"/>
  <c r="F28" i="13"/>
  <c r="F29" i="13"/>
  <c r="F30" i="13"/>
  <c r="F31" i="13"/>
  <c r="F23" i="13"/>
  <c r="E13" i="17"/>
  <c r="J52" i="13"/>
  <c r="J54" i="13"/>
  <c r="J53" i="13"/>
  <c r="J49" i="13"/>
  <c r="J51" i="13"/>
  <c r="J50" i="13"/>
  <c r="J37" i="13"/>
  <c r="J38" i="13"/>
  <c r="J39" i="13"/>
  <c r="J40" i="13"/>
  <c r="J41" i="13"/>
  <c r="J42" i="13"/>
  <c r="J43" i="13"/>
  <c r="J44" i="13"/>
  <c r="J45" i="13"/>
  <c r="J46" i="13"/>
  <c r="J47" i="13"/>
  <c r="J36" i="13"/>
  <c r="J34" i="13"/>
  <c r="J33" i="13"/>
  <c r="J25" i="13"/>
  <c r="J26" i="13"/>
  <c r="J27" i="13"/>
  <c r="J28" i="13"/>
  <c r="J29" i="13"/>
  <c r="J30" i="13"/>
  <c r="J31" i="13"/>
  <c r="J24" i="13"/>
  <c r="J23" i="13"/>
  <c r="J9" i="13"/>
  <c r="E57" i="17"/>
  <c r="E58" i="17"/>
  <c r="N48" i="17"/>
  <c r="N49" i="17"/>
  <c r="N50" i="17"/>
  <c r="N51" i="17"/>
  <c r="N15" i="17"/>
  <c r="L42" i="17"/>
  <c r="N40" i="17"/>
  <c r="E54" i="17" s="1"/>
  <c r="N41" i="17"/>
  <c r="L39" i="17" s="1"/>
  <c r="N21" i="17"/>
  <c r="E55" i="17" l="1"/>
  <c r="M39" i="17"/>
  <c r="M56" i="17"/>
  <c r="M57" i="17"/>
  <c r="L57" i="17"/>
  <c r="L56" i="17"/>
  <c r="M58" i="17"/>
  <c r="L58" i="17"/>
  <c r="I86" i="17"/>
  <c r="I85" i="17"/>
  <c r="I83" i="17"/>
  <c r="I84" i="17"/>
  <c r="I82" i="17"/>
  <c r="I81" i="17"/>
  <c r="I80" i="17"/>
  <c r="I79" i="17"/>
  <c r="I78" i="17"/>
  <c r="L54" i="17"/>
  <c r="M54" i="17"/>
  <c r="I77" i="17"/>
  <c r="N26" i="17"/>
  <c r="N27" i="17"/>
  <c r="N25" i="17"/>
  <c r="N58" i="17" l="1"/>
  <c r="E46" i="17" s="1"/>
  <c r="N54" i="17"/>
  <c r="N56" i="17"/>
  <c r="E44" i="17" s="1"/>
  <c r="N57" i="17"/>
  <c r="E45" i="17" s="1"/>
  <c r="I87" i="17"/>
  <c r="N37" i="17" s="1"/>
  <c r="E50" i="17"/>
  <c r="F46" i="13" s="1"/>
  <c r="E51" i="17"/>
  <c r="F47" i="13" s="1"/>
  <c r="M42" i="17"/>
  <c r="E41" i="17"/>
  <c r="E42" i="17"/>
  <c r="E43" i="17"/>
  <c r="L55" i="17"/>
  <c r="M55" i="17"/>
  <c r="N53" i="17" l="1"/>
  <c r="E47" i="17" s="1"/>
  <c r="E48" i="17"/>
  <c r="N42" i="17"/>
  <c r="E56" i="17" s="1"/>
  <c r="N55" i="17"/>
  <c r="E49" i="17" s="1"/>
  <c r="N59" i="17" l="1"/>
  <c r="E40" i="17" s="1"/>
  <c r="N33" i="17"/>
  <c r="N32" i="17"/>
  <c r="N31" i="17"/>
  <c r="N30" i="17"/>
  <c r="N29" i="17"/>
  <c r="N28" i="17"/>
  <c r="N23" i="17"/>
  <c r="E37" i="17" s="1"/>
  <c r="N22" i="17"/>
  <c r="E38" i="17" s="1"/>
  <c r="N45" i="17" l="1"/>
  <c r="E60" i="17" s="1"/>
  <c r="N46" i="17"/>
  <c r="E61" i="17" s="1"/>
  <c r="N47" i="17"/>
  <c r="E62" i="17" s="1"/>
  <c r="N34" i="17"/>
  <c r="N36" i="17"/>
  <c r="E31" i="17" s="1"/>
  <c r="N35" i="17"/>
  <c r="E27" i="17" s="1"/>
  <c r="I74" i="17"/>
  <c r="I75" i="17"/>
  <c r="N39" i="17"/>
  <c r="E53" i="17" s="1"/>
  <c r="E34" i="17" l="1"/>
  <c r="E35" i="17"/>
  <c r="E28" i="17"/>
  <c r="E29" i="17"/>
  <c r="E32" i="17"/>
  <c r="E33" i="17"/>
  <c r="E30" i="17"/>
  <c r="F9" i="13"/>
</calcChain>
</file>

<file path=xl/sharedStrings.xml><?xml version="1.0" encoding="utf-8"?>
<sst xmlns="http://schemas.openxmlformats.org/spreadsheetml/2006/main" count="761" uniqueCount="319">
  <si>
    <t>Cover sheet</t>
  </si>
  <si>
    <t>Document</t>
  </si>
  <si>
    <t>Heat infrastrucuture cource analysis</t>
  </si>
  <si>
    <t>Version #</t>
  </si>
  <si>
    <t>Country</t>
  </si>
  <si>
    <t>nl</t>
  </si>
  <si>
    <t>Year data</t>
  </si>
  <si>
    <t>Date</t>
  </si>
  <si>
    <t>August 16, 2023</t>
  </si>
  <si>
    <t>Author</t>
  </si>
  <si>
    <t>Dorine van der Vlies</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</si>
  <si>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</si>
  <si>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</si>
  <si>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</si>
  <si>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</si>
  <si>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</si>
  <si>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</si>
  <si>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</si>
  <si>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</si>
  <si>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</si>
  <si>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</si>
  <si>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</si>
  <si>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</si>
  <si>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</si>
  <si>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</si>
  <si>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</si>
  <si>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</si>
  <si>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</si>
  <si>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</si>
  <si>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Assumptions - general</t>
  </si>
  <si>
    <t>Assumptions - debts that might be furhter investigated</t>
  </si>
  <si>
    <t>Attribute</t>
  </si>
  <si>
    <t>Network type</t>
  </si>
  <si>
    <t>Unit</t>
  </si>
  <si>
    <t>Value</t>
  </si>
  <si>
    <t>Definition</t>
  </si>
  <si>
    <t>Source</t>
  </si>
  <si>
    <t>heat_share_of_apartments_with_block_heating</t>
  </si>
  <si>
    <t>%</t>
  </si>
  <si>
    <t>heat_length_of_distribution_pipelines_in_meter_per_residence_object_first_bracket</t>
  </si>
  <si>
    <t>All</t>
  </si>
  <si>
    <t>m/connection</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</si>
  <si>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</si>
  <si>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</si>
  <si>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</si>
  <si>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</si>
  <si>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</si>
  <si>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</si>
  <si>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</si>
  <si>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</si>
  <si>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</si>
  <si>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heat_buildings_indoor_investment_costs_eur_per_kw</t>
  </si>
  <si>
    <t>euro/kW</t>
  </si>
  <si>
    <t>euro/connection</t>
  </si>
  <si>
    <t>LT</t>
  </si>
  <si>
    <t>MT</t>
  </si>
  <si>
    <t>HT</t>
  </si>
  <si>
    <t>heat_exchanger_station_investment_costs_eur_per_kw</t>
  </si>
  <si>
    <t>euro/m</t>
  </si>
  <si>
    <t>heat_yearly_indoor_infrastructure_maintenance_costs_factor</t>
  </si>
  <si>
    <t>heat_yearly_outdoor_infrastructure_maintenance_costs_factor</t>
  </si>
  <si>
    <t>Definition on the sources</t>
  </si>
  <si>
    <t>Date published</t>
  </si>
  <si>
    <t>Subject year</t>
  </si>
  <si>
    <t>Date retreived</t>
  </si>
  <si>
    <t>ETM Library URL</t>
  </si>
  <si>
    <t>Link</t>
  </si>
  <si>
    <t>Warmtenetten in Vesta MAIS</t>
  </si>
  <si>
    <t>NL</t>
  </si>
  <si>
    <t>https://refman.energytransitionmodel.com/publications/2165</t>
  </si>
  <si>
    <t>Update kentallen installaties Vesta MAIS</t>
  </si>
  <si>
    <t>https://refman.energytransitionmodel.com/publications/2166</t>
  </si>
  <si>
    <t>Functioneel ontwerp 5.0 Vesta MAIS</t>
  </si>
  <si>
    <t>https://refman.energytransitionmodel.com/publications/2145</t>
  </si>
  <si>
    <t>Staatscourant 11052</t>
  </si>
  <si>
    <t>https://refman.energytransitionmodel.com/publications/2170</t>
  </si>
  <si>
    <t>Figure I: network definitions according to CE Delft (2022)</t>
  </si>
  <si>
    <t>Figure A: table with key figures indoor distribution and neighborhood distribution</t>
  </si>
  <si>
    <t>General assumptions</t>
  </si>
  <si>
    <t>Dutch</t>
  </si>
  <si>
    <t>English</t>
  </si>
  <si>
    <t>Data reference</t>
  </si>
  <si>
    <t>Notes</t>
  </si>
  <si>
    <t>Proposed attributes</t>
  </si>
  <si>
    <t>Note</t>
  </si>
  <si>
    <t>Aandeel blokverwarming in Nederland</t>
  </si>
  <si>
    <t>Share of block heating in the Netherlands</t>
  </si>
  <si>
    <t>Figure C</t>
  </si>
  <si>
    <t>Vloeroppervlak grondgebonden woning</t>
  </si>
  <si>
    <t>Surface area ground level house</t>
  </si>
  <si>
    <t>m2</t>
  </si>
  <si>
    <t>Figure B</t>
  </si>
  <si>
    <t>Vloeroppervlak hoogbouw</t>
  </si>
  <si>
    <t>Surface area apartment</t>
  </si>
  <si>
    <t>Quantity type</t>
  </si>
  <si>
    <t>Min costs</t>
  </si>
  <si>
    <t>Max costs</t>
  </si>
  <si>
    <t>Average costs</t>
  </si>
  <si>
    <t>Indoor distribution costs households</t>
  </si>
  <si>
    <t>Inpandige distributiekosten hoogbouw geen blokverwarming</t>
  </si>
  <si>
    <t>Indoor distribution costs apartments no block heating</t>
  </si>
  <si>
    <t>Euro/connection</t>
  </si>
  <si>
    <t>Inpandige distributiekosten hoogbouw met blokverwarming</t>
  </si>
  <si>
    <t>Indoor distribution costs apartments with block heating</t>
  </si>
  <si>
    <t>Inpandige distributiekosten grondgebonden objecten</t>
  </si>
  <si>
    <t>Indoor distribution costs ground level houses</t>
  </si>
  <si>
    <t>Indoor distribution costs utility buildings</t>
  </si>
  <si>
    <t>Inpandige distributiekosten utiliteit</t>
  </si>
  <si>
    <t>Indoor distribution costs utility</t>
  </si>
  <si>
    <t>Figure O</t>
  </si>
  <si>
    <t>Indoor costs</t>
  </si>
  <si>
    <t>Warmtemeter</t>
  </si>
  <si>
    <t>Heat meter</t>
  </si>
  <si>
    <t>Variabele kosten warmtemeter</t>
  </si>
  <si>
    <t>Variable costs heat meter</t>
  </si>
  <si>
    <t>Euro/kW</t>
  </si>
  <si>
    <t>Afleverset</t>
  </si>
  <si>
    <t>Heat delivery set</t>
  </si>
  <si>
    <t>Indoor construction costs</t>
  </si>
  <si>
    <t>Bouwkundige kosten na afleverset grondgebonden objecten</t>
  </si>
  <si>
    <t>Construction costs after heat delivery set ground level houses</t>
  </si>
  <si>
    <t>Figure K</t>
  </si>
  <si>
    <t>Bouwkundige kosten na afleverset hoogbouw zonder blokverwarming</t>
  </si>
  <si>
    <t>Construction costs after heat delivery set apartments without block heating</t>
  </si>
  <si>
    <t>Bouwkundige kosten na afleverset hoogbouw met blokverwarming</t>
  </si>
  <si>
    <t>Construction costs after heat delivery set apartments with block heating</t>
  </si>
  <si>
    <t>Power demand households</t>
  </si>
  <si>
    <t>Vaste vermogensvraag ruimteverwarming laagbouw</t>
  </si>
  <si>
    <t>Fixed part power demand heating ground level houses</t>
  </si>
  <si>
    <t>kW/connection</t>
  </si>
  <si>
    <t>Variabele vermogensvraag ruimteverwarming laagbouw</t>
  </si>
  <si>
    <t>Flexible part power demand heating ground level houses</t>
  </si>
  <si>
    <t>kW/m2</t>
  </si>
  <si>
    <t>Vaste vermogensvraag tapwater laagbouw</t>
  </si>
  <si>
    <t>Fixed part power demand hot water ground level houses</t>
  </si>
  <si>
    <t>Vaste vermogensvraag ruimteverwarming hoogbouw</t>
  </si>
  <si>
    <t>Fixed part power demand heating appartments</t>
  </si>
  <si>
    <t>Variabele vermogensvraag ruimteverwarming hoogbouw</t>
  </si>
  <si>
    <t>Flexible part power demand heating appartments</t>
  </si>
  <si>
    <t>Figure II: conversion of network components between CE Delft report (2022) and ETM</t>
  </si>
  <si>
    <t>Vaste vermogensvraag tapwater hoogbouw</t>
  </si>
  <si>
    <t>Fixed part power demand hot water appartments</t>
  </si>
  <si>
    <t>Average costs for T&gt;55 radiators for both HT and MT (code 64 in table)</t>
  </si>
  <si>
    <t>Totale vermogensvraag ruimteverwarming + tapwater laagbouw</t>
  </si>
  <si>
    <t>Total power demand space heating + hot water ground level houses</t>
  </si>
  <si>
    <t>kW</t>
  </si>
  <si>
    <t>Calculated based on values above</t>
  </si>
  <si>
    <t>Totale vermogensvraag ruimteverwarming + tapwater hoogbouw zonder blokverwarming</t>
  </si>
  <si>
    <t>Total power demand space heating + hot water apartments without block heating</t>
  </si>
  <si>
    <t>Totale vermogensvraag ruimteverwarming + tapwater hoogbouw met blokverwarming</t>
  </si>
  <si>
    <t>Total power demand space heating + hot water apartments with block heating</t>
  </si>
  <si>
    <t>Power demand utility buildings</t>
  </si>
  <si>
    <t xml:space="preserve">Gemiddelde vermogensvraag ruimteverwarming utiliteit </t>
  </si>
  <si>
    <t>Average power demand heating utility buildings</t>
  </si>
  <si>
    <t>Figure M</t>
  </si>
  <si>
    <t>See calculation table below</t>
  </si>
  <si>
    <t>Indoor distribution costs + heat meter variable costs</t>
  </si>
  <si>
    <t xml:space="preserve">Vermogensvraag tapwater utiliteit </t>
  </si>
  <si>
    <t>Power demand hot water utility buildings</t>
  </si>
  <si>
    <t>heat_buildings_indoor_investment_costs_eur_per_connection</t>
  </si>
  <si>
    <t>Outdoor construction costs + heat delivery set + fixed costs heat meter + indoor construction costs ground level buildings</t>
  </si>
  <si>
    <t>Heat delivery system costs households</t>
  </si>
  <si>
    <t>Figure D + figure J</t>
  </si>
  <si>
    <t>Adds LT costs from figure D to the average costs for T&gt;55 radiators for both HT and MT (code 64 in table of figure J)</t>
  </si>
  <si>
    <t>HT home heating system apartments</t>
  </si>
  <si>
    <t>Costs for ground level houses scaled by surface area</t>
  </si>
  <si>
    <t>Afgiftesysteem MT grondgebonden woningen</t>
  </si>
  <si>
    <t>Figure J</t>
  </si>
  <si>
    <t>Afgiftesysteem HT grondgebonden woningen</t>
  </si>
  <si>
    <t>Afgiftesysteem utiliteit</t>
  </si>
  <si>
    <t>Figure N</t>
  </si>
  <si>
    <t>Outdoor construction costs</t>
  </si>
  <si>
    <t>Bouwkundige kosten t/m afleverset laagbouw</t>
  </si>
  <si>
    <t>Bouwkundige kosten t/m afleverset hoogbouw zonder blokverwarming</t>
  </si>
  <si>
    <t>Bouwkundige kosten t/m afleverset hoogbouw met blokverwarming</t>
  </si>
  <si>
    <t>Bouwkundige kosten t/m afleverset utiliteit</t>
  </si>
  <si>
    <t>Outdoor distribution costs</t>
  </si>
  <si>
    <t>Transportnet (CE Delft)</t>
  </si>
  <si>
    <t>Primary pipelines</t>
  </si>
  <si>
    <t>Figure E</t>
  </si>
  <si>
    <t>Assumes primary pipelines for LT networks effectively operate at medium temperatures</t>
  </si>
  <si>
    <t xml:space="preserve">Formula for dT50 used with assumed values from ETM; see calculation table below. </t>
  </si>
  <si>
    <t>Figure B: table with current household power demand</t>
  </si>
  <si>
    <t xml:space="preserve">Formula for dT70 used with assumed values from ETM; see calculation table below. </t>
  </si>
  <si>
    <t>Primaire + secundaire distributienet (CE Delft)</t>
  </si>
  <si>
    <t>Distribution pipelines</t>
  </si>
  <si>
    <t>Formula for dT20 used with assumed values from ETM; see calculation table below. This is higher than the number stated in the WIS subsity (figure P). For consistency with other attributes we use the same source as for the other attributes: CE Delft 2022.</t>
  </si>
  <si>
    <t>Formula for dT30 used with assumed values from ETM; see calculation table below. This is higher than the number stated in the WIS subsity (figure P). For consistency with other attributes we use the same source as for the other attributes: CE Delft 2022.</t>
  </si>
  <si>
    <t>Formula for dT50 used with assumed values from ETM; see calculation table below. This is higher than the number stated in the WIS subsity (figure P). For consistency with other attributes we use the same source as for the other attributes: CE Delft 2022.</t>
  </si>
  <si>
    <t>Warmteoverdrachtsstation</t>
  </si>
  <si>
    <t>Heat exchanger station</t>
  </si>
  <si>
    <t>Figure F</t>
  </si>
  <si>
    <t>Onderstation</t>
  </si>
  <si>
    <t>Sub station</t>
  </si>
  <si>
    <t>Figure G</t>
  </si>
  <si>
    <t>Assumes LT networks are used for new buildings (nieuwbouw). Note: the sub station costs in figure F's table are outdated according to the CE Delft report</t>
  </si>
  <si>
    <t>Assumes MT and HT networks are used for existing buildings (bestaande bouw). Note: the sub station costs in figure F's table are outdated according to the CE Delft report.</t>
  </si>
  <si>
    <t>Maintenance costs</t>
  </si>
  <si>
    <t>Niet-inpandige onderhoudskosten</t>
  </si>
  <si>
    <t>Outdoor infrastructure maintenance costs</t>
  </si>
  <si>
    <t>% of investment costs</t>
  </si>
  <si>
    <t>Figure H</t>
  </si>
  <si>
    <t>This is in lower than the number stated in the WIS subsidy (see figure P). For consistency with other numbers we use the numbers from CE Delft 2022.</t>
  </si>
  <si>
    <t>Inpandige onderhoudskosten</t>
  </si>
  <si>
    <t>Indoor infrastructure maintenance costs</t>
  </si>
  <si>
    <t>This is in agreement with the WIS subsidy (see figure Q)</t>
  </si>
  <si>
    <t>Figure III: overview of connection and indoor costs</t>
  </si>
  <si>
    <t>CALCULATIONS</t>
  </si>
  <si>
    <t>Source: CE Delft (2022)</t>
  </si>
  <si>
    <t>Quantity</t>
  </si>
  <si>
    <t>Figure C: indoor costs for MT and HT heat networks</t>
  </si>
  <si>
    <t>Primary pipeline power</t>
  </si>
  <si>
    <t>MW</t>
  </si>
  <si>
    <t>See ETM documentation</t>
  </si>
  <si>
    <t>https://docs.energytransitionmodel.com/main/heat-infrastructure-costs/#primary-pipelines</t>
  </si>
  <si>
    <t>Primary pipeline network length</t>
  </si>
  <si>
    <t>km</t>
  </si>
  <si>
    <t>Kdt70</t>
  </si>
  <si>
    <t>n/a</t>
  </si>
  <si>
    <t>€/m</t>
  </si>
  <si>
    <t>Pipeline costs for input/out temperature difference of 70 degrees, dependant on input power P in MW</t>
  </si>
  <si>
    <t>See figure E for formulas. Note: the max formula actually yields the min value and vice versa (mistake in the report)</t>
  </si>
  <si>
    <t>Distribution pipeline power</t>
  </si>
  <si>
    <t>https://docs.energytransitionmodel.com/main/heat-infrastructure-costs/#secondary-distribution-pipelines</t>
  </si>
  <si>
    <t>Total power demand ground level house</t>
  </si>
  <si>
    <t>Heating + hot water</t>
  </si>
  <si>
    <t>Total power demand apartments</t>
  </si>
  <si>
    <t>Power demand heating - offices</t>
  </si>
  <si>
    <t>Power demand heating - shops</t>
  </si>
  <si>
    <t>Power demand heating - health care</t>
  </si>
  <si>
    <t>Power demand heating - accommodation</t>
  </si>
  <si>
    <t>Power demand heating - education</t>
  </si>
  <si>
    <t>Power demand heating - industry</t>
  </si>
  <si>
    <t>Power demand heating - gathering</t>
  </si>
  <si>
    <t>Figure D: indoor costs for LT heat networks</t>
  </si>
  <si>
    <t>Power demand heating - sports</t>
  </si>
  <si>
    <t>Power demand heating - other</t>
  </si>
  <si>
    <t>Power demand heating - detainment</t>
  </si>
  <si>
    <t>Average power demand utility</t>
  </si>
  <si>
    <t>Figure E: temperature levels and corresponding costs formulas per network type</t>
  </si>
  <si>
    <t xml:space="preserve">Figure F: investment costs for heat exchanger stations </t>
  </si>
  <si>
    <t>Figure G: investment costs for sub stations</t>
  </si>
  <si>
    <t>Figure H: maintenance costs in % of total investment costs</t>
  </si>
  <si>
    <t>Figure J: home heating system costs for HT and MT systems</t>
  </si>
  <si>
    <t>Note: letter I skipped for figures because of confusion with Roman numerals</t>
  </si>
  <si>
    <t>Figure K: outdoor construction costs</t>
  </si>
  <si>
    <t>Figure L: indoor construction costs</t>
  </si>
  <si>
    <t>Figure M: utility buildings power demand</t>
  </si>
  <si>
    <t>Figure N: personal communication with Folckert van der Molen (PBL) about LT heating system costs in Hestia</t>
  </si>
  <si>
    <t>Source: personal communication</t>
  </si>
  <si>
    <t>Figure O: indoor investment costs for utility buildings</t>
  </si>
  <si>
    <t>Source: Functioneel ontwerp Vesta MAIS 4.0 (2019)</t>
  </si>
  <si>
    <t>Figure P: maximum infrastructure costs according to get WIS subsidy</t>
  </si>
  <si>
    <t>Source: Staatscourant 11052</t>
  </si>
  <si>
    <t>Figure Q: maintenance costs according to WIS subsidy</t>
  </si>
  <si>
    <t>Source: , Actualisatie bouw- en investeringskosten energiebesparende maatregelen bestaande woningbouw 2021 (2021)</t>
  </si>
  <si>
    <t>Source: CE Delft, Update kentallen installaties Vesta MAIS (2022)</t>
  </si>
  <si>
    <t>Actualisatie bouw- en investeringskosten</t>
  </si>
  <si>
    <t>https://refman.energytransitionmodel.com/publications/2171</t>
  </si>
  <si>
    <t>heat_infrastructure_households_lt_indoor_investment_costs_ground_level_houses_eur</t>
  </si>
  <si>
    <t>heat_infrastructure_households_mt_indoor_investment_costs_ground_level_houses_eur</t>
  </si>
  <si>
    <t>heat_infrastructure_households_ht_indoor_investment_costs_ground_level_houses_eur</t>
  </si>
  <si>
    <t>heat_lt_sub_station_investment_costs_eur_per_kw</t>
  </si>
  <si>
    <t>heat_mt_sub_station_investment_costs_eur_per_kw</t>
  </si>
  <si>
    <t>heat_ht_sub_station_investment_costs_eur_per_kw</t>
  </si>
  <si>
    <t>heat_lt_distribution_pipelines_investment_costs_eur_per_meter</t>
  </si>
  <si>
    <t>heat_mt_distribution_pipelines_investment_costs_eur_per_meter</t>
  </si>
  <si>
    <t>heat_ht_distribution_pipelines_investment_costs_eur_per_meter</t>
  </si>
  <si>
    <t>heat_lt_primary_pipelines_investment_costs_per_kw</t>
  </si>
  <si>
    <t>heat_mt_primary_pipelines_investment_costs_per_kw</t>
  </si>
  <si>
    <t>heat_ht_primary_pipelines_investment_costs_per_kw</t>
  </si>
  <si>
    <t xml:space="preserve">This sheet summarizes all attributes formatted in the way they are used by the Energy Transition Model. Use the Excel formulas to find the original data and sources for these numbers. </t>
  </si>
  <si>
    <t>Costs for MT/HT system are added, because figure D show additional costs to replace HT and MT systems</t>
  </si>
  <si>
    <t>Costs mentioned in figure N are taken as costs additional to HT/MT system, because HT/MT heating systems are assumed present by default in Vesta/Hestia. Diminishing costs mentioned in the email are currently not taken into account</t>
  </si>
  <si>
    <t>This is higher than the number stated in the WIS subsity (figure P). For consistency with other attributes we use the same source as for the other attributes: CE Delft 2022. Note: the delivery set has a technical lifetime of 15 years, i.e. half that of the pipelines. The costs have nevertheless only been included once (rather than twice due to the lifetime difference), because the ETM uses the indoor investment costs both for depreciation and capital costs calculations.</t>
  </si>
  <si>
    <t>Vloeroppervlak utiliteitsbouw</t>
  </si>
  <si>
    <t>Surface area utility buildings</t>
  </si>
  <si>
    <t>Mentioned number of utility buildings differs from area attribute nl2019 by more than a factor of 2</t>
  </si>
  <si>
    <t>Figure R</t>
  </si>
  <si>
    <t>Figure R: average surface area utility buildings Netherlands</t>
  </si>
  <si>
    <t>Source: Werkgroep Verduurzaming Utiliteitsbouw</t>
  </si>
  <si>
    <t>Werkgroep Verduurzaming Utiliteitsbouw</t>
  </si>
  <si>
    <t>https://refman.energytransitionmodel.com/publications/2172</t>
  </si>
  <si>
    <t>Calculated by scaling the costs for HT home heating system in houses to utility and multiplying by average surface area of utility buildings</t>
  </si>
  <si>
    <t>Heat distribution system utility buildings</t>
  </si>
  <si>
    <t>Heat distribution system ground level houses</t>
  </si>
  <si>
    <t>factor</t>
  </si>
  <si>
    <t>Analysis by Greenvis</t>
  </si>
  <si>
    <t>Heat delivery system costs utility</t>
  </si>
  <si>
    <t>LT heat delivery system apartments</t>
  </si>
  <si>
    <t>MT heat delivery system apartments</t>
  </si>
  <si>
    <t>households_lt_heat_delivery_system_costs_apartments_eur_per_connection</t>
  </si>
  <si>
    <t>households_mt_heat_delivery_system_costs_apartments_eur_per_connection</t>
  </si>
  <si>
    <t>households_ht_heat_delivery_system_costs_apartments_eur_per_connection</t>
  </si>
  <si>
    <t>households_lt_heat_delivery_system_costs_ground_level_houses_eur_per_connection</t>
  </si>
  <si>
    <t>households_mt_heat_delivery_system_costs_ground_level_houses_eur_per_connection</t>
  </si>
  <si>
    <t>households_ht_heat_delivery_system_costs_ground_level_houses_eur_per_connection</t>
  </si>
  <si>
    <t xml:space="preserve"> Functioneel Ontwerp Vesta MAIS 4.0 </t>
  </si>
  <si>
    <t>https://refman.energytransitionmodel.com/publications/2109</t>
  </si>
  <si>
    <t>Various sources, see Notes</t>
  </si>
  <si>
    <t>Outdoor construction costs + heat delivery set + indoor distribution costs + fixed costs heat meter + (variable costs heat meter * power demand for heating) + indoor construction costs. This value is higher than the value of the WIS subsidy (Figure P). For consistency with other attributes we use the same source as for the other attributes: CE Delft 2022.</t>
  </si>
  <si>
    <t>Source: PBL, Functioneel ontwerp Vesta MAIS 5.0 (2021)</t>
  </si>
  <si>
    <t>Afgiftesysteem LT gestapelde woningen</t>
  </si>
  <si>
    <t>Afgiftesysteem MT gestapelde woningen</t>
  </si>
  <si>
    <t>Afgiftesysteem HT gestapelde woningen</t>
  </si>
  <si>
    <t>Afgiftesysteem LT grondgebonden woningen</t>
  </si>
  <si>
    <t>Construction costs up to heat delivery set ground level houses</t>
  </si>
  <si>
    <t>Construction costs up to heat delivery set apartments without block heating</t>
  </si>
  <si>
    <t>Construction costs up to heat delivery set apartments with block heating</t>
  </si>
  <si>
    <t>Construction costs up to heat delivery set utility buildings</t>
  </si>
  <si>
    <t>heat_infrastructure_households_lt_indoor_investment_costs_apartments_without_block_heating_eur</t>
  </si>
  <si>
    <t>heat_infrastructure_households_mt_indoor_investment_costs_apartments_without_block_heating_eur</t>
  </si>
  <si>
    <t>heat_infrastructure_households_ht_indoor_investment_costs_apartments_without_block_heating_eur</t>
  </si>
  <si>
    <t>heat_infrastructure_households_lt_indoor_investment_costs_apartments_with_block_heating_eur</t>
  </si>
  <si>
    <t>heat_infrastructure_households_mt_indoor_investment_costs_apartments_with_block_heating_eur</t>
  </si>
  <si>
    <t>heat_infrastructure_households_ht_indoor_investment_costs_apartments_with_block_heating_eur</t>
  </si>
  <si>
    <t>buildings_lt_heat_delivery_system_costs_eur_per_connection</t>
  </si>
  <si>
    <t>buildings_mt_heat_delivery_system_costs_eur_per_connection</t>
  </si>
  <si>
    <t>buildings_ht_heat_delivery_system_costs_eur_per_connection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</si>
</sst>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0.00_-;\-* #,##0.00_-;_-* &quot;-&quot;??_-;_-@_-"/>
    <numFmt numFmtId="166" formatCode="[$-409]mmmm\ d\,\ yyyy;@"/>
    <numFmt numFmtId="167" formatCode="&quot;€&quot;\ #,##0.00"/>
    <numFmt numFmtId="168" formatCode="0.000"/>
    <numFmt numFmtId="169" formatCode="&quot;€&quot;\ #,##0"/>
  </numFmts>
  <fonts count="20" x14ac:knownFonts="1">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0"/>
      <name val="Arial"/>
      <family val="2"/>
      <charset val="161"/>
    </font>
    <font>
      <sz val="11"/>
      <color theme="1"/>
      <name val="Calibri"/>
      <family val="2"/>
      <scheme val="minor"/>
    </font>
    <font>
      <b/>
      <sz val="16"/>
      <color theme="3"/>
      <name val="Calibri"/>
      <family val="2"/>
      <scheme val="minor"/>
    </font>
    <font>
      <b/>
      <sz val="11"/>
      <color rgb="FF000000"/>
      <name val="Calibri"/>
      <family val="2"/>
      <scheme val="minor"/>
    </font>
    <font>
      <i/>
      <sz val="12"/>
      <color theme="1"/>
      <name val="Calibri"/>
      <family val="2"/>
      <scheme val="minor"/>
    </font>
    <font>
      <sz val="12"/>
      <color rgb="FF000000"/>
      <name val="Calibri"/>
      <family val="2"/>
    </font>
    <font>
      <sz val="12"/>
      <color rgb="FF3F3F76"/>
      <name val="Calibri"/>
      <family val="2"/>
    </font>
    <font>
      <u/>
      <sz val="12"/>
      <color theme="10"/>
      <name val="Calibri"/>
      <family val="2"/>
      <scheme val="minor"/>
    </font>
    <font>
      <sz val="12"/>
      <name val="Calibri"/>
      <family val="2"/>
      <scheme val="minor"/>
    </font>
    <font>
      <b/>
      <sz val="12"/>
      <name val="Calibri"/>
      <family val="2"/>
      <scheme val="minor"/>
    </font>
    <font>
      <b/>
      <sz val="12"/>
      <color rgb="FF000000"/>
      <name val="Calibri"/>
      <family val="2"/>
      <scheme val="minor"/>
    </font>
    <font>
      <b/>
      <sz val="14"/>
      <color theme="1"/>
      <name val="Calibri"/>
      <family val="2"/>
      <scheme val="minor"/>
    </font>
    <font>
      <strike/>
      <sz val="12"/>
      <color theme="1"/>
      <name val="Calibri"/>
      <family val="2"/>
      <scheme val="minor"/>
    </font>
    <font>
      <sz val="8"/>
      <name val="Calibri"/>
      <family val="2"/>
      <scheme val="minor"/>
    </font>
    <font>
      <i/>
      <sz val="12"/>
      <color rgb="FF7F7F7F"/>
      <name val="Calibri"/>
      <family val="2"/>
      <scheme val="minor"/>
    </font>
    <font>
      <b/>
      <sz val="12"/>
      <color rgb="FFFA7D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EEECE1"/>
        <bgColor rgb="FF000000"/>
      </patternFill>
    </fill>
    <fill>
      <patternFill patternType="solid">
        <fgColor rgb="FFFFFF00"/>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
      <patternFill patternType="solid">
        <fgColor rgb="FFFFCC99"/>
      </patternFill>
    </fill>
    <fill>
      <patternFill patternType="solid">
        <fgColor rgb="FFFFFFFF"/>
        <bgColor rgb="FF000000"/>
      </patternFill>
    </fill>
    <fill>
      <patternFill patternType="solid">
        <fgColor rgb="FFFFCC99"/>
        <bgColor indexed="64"/>
      </patternFill>
    </fill>
    <fill>
      <patternFill patternType="solid">
        <fgColor rgb="FFF2F2F2"/>
      </patternFill>
    </fill>
  </fills>
  <borders count="24">
    <border>
      <left/>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right style="medium">
        <color auto="1"/>
      </right>
      <top/>
      <bottom style="thin">
        <color auto="1"/>
      </bottom>
      <diagonal/>
    </border>
    <border>
      <left/>
      <right style="thin">
        <color indexed="64"/>
      </right>
      <top/>
      <bottom style="thin">
        <color auto="1"/>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8">
    <xf numFmtId="0" fontId="0" fillId="0" borderId="0"/>
    <xf numFmtId="0" fontId="4" fillId="0" borderId="0"/>
    <xf numFmtId="165" fontId="5" fillId="0" borderId="0" applyFont="0" applyFill="0" applyBorder="0" applyAlignment="0" applyProtection="0"/>
    <xf numFmtId="0" fontId="3" fillId="0" borderId="0"/>
    <xf numFmtId="0" fontId="10" fillId="12" borderId="16" applyNumberFormat="0" applyAlignment="0" applyProtection="0"/>
    <xf numFmtId="0" fontId="11" fillId="0" borderId="0" applyNumberFormat="0" applyFill="0" applyBorder="0" applyAlignment="0" applyProtection="0"/>
    <xf numFmtId="0" fontId="18" fillId="0" borderId="0" applyNumberFormat="0" applyFill="0" applyBorder="0" applyAlignment="0" applyProtection="0"/>
    <xf numFmtId="0" fontId="19" fillId="15" borderId="16" applyNumberFormat="0" applyAlignment="0" applyProtection="0"/>
  </cellStyleXfs>
  <cellXfs count="126">
    <xf numFmtId="0" fontId="0" fillId="0" borderId="0" xfId="0"/>
    <xf numFmtId="0" fontId="0" fillId="2" borderId="0" xfId="0" applyFill="1"/>
    <xf numFmtId="0" fontId="1" fillId="2" borderId="6" xfId="0" applyFont="1" applyFill="1" applyBorder="1"/>
    <xf numFmtId="0" fontId="6" fillId="2" borderId="0" xfId="3" applyFont="1" applyFill="1"/>
    <xf numFmtId="0" fontId="3" fillId="2" borderId="0" xfId="3" applyFill="1"/>
    <xf numFmtId="0" fontId="1" fillId="2" borderId="1" xfId="3" applyFont="1" applyFill="1" applyBorder="1"/>
    <xf numFmtId="0" fontId="0" fillId="2" borderId="5" xfId="3" applyFont="1" applyFill="1" applyBorder="1"/>
    <xf numFmtId="0" fontId="3" fillId="2" borderId="8" xfId="3" applyFill="1" applyBorder="1"/>
    <xf numFmtId="0" fontId="1" fillId="2" borderId="0" xfId="3" applyFont="1" applyFill="1"/>
    <xf numFmtId="0" fontId="7" fillId="3" borderId="2" xfId="3" applyFont="1" applyFill="1" applyBorder="1" applyAlignment="1">
      <alignment vertical="center"/>
    </xf>
    <xf numFmtId="164" fontId="3" fillId="2" borderId="0" xfId="3" applyNumberFormat="1" applyFill="1" applyAlignment="1">
      <alignment horizontal="left"/>
    </xf>
    <xf numFmtId="0" fontId="3" fillId="2" borderId="4" xfId="3" applyFill="1" applyBorder="1"/>
    <xf numFmtId="0" fontId="3" fillId="2" borderId="0" xfId="3" applyFill="1" applyAlignment="1">
      <alignment horizontal="left"/>
    </xf>
    <xf numFmtId="166" fontId="0" fillId="2" borderId="0" xfId="3" applyNumberFormat="1" applyFont="1" applyFill="1" applyAlignment="1">
      <alignment horizontal="left"/>
    </xf>
    <xf numFmtId="0" fontId="0" fillId="2" borderId="0" xfId="3" applyFont="1" applyFill="1"/>
    <xf numFmtId="0" fontId="7" fillId="3" borderId="3" xfId="3" applyFont="1" applyFill="1" applyBorder="1" applyAlignment="1">
      <alignment vertical="center"/>
    </xf>
    <xf numFmtId="0" fontId="3" fillId="2" borderId="7" xfId="3" applyFill="1" applyBorder="1"/>
    <xf numFmtId="0" fontId="3" fillId="2" borderId="12" xfId="3" applyFill="1" applyBorder="1"/>
    <xf numFmtId="0" fontId="3" fillId="2" borderId="5" xfId="3" applyFill="1" applyBorder="1"/>
    <xf numFmtId="0" fontId="1" fillId="2" borderId="2" xfId="3" applyFont="1" applyFill="1" applyBorder="1"/>
    <xf numFmtId="0" fontId="8" fillId="2" borderId="0" xfId="3" applyFont="1" applyFill="1"/>
    <xf numFmtId="0" fontId="3" fillId="2" borderId="9" xfId="3" applyFill="1" applyBorder="1"/>
    <xf numFmtId="0" fontId="3" fillId="2" borderId="2" xfId="3" applyFill="1" applyBorder="1"/>
    <xf numFmtId="0" fontId="3" fillId="2" borderId="3" xfId="3" applyFill="1" applyBorder="1"/>
    <xf numFmtId="0" fontId="9" fillId="4" borderId="0" xfId="3" applyFont="1" applyFill="1"/>
    <xf numFmtId="0" fontId="9" fillId="5" borderId="0" xfId="3" applyFont="1" applyFill="1"/>
    <xf numFmtId="0" fontId="9" fillId="6" borderId="0" xfId="3" applyFont="1" applyFill="1"/>
    <xf numFmtId="0" fontId="9" fillId="7" borderId="0" xfId="3" applyFont="1" applyFill="1"/>
    <xf numFmtId="0" fontId="9" fillId="8" borderId="0" xfId="3" applyFont="1" applyFill="1"/>
    <xf numFmtId="0" fontId="9" fillId="9" borderId="0" xfId="3" applyFont="1" applyFill="1"/>
    <xf numFmtId="0" fontId="9" fillId="10" borderId="0" xfId="3" applyFont="1" applyFill="1"/>
    <xf numFmtId="0" fontId="9" fillId="11" borderId="0" xfId="3" applyFont="1" applyFill="1"/>
    <xf numFmtId="0" fontId="1" fillId="2" borderId="0" xfId="0" applyFont="1" applyFill="1"/>
    <xf numFmtId="0" fontId="0" fillId="2" borderId="14" xfId="0" applyFill="1" applyBorder="1"/>
    <xf numFmtId="0" fontId="0" fillId="2" borderId="15" xfId="0" applyFill="1" applyBorder="1"/>
    <xf numFmtId="0" fontId="2" fillId="0" borderId="0" xfId="0" applyFont="1"/>
    <xf numFmtId="0" fontId="10" fillId="12" borderId="16" xfId="4"/>
    <xf numFmtId="0" fontId="12" fillId="2" borderId="0" xfId="0" applyFont="1" applyFill="1"/>
    <xf numFmtId="49" fontId="12" fillId="2" borderId="0" xfId="0" applyNumberFormat="1" applyFont="1" applyFill="1"/>
    <xf numFmtId="0" fontId="12" fillId="2" borderId="17" xfId="0" applyFont="1" applyFill="1" applyBorder="1"/>
    <xf numFmtId="0" fontId="12" fillId="2" borderId="13" xfId="0" applyFont="1" applyFill="1" applyBorder="1"/>
    <xf numFmtId="49" fontId="12" fillId="2" borderId="13" xfId="0" applyNumberFormat="1" applyFont="1" applyFill="1" applyBorder="1"/>
    <xf numFmtId="0" fontId="12" fillId="2" borderId="18" xfId="0" applyFont="1" applyFill="1" applyBorder="1"/>
    <xf numFmtId="0" fontId="12" fillId="2" borderId="19" xfId="0" applyFont="1" applyFill="1" applyBorder="1"/>
    <xf numFmtId="0" fontId="13" fillId="2" borderId="0" xfId="0" applyFont="1" applyFill="1"/>
    <xf numFmtId="49" fontId="13" fillId="2" borderId="0" xfId="0" applyNumberFormat="1" applyFont="1" applyFill="1"/>
    <xf numFmtId="0" fontId="12" fillId="2" borderId="10" xfId="0" applyFont="1" applyFill="1" applyBorder="1"/>
    <xf numFmtId="0" fontId="12" fillId="2" borderId="20" xfId="0" applyFont="1" applyFill="1" applyBorder="1"/>
    <xf numFmtId="0" fontId="13" fillId="2" borderId="7" xfId="0" applyFont="1" applyFill="1" applyBorder="1"/>
    <xf numFmtId="49" fontId="13" fillId="2" borderId="7" xfId="0" applyNumberFormat="1" applyFont="1" applyFill="1" applyBorder="1"/>
    <xf numFmtId="0" fontId="13" fillId="2" borderId="11" xfId="0" applyFont="1" applyFill="1" applyBorder="1"/>
    <xf numFmtId="0" fontId="12" fillId="0" borderId="0" xfId="0" applyFont="1"/>
    <xf numFmtId="0" fontId="3" fillId="2" borderId="9" xfId="0" applyFont="1" applyFill="1" applyBorder="1"/>
    <xf numFmtId="0" fontId="12" fillId="0" borderId="10" xfId="0" applyFont="1" applyBorder="1"/>
    <xf numFmtId="17" fontId="12" fillId="0" borderId="0" xfId="0" applyNumberFormat="1" applyFont="1"/>
    <xf numFmtId="49" fontId="12" fillId="0" borderId="0" xfId="0" applyNumberFormat="1" applyFont="1"/>
    <xf numFmtId="0" fontId="12" fillId="2" borderId="21" xfId="0" applyFont="1" applyFill="1" applyBorder="1"/>
    <xf numFmtId="0" fontId="12" fillId="2" borderId="22" xfId="0" applyFont="1" applyFill="1" applyBorder="1"/>
    <xf numFmtId="49" fontId="12" fillId="2" borderId="22" xfId="0" applyNumberFormat="1" applyFont="1" applyFill="1" applyBorder="1"/>
    <xf numFmtId="0" fontId="12" fillId="2" borderId="23" xfId="0" applyFont="1" applyFill="1" applyBorder="1"/>
    <xf numFmtId="0" fontId="3" fillId="2" borderId="0" xfId="0" applyFont="1" applyFill="1"/>
    <xf numFmtId="0" fontId="3" fillId="2" borderId="17" xfId="0" applyFont="1" applyFill="1" applyBorder="1"/>
    <xf numFmtId="0" fontId="1" fillId="2" borderId="13" xfId="0" applyFont="1" applyFill="1" applyBorder="1"/>
    <xf numFmtId="0" fontId="3" fillId="2" borderId="18" xfId="0" applyFont="1" applyFill="1" applyBorder="1"/>
    <xf numFmtId="0" fontId="1" fillId="2" borderId="20" xfId="0" applyFont="1" applyFill="1" applyBorder="1"/>
    <xf numFmtId="0" fontId="1" fillId="2" borderId="7" xfId="0" applyFont="1" applyFill="1" applyBorder="1"/>
    <xf numFmtId="0" fontId="14" fillId="2" borderId="7" xfId="0" applyFont="1" applyFill="1" applyBorder="1"/>
    <xf numFmtId="0" fontId="15" fillId="2" borderId="11" xfId="0" applyFont="1" applyFill="1" applyBorder="1"/>
    <xf numFmtId="0" fontId="15" fillId="2" borderId="0" xfId="0" applyFont="1" applyFill="1"/>
    <xf numFmtId="0" fontId="1" fillId="2" borderId="19" xfId="0" applyFont="1" applyFill="1" applyBorder="1"/>
    <xf numFmtId="0" fontId="15" fillId="2" borderId="10" xfId="0" applyFont="1" applyFill="1" applyBorder="1"/>
    <xf numFmtId="2" fontId="3" fillId="2" borderId="9" xfId="0" applyNumberFormat="1" applyFont="1" applyFill="1" applyBorder="1"/>
    <xf numFmtId="0" fontId="3" fillId="2" borderId="19" xfId="0" applyFont="1" applyFill="1" applyBorder="1"/>
    <xf numFmtId="0" fontId="3" fillId="2" borderId="10" xfId="0" applyFont="1" applyFill="1" applyBorder="1"/>
    <xf numFmtId="164" fontId="3" fillId="2" borderId="9" xfId="0" applyNumberFormat="1" applyFont="1" applyFill="1" applyBorder="1"/>
    <xf numFmtId="0" fontId="3" fillId="2" borderId="21" xfId="0" applyFont="1" applyFill="1" applyBorder="1"/>
    <xf numFmtId="0" fontId="3" fillId="2" borderId="22" xfId="0" applyFont="1" applyFill="1" applyBorder="1"/>
    <xf numFmtId="0" fontId="3" fillId="2" borderId="23" xfId="0" applyFont="1" applyFill="1" applyBorder="1"/>
    <xf numFmtId="0" fontId="0" fillId="2" borderId="9" xfId="0" applyFill="1" applyBorder="1"/>
    <xf numFmtId="167" fontId="0" fillId="2" borderId="0" xfId="0" applyNumberFormat="1" applyFill="1"/>
    <xf numFmtId="167" fontId="10" fillId="12" borderId="16" xfId="4" applyNumberFormat="1"/>
    <xf numFmtId="164" fontId="3" fillId="2" borderId="0" xfId="0" applyNumberFormat="1" applyFont="1" applyFill="1"/>
    <xf numFmtId="164" fontId="1" fillId="2" borderId="0" xfId="0" applyNumberFormat="1" applyFont="1" applyFill="1"/>
    <xf numFmtId="0" fontId="2" fillId="2" borderId="0" xfId="0" applyFont="1" applyFill="1"/>
    <xf numFmtId="0" fontId="11" fillId="2" borderId="0" xfId="5" applyFill="1"/>
    <xf numFmtId="0" fontId="8" fillId="2" borderId="0" xfId="0" applyFont="1" applyFill="1"/>
    <xf numFmtId="0" fontId="0" fillId="2" borderId="0" xfId="0" applyFill="1" applyAlignment="1">
      <alignment wrapText="1"/>
    </xf>
    <xf numFmtId="0" fontId="1" fillId="2" borderId="0" xfId="0" applyFont="1" applyFill="1" applyAlignment="1">
      <alignment horizontal="right" vertical="center"/>
    </xf>
    <xf numFmtId="0" fontId="8" fillId="2" borderId="0" xfId="0" applyFont="1" applyFill="1" applyAlignment="1">
      <alignment wrapText="1"/>
    </xf>
    <xf numFmtId="0" fontId="10" fillId="14" borderId="16" xfId="4" applyFill="1"/>
    <xf numFmtId="168" fontId="0" fillId="2" borderId="0" xfId="0" applyNumberFormat="1" applyFill="1"/>
    <xf numFmtId="169" fontId="0" fillId="2" borderId="9" xfId="0" applyNumberFormat="1" applyFill="1" applyBorder="1"/>
    <xf numFmtId="164" fontId="0" fillId="2" borderId="0" xfId="0" applyNumberFormat="1" applyFill="1"/>
    <xf numFmtId="0" fontId="2" fillId="3" borderId="0" xfId="0" applyFont="1" applyFill="1"/>
    <xf numFmtId="49" fontId="3" fillId="2" borderId="0" xfId="0" applyNumberFormat="1" applyFont="1" applyFill="1"/>
    <xf numFmtId="2" fontId="3" fillId="2" borderId="9" xfId="0" applyNumberFormat="1" applyFont="1" applyFill="1" applyBorder="1" applyAlignment="1">
      <alignment horizontal="right" vertical="center"/>
    </xf>
    <xf numFmtId="164" fontId="3" fillId="2" borderId="9" xfId="0" applyNumberFormat="1" applyFont="1" applyFill="1" applyBorder="1" applyAlignment="1">
      <alignment horizontal="right" vertical="center"/>
    </xf>
    <xf numFmtId="0" fontId="16" fillId="2" borderId="0" xfId="0" applyFont="1" applyFill="1"/>
    <xf numFmtId="167" fontId="10" fillId="14" borderId="16" xfId="4" applyNumberFormat="1" applyFill="1"/>
    <xf numFmtId="168" fontId="0" fillId="2" borderId="9" xfId="0" applyNumberFormat="1" applyFill="1" applyBorder="1"/>
    <xf numFmtId="0" fontId="18" fillId="0" borderId="0" xfId="6"/>
    <xf numFmtId="0" fontId="18" fillId="2" borderId="0" xfId="6" applyFill="1"/>
    <xf numFmtId="0" fontId="18" fillId="13" borderId="0" xfId="6" applyFill="1"/>
    <xf numFmtId="1" fontId="10" fillId="12" borderId="16" xfId="4" applyNumberFormat="1"/>
    <xf numFmtId="167" fontId="19" fillId="15" borderId="16" xfId="7" applyNumberFormat="1"/>
    <xf numFmtId="164" fontId="19" fillId="15" borderId="16" xfId="7" applyNumberFormat="1"/>
    <xf numFmtId="0" fontId="19" fillId="15" borderId="16" xfId="7"/>
    <xf numFmtId="2" fontId="19" fillId="15" borderId="16" xfId="7" applyNumberFormat="1"/>
    <xf numFmtId="0" fontId="14" fillId="3" borderId="0" xfId="0" applyFont="1" applyFill="1"/>
    <xf numFmtId="0" fontId="14" fillId="2" borderId="0" xfId="0" applyFont="1" applyFill="1"/>
    <xf numFmtId="168" fontId="3" fillId="2" borderId="9" xfId="0" applyNumberFormat="1" applyFont="1" applyFill="1" applyBorder="1"/>
    <xf numFmtId="0" fontId="0" fillId="2" borderId="2" xfId="3" applyFont="1" applyFill="1" applyBorder="1" applyAlignment="1">
      <alignment horizontal="left" vertical="top" wrapText="1"/>
    </xf>
    <xf numFmtId="0" fontId="0" fillId="2" borderId="0" xfId="3" applyFont="1" applyFill="1" applyAlignment="1">
      <alignment horizontal="left" vertical="top" wrapText="1"/>
    </xf>
    <xf numFmtId="0" fontId="0" fillId="2" borderId="4" xfId="3" applyFont="1" applyFill="1" applyBorder="1" applyAlignment="1">
      <alignment horizontal="left" vertical="top" wrapText="1"/>
    </xf>
    <xf numFmtId="0" fontId="0" fillId="2" borderId="3" xfId="3" applyFont="1" applyFill="1" applyBorder="1" applyAlignment="1">
      <alignment horizontal="left" vertical="top" wrapText="1"/>
    </xf>
    <xf numFmtId="0" fontId="0" fillId="2" borderId="7" xfId="3" applyFont="1" applyFill="1" applyBorder="1" applyAlignment="1">
      <alignment horizontal="left" vertical="top" wrapText="1"/>
    </xf>
    <xf numFmtId="0" fontId="0" fillId="2" borderId="12" xfId="3"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8"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0" xfId="0" applyFont="1" applyFill="1" applyAlignment="1">
      <alignment horizontal="left" vertical="top" wrapText="1"/>
    </xf>
    <xf numFmtId="0" fontId="9" fillId="3" borderId="4"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7" xfId="0" applyFont="1" applyFill="1" applyBorder="1" applyAlignment="1">
      <alignment horizontal="left" vertical="top" wrapText="1"/>
    </xf>
    <xf numFmtId="0" fontId="9" fillId="3" borderId="12" xfId="0" applyFont="1" applyFill="1" applyBorder="1" applyAlignment="1">
      <alignment horizontal="left" vertical="top" wrapText="1"/>
    </xf>
  </cellXfs>
  <cellStyles count="8">
    <cellStyle name="Calculation" xfId="7" builtinId="22"/>
    <cellStyle name="Comma 2" xfId="2" xr:uid="{E761668B-E0A5-E94B-BD62-2B906759AB9E}"/>
    <cellStyle name="Explanatory Text" xfId="6" builtinId="53"/>
    <cellStyle name="Hyperlink" xfId="5" builtinId="8"/>
    <cellStyle name="Input" xfId="4" builtinId="20"/>
    <cellStyle name="Normal" xfId="0" builtinId="0"/>
    <cellStyle name="Normal 2" xfId="1" xr:uid="{AF4BBB2C-B589-1D43-A9AE-C18CB725AA3A}"/>
    <cellStyle name="Normal 2 2" xfId="3" xr:uid="{1C55907E-CD0B-B44B-8085-29E37D625DE1}"/>
  </cellStyles>
  <dxfs count="0"/>
  <tableStyles count="0" defaultTableStyle="TableStyleMedium2" defaultPivotStyle="PivotStyleLight16"/>
  <colors>
    <mruColors>
      <color rgb="FFFFCC99"/>
      <color rgb="FFFFA6A0"/>
      <color rgb="FF92CDDC"/>
      <color rgb="FFEBF1DE"/>
      <color rgb="FFDAEEF3"/>
      <color rgb="FFEE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29</xdr:col>
      <xdr:colOff>795453</xdr:colOff>
      <xdr:row>68</xdr:row>
      <xdr:rowOff>167509</xdr:rowOff>
    </xdr:from>
    <xdr:to>
      <xdr:col>39</xdr:col>
      <xdr:colOff>319692</xdr:colOff>
      <xdr:row>77</xdr:row>
      <xdr:rowOff>185215</xdr:rowOff>
    </xdr:to>
    <xdr:pic>
      <xdr:nvPicPr>
        <xdr:cNvPr id="3" name="Picture 2">
          <a:extLst>
            <a:ext uri="{FF2B5EF4-FFF2-40B4-BE49-F238E27FC236}">
              <a16:creationId xmlns:a16="http://schemas.microsoft.com/office/drawing/2014/main" id="{14325BE9-8F0D-7C47-A799-3433A5CE74E0}"/>
            </a:ext>
          </a:extLst>
        </xdr:cNvPr>
        <xdr:cNvPicPr>
          <a:picLocks noChangeAspect="1"/>
        </xdr:cNvPicPr>
      </xdr:nvPicPr>
      <xdr:blipFill>
        <a:blip xmlns:r="http://schemas.openxmlformats.org/officeDocument/2006/relationships" r:embed="rId1"/>
        <a:stretch>
          <a:fillRect/>
        </a:stretch>
      </xdr:blipFill>
      <xdr:spPr>
        <a:xfrm>
          <a:off x="42161167" y="13515468"/>
          <a:ext cx="7818117" cy="2372520"/>
        </a:xfrm>
        <a:prstGeom prst="rect">
          <a:avLst/>
        </a:prstGeom>
      </xdr:spPr>
    </xdr:pic>
    <xdr:clientData/>
  </xdr:twoCellAnchor>
  <xdr:twoCellAnchor editAs="oneCell">
    <xdr:from>
      <xdr:col>30</xdr:col>
      <xdr:colOff>36466</xdr:colOff>
      <xdr:row>11</xdr:row>
      <xdr:rowOff>99369</xdr:rowOff>
    </xdr:from>
    <xdr:to>
      <xdr:col>39</xdr:col>
      <xdr:colOff>374151</xdr:colOff>
      <xdr:row>47</xdr:row>
      <xdr:rowOff>144885</xdr:rowOff>
    </xdr:to>
    <xdr:pic>
      <xdr:nvPicPr>
        <xdr:cNvPr id="4" name="Picture 3">
          <a:extLst>
            <a:ext uri="{FF2B5EF4-FFF2-40B4-BE49-F238E27FC236}">
              <a16:creationId xmlns:a16="http://schemas.microsoft.com/office/drawing/2014/main" id="{8F8AA112-BD23-CE0A-BCFB-29439B9000B9}"/>
            </a:ext>
            <a:ext uri="{147F2762-F138-4A5C-976F-8EAC2B608ADB}">
              <a16:predDERef xmlns:a16="http://schemas.microsoft.com/office/drawing/2014/main" pred="{14325BE9-8F0D-7C47-A799-3433A5CE74E0}"/>
            </a:ext>
          </a:extLst>
        </xdr:cNvPr>
        <xdr:cNvPicPr>
          <a:picLocks noChangeAspect="1"/>
        </xdr:cNvPicPr>
      </xdr:nvPicPr>
      <xdr:blipFill>
        <a:blip xmlns:r="http://schemas.openxmlformats.org/officeDocument/2006/relationships" r:embed="rId2"/>
        <a:stretch>
          <a:fillRect/>
        </a:stretch>
      </xdr:blipFill>
      <xdr:spPr>
        <a:xfrm>
          <a:off x="42231568" y="2121002"/>
          <a:ext cx="7802174" cy="7793244"/>
        </a:xfrm>
        <a:prstGeom prst="rect">
          <a:avLst/>
        </a:prstGeom>
      </xdr:spPr>
    </xdr:pic>
    <xdr:clientData/>
  </xdr:twoCellAnchor>
  <xdr:twoCellAnchor editAs="oneCell">
    <xdr:from>
      <xdr:col>47</xdr:col>
      <xdr:colOff>327755</xdr:colOff>
      <xdr:row>66</xdr:row>
      <xdr:rowOff>149787</xdr:rowOff>
    </xdr:from>
    <xdr:to>
      <xdr:col>58</xdr:col>
      <xdr:colOff>38659</xdr:colOff>
      <xdr:row>86</xdr:row>
      <xdr:rowOff>176335</xdr:rowOff>
    </xdr:to>
    <xdr:pic>
      <xdr:nvPicPr>
        <xdr:cNvPr id="15" name="Picture 14">
          <a:extLst>
            <a:ext uri="{FF2B5EF4-FFF2-40B4-BE49-F238E27FC236}">
              <a16:creationId xmlns:a16="http://schemas.microsoft.com/office/drawing/2014/main" id="{786A8EEC-FC3F-BB2C-656B-77C4510EC116}"/>
            </a:ext>
            <a:ext uri="{147F2762-F138-4A5C-976F-8EAC2B608ADB}">
              <a16:predDERef xmlns:a16="http://schemas.microsoft.com/office/drawing/2014/main" pred="{A65D9B9E-64B8-B0B6-D5C5-A6BA5C3A276C}"/>
            </a:ext>
          </a:extLst>
        </xdr:cNvPr>
        <xdr:cNvPicPr>
          <a:picLocks noChangeAspect="1"/>
        </xdr:cNvPicPr>
      </xdr:nvPicPr>
      <xdr:blipFill>
        <a:blip xmlns:r="http://schemas.openxmlformats.org/officeDocument/2006/relationships" r:embed="rId3"/>
        <a:stretch>
          <a:fillRect/>
        </a:stretch>
      </xdr:blipFill>
      <xdr:spPr>
        <a:xfrm>
          <a:off x="56245855" y="13192687"/>
          <a:ext cx="8791404" cy="4521555"/>
        </a:xfrm>
        <a:prstGeom prst="rect">
          <a:avLst/>
        </a:prstGeom>
      </xdr:spPr>
    </xdr:pic>
    <xdr:clientData/>
  </xdr:twoCellAnchor>
  <xdr:twoCellAnchor editAs="oneCell">
    <xdr:from>
      <xdr:col>29</xdr:col>
      <xdr:colOff>591019</xdr:colOff>
      <xdr:row>83</xdr:row>
      <xdr:rowOff>68180</xdr:rowOff>
    </xdr:from>
    <xdr:to>
      <xdr:col>39</xdr:col>
      <xdr:colOff>140407</xdr:colOff>
      <xdr:row>114</xdr:row>
      <xdr:rowOff>146966</xdr:rowOff>
    </xdr:to>
    <xdr:pic>
      <xdr:nvPicPr>
        <xdr:cNvPr id="16" name="Picture 15">
          <a:extLst>
            <a:ext uri="{FF2B5EF4-FFF2-40B4-BE49-F238E27FC236}">
              <a16:creationId xmlns:a16="http://schemas.microsoft.com/office/drawing/2014/main" id="{99672271-2C10-A1E6-00DB-0BA78196984F}"/>
            </a:ext>
            <a:ext uri="{147F2762-F138-4A5C-976F-8EAC2B608ADB}">
              <a16:predDERef xmlns:a16="http://schemas.microsoft.com/office/drawing/2014/main" pred="{786A8EEC-FC3F-BB2C-656B-77C4510EC116}"/>
            </a:ext>
          </a:extLst>
        </xdr:cNvPr>
        <xdr:cNvPicPr>
          <a:picLocks noChangeAspect="1"/>
        </xdr:cNvPicPr>
      </xdr:nvPicPr>
      <xdr:blipFill>
        <a:blip xmlns:r="http://schemas.openxmlformats.org/officeDocument/2006/relationships" r:embed="rId4"/>
        <a:stretch>
          <a:fillRect/>
        </a:stretch>
      </xdr:blipFill>
      <xdr:spPr>
        <a:xfrm>
          <a:off x="41956733" y="16526343"/>
          <a:ext cx="7843266" cy="5735858"/>
        </a:xfrm>
        <a:prstGeom prst="rect">
          <a:avLst/>
        </a:prstGeom>
      </xdr:spPr>
    </xdr:pic>
    <xdr:clientData/>
  </xdr:twoCellAnchor>
  <xdr:twoCellAnchor editAs="oneCell">
    <xdr:from>
      <xdr:col>58</xdr:col>
      <xdr:colOff>801971</xdr:colOff>
      <xdr:row>46</xdr:row>
      <xdr:rowOff>131965</xdr:rowOff>
    </xdr:from>
    <xdr:to>
      <xdr:col>69</xdr:col>
      <xdr:colOff>641446</xdr:colOff>
      <xdr:row>50</xdr:row>
      <xdr:rowOff>60281</xdr:rowOff>
    </xdr:to>
    <xdr:pic>
      <xdr:nvPicPr>
        <xdr:cNvPr id="18" name="Picture 17">
          <a:extLst>
            <a:ext uri="{FF2B5EF4-FFF2-40B4-BE49-F238E27FC236}">
              <a16:creationId xmlns:a16="http://schemas.microsoft.com/office/drawing/2014/main" id="{8C461284-F6B3-442E-B747-DE0166AB8906}"/>
            </a:ext>
            <a:ext uri="{147F2762-F138-4A5C-976F-8EAC2B608ADB}">
              <a16:predDERef xmlns:a16="http://schemas.microsoft.com/office/drawing/2014/main" pred="{FB846801-84F0-E4CD-B4CA-37E972ED4ACE}"/>
            </a:ext>
          </a:extLst>
        </xdr:cNvPr>
        <xdr:cNvPicPr>
          <a:picLocks noChangeAspect="1"/>
        </xdr:cNvPicPr>
      </xdr:nvPicPr>
      <xdr:blipFill>
        <a:blip xmlns:r="http://schemas.openxmlformats.org/officeDocument/2006/relationships" r:embed="rId5"/>
        <a:stretch>
          <a:fillRect/>
        </a:stretch>
      </xdr:blipFill>
      <xdr:spPr>
        <a:xfrm>
          <a:off x="66771415" y="9868632"/>
          <a:ext cx="9152809" cy="774980"/>
        </a:xfrm>
        <a:prstGeom prst="rect">
          <a:avLst/>
        </a:prstGeom>
      </xdr:spPr>
    </xdr:pic>
    <xdr:clientData/>
  </xdr:twoCellAnchor>
  <xdr:twoCellAnchor editAs="oneCell">
    <xdr:from>
      <xdr:col>37</xdr:col>
      <xdr:colOff>330200</xdr:colOff>
      <xdr:row>144</xdr:row>
      <xdr:rowOff>152399</xdr:rowOff>
    </xdr:from>
    <xdr:to>
      <xdr:col>50</xdr:col>
      <xdr:colOff>37285</xdr:colOff>
      <xdr:row>150</xdr:row>
      <xdr:rowOff>64320</xdr:rowOff>
    </xdr:to>
    <xdr:pic>
      <xdr:nvPicPr>
        <xdr:cNvPr id="20" name="Picture 19">
          <a:extLst>
            <a:ext uri="{FF2B5EF4-FFF2-40B4-BE49-F238E27FC236}">
              <a16:creationId xmlns:a16="http://schemas.microsoft.com/office/drawing/2014/main" id="{4AB4C334-EA6F-2334-C60D-D4EE96BADAA8}"/>
            </a:ext>
          </a:extLst>
        </xdr:cNvPr>
        <xdr:cNvPicPr>
          <a:picLocks noChangeAspect="1"/>
        </xdr:cNvPicPr>
      </xdr:nvPicPr>
      <xdr:blipFill>
        <a:blip xmlns:r="http://schemas.openxmlformats.org/officeDocument/2006/relationships" r:embed="rId6"/>
        <a:stretch>
          <a:fillRect/>
        </a:stretch>
      </xdr:blipFill>
      <xdr:spPr>
        <a:xfrm>
          <a:off x="47993300" y="28295599"/>
          <a:ext cx="10438584" cy="1054920"/>
        </a:xfrm>
        <a:prstGeom prst="rect">
          <a:avLst/>
        </a:prstGeom>
      </xdr:spPr>
    </xdr:pic>
    <xdr:clientData/>
  </xdr:twoCellAnchor>
  <xdr:twoCellAnchor editAs="oneCell">
    <xdr:from>
      <xdr:col>29</xdr:col>
      <xdr:colOff>775354</xdr:colOff>
      <xdr:row>54</xdr:row>
      <xdr:rowOff>148523</xdr:rowOff>
    </xdr:from>
    <xdr:to>
      <xdr:col>38</xdr:col>
      <xdr:colOff>688883</xdr:colOff>
      <xdr:row>64</xdr:row>
      <xdr:rowOff>172928</xdr:rowOff>
    </xdr:to>
    <xdr:pic>
      <xdr:nvPicPr>
        <xdr:cNvPr id="32" name="Picture 31">
          <a:extLst>
            <a:ext uri="{FF2B5EF4-FFF2-40B4-BE49-F238E27FC236}">
              <a16:creationId xmlns:a16="http://schemas.microsoft.com/office/drawing/2014/main" id="{788C25B0-8CD4-256B-24C2-AB239858CC13}"/>
            </a:ext>
            <a:ext uri="{147F2762-F138-4A5C-976F-8EAC2B608ADB}">
              <a16:predDERef xmlns:a16="http://schemas.microsoft.com/office/drawing/2014/main" pred="{21337077-5796-78B0-A362-1619FDFAF72B}"/>
            </a:ext>
          </a:extLst>
        </xdr:cNvPr>
        <xdr:cNvPicPr>
          <a:picLocks noChangeAspect="1"/>
        </xdr:cNvPicPr>
      </xdr:nvPicPr>
      <xdr:blipFill>
        <a:blip xmlns:r="http://schemas.openxmlformats.org/officeDocument/2006/relationships" r:embed="rId7"/>
        <a:stretch>
          <a:fillRect/>
        </a:stretch>
      </xdr:blipFill>
      <xdr:spPr>
        <a:xfrm>
          <a:off x="42141068" y="10671380"/>
          <a:ext cx="7378019" cy="2098587"/>
        </a:xfrm>
        <a:prstGeom prst="rect">
          <a:avLst/>
        </a:prstGeom>
      </xdr:spPr>
    </xdr:pic>
    <xdr:clientData/>
  </xdr:twoCellAnchor>
  <xdr:twoCellAnchor>
    <xdr:from>
      <xdr:col>48</xdr:col>
      <xdr:colOff>19050</xdr:colOff>
      <xdr:row>32</xdr:row>
      <xdr:rowOff>76200</xdr:rowOff>
    </xdr:from>
    <xdr:to>
      <xdr:col>58</xdr:col>
      <xdr:colOff>427566</xdr:colOff>
      <xdr:row>61</xdr:row>
      <xdr:rowOff>133958</xdr:rowOff>
    </xdr:to>
    <xdr:grpSp>
      <xdr:nvGrpSpPr>
        <xdr:cNvPr id="34" name="Group 33">
          <a:extLst>
            <a:ext uri="{FF2B5EF4-FFF2-40B4-BE49-F238E27FC236}">
              <a16:creationId xmlns:a16="http://schemas.microsoft.com/office/drawing/2014/main" id="{6BD1BEF7-82C6-206D-A1D8-12A656A42F76}"/>
            </a:ext>
          </a:extLst>
        </xdr:cNvPr>
        <xdr:cNvGrpSpPr/>
      </xdr:nvGrpSpPr>
      <xdr:grpSpPr>
        <a:xfrm>
          <a:off x="64824328" y="6473237"/>
          <a:ext cx="8639997" cy="5890351"/>
          <a:chOff x="27768550" y="42214800"/>
          <a:chExt cx="8642350" cy="5582258"/>
        </a:xfrm>
      </xdr:grpSpPr>
      <xdr:pic>
        <xdr:nvPicPr>
          <xdr:cNvPr id="12" name="Picture 11">
            <a:extLst>
              <a:ext uri="{FF2B5EF4-FFF2-40B4-BE49-F238E27FC236}">
                <a16:creationId xmlns:a16="http://schemas.microsoft.com/office/drawing/2014/main" id="{B7489F53-AE73-6448-1D7D-672B9A3FDFB4}"/>
              </a:ext>
              <a:ext uri="{147F2762-F138-4A5C-976F-8EAC2B608ADB}">
                <a16:predDERef xmlns:a16="http://schemas.microsoft.com/office/drawing/2014/main" pred="{FB9C7FF2-BD2B-6517-02D1-B634E577FE59}"/>
              </a:ext>
            </a:extLst>
          </xdr:cNvPr>
          <xdr:cNvPicPr>
            <a:picLocks noChangeAspect="1"/>
          </xdr:cNvPicPr>
        </xdr:nvPicPr>
        <xdr:blipFill>
          <a:blip xmlns:r="http://schemas.openxmlformats.org/officeDocument/2006/relationships" r:embed="rId8"/>
          <a:stretch>
            <a:fillRect/>
          </a:stretch>
        </xdr:blipFill>
        <xdr:spPr>
          <a:xfrm>
            <a:off x="27768550" y="42214800"/>
            <a:ext cx="7742378" cy="5582258"/>
          </a:xfrm>
          <a:prstGeom prst="rect">
            <a:avLst/>
          </a:prstGeom>
        </xdr:spPr>
      </xdr:pic>
      <xdr:sp macro="" textlink="">
        <xdr:nvSpPr>
          <xdr:cNvPr id="5" name="TextBox 4">
            <a:extLst>
              <a:ext uri="{FF2B5EF4-FFF2-40B4-BE49-F238E27FC236}">
                <a16:creationId xmlns:a16="http://schemas.microsoft.com/office/drawing/2014/main" id="{E579AC61-D24B-3917-99CD-63D968B93514}"/>
              </a:ext>
              <a:ext uri="{147F2762-F138-4A5C-976F-8EAC2B608ADB}">
                <a16:predDERef xmlns:a16="http://schemas.microsoft.com/office/drawing/2014/main" pred="{788C25B0-8CD4-256B-24C2-AB239858CC13}"/>
              </a:ext>
            </a:extLst>
          </xdr:cNvPr>
          <xdr:cNvSpPr txBox="1"/>
        </xdr:nvSpPr>
        <xdr:spPr>
          <a:xfrm>
            <a:off x="29257625" y="43157775"/>
            <a:ext cx="2378075" cy="3619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chemeClr val="accent3"/>
                </a:solidFill>
                <a:latin typeface="Calibri" panose="020F0502020204030204" pitchFamily="34" charset="0"/>
                <a:cs typeface="Calibri" panose="020F0502020204030204" pitchFamily="34" charset="0"/>
              </a:rPr>
              <a:t>ETM: primary pipelines</a:t>
            </a:r>
          </a:p>
        </xdr:txBody>
      </xdr:sp>
      <xdr:sp macro="" textlink="">
        <xdr:nvSpPr>
          <xdr:cNvPr id="6" name="Rectangle 5">
            <a:extLst>
              <a:ext uri="{FF2B5EF4-FFF2-40B4-BE49-F238E27FC236}">
                <a16:creationId xmlns:a16="http://schemas.microsoft.com/office/drawing/2014/main" id="{5C4F951B-0339-89D2-914D-C6531BCE9CBA}"/>
              </a:ext>
              <a:ext uri="{147F2762-F138-4A5C-976F-8EAC2B608ADB}">
                <a16:predDERef xmlns:a16="http://schemas.microsoft.com/office/drawing/2014/main" pred="{E579AC61-D24B-3917-99CD-63D968B93514}"/>
              </a:ext>
            </a:extLst>
          </xdr:cNvPr>
          <xdr:cNvSpPr/>
        </xdr:nvSpPr>
        <xdr:spPr>
          <a:xfrm>
            <a:off x="31778575" y="44313475"/>
            <a:ext cx="2828925" cy="2371725"/>
          </a:xfrm>
          <a:prstGeom prst="rect">
            <a:avLst/>
          </a:prstGeom>
          <a:noFill/>
          <a:ln w="28575">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25" name="TextBox 24">
            <a:extLst>
              <a:ext uri="{FF2B5EF4-FFF2-40B4-BE49-F238E27FC236}">
                <a16:creationId xmlns:a16="http://schemas.microsoft.com/office/drawing/2014/main" id="{07669AC7-4F96-4DB0-9E81-79D0504EF00E}"/>
              </a:ext>
              <a:ext uri="{147F2762-F138-4A5C-976F-8EAC2B608ADB}">
                <a16:predDERef xmlns:a16="http://schemas.microsoft.com/office/drawing/2014/main" pred="{5C4F951B-0339-89D2-914D-C6531BCE9CBA}"/>
              </a:ext>
            </a:extLst>
          </xdr:cNvPr>
          <xdr:cNvSpPr txBox="1"/>
        </xdr:nvSpPr>
        <xdr:spPr>
          <a:xfrm>
            <a:off x="33512125" y="43818175"/>
            <a:ext cx="1689100" cy="3619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chemeClr val="accent2"/>
                </a:solidFill>
                <a:latin typeface="Calibri" panose="020F0502020204030204" pitchFamily="34" charset="0"/>
                <a:cs typeface="Calibri" panose="020F0502020204030204" pitchFamily="34" charset="0"/>
              </a:rPr>
              <a:t>ETM: (secundary) distribution pipelines</a:t>
            </a:r>
          </a:p>
        </xdr:txBody>
      </xdr:sp>
      <xdr:sp macro="" textlink="">
        <xdr:nvSpPr>
          <xdr:cNvPr id="39" name="Rectangle 26">
            <a:extLst>
              <a:ext uri="{FF2B5EF4-FFF2-40B4-BE49-F238E27FC236}">
                <a16:creationId xmlns:a16="http://schemas.microsoft.com/office/drawing/2014/main" id="{C646023C-D068-42C9-BD13-6CCC81618052}"/>
              </a:ext>
              <a:ext uri="{147F2762-F138-4A5C-976F-8EAC2B608ADB}">
                <a16:predDERef xmlns:a16="http://schemas.microsoft.com/office/drawing/2014/main" pred="{07669AC7-4F96-4DB0-9E81-79D0504EF00E}"/>
              </a:ext>
            </a:extLst>
          </xdr:cNvPr>
          <xdr:cNvSpPr/>
        </xdr:nvSpPr>
        <xdr:spPr>
          <a:xfrm>
            <a:off x="32699325" y="44354750"/>
            <a:ext cx="1908175" cy="1666875"/>
          </a:xfrm>
          <a:prstGeom prst="rect">
            <a:avLst/>
          </a:prstGeom>
          <a:noFill/>
          <a:ln w="38100">
            <a:solidFill>
              <a:schemeClr val="accent6"/>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sp macro="" textlink="">
        <xdr:nvSpPr>
          <xdr:cNvPr id="28" name="TextBox 27">
            <a:extLst>
              <a:ext uri="{FF2B5EF4-FFF2-40B4-BE49-F238E27FC236}">
                <a16:creationId xmlns:a16="http://schemas.microsoft.com/office/drawing/2014/main" id="{6AC2733F-B6C2-40E6-AEE9-B63680501A9D}"/>
              </a:ext>
              <a:ext uri="{147F2762-F138-4A5C-976F-8EAC2B608ADB}">
                <a16:predDERef xmlns:a16="http://schemas.microsoft.com/office/drawing/2014/main" pred="{C646023C-D068-42C9-BD13-6CCC81618052}"/>
              </a:ext>
            </a:extLst>
          </xdr:cNvPr>
          <xdr:cNvSpPr txBox="1"/>
        </xdr:nvSpPr>
        <xdr:spPr>
          <a:xfrm>
            <a:off x="34702750" y="44923075"/>
            <a:ext cx="1685925" cy="361950"/>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chemeClr val="accent6"/>
                </a:solidFill>
                <a:latin typeface="Calibri" panose="020F0502020204030204" pitchFamily="34" charset="0"/>
                <a:cs typeface="Calibri" panose="020F0502020204030204" pitchFamily="34" charset="0"/>
              </a:rPr>
              <a:t>ETM: main distribution pipelines</a:t>
            </a:r>
          </a:p>
        </xdr:txBody>
      </xdr:sp>
      <xdr:sp macro="" textlink="">
        <xdr:nvSpPr>
          <xdr:cNvPr id="29" name="Rectangle 28">
            <a:extLst>
              <a:ext uri="{FF2B5EF4-FFF2-40B4-BE49-F238E27FC236}">
                <a16:creationId xmlns:a16="http://schemas.microsoft.com/office/drawing/2014/main" id="{C21586F6-6481-48C6-A044-38B48CDD9501}"/>
              </a:ext>
              <a:ext uri="{147F2762-F138-4A5C-976F-8EAC2B608ADB}">
                <a16:predDERef xmlns:a16="http://schemas.microsoft.com/office/drawing/2014/main" pred="{6AC2733F-B6C2-40E6-AEE9-B63680501A9D}"/>
              </a:ext>
            </a:extLst>
          </xdr:cNvPr>
          <xdr:cNvSpPr/>
        </xdr:nvSpPr>
        <xdr:spPr>
          <a:xfrm>
            <a:off x="31969075" y="46116875"/>
            <a:ext cx="2524125" cy="323850"/>
          </a:xfrm>
          <a:prstGeom prst="rect">
            <a:avLst/>
          </a:prstGeom>
          <a:noFill/>
          <a:ln w="38100">
            <a:solidFill>
              <a:schemeClr val="accent4"/>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30" name="TextBox 29">
            <a:extLst>
              <a:ext uri="{FF2B5EF4-FFF2-40B4-BE49-F238E27FC236}">
                <a16:creationId xmlns:a16="http://schemas.microsoft.com/office/drawing/2014/main" id="{6FE7C851-1CB1-41AB-AAC8-40ACE433FEFD}"/>
              </a:ext>
              <a:ext uri="{147F2762-F138-4A5C-976F-8EAC2B608ADB}">
                <a16:predDERef xmlns:a16="http://schemas.microsoft.com/office/drawing/2014/main" pred="{C21586F6-6481-48C6-A044-38B48CDD9501}"/>
              </a:ext>
            </a:extLst>
          </xdr:cNvPr>
          <xdr:cNvSpPr txBox="1"/>
        </xdr:nvSpPr>
        <xdr:spPr>
          <a:xfrm>
            <a:off x="34604325" y="46066074"/>
            <a:ext cx="1806575" cy="492125"/>
          </a:xfrm>
          <a:prstGeom prst="rect">
            <a:avLst/>
          </a:prstGeom>
          <a:solidFill>
            <a:schemeClr val="lt1"/>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1" i="0" u="none" strike="noStrike">
                <a:solidFill>
                  <a:schemeClr val="accent4"/>
                </a:solidFill>
                <a:latin typeface="Calibri" panose="020F0502020204030204" pitchFamily="34" charset="0"/>
                <a:cs typeface="Calibri" panose="020F0502020204030204" pitchFamily="34" charset="0"/>
              </a:rPr>
              <a:t>ETM: connection pipelines (residences only)</a:t>
            </a:r>
          </a:p>
        </xdr:txBody>
      </xdr:sp>
      <xdr:sp macro="" textlink="">
        <xdr:nvSpPr>
          <xdr:cNvPr id="33" name="Rectangle 32">
            <a:extLst>
              <a:ext uri="{FF2B5EF4-FFF2-40B4-BE49-F238E27FC236}">
                <a16:creationId xmlns:a16="http://schemas.microsoft.com/office/drawing/2014/main" id="{A0E92C08-4D74-4148-92F4-FE38B2DA5A6A}"/>
              </a:ext>
              <a:ext uri="{147F2762-F138-4A5C-976F-8EAC2B608ADB}">
                <a16:predDERef xmlns:a16="http://schemas.microsoft.com/office/drawing/2014/main" pred="{6FE7C851-1CB1-41AB-AAC8-40ACE433FEFD}"/>
              </a:ext>
            </a:extLst>
          </xdr:cNvPr>
          <xdr:cNvSpPr/>
        </xdr:nvSpPr>
        <xdr:spPr>
          <a:xfrm>
            <a:off x="29156025" y="43611800"/>
            <a:ext cx="3251200" cy="542925"/>
          </a:xfrm>
          <a:prstGeom prst="rect">
            <a:avLst/>
          </a:prstGeom>
          <a:noFill/>
          <a:ln w="28575">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xdr:from>
      <xdr:col>0</xdr:col>
      <xdr:colOff>485775</xdr:colOff>
      <xdr:row>1</xdr:row>
      <xdr:rowOff>161925</xdr:rowOff>
    </xdr:from>
    <xdr:to>
      <xdr:col>1</xdr:col>
      <xdr:colOff>4476750</xdr:colOff>
      <xdr:row>7</xdr:row>
      <xdr:rowOff>0</xdr:rowOff>
    </xdr:to>
    <xdr:sp macro="" textlink="">
      <xdr:nvSpPr>
        <xdr:cNvPr id="35" name="Rectangle 34">
          <a:extLst>
            <a:ext uri="{FF2B5EF4-FFF2-40B4-BE49-F238E27FC236}">
              <a16:creationId xmlns:a16="http://schemas.microsoft.com/office/drawing/2014/main" id="{62DF0416-412D-614B-3B9F-D0DDBDD37089}"/>
            </a:ext>
            <a:ext uri="{147F2762-F138-4A5C-976F-8EAC2B608ADB}">
              <a16:predDERef xmlns:a16="http://schemas.microsoft.com/office/drawing/2014/main" pred="{8FD016D7-A976-7163-96AE-44A20F2995F3}"/>
            </a:ext>
          </a:extLst>
        </xdr:cNvPr>
        <xdr:cNvSpPr/>
      </xdr:nvSpPr>
      <xdr:spPr>
        <a:xfrm>
          <a:off x="485775" y="350441"/>
          <a:ext cx="4814491" cy="969168"/>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Note: </a:t>
          </a:r>
          <a:r>
            <a:rPr lang="en-US" sz="1100" b="0" i="0" u="none" strike="noStrike">
              <a:solidFill>
                <a:srgbClr val="000000"/>
              </a:solidFill>
              <a:latin typeface="Calibri" panose="020F0502020204030204" pitchFamily="34" charset="0"/>
              <a:cs typeface="Calibri" panose="020F0502020204030204" pitchFamily="34" charset="0"/>
            </a:rPr>
            <a:t>this sheet details the infrastructure costs for block heating. The sheet distinguishes between heat network temperature ranges (low temperature, medium temperature, high temperature; LT, MT and HT) wherever possible and/or relevant.</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editAs="oneCell">
    <xdr:from>
      <xdr:col>29</xdr:col>
      <xdr:colOff>591906</xdr:colOff>
      <xdr:row>117</xdr:row>
      <xdr:rowOff>92177</xdr:rowOff>
    </xdr:from>
    <xdr:to>
      <xdr:col>38</xdr:col>
      <xdr:colOff>376100</xdr:colOff>
      <xdr:row>135</xdr:row>
      <xdr:rowOff>41913</xdr:rowOff>
    </xdr:to>
    <xdr:pic>
      <xdr:nvPicPr>
        <xdr:cNvPr id="40" name="Picture 39">
          <a:extLst>
            <a:ext uri="{FF2B5EF4-FFF2-40B4-BE49-F238E27FC236}">
              <a16:creationId xmlns:a16="http://schemas.microsoft.com/office/drawing/2014/main" id="{91799072-1BBC-D60C-F88A-5763FBE2F6F0}"/>
            </a:ext>
            <a:ext uri="{147F2762-F138-4A5C-976F-8EAC2B608ADB}">
              <a16:predDERef xmlns:a16="http://schemas.microsoft.com/office/drawing/2014/main" pred="{A6AEBDD8-1A5C-9EF9-3821-0F5FC3982265}"/>
            </a:ext>
          </a:extLst>
        </xdr:cNvPr>
        <xdr:cNvPicPr>
          <a:picLocks noChangeAspect="1"/>
        </xdr:cNvPicPr>
      </xdr:nvPicPr>
      <xdr:blipFill>
        <a:blip xmlns:r="http://schemas.openxmlformats.org/officeDocument/2006/relationships" r:embed="rId9"/>
        <a:stretch>
          <a:fillRect/>
        </a:stretch>
      </xdr:blipFill>
      <xdr:spPr>
        <a:xfrm>
          <a:off x="41713277" y="23433548"/>
          <a:ext cx="7250565" cy="3452477"/>
        </a:xfrm>
        <a:prstGeom prst="rect">
          <a:avLst/>
        </a:prstGeom>
      </xdr:spPr>
    </xdr:pic>
    <xdr:clientData/>
  </xdr:twoCellAnchor>
  <xdr:twoCellAnchor editAs="oneCell">
    <xdr:from>
      <xdr:col>38</xdr:col>
      <xdr:colOff>730250</xdr:colOff>
      <xdr:row>118</xdr:row>
      <xdr:rowOff>120650</xdr:rowOff>
    </xdr:from>
    <xdr:to>
      <xdr:col>43</xdr:col>
      <xdr:colOff>63503</xdr:colOff>
      <xdr:row>135</xdr:row>
      <xdr:rowOff>103951</xdr:rowOff>
    </xdr:to>
    <xdr:pic>
      <xdr:nvPicPr>
        <xdr:cNvPr id="2" name="Picture 1">
          <a:extLst>
            <a:ext uri="{FF2B5EF4-FFF2-40B4-BE49-F238E27FC236}">
              <a16:creationId xmlns:a16="http://schemas.microsoft.com/office/drawing/2014/main" id="{77BD2A4D-AF74-416D-284B-E7D8808493C5}"/>
            </a:ext>
            <a:ext uri="{147F2762-F138-4A5C-976F-8EAC2B608ADB}">
              <a16:predDERef xmlns:a16="http://schemas.microsoft.com/office/drawing/2014/main" pred="{BECFEF53-D995-50BE-5567-80EC3F99C8D4}"/>
            </a:ext>
          </a:extLst>
        </xdr:cNvPr>
        <xdr:cNvPicPr>
          <a:picLocks noChangeAspect="1"/>
        </xdr:cNvPicPr>
      </xdr:nvPicPr>
      <xdr:blipFill>
        <a:blip xmlns:r="http://schemas.openxmlformats.org/officeDocument/2006/relationships" r:embed="rId10"/>
        <a:stretch>
          <a:fillRect/>
        </a:stretch>
      </xdr:blipFill>
      <xdr:spPr>
        <a:xfrm>
          <a:off x="48939450" y="24098250"/>
          <a:ext cx="3397251" cy="3437701"/>
        </a:xfrm>
        <a:prstGeom prst="rect">
          <a:avLst/>
        </a:prstGeom>
      </xdr:spPr>
    </xdr:pic>
    <xdr:clientData/>
  </xdr:twoCellAnchor>
  <xdr:twoCellAnchor editAs="oneCell">
    <xdr:from>
      <xdr:col>29</xdr:col>
      <xdr:colOff>787399</xdr:colOff>
      <xdr:row>160</xdr:row>
      <xdr:rowOff>0</xdr:rowOff>
    </xdr:from>
    <xdr:to>
      <xdr:col>36</xdr:col>
      <xdr:colOff>776696</xdr:colOff>
      <xdr:row>178</xdr:row>
      <xdr:rowOff>88901</xdr:rowOff>
    </xdr:to>
    <xdr:pic>
      <xdr:nvPicPr>
        <xdr:cNvPr id="42" name="Picture 41">
          <a:extLst>
            <a:ext uri="{FF2B5EF4-FFF2-40B4-BE49-F238E27FC236}">
              <a16:creationId xmlns:a16="http://schemas.microsoft.com/office/drawing/2014/main" id="{BC681C9B-0D16-884F-8E1E-C9353A6D5241}"/>
            </a:ext>
            <a:ext uri="{147F2762-F138-4A5C-976F-8EAC2B608ADB}">
              <a16:predDERef xmlns:a16="http://schemas.microsoft.com/office/drawing/2014/main" pred="{62DF0416-412D-614B-3B9F-D0DDBDD37089}"/>
            </a:ext>
          </a:extLst>
        </xdr:cNvPr>
        <xdr:cNvPicPr>
          <a:picLocks noChangeAspect="1"/>
        </xdr:cNvPicPr>
      </xdr:nvPicPr>
      <xdr:blipFill>
        <a:blip xmlns:r="http://schemas.openxmlformats.org/officeDocument/2006/relationships" r:embed="rId11"/>
        <a:stretch>
          <a:fillRect/>
        </a:stretch>
      </xdr:blipFill>
      <xdr:spPr>
        <a:xfrm>
          <a:off x="41846499" y="31191200"/>
          <a:ext cx="5767797" cy="3517900"/>
        </a:xfrm>
        <a:prstGeom prst="rect">
          <a:avLst/>
        </a:prstGeom>
      </xdr:spPr>
    </xdr:pic>
    <xdr:clientData/>
  </xdr:twoCellAnchor>
  <xdr:twoCellAnchor editAs="oneCell">
    <xdr:from>
      <xdr:col>29</xdr:col>
      <xdr:colOff>774700</xdr:colOff>
      <xdr:row>138</xdr:row>
      <xdr:rowOff>114300</xdr:rowOff>
    </xdr:from>
    <xdr:to>
      <xdr:col>37</xdr:col>
      <xdr:colOff>152400</xdr:colOff>
      <xdr:row>154</xdr:row>
      <xdr:rowOff>19051</xdr:rowOff>
    </xdr:to>
    <xdr:pic>
      <xdr:nvPicPr>
        <xdr:cNvPr id="43" name="Picture 42">
          <a:extLst>
            <a:ext uri="{FF2B5EF4-FFF2-40B4-BE49-F238E27FC236}">
              <a16:creationId xmlns:a16="http://schemas.microsoft.com/office/drawing/2014/main" id="{501DB008-B827-B012-F5F4-D5E11183CE53}"/>
            </a:ext>
          </a:extLst>
        </xdr:cNvPr>
        <xdr:cNvPicPr>
          <a:picLocks noChangeAspect="1"/>
        </xdr:cNvPicPr>
      </xdr:nvPicPr>
      <xdr:blipFill>
        <a:blip xmlns:r="http://schemas.openxmlformats.org/officeDocument/2006/relationships" r:embed="rId12"/>
        <a:stretch>
          <a:fillRect/>
        </a:stretch>
      </xdr:blipFill>
      <xdr:spPr>
        <a:xfrm>
          <a:off x="41833800" y="27114500"/>
          <a:ext cx="5981700" cy="2921000"/>
        </a:xfrm>
        <a:prstGeom prst="rect">
          <a:avLst/>
        </a:prstGeom>
      </xdr:spPr>
    </xdr:pic>
    <xdr:clientData/>
  </xdr:twoCellAnchor>
  <xdr:twoCellAnchor editAs="oneCell">
    <xdr:from>
      <xdr:col>47</xdr:col>
      <xdr:colOff>711200</xdr:colOff>
      <xdr:row>7</xdr:row>
      <xdr:rowOff>152400</xdr:rowOff>
    </xdr:from>
    <xdr:to>
      <xdr:col>57</xdr:col>
      <xdr:colOff>217742</xdr:colOff>
      <xdr:row>28</xdr:row>
      <xdr:rowOff>38131</xdr:rowOff>
    </xdr:to>
    <xdr:pic>
      <xdr:nvPicPr>
        <xdr:cNvPr id="44" name="Picture 43">
          <a:extLst>
            <a:ext uri="{FF2B5EF4-FFF2-40B4-BE49-F238E27FC236}">
              <a16:creationId xmlns:a16="http://schemas.microsoft.com/office/drawing/2014/main" id="{A28727A2-3C61-864D-9B71-BFCD1D4E7F35}"/>
            </a:ext>
          </a:extLst>
        </xdr:cNvPr>
        <xdr:cNvPicPr>
          <a:picLocks noChangeAspect="1"/>
        </xdr:cNvPicPr>
      </xdr:nvPicPr>
      <xdr:blipFill>
        <a:blip xmlns:r="http://schemas.openxmlformats.org/officeDocument/2006/relationships" r:embed="rId13"/>
        <a:stretch>
          <a:fillRect/>
        </a:stretch>
      </xdr:blipFill>
      <xdr:spPr>
        <a:xfrm>
          <a:off x="56629300" y="1485900"/>
          <a:ext cx="7761543" cy="4156900"/>
        </a:xfrm>
        <a:prstGeom prst="rect">
          <a:avLst/>
        </a:prstGeom>
      </xdr:spPr>
    </xdr:pic>
    <xdr:clientData/>
  </xdr:twoCellAnchor>
  <xdr:twoCellAnchor editAs="oneCell">
    <xdr:from>
      <xdr:col>30</xdr:col>
      <xdr:colOff>0</xdr:colOff>
      <xdr:row>182</xdr:row>
      <xdr:rowOff>0</xdr:rowOff>
    </xdr:from>
    <xdr:to>
      <xdr:col>40</xdr:col>
      <xdr:colOff>58417</xdr:colOff>
      <xdr:row>210</xdr:row>
      <xdr:rowOff>26890</xdr:rowOff>
    </xdr:to>
    <xdr:pic>
      <xdr:nvPicPr>
        <xdr:cNvPr id="46" name="Picture 45">
          <a:extLst>
            <a:ext uri="{FF2B5EF4-FFF2-40B4-BE49-F238E27FC236}">
              <a16:creationId xmlns:a16="http://schemas.microsoft.com/office/drawing/2014/main" id="{10A57B50-532F-AB4E-9748-0187E2AEDD28}"/>
            </a:ext>
          </a:extLst>
        </xdr:cNvPr>
        <xdr:cNvPicPr>
          <a:picLocks noChangeAspect="1"/>
        </xdr:cNvPicPr>
      </xdr:nvPicPr>
      <xdr:blipFill>
        <a:blip xmlns:r="http://schemas.openxmlformats.org/officeDocument/2006/relationships" r:embed="rId14"/>
        <a:stretch>
          <a:fillRect/>
        </a:stretch>
      </xdr:blipFill>
      <xdr:spPr>
        <a:xfrm>
          <a:off x="41896044" y="37025385"/>
          <a:ext cx="8292480" cy="5497659"/>
        </a:xfrm>
        <a:prstGeom prst="rect">
          <a:avLst/>
        </a:prstGeom>
      </xdr:spPr>
    </xdr:pic>
    <xdr:clientData/>
  </xdr:twoCellAnchor>
  <xdr:twoCellAnchor editAs="oneCell">
    <xdr:from>
      <xdr:col>39</xdr:col>
      <xdr:colOff>13956</xdr:colOff>
      <xdr:row>57</xdr:row>
      <xdr:rowOff>139561</xdr:rowOff>
    </xdr:from>
    <xdr:to>
      <xdr:col>45</xdr:col>
      <xdr:colOff>280517</xdr:colOff>
      <xdr:row>62</xdr:row>
      <xdr:rowOff>93169</xdr:rowOff>
    </xdr:to>
    <xdr:pic>
      <xdr:nvPicPr>
        <xdr:cNvPr id="49" name="Picture 48">
          <a:extLst>
            <a:ext uri="{FF2B5EF4-FFF2-40B4-BE49-F238E27FC236}">
              <a16:creationId xmlns:a16="http://schemas.microsoft.com/office/drawing/2014/main" id="{734A5A40-8A32-294A-B768-5A140FA663C2}"/>
            </a:ext>
          </a:extLst>
        </xdr:cNvPr>
        <xdr:cNvPicPr>
          <a:picLocks noChangeAspect="1"/>
        </xdr:cNvPicPr>
      </xdr:nvPicPr>
      <xdr:blipFill>
        <a:blip xmlns:r="http://schemas.openxmlformats.org/officeDocument/2006/relationships" r:embed="rId15"/>
        <a:stretch>
          <a:fillRect/>
        </a:stretch>
      </xdr:blipFill>
      <xdr:spPr>
        <a:xfrm>
          <a:off x="66975055" y="11681209"/>
          <a:ext cx="5207000" cy="1041400"/>
        </a:xfrm>
        <a:prstGeom prst="rect">
          <a:avLst/>
        </a:prstGeom>
      </xdr:spPr>
    </xdr:pic>
    <xdr:clientData/>
  </xdr:twoCellAnchor>
  <xdr:twoCellAnchor editAs="oneCell">
    <xdr:from>
      <xdr:col>30</xdr:col>
      <xdr:colOff>0</xdr:colOff>
      <xdr:row>214</xdr:row>
      <xdr:rowOff>0</xdr:rowOff>
    </xdr:from>
    <xdr:to>
      <xdr:col>45</xdr:col>
      <xdr:colOff>60635</xdr:colOff>
      <xdr:row>242</xdr:row>
      <xdr:rowOff>13956</xdr:rowOff>
    </xdr:to>
    <xdr:pic>
      <xdr:nvPicPr>
        <xdr:cNvPr id="50" name="Picture 49">
          <a:extLst>
            <a:ext uri="{FF2B5EF4-FFF2-40B4-BE49-F238E27FC236}">
              <a16:creationId xmlns:a16="http://schemas.microsoft.com/office/drawing/2014/main" id="{399E5424-040C-E799-B227-4C6D19A1C1FE}"/>
            </a:ext>
          </a:extLst>
        </xdr:cNvPr>
        <xdr:cNvPicPr>
          <a:picLocks noChangeAspect="1"/>
        </xdr:cNvPicPr>
      </xdr:nvPicPr>
      <xdr:blipFill>
        <a:blip xmlns:r="http://schemas.openxmlformats.org/officeDocument/2006/relationships" r:embed="rId16"/>
        <a:stretch>
          <a:fillRect/>
        </a:stretch>
      </xdr:blipFill>
      <xdr:spPr>
        <a:xfrm>
          <a:off x="59550440" y="43277692"/>
          <a:ext cx="12411732" cy="5484726"/>
        </a:xfrm>
        <a:prstGeom prst="rect">
          <a:avLst/>
        </a:prstGeom>
      </xdr:spPr>
    </xdr:pic>
    <xdr:clientData/>
  </xdr:twoCellAnchor>
  <xdr:twoCellAnchor editAs="oneCell">
    <xdr:from>
      <xdr:col>29</xdr:col>
      <xdr:colOff>809451</xdr:colOff>
      <xdr:row>245</xdr:row>
      <xdr:rowOff>181429</xdr:rowOff>
    </xdr:from>
    <xdr:to>
      <xdr:col>39</xdr:col>
      <xdr:colOff>144585</xdr:colOff>
      <xdr:row>254</xdr:row>
      <xdr:rowOff>61267</xdr:rowOff>
    </xdr:to>
    <xdr:pic>
      <xdr:nvPicPr>
        <xdr:cNvPr id="51" name="Picture 50">
          <a:extLst>
            <a:ext uri="{FF2B5EF4-FFF2-40B4-BE49-F238E27FC236}">
              <a16:creationId xmlns:a16="http://schemas.microsoft.com/office/drawing/2014/main" id="{24C453A2-5768-0348-8D1B-FE30E992CDAB}"/>
            </a:ext>
          </a:extLst>
        </xdr:cNvPr>
        <xdr:cNvPicPr>
          <a:picLocks noChangeAspect="1"/>
        </xdr:cNvPicPr>
      </xdr:nvPicPr>
      <xdr:blipFill>
        <a:blip xmlns:r="http://schemas.openxmlformats.org/officeDocument/2006/relationships" r:embed="rId17"/>
        <a:stretch>
          <a:fillRect/>
        </a:stretch>
      </xdr:blipFill>
      <xdr:spPr>
        <a:xfrm>
          <a:off x="59536484" y="48846154"/>
          <a:ext cx="7569200" cy="1638300"/>
        </a:xfrm>
        <a:prstGeom prst="rect">
          <a:avLst/>
        </a:prstGeom>
      </xdr:spPr>
    </xdr:pic>
    <xdr:clientData/>
  </xdr:twoCellAnchor>
  <xdr:twoCellAnchor editAs="oneCell">
    <xdr:from>
      <xdr:col>29</xdr:col>
      <xdr:colOff>823406</xdr:colOff>
      <xdr:row>257</xdr:row>
      <xdr:rowOff>0</xdr:rowOff>
    </xdr:from>
    <xdr:to>
      <xdr:col>39</xdr:col>
      <xdr:colOff>229681</xdr:colOff>
      <xdr:row>264</xdr:row>
      <xdr:rowOff>27911</xdr:rowOff>
    </xdr:to>
    <xdr:pic>
      <xdr:nvPicPr>
        <xdr:cNvPr id="53" name="Picture 52">
          <a:extLst>
            <a:ext uri="{FF2B5EF4-FFF2-40B4-BE49-F238E27FC236}">
              <a16:creationId xmlns:a16="http://schemas.microsoft.com/office/drawing/2014/main" id="{39808C92-37C7-0738-2536-D0282DAB3E78}"/>
            </a:ext>
          </a:extLst>
        </xdr:cNvPr>
        <xdr:cNvPicPr>
          <a:picLocks noChangeAspect="1"/>
        </xdr:cNvPicPr>
      </xdr:nvPicPr>
      <xdr:blipFill>
        <a:blip xmlns:r="http://schemas.openxmlformats.org/officeDocument/2006/relationships" r:embed="rId18"/>
        <a:stretch>
          <a:fillRect/>
        </a:stretch>
      </xdr:blipFill>
      <xdr:spPr>
        <a:xfrm>
          <a:off x="59550439" y="51679231"/>
          <a:ext cx="7640341" cy="1395604"/>
        </a:xfrm>
        <a:prstGeom prst="rect">
          <a:avLst/>
        </a:prstGeom>
      </xdr:spPr>
    </xdr:pic>
    <xdr:clientData/>
  </xdr:twoCellAnchor>
  <xdr:twoCellAnchor editAs="oneCell">
    <xdr:from>
      <xdr:col>30</xdr:col>
      <xdr:colOff>0</xdr:colOff>
      <xdr:row>267</xdr:row>
      <xdr:rowOff>139561</xdr:rowOff>
    </xdr:from>
    <xdr:to>
      <xdr:col>38</xdr:col>
      <xdr:colOff>258048</xdr:colOff>
      <xdr:row>284</xdr:row>
      <xdr:rowOff>43824</xdr:rowOff>
    </xdr:to>
    <xdr:pic>
      <xdr:nvPicPr>
        <xdr:cNvPr id="55" name="Picture 54">
          <a:extLst>
            <a:ext uri="{FF2B5EF4-FFF2-40B4-BE49-F238E27FC236}">
              <a16:creationId xmlns:a16="http://schemas.microsoft.com/office/drawing/2014/main" id="{CA88B0A0-5EBC-588E-C717-85B3289DB6FB}"/>
            </a:ext>
          </a:extLst>
        </xdr:cNvPr>
        <xdr:cNvPicPr>
          <a:picLocks noChangeAspect="1"/>
        </xdr:cNvPicPr>
      </xdr:nvPicPr>
      <xdr:blipFill>
        <a:blip xmlns:r="http://schemas.openxmlformats.org/officeDocument/2006/relationships" r:embed="rId19"/>
        <a:stretch>
          <a:fillRect/>
        </a:stretch>
      </xdr:blipFill>
      <xdr:spPr>
        <a:xfrm>
          <a:off x="59550440" y="53772638"/>
          <a:ext cx="6845300" cy="3225800"/>
        </a:xfrm>
        <a:prstGeom prst="rect">
          <a:avLst/>
        </a:prstGeom>
      </xdr:spPr>
    </xdr:pic>
    <xdr:clientData/>
  </xdr:twoCellAnchor>
  <xdr:twoCellAnchor editAs="oneCell">
    <xdr:from>
      <xdr:col>29</xdr:col>
      <xdr:colOff>783828</xdr:colOff>
      <xdr:row>287</xdr:row>
      <xdr:rowOff>119062</xdr:rowOff>
    </xdr:from>
    <xdr:to>
      <xdr:col>39</xdr:col>
      <xdr:colOff>321072</xdr:colOff>
      <xdr:row>299</xdr:row>
      <xdr:rowOff>24083</xdr:rowOff>
    </xdr:to>
    <xdr:pic>
      <xdr:nvPicPr>
        <xdr:cNvPr id="8" name="Picture 7">
          <a:extLst>
            <a:ext uri="{FF2B5EF4-FFF2-40B4-BE49-F238E27FC236}">
              <a16:creationId xmlns:a16="http://schemas.microsoft.com/office/drawing/2014/main" id="{C957A264-7F98-C72D-3784-B0F4728B33B2}"/>
            </a:ext>
          </a:extLst>
        </xdr:cNvPr>
        <xdr:cNvPicPr>
          <a:picLocks noChangeAspect="1"/>
        </xdr:cNvPicPr>
      </xdr:nvPicPr>
      <xdr:blipFill>
        <a:blip xmlns:r="http://schemas.openxmlformats.org/officeDocument/2006/relationships" r:embed="rId20"/>
        <a:stretch>
          <a:fillRect/>
        </a:stretch>
      </xdr:blipFill>
      <xdr:spPr>
        <a:xfrm>
          <a:off x="59461797" y="56574531"/>
          <a:ext cx="7772400" cy="2167209"/>
        </a:xfrm>
        <a:prstGeom prst="rect">
          <a:avLst/>
        </a:prstGeom>
      </xdr:spPr>
    </xdr:pic>
    <xdr:clientData/>
  </xdr:twoCellAnchor>
  <xdr:twoCellAnchor editAs="oneCell">
    <xdr:from>
      <xdr:col>40</xdr:col>
      <xdr:colOff>19844</xdr:colOff>
      <xdr:row>288</xdr:row>
      <xdr:rowOff>49610</xdr:rowOff>
    </xdr:from>
    <xdr:to>
      <xdr:col>49</xdr:col>
      <xdr:colOff>380602</xdr:colOff>
      <xdr:row>296</xdr:row>
      <xdr:rowOff>28378</xdr:rowOff>
    </xdr:to>
    <xdr:pic>
      <xdr:nvPicPr>
        <xdr:cNvPr id="23" name="Picture 22">
          <a:extLst>
            <a:ext uri="{FF2B5EF4-FFF2-40B4-BE49-F238E27FC236}">
              <a16:creationId xmlns:a16="http://schemas.microsoft.com/office/drawing/2014/main" id="{5DA01572-CB90-6DCB-2EA5-9273DA05F6A0}"/>
            </a:ext>
          </a:extLst>
        </xdr:cNvPr>
        <xdr:cNvPicPr>
          <a:picLocks noChangeAspect="1"/>
        </xdr:cNvPicPr>
      </xdr:nvPicPr>
      <xdr:blipFill>
        <a:blip xmlns:r="http://schemas.openxmlformats.org/officeDocument/2006/relationships" r:embed="rId21"/>
        <a:stretch>
          <a:fillRect/>
        </a:stretch>
      </xdr:blipFill>
      <xdr:spPr>
        <a:xfrm>
          <a:off x="67756485" y="56693594"/>
          <a:ext cx="7772400" cy="1486893"/>
        </a:xfrm>
        <a:prstGeom prst="rect">
          <a:avLst/>
        </a:prstGeom>
      </xdr:spPr>
    </xdr:pic>
    <xdr:clientData/>
  </xdr:twoCellAnchor>
  <xdr:twoCellAnchor editAs="oneCell">
    <xdr:from>
      <xdr:col>29</xdr:col>
      <xdr:colOff>793749</xdr:colOff>
      <xdr:row>302</xdr:row>
      <xdr:rowOff>158750</xdr:rowOff>
    </xdr:from>
    <xdr:to>
      <xdr:col>39</xdr:col>
      <xdr:colOff>330993</xdr:colOff>
      <xdr:row>325</xdr:row>
      <xdr:rowOff>57202</xdr:rowOff>
    </xdr:to>
    <xdr:pic>
      <xdr:nvPicPr>
        <xdr:cNvPr id="26" name="Picture 25">
          <a:extLst>
            <a:ext uri="{FF2B5EF4-FFF2-40B4-BE49-F238E27FC236}">
              <a16:creationId xmlns:a16="http://schemas.microsoft.com/office/drawing/2014/main" id="{09DA840D-1BD1-3C3D-B485-FA460FB8D786}"/>
            </a:ext>
          </a:extLst>
        </xdr:cNvPr>
        <xdr:cNvPicPr>
          <a:picLocks noChangeAspect="1"/>
        </xdr:cNvPicPr>
      </xdr:nvPicPr>
      <xdr:blipFill>
        <a:blip xmlns:r="http://schemas.openxmlformats.org/officeDocument/2006/relationships" r:embed="rId22"/>
        <a:stretch>
          <a:fillRect/>
        </a:stretch>
      </xdr:blipFill>
      <xdr:spPr>
        <a:xfrm>
          <a:off x="59471718" y="59441953"/>
          <a:ext cx="7772400" cy="4234312"/>
        </a:xfrm>
        <a:prstGeom prst="rect">
          <a:avLst/>
        </a:prstGeom>
      </xdr:spPr>
    </xdr:pic>
    <xdr:clientData/>
  </xdr:twoCellAnchor>
  <xdr:twoCellAnchor editAs="oneCell">
    <xdr:from>
      <xdr:col>30</xdr:col>
      <xdr:colOff>381000</xdr:colOff>
      <xdr:row>328</xdr:row>
      <xdr:rowOff>180975</xdr:rowOff>
    </xdr:from>
    <xdr:to>
      <xdr:col>35</xdr:col>
      <xdr:colOff>809626</xdr:colOff>
      <xdr:row>338</xdr:row>
      <xdr:rowOff>9525</xdr:rowOff>
    </xdr:to>
    <xdr:pic>
      <xdr:nvPicPr>
        <xdr:cNvPr id="7" name="Picture 6">
          <a:extLst>
            <a:ext uri="{FF2B5EF4-FFF2-40B4-BE49-F238E27FC236}">
              <a16:creationId xmlns:a16="http://schemas.microsoft.com/office/drawing/2014/main" id="{3C0AD2D9-24E7-601C-1FCC-9AD02623CABA}"/>
            </a:ext>
            <a:ext uri="{147F2762-F138-4A5C-976F-8EAC2B608ADB}">
              <a16:predDERef xmlns:a16="http://schemas.microsoft.com/office/drawing/2014/main" pred="{09DA840D-1BD1-3C3D-B485-FA460FB8D786}"/>
            </a:ext>
          </a:extLst>
        </xdr:cNvPr>
        <xdr:cNvPicPr>
          <a:picLocks noChangeAspect="1"/>
        </xdr:cNvPicPr>
      </xdr:nvPicPr>
      <xdr:blipFill>
        <a:blip xmlns:r="http://schemas.openxmlformats.org/officeDocument/2006/relationships" r:embed="rId23"/>
        <a:stretch>
          <a:fillRect/>
        </a:stretch>
      </xdr:blipFill>
      <xdr:spPr>
        <a:xfrm>
          <a:off x="61560075" y="66636900"/>
          <a:ext cx="4572000" cy="1828800"/>
        </a:xfrm>
        <a:prstGeom prst="rect">
          <a:avLst/>
        </a:prstGeom>
      </xdr:spPr>
    </xdr:pic>
    <xdr:clientData/>
  </xdr:twoCellAnchor>
  <xdr:twoCellAnchor editAs="oneCell">
    <xdr:from>
      <xdr:col>30</xdr:col>
      <xdr:colOff>457200</xdr:colOff>
      <xdr:row>341</xdr:row>
      <xdr:rowOff>104775</xdr:rowOff>
    </xdr:from>
    <xdr:to>
      <xdr:col>36</xdr:col>
      <xdr:colOff>57150</xdr:colOff>
      <xdr:row>356</xdr:row>
      <xdr:rowOff>133350</xdr:rowOff>
    </xdr:to>
    <xdr:pic>
      <xdr:nvPicPr>
        <xdr:cNvPr id="9" name="Picture 8">
          <a:extLst>
            <a:ext uri="{FF2B5EF4-FFF2-40B4-BE49-F238E27FC236}">
              <a16:creationId xmlns:a16="http://schemas.microsoft.com/office/drawing/2014/main" id="{68DDE340-167A-CFCE-AC05-76D54CC23540}"/>
            </a:ext>
            <a:ext uri="{147F2762-F138-4A5C-976F-8EAC2B608ADB}">
              <a16:predDERef xmlns:a16="http://schemas.microsoft.com/office/drawing/2014/main" pred="{3C0AD2D9-24E7-601C-1FCC-9AD02623CABA}"/>
            </a:ext>
          </a:extLst>
        </xdr:cNvPr>
        <xdr:cNvPicPr>
          <a:picLocks noChangeAspect="1"/>
        </xdr:cNvPicPr>
      </xdr:nvPicPr>
      <xdr:blipFill>
        <a:blip xmlns:r="http://schemas.openxmlformats.org/officeDocument/2006/relationships" r:embed="rId24"/>
        <a:stretch>
          <a:fillRect/>
        </a:stretch>
      </xdr:blipFill>
      <xdr:spPr>
        <a:xfrm>
          <a:off x="61636275" y="69161025"/>
          <a:ext cx="4572000" cy="3028950"/>
        </a:xfrm>
        <a:prstGeom prst="rect">
          <a:avLst/>
        </a:prstGeom>
      </xdr:spPr>
    </xdr:pic>
    <xdr:clientData/>
  </xdr:twoCellAnchor>
  <xdr:twoCellAnchor editAs="oneCell">
    <xdr:from>
      <xdr:col>30</xdr:col>
      <xdr:colOff>0</xdr:colOff>
      <xdr:row>360</xdr:row>
      <xdr:rowOff>0</xdr:rowOff>
    </xdr:from>
    <xdr:to>
      <xdr:col>39</xdr:col>
      <xdr:colOff>360759</xdr:colOff>
      <xdr:row>380</xdr:row>
      <xdr:rowOff>31404</xdr:rowOff>
    </xdr:to>
    <xdr:pic>
      <xdr:nvPicPr>
        <xdr:cNvPr id="19" name="Picture 18">
          <a:extLst>
            <a:ext uri="{FF2B5EF4-FFF2-40B4-BE49-F238E27FC236}">
              <a16:creationId xmlns:a16="http://schemas.microsoft.com/office/drawing/2014/main" id="{DD78F286-D813-19E4-F627-96EEEE21DB10}"/>
            </a:ext>
          </a:extLst>
        </xdr:cNvPr>
        <xdr:cNvPicPr>
          <a:picLocks noChangeAspect="1"/>
        </xdr:cNvPicPr>
      </xdr:nvPicPr>
      <xdr:blipFill>
        <a:blip xmlns:r="http://schemas.openxmlformats.org/officeDocument/2006/relationships" r:embed="rId25"/>
        <a:stretch>
          <a:fillRect/>
        </a:stretch>
      </xdr:blipFill>
      <xdr:spPr>
        <a:xfrm>
          <a:off x="49341484" y="69651563"/>
          <a:ext cx="7772400" cy="38017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quintel.sharepoint.com/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quintel.sharepoint.com/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65"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energytransitionmodel.com/main/heat-infrastructure-costs/" TargetMode="External"/><Relationship Id="rId1" Type="http://schemas.openxmlformats.org/officeDocument/2006/relationships/hyperlink" Target="https://docs.energytransitionmodel.com/main/heat-infrastructure-co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76FA-FACC-C743-94D7-A99CCAFC1089}">
  <sheetPr>
    <tabColor rgb="FFEEECE1"/>
  </sheetPr>
  <dimension ref="B2:H39"/>
  <sheetViews>
    <sheetView workbookViewId="0">
      <selection activeCell="C16" sqref="C16"/>
    </sheetView>
  </sheetViews>
  <sheetFormatPr baseColWidth="10" defaultColWidth="10.83203125" defaultRowHeight="16" x14ac:dyDescent="0.2"/>
  <cols>
    <col min="1" max="1" width="2.83203125" style="4" customWidth="1"/>
    <col min="2" max="2" width="14" style="4" customWidth="1"/>
    <col min="3" max="3" width="44" style="4" customWidth="1"/>
    <col min="4" max="4" width="9.33203125" style="4" customWidth="1"/>
    <col min="5" max="5" width="10.83203125" style="4"/>
    <col min="6" max="6" width="34.6640625" style="4" customWidth="1"/>
    <col min="7" max="7" width="4.5" style="4" customWidth="1"/>
    <col min="8" max="8" width="20.83203125" style="4" customWidth="1"/>
    <col min="9" max="16384" width="10.83203125" style="4"/>
  </cols>
  <sheetData>
    <row r="2" spans="2:8" ht="21" x14ac:dyDescent="0.25">
      <c r="B2" s="3" t="s">
        <v>0</v>
      </c>
    </row>
    <row r="4" spans="2:8" x14ac:dyDescent="0.2">
      <c r="B4" s="5" t="s">
        <v>1</v>
      </c>
      <c r="C4" s="6" t="s">
        <v>2</v>
      </c>
      <c r="D4" s="7"/>
      <c r="F4" s="8"/>
      <c r="H4" s="8"/>
    </row>
    <row r="5" spans="2:8" x14ac:dyDescent="0.2">
      <c r="B5" s="9" t="s">
        <v>3</v>
      </c>
      <c r="C5" s="10">
        <v>1</v>
      </c>
      <c r="D5" s="11"/>
    </row>
    <row r="6" spans="2:8" x14ac:dyDescent="0.2">
      <c r="B6" s="9" t="s">
        <v>4</v>
      </c>
      <c r="C6" s="12" t="s">
        <v>5</v>
      </c>
      <c r="D6" s="11"/>
    </row>
    <row r="7" spans="2:8" x14ac:dyDescent="0.2">
      <c r="B7" s="9" t="s">
        <v>6</v>
      </c>
      <c r="C7" s="12">
        <v>2019</v>
      </c>
      <c r="D7" s="11"/>
    </row>
    <row r="8" spans="2:8" x14ac:dyDescent="0.2">
      <c r="B8" s="9" t="s">
        <v>7</v>
      </c>
      <c r="C8" s="13" t="s">
        <v>8</v>
      </c>
      <c r="D8" s="11"/>
    </row>
    <row r="9" spans="2:8" x14ac:dyDescent="0.2">
      <c r="B9" s="9" t="s">
        <v>9</v>
      </c>
      <c r="C9" s="14" t="s">
        <v>10</v>
      </c>
      <c r="D9" s="11"/>
    </row>
    <row r="10" spans="2:8" x14ac:dyDescent="0.2">
      <c r="B10" s="15" t="s">
        <v>11</v>
      </c>
      <c r="C10" s="16" t="s">
        <v>12</v>
      </c>
      <c r="D10" s="17"/>
    </row>
    <row r="12" spans="2:8" x14ac:dyDescent="0.2">
      <c r="B12" s="5" t="s">
        <v>13</v>
      </c>
      <c r="C12" s="18"/>
      <c r="D12" s="7"/>
    </row>
    <row r="13" spans="2:8" x14ac:dyDescent="0.2">
      <c r="B13" s="19"/>
      <c r="D13" s="11"/>
    </row>
    <row r="14" spans="2:8" x14ac:dyDescent="0.2">
      <c r="B14" s="19" t="s">
        <v>14</v>
      </c>
      <c r="C14" s="20" t="s">
        <v>15</v>
      </c>
      <c r="D14" s="11"/>
    </row>
    <row r="15" spans="2:8" ht="17" thickBot="1" x14ac:dyDescent="0.25">
      <c r="B15" s="19"/>
      <c r="C15" s="8" t="s">
        <v>16</v>
      </c>
      <c r="D15" s="11"/>
    </row>
    <row r="16" spans="2:8" ht="17" thickBot="1" x14ac:dyDescent="0.25">
      <c r="B16" s="19"/>
      <c r="C16" s="21" t="s">
        <v>17</v>
      </c>
      <c r="D16" s="11"/>
    </row>
    <row r="17" spans="2:4" x14ac:dyDescent="0.2">
      <c r="B17" s="19"/>
      <c r="C17" s="4" t="s">
        <v>18</v>
      </c>
      <c r="D17" s="11"/>
    </row>
    <row r="18" spans="2:4" x14ac:dyDescent="0.2">
      <c r="B18" s="19"/>
      <c r="D18" s="11"/>
    </row>
    <row r="19" spans="2:4" x14ac:dyDescent="0.2">
      <c r="B19" s="19" t="s">
        <v>19</v>
      </c>
      <c r="C19" s="24" t="s">
        <v>20</v>
      </c>
      <c r="D19" s="11"/>
    </row>
    <row r="20" spans="2:4" x14ac:dyDescent="0.2">
      <c r="B20" s="19"/>
      <c r="C20" s="25" t="s">
        <v>21</v>
      </c>
      <c r="D20" s="11"/>
    </row>
    <row r="21" spans="2:4" x14ac:dyDescent="0.2">
      <c r="B21" s="19"/>
      <c r="C21" s="26" t="s">
        <v>22</v>
      </c>
      <c r="D21" s="11"/>
    </row>
    <row r="22" spans="2:4" x14ac:dyDescent="0.2">
      <c r="B22" s="19"/>
      <c r="C22" s="27" t="s">
        <v>23</v>
      </c>
      <c r="D22" s="11"/>
    </row>
    <row r="23" spans="2:4" x14ac:dyDescent="0.2">
      <c r="B23" s="22"/>
      <c r="C23" s="28" t="s">
        <v>24</v>
      </c>
      <c r="D23" s="11"/>
    </row>
    <row r="24" spans="2:4" x14ac:dyDescent="0.2">
      <c r="B24" s="22"/>
      <c r="C24" s="29" t="s">
        <v>25</v>
      </c>
      <c r="D24" s="11"/>
    </row>
    <row r="25" spans="2:4" x14ac:dyDescent="0.2">
      <c r="B25" s="22"/>
      <c r="C25" s="30" t="s">
        <v>26</v>
      </c>
      <c r="D25" s="11"/>
    </row>
    <row r="26" spans="2:4" x14ac:dyDescent="0.2">
      <c r="B26" s="22"/>
      <c r="C26" s="31" t="s">
        <v>27</v>
      </c>
      <c r="D26" s="11"/>
    </row>
    <row r="27" spans="2:4" x14ac:dyDescent="0.2">
      <c r="B27" s="23"/>
      <c r="C27" s="16"/>
      <c r="D27" s="17"/>
    </row>
    <row r="29" spans="2:4" x14ac:dyDescent="0.2">
      <c r="B29" s="5" t="s">
        <v>28</v>
      </c>
      <c r="C29" s="18"/>
      <c r="D29" s="7"/>
    </row>
    <row r="30" spans="2:4" x14ac:dyDescent="0.2">
      <c r="B30" s="111"/>
      <c r="C30" s="112"/>
      <c r="D30" s="113"/>
    </row>
    <row r="31" spans="2:4" x14ac:dyDescent="0.2">
      <c r="B31" s="111"/>
      <c r="C31" s="112"/>
      <c r="D31" s="113"/>
    </row>
    <row r="32" spans="2:4" x14ac:dyDescent="0.2">
      <c r="B32" s="111"/>
      <c r="C32" s="112"/>
      <c r="D32" s="113"/>
    </row>
    <row r="33" spans="2:4" x14ac:dyDescent="0.2">
      <c r="B33" s="111"/>
      <c r="C33" s="112"/>
      <c r="D33" s="113"/>
    </row>
    <row r="34" spans="2:4" x14ac:dyDescent="0.2">
      <c r="B34" s="111"/>
      <c r="C34" s="112"/>
      <c r="D34" s="113"/>
    </row>
    <row r="35" spans="2:4" x14ac:dyDescent="0.2">
      <c r="B35" s="111"/>
      <c r="C35" s="112"/>
      <c r="D35" s="113"/>
    </row>
    <row r="36" spans="2:4" x14ac:dyDescent="0.2">
      <c r="B36" s="111"/>
      <c r="C36" s="112"/>
      <c r="D36" s="113"/>
    </row>
    <row r="37" spans="2:4" x14ac:dyDescent="0.2">
      <c r="B37" s="111"/>
      <c r="C37" s="112"/>
      <c r="D37" s="113"/>
    </row>
    <row r="38" spans="2:4" x14ac:dyDescent="0.2">
      <c r="B38" s="111"/>
      <c r="C38" s="112"/>
      <c r="D38" s="113"/>
    </row>
    <row r="39" spans="2:4" x14ac:dyDescent="0.2">
      <c r="B39" s="114"/>
      <c r="C39" s="115"/>
      <c r="D39" s="116"/>
    </row>
  </sheetData>
  <mergeCells count="1">
    <mergeCell ref="B30:D39"/>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6474B-68EA-4348-B84D-CD5F649E5B08}">
  <sheetPr>
    <tabColor rgb="FFEEECE1"/>
  </sheetPr>
  <dimension ref="B6:B19"/>
  <sheetViews>
    <sheetView workbookViewId="0">
      <selection activeCell="B15" sqref="B15"/>
    </sheetView>
  </sheetViews>
  <sheetFormatPr baseColWidth="10" defaultColWidth="10.83203125" defaultRowHeight="16" x14ac:dyDescent="0.2"/>
  <cols>
    <col min="1" max="1" width="10.83203125" style="1"/>
    <col min="2" max="2" width="136" style="1" customWidth="1"/>
    <col min="3" max="16384" width="10.83203125" style="1"/>
  </cols>
  <sheetData>
    <row r="6" spans="2:2" x14ac:dyDescent="0.2">
      <c r="B6" s="2" t="s">
        <v>29</v>
      </c>
    </row>
    <row r="7" spans="2:2" x14ac:dyDescent="0.2">
      <c r="B7" s="33"/>
    </row>
    <row r="8" spans="2:2" x14ac:dyDescent="0.2">
      <c r="B8" s="33"/>
    </row>
    <row r="9" spans="2:2" x14ac:dyDescent="0.2">
      <c r="B9" s="33"/>
    </row>
    <row r="10" spans="2:2" x14ac:dyDescent="0.2">
      <c r="B10" s="34"/>
    </row>
    <row r="12" spans="2:2" x14ac:dyDescent="0.2">
      <c r="B12" s="2" t="s">
        <v>30</v>
      </c>
    </row>
    <row r="13" spans="2:2" x14ac:dyDescent="0.2">
      <c r="B13" s="33"/>
    </row>
    <row r="14" spans="2:2" x14ac:dyDescent="0.2">
      <c r="B14" s="33"/>
    </row>
    <row r="15" spans="2:2" x14ac:dyDescent="0.2">
      <c r="B15" s="33"/>
    </row>
    <row r="16" spans="2:2" x14ac:dyDescent="0.2">
      <c r="B16" s="33"/>
    </row>
    <row r="17" spans="2:2" x14ac:dyDescent="0.2">
      <c r="B17" s="33"/>
    </row>
    <row r="18" spans="2:2" x14ac:dyDescent="0.2">
      <c r="B18" s="33"/>
    </row>
    <row r="19" spans="2:2" x14ac:dyDescent="0.2">
      <c r="B19"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27CF-10ED-194B-A3E2-0F4880171869}">
  <sheetPr>
    <tabColor rgb="FFFFFF00"/>
  </sheetPr>
  <dimension ref="B2:K59"/>
  <sheetViews>
    <sheetView tabSelected="1" workbookViewId="0">
      <selection activeCell="C8" sqref="C8"/>
    </sheetView>
  </sheetViews>
  <sheetFormatPr baseColWidth="10" defaultColWidth="10.6640625" defaultRowHeight="16" x14ac:dyDescent="0.2"/>
  <cols>
    <col min="1" max="1" width="3.33203125" style="60" customWidth="1"/>
    <col min="2" max="2" width="3.6640625" style="60" customWidth="1"/>
    <col min="3" max="3" width="95.5" style="60" bestFit="1" customWidth="1"/>
    <col min="4" max="4" width="21.5" style="60" customWidth="1"/>
    <col min="5" max="5" width="14.5" style="60" bestFit="1" customWidth="1"/>
    <col min="6" max="6" width="17.5" style="60" customWidth="1"/>
    <col min="7" max="7" width="4.5" style="60" customWidth="1"/>
    <col min="8" max="8" width="45" style="60" customWidth="1"/>
    <col min="9" max="9" width="5.1640625" style="60" customWidth="1"/>
    <col min="10" max="10" width="46.1640625" style="60" customWidth="1"/>
    <col min="11" max="11" width="5.5" style="60" customWidth="1"/>
    <col min="12" max="16384" width="10.6640625" style="60"/>
  </cols>
  <sheetData>
    <row r="2" spans="2:11" x14ac:dyDescent="0.2">
      <c r="B2" s="117" t="s">
        <v>271</v>
      </c>
      <c r="C2" s="118"/>
      <c r="D2" s="118"/>
      <c r="E2" s="118"/>
      <c r="F2" s="119"/>
    </row>
    <row r="3" spans="2:11" x14ac:dyDescent="0.2">
      <c r="B3" s="120"/>
      <c r="C3" s="121"/>
      <c r="D3" s="121"/>
      <c r="E3" s="121"/>
      <c r="F3" s="122"/>
    </row>
    <row r="4" spans="2:11" ht="38" customHeight="1" x14ac:dyDescent="0.2">
      <c r="B4" s="123"/>
      <c r="C4" s="124"/>
      <c r="D4" s="124"/>
      <c r="E4" s="124"/>
      <c r="F4" s="125"/>
    </row>
    <row r="5" spans="2:11" ht="17" thickBot="1" x14ac:dyDescent="0.25"/>
    <row r="6" spans="2:11" x14ac:dyDescent="0.2">
      <c r="B6" s="61"/>
      <c r="C6" s="62"/>
      <c r="D6" s="62"/>
      <c r="E6" s="62"/>
      <c r="F6" s="62"/>
      <c r="G6" s="62"/>
      <c r="H6" s="62"/>
      <c r="I6" s="62"/>
      <c r="J6" s="62"/>
      <c r="K6" s="63"/>
    </row>
    <row r="7" spans="2:11" s="68" customFormat="1" ht="19" x14ac:dyDescent="0.25">
      <c r="B7" s="64"/>
      <c r="C7" s="65" t="s">
        <v>31</v>
      </c>
      <c r="D7" s="65" t="s">
        <v>32</v>
      </c>
      <c r="E7" s="66" t="s">
        <v>33</v>
      </c>
      <c r="F7" s="65" t="s">
        <v>34</v>
      </c>
      <c r="G7" s="65"/>
      <c r="H7" s="65" t="s">
        <v>35</v>
      </c>
      <c r="I7" s="65"/>
      <c r="J7" s="65" t="s">
        <v>36</v>
      </c>
      <c r="K7" s="67"/>
    </row>
    <row r="8" spans="2:11" s="68" customFormat="1" ht="20" thickBot="1" x14ac:dyDescent="0.3">
      <c r="B8" s="69"/>
      <c r="C8" s="32"/>
      <c r="D8" s="32"/>
      <c r="E8" s="108"/>
      <c r="F8" s="32"/>
      <c r="G8" s="32"/>
      <c r="H8" s="32"/>
      <c r="I8" s="32"/>
      <c r="J8" s="32"/>
      <c r="K8" s="70"/>
    </row>
    <row r="9" spans="2:11" s="68" customFormat="1" ht="20" thickBot="1" x14ac:dyDescent="0.3">
      <c r="B9" s="69"/>
      <c r="C9" s="60" t="s">
        <v>37</v>
      </c>
      <c r="D9" s="60"/>
      <c r="E9" s="109" t="s">
        <v>286</v>
      </c>
      <c r="F9" s="110">
        <f>Notes!E13</f>
        <v>0.154</v>
      </c>
      <c r="G9" s="60"/>
      <c r="H9" s="60"/>
      <c r="I9" s="32"/>
      <c r="J9" s="71" t="str">
        <f>Sources!$E$8</f>
        <v>Warmtenetten in Vesta MAIS</v>
      </c>
      <c r="K9" s="70"/>
    </row>
    <row r="10" spans="2:11" s="68" customFormat="1" ht="20" thickBot="1" x14ac:dyDescent="0.3">
      <c r="B10" s="69"/>
      <c r="C10" s="60"/>
      <c r="D10" s="60"/>
      <c r="E10" s="109"/>
      <c r="F10" s="109"/>
      <c r="G10" s="60"/>
      <c r="H10" s="60"/>
      <c r="I10" s="32"/>
      <c r="J10" s="109"/>
      <c r="K10" s="70"/>
    </row>
    <row r="11" spans="2:11" s="68" customFormat="1" ht="20" thickBot="1" x14ac:dyDescent="0.3">
      <c r="B11" s="69"/>
      <c r="C11" s="60" t="s">
        <v>39</v>
      </c>
      <c r="D11" s="60" t="s">
        <v>40</v>
      </c>
      <c r="E11" s="109" t="s">
        <v>41</v>
      </c>
      <c r="F11" s="71">
        <v>3.2</v>
      </c>
      <c r="G11" s="60"/>
      <c r="H11" s="60"/>
      <c r="I11" s="32"/>
      <c r="J11" s="71" t="s">
        <v>287</v>
      </c>
      <c r="K11" s="70"/>
    </row>
    <row r="12" spans="2:11" s="68" customFormat="1" ht="20" thickBot="1" x14ac:dyDescent="0.3">
      <c r="B12" s="69"/>
      <c r="C12" s="94" t="s">
        <v>42</v>
      </c>
      <c r="D12" s="60" t="s">
        <v>40</v>
      </c>
      <c r="E12" s="109" t="s">
        <v>41</v>
      </c>
      <c r="F12" s="95">
        <v>4.5999999999999996</v>
      </c>
      <c r="G12" s="60"/>
      <c r="H12" s="60"/>
      <c r="I12" s="32"/>
      <c r="J12" s="71" t="s">
        <v>287</v>
      </c>
      <c r="K12" s="70"/>
    </row>
    <row r="13" spans="2:11" s="68" customFormat="1" ht="20" thickBot="1" x14ac:dyDescent="0.3">
      <c r="B13" s="69"/>
      <c r="C13" s="94" t="s">
        <v>43</v>
      </c>
      <c r="D13" s="60" t="s">
        <v>40</v>
      </c>
      <c r="E13" s="109" t="s">
        <v>41</v>
      </c>
      <c r="F13" s="96">
        <v>5.8</v>
      </c>
      <c r="G13" s="60"/>
      <c r="H13" s="60"/>
      <c r="I13" s="32"/>
      <c r="J13" s="71" t="s">
        <v>287</v>
      </c>
      <c r="K13" s="70"/>
    </row>
    <row r="14" spans="2:11" ht="17" thickBot="1" x14ac:dyDescent="0.25">
      <c r="B14" s="72"/>
      <c r="C14" s="60" t="s">
        <v>44</v>
      </c>
      <c r="D14" s="60" t="s">
        <v>40</v>
      </c>
      <c r="E14" s="109" t="s">
        <v>41</v>
      </c>
      <c r="F14" s="71">
        <v>7</v>
      </c>
      <c r="I14" s="32"/>
      <c r="J14" s="71" t="s">
        <v>287</v>
      </c>
      <c r="K14" s="73"/>
    </row>
    <row r="15" spans="2:11" ht="17" thickBot="1" x14ac:dyDescent="0.25">
      <c r="B15" s="72"/>
      <c r="C15" s="60" t="s">
        <v>45</v>
      </c>
      <c r="D15" s="60" t="s">
        <v>40</v>
      </c>
      <c r="E15" s="109" t="s">
        <v>41</v>
      </c>
      <c r="F15" s="74">
        <v>10</v>
      </c>
      <c r="I15" s="32"/>
      <c r="J15" s="71" t="s">
        <v>287</v>
      </c>
      <c r="K15" s="73"/>
    </row>
    <row r="16" spans="2:11" ht="17" thickBot="1" x14ac:dyDescent="0.25">
      <c r="B16" s="72"/>
      <c r="E16" s="83"/>
      <c r="F16" s="83"/>
      <c r="I16" s="32"/>
      <c r="J16" s="83"/>
      <c r="K16" s="73"/>
    </row>
    <row r="17" spans="2:11" ht="17" thickBot="1" x14ac:dyDescent="0.25">
      <c r="B17" s="72"/>
      <c r="C17" s="60" t="s">
        <v>46</v>
      </c>
      <c r="D17" s="60" t="s">
        <v>40</v>
      </c>
      <c r="E17" s="109" t="s">
        <v>41</v>
      </c>
      <c r="F17" s="74">
        <v>1.7</v>
      </c>
      <c r="I17" s="32"/>
      <c r="J17" s="71" t="s">
        <v>287</v>
      </c>
      <c r="K17" s="73"/>
    </row>
    <row r="18" spans="2:11" ht="17" thickBot="1" x14ac:dyDescent="0.25">
      <c r="B18" s="72"/>
      <c r="C18" s="60" t="s">
        <v>47</v>
      </c>
      <c r="D18" s="60" t="s">
        <v>40</v>
      </c>
      <c r="E18" s="109" t="s">
        <v>41</v>
      </c>
      <c r="F18" s="52">
        <v>3.5</v>
      </c>
      <c r="I18" s="32"/>
      <c r="J18" s="71" t="s">
        <v>287</v>
      </c>
      <c r="K18" s="73"/>
    </row>
    <row r="19" spans="2:11" ht="17" thickBot="1" x14ac:dyDescent="0.25">
      <c r="B19" s="72"/>
      <c r="C19" s="60" t="s">
        <v>48</v>
      </c>
      <c r="D19" s="60" t="s">
        <v>40</v>
      </c>
      <c r="E19" s="109" t="s">
        <v>41</v>
      </c>
      <c r="F19" s="52">
        <v>5</v>
      </c>
      <c r="I19" s="32"/>
      <c r="J19" s="71" t="s">
        <v>287</v>
      </c>
      <c r="K19" s="73"/>
    </row>
    <row r="20" spans="2:11" ht="17" thickBot="1" x14ac:dyDescent="0.25">
      <c r="B20" s="72"/>
      <c r="C20" s="60" t="s">
        <v>49</v>
      </c>
      <c r="D20" s="60" t="s">
        <v>40</v>
      </c>
      <c r="E20" s="109" t="s">
        <v>41</v>
      </c>
      <c r="F20" s="74">
        <v>6.3</v>
      </c>
      <c r="I20" s="32"/>
      <c r="J20" s="71" t="s">
        <v>287</v>
      </c>
      <c r="K20" s="73"/>
    </row>
    <row r="21" spans="2:11" ht="17" thickBot="1" x14ac:dyDescent="0.25">
      <c r="B21" s="72"/>
      <c r="C21" s="60" t="s">
        <v>50</v>
      </c>
      <c r="D21" s="60" t="s">
        <v>40</v>
      </c>
      <c r="E21" s="109" t="s">
        <v>41</v>
      </c>
      <c r="F21" s="74">
        <v>8.9</v>
      </c>
      <c r="I21" s="32"/>
      <c r="J21" s="71" t="s">
        <v>287</v>
      </c>
      <c r="K21" s="73"/>
    </row>
    <row r="22" spans="2:11" ht="17" thickBot="1" x14ac:dyDescent="0.25">
      <c r="B22" s="72"/>
      <c r="E22" s="83"/>
      <c r="F22" s="83"/>
      <c r="I22" s="32"/>
      <c r="J22" s="83"/>
      <c r="K22" s="73"/>
    </row>
    <row r="23" spans="2:11" ht="17" thickBot="1" x14ac:dyDescent="0.25">
      <c r="B23" s="72"/>
      <c r="C23" s="1" t="s">
        <v>310</v>
      </c>
      <c r="D23" s="1" t="s">
        <v>54</v>
      </c>
      <c r="E23" s="32" t="s">
        <v>53</v>
      </c>
      <c r="F23" s="91">
        <f>ROUND(Notes!E27,0)</f>
        <v>7372</v>
      </c>
      <c r="I23" s="32"/>
      <c r="J23" s="71" t="str">
        <f>Sources!$E$8</f>
        <v>Warmtenetten in Vesta MAIS</v>
      </c>
      <c r="K23" s="73"/>
    </row>
    <row r="24" spans="2:11" ht="17" thickBot="1" x14ac:dyDescent="0.25">
      <c r="B24" s="72"/>
      <c r="C24" s="1" t="s">
        <v>311</v>
      </c>
      <c r="D24" s="1" t="s">
        <v>55</v>
      </c>
      <c r="E24" s="32" t="s">
        <v>53</v>
      </c>
      <c r="F24" s="91">
        <f>ROUND(Notes!E28,0)</f>
        <v>7372</v>
      </c>
      <c r="I24" s="32"/>
      <c r="J24" s="71" t="str">
        <f>Sources!$E$8</f>
        <v>Warmtenetten in Vesta MAIS</v>
      </c>
      <c r="K24" s="73"/>
    </row>
    <row r="25" spans="2:11" ht="17" thickBot="1" x14ac:dyDescent="0.25">
      <c r="B25" s="72"/>
      <c r="C25" s="1" t="s">
        <v>312</v>
      </c>
      <c r="D25" s="1" t="s">
        <v>56</v>
      </c>
      <c r="E25" s="32" t="s">
        <v>53</v>
      </c>
      <c r="F25" s="91">
        <f>ROUND(Notes!E29,0)</f>
        <v>7372</v>
      </c>
      <c r="I25" s="32"/>
      <c r="J25" s="71" t="str">
        <f>Sources!$E$8</f>
        <v>Warmtenetten in Vesta MAIS</v>
      </c>
      <c r="K25" s="73"/>
    </row>
    <row r="26" spans="2:11" ht="17" thickBot="1" x14ac:dyDescent="0.25">
      <c r="B26" s="72"/>
      <c r="C26" s="1" t="s">
        <v>313</v>
      </c>
      <c r="D26" s="1" t="s">
        <v>54</v>
      </c>
      <c r="E26" s="32" t="s">
        <v>53</v>
      </c>
      <c r="F26" s="91">
        <f>ROUND(Notes!E30,0)</f>
        <v>4069</v>
      </c>
      <c r="I26" s="32"/>
      <c r="J26" s="71" t="str">
        <f>Sources!$E$8</f>
        <v>Warmtenetten in Vesta MAIS</v>
      </c>
      <c r="K26" s="73"/>
    </row>
    <row r="27" spans="2:11" ht="17" thickBot="1" x14ac:dyDescent="0.25">
      <c r="B27" s="72"/>
      <c r="C27" s="1" t="s">
        <v>314</v>
      </c>
      <c r="D27" s="1" t="s">
        <v>55</v>
      </c>
      <c r="E27" s="32" t="s">
        <v>53</v>
      </c>
      <c r="F27" s="91">
        <f>ROUND(Notes!E31,0)</f>
        <v>4069</v>
      </c>
      <c r="I27" s="32"/>
      <c r="J27" s="71" t="str">
        <f>Sources!$E$8</f>
        <v>Warmtenetten in Vesta MAIS</v>
      </c>
      <c r="K27" s="73"/>
    </row>
    <row r="28" spans="2:11" ht="17" thickBot="1" x14ac:dyDescent="0.25">
      <c r="B28" s="72"/>
      <c r="C28" s="93" t="s">
        <v>315</v>
      </c>
      <c r="D28" s="1" t="s">
        <v>56</v>
      </c>
      <c r="E28" s="32" t="s">
        <v>53</v>
      </c>
      <c r="F28" s="91">
        <f>ROUND(Notes!E32,0)</f>
        <v>4069</v>
      </c>
      <c r="I28" s="32"/>
      <c r="J28" s="71" t="str">
        <f>Sources!$E$8</f>
        <v>Warmtenetten in Vesta MAIS</v>
      </c>
      <c r="K28" s="73"/>
    </row>
    <row r="29" spans="2:11" ht="17" thickBot="1" x14ac:dyDescent="0.25">
      <c r="B29" s="72"/>
      <c r="C29" s="1" t="s">
        <v>259</v>
      </c>
      <c r="D29" s="1" t="s">
        <v>54</v>
      </c>
      <c r="E29" s="32" t="s">
        <v>53</v>
      </c>
      <c r="F29" s="91">
        <f>ROUND(Notes!E33,0)</f>
        <v>10080</v>
      </c>
      <c r="I29" s="32"/>
      <c r="J29" s="71" t="str">
        <f>Sources!$E$8</f>
        <v>Warmtenetten in Vesta MAIS</v>
      </c>
      <c r="K29" s="73"/>
    </row>
    <row r="30" spans="2:11" ht="17" thickBot="1" x14ac:dyDescent="0.25">
      <c r="B30" s="72"/>
      <c r="C30" s="1" t="s">
        <v>260</v>
      </c>
      <c r="D30" s="1" t="s">
        <v>55</v>
      </c>
      <c r="E30" s="32" t="s">
        <v>53</v>
      </c>
      <c r="F30" s="91">
        <f>ROUND(Notes!E34,0)</f>
        <v>10080</v>
      </c>
      <c r="I30" s="32"/>
      <c r="J30" s="71" t="str">
        <f>Sources!$E$8</f>
        <v>Warmtenetten in Vesta MAIS</v>
      </c>
      <c r="K30" s="73"/>
    </row>
    <row r="31" spans="2:11" ht="17" thickBot="1" x14ac:dyDescent="0.25">
      <c r="B31" s="72"/>
      <c r="C31" s="1" t="s">
        <v>261</v>
      </c>
      <c r="D31" s="1" t="s">
        <v>56</v>
      </c>
      <c r="E31" s="32" t="s">
        <v>53</v>
      </c>
      <c r="F31" s="91">
        <f>ROUND(Notes!E35,0)</f>
        <v>10080</v>
      </c>
      <c r="I31" s="32"/>
      <c r="J31" s="71" t="str">
        <f>Sources!$E$8</f>
        <v>Warmtenetten in Vesta MAIS</v>
      </c>
      <c r="K31" s="73"/>
    </row>
    <row r="32" spans="2:11" ht="17" thickBot="1" x14ac:dyDescent="0.25">
      <c r="B32" s="72"/>
      <c r="C32" s="1"/>
      <c r="D32" s="1"/>
      <c r="E32" s="1"/>
      <c r="F32" s="1"/>
      <c r="I32" s="32"/>
      <c r="J32" s="83"/>
      <c r="K32" s="73"/>
    </row>
    <row r="33" spans="2:11" ht="17" thickBot="1" x14ac:dyDescent="0.25">
      <c r="B33" s="72"/>
      <c r="C33" s="60" t="s">
        <v>51</v>
      </c>
      <c r="D33" s="1" t="s">
        <v>40</v>
      </c>
      <c r="E33" s="32" t="s">
        <v>52</v>
      </c>
      <c r="F33" s="91">
        <f>ROUND(Notes!E37,0)</f>
        <v>152</v>
      </c>
      <c r="I33" s="32"/>
      <c r="J33" s="91" t="str">
        <f>Sources!E20</f>
        <v xml:space="preserve"> Functioneel Ontwerp Vesta MAIS 4.0 </v>
      </c>
      <c r="K33" s="73"/>
    </row>
    <row r="34" spans="2:11" ht="17" thickBot="1" x14ac:dyDescent="0.25">
      <c r="B34" s="72"/>
      <c r="C34" s="60" t="s">
        <v>159</v>
      </c>
      <c r="D34" s="1" t="s">
        <v>40</v>
      </c>
      <c r="E34" s="32" t="s">
        <v>53</v>
      </c>
      <c r="F34" s="91">
        <f>ROUND(Notes!E38,0)</f>
        <v>7563</v>
      </c>
      <c r="I34" s="32"/>
      <c r="J34" s="71" t="str">
        <f>Sources!$E$8</f>
        <v>Warmtenetten in Vesta MAIS</v>
      </c>
      <c r="K34" s="73"/>
    </row>
    <row r="35" spans="2:11" ht="17" thickBot="1" x14ac:dyDescent="0.25">
      <c r="B35" s="72"/>
      <c r="C35" s="97"/>
      <c r="D35" s="1"/>
      <c r="E35" s="1"/>
      <c r="F35" s="1"/>
      <c r="I35" s="32"/>
      <c r="J35" s="83"/>
      <c r="K35" s="73"/>
    </row>
    <row r="36" spans="2:11" ht="17" thickBot="1" x14ac:dyDescent="0.25">
      <c r="B36" s="72"/>
      <c r="C36" s="1" t="s">
        <v>57</v>
      </c>
      <c r="D36" s="1" t="s">
        <v>40</v>
      </c>
      <c r="E36" s="109" t="s">
        <v>52</v>
      </c>
      <c r="F36" s="91">
        <f>ROUND(Notes!E40,0)</f>
        <v>133</v>
      </c>
      <c r="I36" s="32"/>
      <c r="J36" s="71" t="str">
        <f>Sources!$E$8</f>
        <v>Warmtenetten in Vesta MAIS</v>
      </c>
      <c r="K36" s="73"/>
    </row>
    <row r="37" spans="2:11" ht="17" thickBot="1" x14ac:dyDescent="0.25">
      <c r="B37" s="72"/>
      <c r="C37" s="1" t="s">
        <v>262</v>
      </c>
      <c r="D37" s="1" t="s">
        <v>54</v>
      </c>
      <c r="E37" s="109" t="s">
        <v>52</v>
      </c>
      <c r="F37" s="91">
        <f>ROUND(Notes!E41,0)</f>
        <v>100</v>
      </c>
      <c r="I37" s="32"/>
      <c r="J37" s="71" t="str">
        <f>Sources!$E$8</f>
        <v>Warmtenetten in Vesta MAIS</v>
      </c>
      <c r="K37" s="73"/>
    </row>
    <row r="38" spans="2:11" ht="17" thickBot="1" x14ac:dyDescent="0.25">
      <c r="B38" s="72"/>
      <c r="C38" s="1" t="s">
        <v>263</v>
      </c>
      <c r="D38" s="1" t="s">
        <v>55</v>
      </c>
      <c r="E38" s="109" t="s">
        <v>52</v>
      </c>
      <c r="F38" s="91">
        <f>ROUND(Notes!E42,0)</f>
        <v>50</v>
      </c>
      <c r="I38" s="32"/>
      <c r="J38" s="71" t="str">
        <f>Sources!$E$8</f>
        <v>Warmtenetten in Vesta MAIS</v>
      </c>
      <c r="K38" s="73"/>
    </row>
    <row r="39" spans="2:11" ht="17" thickBot="1" x14ac:dyDescent="0.25">
      <c r="B39" s="72"/>
      <c r="C39" s="1" t="s">
        <v>264</v>
      </c>
      <c r="D39" s="1" t="s">
        <v>56</v>
      </c>
      <c r="E39" s="109" t="s">
        <v>52</v>
      </c>
      <c r="F39" s="91">
        <f>ROUND(Notes!E43,0)</f>
        <v>50</v>
      </c>
      <c r="I39" s="32"/>
      <c r="J39" s="71" t="str">
        <f>Sources!$E$8</f>
        <v>Warmtenetten in Vesta MAIS</v>
      </c>
      <c r="K39" s="73"/>
    </row>
    <row r="40" spans="2:11" ht="17" thickBot="1" x14ac:dyDescent="0.25">
      <c r="B40" s="72"/>
      <c r="C40" s="1" t="s">
        <v>265</v>
      </c>
      <c r="D40" s="1" t="s">
        <v>54</v>
      </c>
      <c r="E40" s="32" t="s">
        <v>58</v>
      </c>
      <c r="F40" s="91">
        <f>ROUND(Notes!E44,0)</f>
        <v>2046</v>
      </c>
      <c r="I40" s="32"/>
      <c r="J40" s="71" t="str">
        <f>Sources!$E$8</f>
        <v>Warmtenetten in Vesta MAIS</v>
      </c>
      <c r="K40" s="73"/>
    </row>
    <row r="41" spans="2:11" ht="17" thickBot="1" x14ac:dyDescent="0.25">
      <c r="B41" s="72"/>
      <c r="C41" s="1" t="s">
        <v>266</v>
      </c>
      <c r="D41" s="1" t="s">
        <v>55</v>
      </c>
      <c r="E41" s="32" t="s">
        <v>58</v>
      </c>
      <c r="F41" s="91">
        <f>ROUND(Notes!E45,0)</f>
        <v>1818</v>
      </c>
      <c r="I41" s="32"/>
      <c r="J41" s="71" t="str">
        <f>Sources!$E$8</f>
        <v>Warmtenetten in Vesta MAIS</v>
      </c>
      <c r="K41" s="73"/>
    </row>
    <row r="42" spans="2:11" ht="17" thickBot="1" x14ac:dyDescent="0.25">
      <c r="B42" s="72"/>
      <c r="C42" s="1" t="s">
        <v>267</v>
      </c>
      <c r="D42" s="1" t="s">
        <v>56</v>
      </c>
      <c r="E42" s="32" t="s">
        <v>58</v>
      </c>
      <c r="F42" s="91">
        <f>ROUND(Notes!E46,0)</f>
        <v>1416</v>
      </c>
      <c r="I42" s="32"/>
      <c r="J42" s="71" t="str">
        <f>Sources!$E$8</f>
        <v>Warmtenetten in Vesta MAIS</v>
      </c>
      <c r="K42" s="73"/>
    </row>
    <row r="43" spans="2:11" ht="17" thickBot="1" x14ac:dyDescent="0.25">
      <c r="B43" s="72"/>
      <c r="C43" s="1" t="s">
        <v>268</v>
      </c>
      <c r="D43" s="1" t="s">
        <v>54</v>
      </c>
      <c r="E43" s="32" t="s">
        <v>52</v>
      </c>
      <c r="F43" s="91">
        <f>ROUND(Notes!E47,0)</f>
        <v>245</v>
      </c>
      <c r="I43" s="32"/>
      <c r="J43" s="71" t="str">
        <f>Sources!$E$8</f>
        <v>Warmtenetten in Vesta MAIS</v>
      </c>
      <c r="K43" s="73"/>
    </row>
    <row r="44" spans="2:11" ht="17" thickBot="1" x14ac:dyDescent="0.25">
      <c r="B44" s="72"/>
      <c r="C44" s="1" t="s">
        <v>269</v>
      </c>
      <c r="D44" s="1" t="s">
        <v>55</v>
      </c>
      <c r="E44" s="32" t="s">
        <v>52</v>
      </c>
      <c r="F44" s="91">
        <f>ROUND(Notes!E48,0)</f>
        <v>245</v>
      </c>
      <c r="I44" s="32"/>
      <c r="J44" s="71" t="str">
        <f>Sources!$E$8</f>
        <v>Warmtenetten in Vesta MAIS</v>
      </c>
      <c r="K44" s="73"/>
    </row>
    <row r="45" spans="2:11" ht="17" thickBot="1" x14ac:dyDescent="0.25">
      <c r="B45" s="72"/>
      <c r="C45" s="1" t="s">
        <v>270</v>
      </c>
      <c r="D45" s="1" t="s">
        <v>56</v>
      </c>
      <c r="E45" s="32" t="s">
        <v>52</v>
      </c>
      <c r="F45" s="91">
        <f>ROUND(Notes!E49,0)</f>
        <v>216</v>
      </c>
      <c r="I45" s="32"/>
      <c r="J45" s="71" t="str">
        <f>Sources!$E$8</f>
        <v>Warmtenetten in Vesta MAIS</v>
      </c>
      <c r="K45" s="73"/>
    </row>
    <row r="46" spans="2:11" ht="17" thickBot="1" x14ac:dyDescent="0.25">
      <c r="B46" s="72"/>
      <c r="C46" s="1" t="s">
        <v>59</v>
      </c>
      <c r="D46" s="1" t="s">
        <v>40</v>
      </c>
      <c r="E46" s="32" t="s">
        <v>286</v>
      </c>
      <c r="F46" s="99">
        <f>Notes!E50</f>
        <v>2.5000000000000001E-2</v>
      </c>
      <c r="I46" s="32"/>
      <c r="J46" s="71" t="str">
        <f>Sources!$E$8</f>
        <v>Warmtenetten in Vesta MAIS</v>
      </c>
      <c r="K46" s="73"/>
    </row>
    <row r="47" spans="2:11" ht="17" thickBot="1" x14ac:dyDescent="0.25">
      <c r="B47" s="72"/>
      <c r="C47" s="1" t="s">
        <v>60</v>
      </c>
      <c r="D47" s="1" t="s">
        <v>40</v>
      </c>
      <c r="E47" s="32" t="s">
        <v>286</v>
      </c>
      <c r="F47" s="99">
        <f>Notes!E51</f>
        <v>1.8000000000000002E-2</v>
      </c>
      <c r="I47" s="32"/>
      <c r="J47" s="71" t="str">
        <f>Sources!$E$8</f>
        <v>Warmtenetten in Vesta MAIS</v>
      </c>
      <c r="K47" s="73"/>
    </row>
    <row r="48" spans="2:11" ht="17" thickBot="1" x14ac:dyDescent="0.25">
      <c r="B48" s="72"/>
      <c r="K48" s="73"/>
    </row>
    <row r="49" spans="2:11" ht="17" thickBot="1" x14ac:dyDescent="0.25">
      <c r="B49" s="72"/>
      <c r="C49" s="1" t="s">
        <v>291</v>
      </c>
      <c r="D49" s="1" t="s">
        <v>54</v>
      </c>
      <c r="E49" s="32" t="s">
        <v>53</v>
      </c>
      <c r="F49" s="91">
        <f>ROUND(Notes!E53,0)</f>
        <v>2382</v>
      </c>
      <c r="G49" s="1"/>
      <c r="H49" s="1"/>
      <c r="I49" s="1"/>
      <c r="J49" s="71" t="str">
        <f>Sources!$E$8</f>
        <v>Warmtenetten in Vesta MAIS</v>
      </c>
      <c r="K49" s="73"/>
    </row>
    <row r="50" spans="2:11" ht="17" thickBot="1" x14ac:dyDescent="0.25">
      <c r="B50" s="72"/>
      <c r="C50" s="1" t="s">
        <v>292</v>
      </c>
      <c r="D50" s="1" t="s">
        <v>55</v>
      </c>
      <c r="E50" s="32" t="s">
        <v>53</v>
      </c>
      <c r="F50" s="91">
        <f>ROUND(Notes!E54,0)</f>
        <v>1174</v>
      </c>
      <c r="G50" s="1"/>
      <c r="H50" s="1"/>
      <c r="I50" s="1"/>
      <c r="J50" s="91" t="str">
        <f>Sources!$E$16</f>
        <v>Actualisatie bouw- en investeringskosten</v>
      </c>
      <c r="K50" s="73"/>
    </row>
    <row r="51" spans="2:11" ht="17" thickBot="1" x14ac:dyDescent="0.25">
      <c r="B51" s="72"/>
      <c r="C51" s="1" t="s">
        <v>293</v>
      </c>
      <c r="D51" s="1" t="s">
        <v>56</v>
      </c>
      <c r="E51" s="32" t="s">
        <v>53</v>
      </c>
      <c r="F51" s="91">
        <f>ROUND(Notes!E55,0)</f>
        <v>1174</v>
      </c>
      <c r="G51" s="1"/>
      <c r="H51" s="1"/>
      <c r="I51" s="1"/>
      <c r="J51" s="91" t="str">
        <f>Sources!$E$16</f>
        <v>Actualisatie bouw- en investeringskosten</v>
      </c>
      <c r="K51" s="73"/>
    </row>
    <row r="52" spans="2:11" ht="17" thickBot="1" x14ac:dyDescent="0.25">
      <c r="B52" s="72"/>
      <c r="C52" s="1" t="s">
        <v>294</v>
      </c>
      <c r="D52" s="1" t="s">
        <v>54</v>
      </c>
      <c r="E52" s="32" t="s">
        <v>53</v>
      </c>
      <c r="F52" s="91">
        <f>ROUND(Notes!E56,0)</f>
        <v>4144</v>
      </c>
      <c r="G52" s="1"/>
      <c r="H52" s="1"/>
      <c r="I52" s="1"/>
      <c r="J52" s="71" t="str">
        <f>Sources!$E$8</f>
        <v>Warmtenetten in Vesta MAIS</v>
      </c>
      <c r="K52" s="73"/>
    </row>
    <row r="53" spans="2:11" ht="17" thickBot="1" x14ac:dyDescent="0.25">
      <c r="B53" s="72"/>
      <c r="C53" s="1" t="s">
        <v>295</v>
      </c>
      <c r="D53" s="1" t="s">
        <v>55</v>
      </c>
      <c r="E53" s="32" t="s">
        <v>53</v>
      </c>
      <c r="F53" s="91">
        <f>ROUND(Notes!E57,0)</f>
        <v>2054</v>
      </c>
      <c r="G53" s="1"/>
      <c r="H53" s="1"/>
      <c r="I53" s="1"/>
      <c r="J53" s="91" t="str">
        <f>Sources!$E$16</f>
        <v>Actualisatie bouw- en investeringskosten</v>
      </c>
      <c r="K53" s="73"/>
    </row>
    <row r="54" spans="2:11" ht="17" thickBot="1" x14ac:dyDescent="0.25">
      <c r="B54" s="72"/>
      <c r="C54" s="1" t="s">
        <v>296</v>
      </c>
      <c r="D54" s="1" t="s">
        <v>56</v>
      </c>
      <c r="E54" s="32" t="s">
        <v>53</v>
      </c>
      <c r="F54" s="91">
        <f>ROUND(Notes!E58,0)</f>
        <v>2054</v>
      </c>
      <c r="G54" s="1"/>
      <c r="H54" s="1"/>
      <c r="I54" s="1"/>
      <c r="J54" s="91" t="str">
        <f>Sources!$E$16</f>
        <v>Actualisatie bouw- en investeringskosten</v>
      </c>
      <c r="K54" s="73"/>
    </row>
    <row r="55" spans="2:11" ht="17" thickBot="1" x14ac:dyDescent="0.25">
      <c r="B55" s="72"/>
      <c r="C55" s="1"/>
      <c r="D55" s="1"/>
      <c r="E55" s="1"/>
      <c r="F55" s="1"/>
      <c r="G55" s="1"/>
      <c r="H55" s="1"/>
      <c r="I55" s="1"/>
      <c r="J55" s="1"/>
      <c r="K55" s="73"/>
    </row>
    <row r="56" spans="2:11" ht="17" thickBot="1" x14ac:dyDescent="0.25">
      <c r="B56" s="72"/>
      <c r="C56" s="1" t="s">
        <v>316</v>
      </c>
      <c r="D56" s="1" t="s">
        <v>54</v>
      </c>
      <c r="E56" s="32" t="s">
        <v>53</v>
      </c>
      <c r="F56" s="91">
        <f>ROUND(Notes!E60,0)</f>
        <v>25386</v>
      </c>
      <c r="G56" s="1"/>
      <c r="H56" s="1"/>
      <c r="I56" s="1"/>
      <c r="J56" s="91" t="s">
        <v>299</v>
      </c>
      <c r="K56" s="73"/>
    </row>
    <row r="57" spans="2:11" ht="17" thickBot="1" x14ac:dyDescent="0.25">
      <c r="B57" s="72"/>
      <c r="C57" s="1" t="s">
        <v>317</v>
      </c>
      <c r="D57" s="1" t="s">
        <v>55</v>
      </c>
      <c r="E57" s="32" t="s">
        <v>53</v>
      </c>
      <c r="F57" s="91">
        <f>ROUND(Notes!E61,0)</f>
        <v>16706</v>
      </c>
      <c r="G57" s="1"/>
      <c r="H57" s="1"/>
      <c r="I57" s="1"/>
      <c r="J57" s="91" t="s">
        <v>299</v>
      </c>
      <c r="K57" s="73"/>
    </row>
    <row r="58" spans="2:11" ht="17" thickBot="1" x14ac:dyDescent="0.25">
      <c r="B58" s="72"/>
      <c r="C58" s="1" t="s">
        <v>318</v>
      </c>
      <c r="D58" s="1" t="s">
        <v>56</v>
      </c>
      <c r="E58" s="32" t="s">
        <v>53</v>
      </c>
      <c r="F58" s="91">
        <f>ROUND(Notes!E62,0)</f>
        <v>16706</v>
      </c>
      <c r="G58" s="1"/>
      <c r="H58" s="1"/>
      <c r="I58" s="1"/>
      <c r="J58" s="91" t="s">
        <v>299</v>
      </c>
      <c r="K58" s="73"/>
    </row>
    <row r="59" spans="2:11" ht="17" thickBot="1" x14ac:dyDescent="0.25">
      <c r="B59" s="75"/>
      <c r="C59" s="76"/>
      <c r="D59" s="76"/>
      <c r="E59" s="76"/>
      <c r="F59" s="76"/>
      <c r="G59" s="76"/>
      <c r="H59" s="76"/>
      <c r="I59" s="76"/>
      <c r="J59" s="76"/>
      <c r="K59" s="77"/>
    </row>
  </sheetData>
  <mergeCells count="1">
    <mergeCell ref="B2: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243D-D2D9-CC41-9662-FA36BC237C35}">
  <sheetPr>
    <tabColor rgb="FFEBF1DE"/>
  </sheetPr>
  <dimension ref="B1:K23"/>
  <sheetViews>
    <sheetView workbookViewId="0">
      <selection activeCell="E16" sqref="E16"/>
    </sheetView>
  </sheetViews>
  <sheetFormatPr baseColWidth="10" defaultColWidth="33.1640625" defaultRowHeight="16" x14ac:dyDescent="0.2"/>
  <cols>
    <col min="1" max="1" width="3.33203125" style="37" customWidth="1"/>
    <col min="2" max="2" width="3.5" style="37" customWidth="1"/>
    <col min="3" max="3" width="27.5" style="37" customWidth="1"/>
    <col min="4" max="4" width="3.1640625" style="37" customWidth="1"/>
    <col min="5" max="5" width="35.33203125" style="37" bestFit="1" customWidth="1"/>
    <col min="6" max="6" width="10.33203125" style="37" customWidth="1"/>
    <col min="7" max="9" width="12.1640625" style="37" customWidth="1"/>
    <col min="10" max="10" width="11.5" style="38" customWidth="1"/>
    <col min="11" max="11" width="66" style="37" customWidth="1"/>
    <col min="12" max="16384" width="33.1640625" style="37"/>
  </cols>
  <sheetData>
    <row r="1" spans="2:11" ht="17" thickBot="1" x14ac:dyDescent="0.25"/>
    <row r="2" spans="2:11" x14ac:dyDescent="0.2">
      <c r="B2" s="39"/>
      <c r="C2" s="40"/>
      <c r="D2" s="40"/>
      <c r="E2" s="40"/>
      <c r="F2" s="40"/>
      <c r="G2" s="40"/>
      <c r="H2" s="40"/>
      <c r="I2" s="40"/>
      <c r="J2" s="41"/>
      <c r="K2" s="42"/>
    </row>
    <row r="3" spans="2:11" x14ac:dyDescent="0.2">
      <c r="B3" s="43"/>
      <c r="C3" s="44" t="s">
        <v>61</v>
      </c>
      <c r="D3" s="44"/>
      <c r="E3" s="44"/>
      <c r="F3" s="44"/>
      <c r="G3" s="44"/>
      <c r="H3" s="44"/>
      <c r="I3" s="44"/>
      <c r="J3" s="45"/>
      <c r="K3" s="46"/>
    </row>
    <row r="4" spans="2:11" x14ac:dyDescent="0.2">
      <c r="B4" s="43"/>
      <c r="K4" s="46"/>
    </row>
    <row r="5" spans="2:11" x14ac:dyDescent="0.2">
      <c r="B5" s="47"/>
      <c r="C5" s="48"/>
      <c r="D5" s="48"/>
      <c r="E5" s="48" t="s">
        <v>36</v>
      </c>
      <c r="F5" s="48" t="s">
        <v>4</v>
      </c>
      <c r="G5" s="48" t="s">
        <v>62</v>
      </c>
      <c r="H5" s="48" t="s">
        <v>63</v>
      </c>
      <c r="I5" s="48" t="s">
        <v>64</v>
      </c>
      <c r="J5" s="49" t="s">
        <v>65</v>
      </c>
      <c r="K5" s="50" t="s">
        <v>66</v>
      </c>
    </row>
    <row r="6" spans="2:11" x14ac:dyDescent="0.2">
      <c r="B6" s="43"/>
      <c r="K6" s="46"/>
    </row>
    <row r="7" spans="2:11" x14ac:dyDescent="0.2">
      <c r="B7" s="43"/>
      <c r="K7" s="46"/>
    </row>
    <row r="8" spans="2:11" x14ac:dyDescent="0.2">
      <c r="B8" s="43"/>
      <c r="C8" s="51"/>
      <c r="D8" s="51"/>
      <c r="E8" s="51" t="s">
        <v>67</v>
      </c>
      <c r="F8" s="51" t="s">
        <v>68</v>
      </c>
      <c r="G8" s="51">
        <v>2022</v>
      </c>
      <c r="H8" s="51"/>
      <c r="I8" s="54">
        <v>45139</v>
      </c>
      <c r="J8" t="s">
        <v>69</v>
      </c>
      <c r="K8" s="53"/>
    </row>
    <row r="9" spans="2:11" x14ac:dyDescent="0.2">
      <c r="B9" s="43"/>
      <c r="C9" s="51"/>
      <c r="D9" s="51"/>
      <c r="E9" s="51"/>
      <c r="F9" s="51"/>
      <c r="G9" s="54"/>
      <c r="H9" s="51"/>
      <c r="I9" s="54"/>
      <c r="J9" s="55"/>
      <c r="K9" s="53"/>
    </row>
    <row r="10" spans="2:11" x14ac:dyDescent="0.2">
      <c r="B10" s="43"/>
      <c r="C10" s="51"/>
      <c r="D10" s="51"/>
      <c r="E10" s="51" t="s">
        <v>70</v>
      </c>
      <c r="F10" s="51" t="s">
        <v>68</v>
      </c>
      <c r="G10" s="51">
        <v>2023</v>
      </c>
      <c r="H10" s="51"/>
      <c r="I10" s="54">
        <v>45139</v>
      </c>
      <c r="J10" s="55" t="s">
        <v>71</v>
      </c>
      <c r="K10" s="53"/>
    </row>
    <row r="11" spans="2:11" x14ac:dyDescent="0.2">
      <c r="B11" s="43"/>
      <c r="C11" s="55"/>
      <c r="D11" s="51"/>
      <c r="E11" s="51"/>
      <c r="F11" s="51"/>
      <c r="G11" s="51"/>
      <c r="H11" s="51"/>
      <c r="I11" s="51"/>
      <c r="J11" s="55"/>
      <c r="K11" s="53"/>
    </row>
    <row r="12" spans="2:11" x14ac:dyDescent="0.2">
      <c r="B12" s="43"/>
      <c r="C12" s="55"/>
      <c r="D12" s="51"/>
      <c r="E12" s="51" t="s">
        <v>72</v>
      </c>
      <c r="F12" s="51" t="s">
        <v>68</v>
      </c>
      <c r="G12" s="51">
        <v>2021</v>
      </c>
      <c r="H12" s="51"/>
      <c r="I12" s="54">
        <v>45139</v>
      </c>
      <c r="J12" s="55" t="s">
        <v>73</v>
      </c>
      <c r="K12" s="53"/>
    </row>
    <row r="13" spans="2:11" x14ac:dyDescent="0.2">
      <c r="B13" s="43"/>
      <c r="C13" s="55"/>
      <c r="D13" s="51"/>
      <c r="E13" s="51"/>
      <c r="F13" s="51"/>
      <c r="G13" s="51"/>
      <c r="H13" s="51"/>
      <c r="I13" s="54"/>
      <c r="J13"/>
      <c r="K13" s="53"/>
    </row>
    <row r="14" spans="2:11" x14ac:dyDescent="0.2">
      <c r="B14" s="43"/>
      <c r="C14" s="55"/>
      <c r="D14" s="51"/>
      <c r="E14" s="51" t="s">
        <v>74</v>
      </c>
      <c r="F14" s="51" t="s">
        <v>68</v>
      </c>
      <c r="G14" s="51">
        <v>2023</v>
      </c>
      <c r="H14" s="51"/>
      <c r="I14" s="54">
        <v>45139</v>
      </c>
      <c r="J14" t="s">
        <v>75</v>
      </c>
      <c r="K14" s="53"/>
    </row>
    <row r="15" spans="2:11" x14ac:dyDescent="0.2">
      <c r="B15" s="43"/>
      <c r="C15" s="55"/>
      <c r="D15" s="51"/>
      <c r="E15" s="51"/>
      <c r="F15" s="51"/>
      <c r="G15" s="51"/>
      <c r="H15" s="51"/>
      <c r="I15" s="54"/>
      <c r="J15"/>
      <c r="K15" s="53"/>
    </row>
    <row r="16" spans="2:11" x14ac:dyDescent="0.2">
      <c r="B16" s="43"/>
      <c r="C16" s="55"/>
      <c r="D16" s="51"/>
      <c r="E16" s="51" t="s">
        <v>257</v>
      </c>
      <c r="F16" s="51" t="s">
        <v>68</v>
      </c>
      <c r="G16" s="51">
        <v>2021</v>
      </c>
      <c r="H16" s="51"/>
      <c r="I16" s="54">
        <v>45170</v>
      </c>
      <c r="J16" t="s">
        <v>258</v>
      </c>
      <c r="K16" s="53"/>
    </row>
    <row r="17" spans="2:11" x14ac:dyDescent="0.2">
      <c r="B17" s="43"/>
      <c r="C17" s="55"/>
      <c r="D17" s="51"/>
      <c r="E17" s="51"/>
      <c r="F17" s="51"/>
      <c r="G17" s="51"/>
      <c r="H17" s="51"/>
      <c r="I17" s="54"/>
      <c r="J17"/>
      <c r="K17" s="53"/>
    </row>
    <row r="18" spans="2:11" x14ac:dyDescent="0.2">
      <c r="B18" s="43"/>
      <c r="C18" s="55"/>
      <c r="D18" s="51"/>
      <c r="E18" s="51" t="s">
        <v>281</v>
      </c>
      <c r="F18" s="51" t="s">
        <v>68</v>
      </c>
      <c r="G18" s="51">
        <v>2018</v>
      </c>
      <c r="H18" s="51"/>
      <c r="I18" s="54">
        <v>45170</v>
      </c>
      <c r="J18" t="s">
        <v>282</v>
      </c>
      <c r="K18" s="53"/>
    </row>
    <row r="19" spans="2:11" x14ac:dyDescent="0.2">
      <c r="B19" s="43"/>
      <c r="C19" s="55"/>
      <c r="D19" s="51"/>
      <c r="E19" s="51"/>
      <c r="F19" s="51"/>
      <c r="G19" s="51"/>
      <c r="H19" s="51"/>
      <c r="I19" s="54"/>
      <c r="J19"/>
      <c r="K19" s="53"/>
    </row>
    <row r="20" spans="2:11" x14ac:dyDescent="0.2">
      <c r="B20" s="43"/>
      <c r="C20" s="55"/>
      <c r="D20" s="51"/>
      <c r="E20" s="51" t="s">
        <v>297</v>
      </c>
      <c r="F20" s="51" t="s">
        <v>68</v>
      </c>
      <c r="G20" s="51">
        <v>2019</v>
      </c>
      <c r="H20" s="51"/>
      <c r="I20" s="54">
        <v>45170</v>
      </c>
      <c r="J20" t="s">
        <v>298</v>
      </c>
      <c r="K20" s="53"/>
    </row>
    <row r="21" spans="2:11" x14ac:dyDescent="0.2">
      <c r="B21" s="43"/>
      <c r="C21" s="55"/>
      <c r="D21" s="51"/>
      <c r="E21" s="51"/>
      <c r="F21" s="51"/>
      <c r="G21" s="51"/>
      <c r="H21" s="51"/>
      <c r="I21" s="54"/>
      <c r="J21"/>
      <c r="K21" s="53"/>
    </row>
    <row r="22" spans="2:11" x14ac:dyDescent="0.2">
      <c r="B22" s="43"/>
      <c r="K22" s="46"/>
    </row>
    <row r="23" spans="2:11" ht="17" thickBot="1" x14ac:dyDescent="0.25">
      <c r="B23" s="56"/>
      <c r="C23" s="57"/>
      <c r="D23" s="57"/>
      <c r="E23" s="57"/>
      <c r="F23" s="57"/>
      <c r="G23" s="57"/>
      <c r="H23" s="57"/>
      <c r="I23" s="57"/>
      <c r="J23" s="58"/>
      <c r="K23" s="59"/>
    </row>
  </sheetData>
  <hyperlinks>
    <hyperlink ref="J8" r:id="rId1" xr:uid="{AB0D6C51-11D5-6C4D-A96F-E75E5837B98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2443B-A2F5-384C-8546-D288D2ABF5C3}">
  <sheetPr>
    <tabColor rgb="FF92CDDC"/>
  </sheetPr>
  <dimension ref="B7:AW360"/>
  <sheetViews>
    <sheetView zoomScale="108" zoomScaleNormal="128" workbookViewId="0">
      <selection activeCell="E14" sqref="E14"/>
    </sheetView>
  </sheetViews>
  <sheetFormatPr baseColWidth="10" defaultColWidth="10.83203125" defaultRowHeight="15.75" customHeight="1" x14ac:dyDescent="0.2"/>
  <cols>
    <col min="1" max="1" width="10.83203125" style="1"/>
    <col min="2" max="2" width="95.5" style="1" bestFit="1" customWidth="1"/>
    <col min="3" max="3" width="12.83203125" style="1" bestFit="1" customWidth="1"/>
    <col min="4" max="4" width="15.1640625" style="1" customWidth="1"/>
    <col min="5" max="5" width="25.6640625" style="1" bestFit="1" customWidth="1"/>
    <col min="6" max="6" width="59" style="1" customWidth="1"/>
    <col min="7" max="7" width="34.1640625" style="1" bestFit="1" customWidth="1"/>
    <col min="8" max="8" width="31.33203125" style="1" customWidth="1"/>
    <col min="9" max="9" width="49" style="1" bestFit="1" customWidth="1"/>
    <col min="10" max="10" width="70" style="1" bestFit="1" customWidth="1"/>
    <col min="11" max="11" width="27.1640625" style="1" customWidth="1"/>
    <col min="12" max="12" width="10.83203125" style="1"/>
    <col min="13" max="13" width="23" style="1" customWidth="1"/>
    <col min="14" max="14" width="11.83203125" style="1" bestFit="1" customWidth="1"/>
    <col min="15" max="15" width="14.6640625" style="1" bestFit="1" customWidth="1"/>
    <col min="16" max="16" width="13.83203125" style="1" bestFit="1" customWidth="1"/>
    <col min="17" max="16384" width="10.83203125" style="1"/>
  </cols>
  <sheetData>
    <row r="7" spans="2:49" ht="15.75" customHeight="1" x14ac:dyDescent="0.2">
      <c r="AW7" s="32" t="s">
        <v>76</v>
      </c>
    </row>
    <row r="10" spans="2:49" ht="15.75" customHeight="1" x14ac:dyDescent="0.2">
      <c r="AE10" s="32" t="s">
        <v>77</v>
      </c>
    </row>
    <row r="11" spans="2:49" ht="16" x14ac:dyDescent="0.2">
      <c r="B11" s="85"/>
      <c r="C11" s="32"/>
      <c r="D11" s="32"/>
      <c r="E11" s="32"/>
      <c r="H11" s="32" t="s">
        <v>78</v>
      </c>
      <c r="I11" s="32" t="s">
        <v>79</v>
      </c>
      <c r="J11" s="32" t="s">
        <v>80</v>
      </c>
      <c r="K11" s="32" t="s">
        <v>32</v>
      </c>
      <c r="N11" s="32" t="s">
        <v>34</v>
      </c>
      <c r="O11" s="32" t="s">
        <v>33</v>
      </c>
      <c r="P11" s="32" t="s">
        <v>81</v>
      </c>
      <c r="Q11" s="32" t="s">
        <v>82</v>
      </c>
      <c r="AE11" s="32" t="s">
        <v>301</v>
      </c>
    </row>
    <row r="12" spans="2:49" ht="16" x14ac:dyDescent="0.2">
      <c r="B12" s="32" t="s">
        <v>83</v>
      </c>
      <c r="C12" s="32" t="s">
        <v>32</v>
      </c>
      <c r="D12" s="32" t="s">
        <v>33</v>
      </c>
      <c r="E12" s="32" t="s">
        <v>34</v>
      </c>
      <c r="F12" s="32" t="s">
        <v>84</v>
      </c>
      <c r="I12" s="1" t="s">
        <v>85</v>
      </c>
      <c r="J12" s="1" t="s">
        <v>86</v>
      </c>
      <c r="K12" s="1" t="s">
        <v>40</v>
      </c>
      <c r="N12" s="36">
        <v>15.4</v>
      </c>
      <c r="O12" s="1" t="s">
        <v>38</v>
      </c>
      <c r="P12" s="1" t="s">
        <v>87</v>
      </c>
    </row>
    <row r="13" spans="2:49" ht="15.75" customHeight="1" x14ac:dyDescent="0.2">
      <c r="B13" s="60" t="s">
        <v>37</v>
      </c>
      <c r="D13" s="1" t="s">
        <v>286</v>
      </c>
      <c r="E13" s="78">
        <f>N12/100</f>
        <v>0.154</v>
      </c>
      <c r="F13" s="85"/>
      <c r="I13" s="1" t="s">
        <v>88</v>
      </c>
      <c r="J13" s="1" t="s">
        <v>89</v>
      </c>
      <c r="K13" s="1" t="s">
        <v>40</v>
      </c>
      <c r="N13" s="36">
        <v>140</v>
      </c>
      <c r="O13" s="1" t="s">
        <v>90</v>
      </c>
      <c r="P13" s="1" t="s">
        <v>91</v>
      </c>
    </row>
    <row r="14" spans="2:49" ht="15.75" customHeight="1" thickBot="1" x14ac:dyDescent="0.25">
      <c r="B14" s="60"/>
      <c r="C14" s="60"/>
      <c r="F14" s="85"/>
      <c r="I14" s="1" t="s">
        <v>92</v>
      </c>
      <c r="J14" s="1" t="s">
        <v>93</v>
      </c>
      <c r="K14" s="1" t="s">
        <v>40</v>
      </c>
      <c r="N14" s="36">
        <v>80</v>
      </c>
      <c r="O14" s="1" t="s">
        <v>90</v>
      </c>
      <c r="P14" s="1" t="s">
        <v>91</v>
      </c>
    </row>
    <row r="15" spans="2:49" ht="17" thickBot="1" x14ac:dyDescent="0.25">
      <c r="B15" s="60" t="s">
        <v>39</v>
      </c>
      <c r="C15" s="60" t="s">
        <v>40</v>
      </c>
      <c r="D15" s="83" t="s">
        <v>41</v>
      </c>
      <c r="E15" s="71">
        <v>3.2</v>
      </c>
      <c r="F15" s="85"/>
      <c r="I15" s="1" t="s">
        <v>275</v>
      </c>
      <c r="J15" s="1" t="s">
        <v>276</v>
      </c>
      <c r="K15" s="1" t="s">
        <v>40</v>
      </c>
      <c r="N15" s="103">
        <f>460000000/480000</f>
        <v>958.33333333333337</v>
      </c>
      <c r="O15" s="1" t="s">
        <v>90</v>
      </c>
      <c r="P15" s="1" t="s">
        <v>278</v>
      </c>
      <c r="Q15" s="1" t="s">
        <v>277</v>
      </c>
    </row>
    <row r="16" spans="2:49" ht="17" thickBot="1" x14ac:dyDescent="0.25">
      <c r="B16" s="94" t="s">
        <v>42</v>
      </c>
      <c r="C16" s="60" t="s">
        <v>40</v>
      </c>
      <c r="D16" s="83" t="s">
        <v>41</v>
      </c>
      <c r="E16" s="95">
        <v>4.5999999999999996</v>
      </c>
      <c r="F16" s="85"/>
    </row>
    <row r="17" spans="2:49" ht="17" thickBot="1" x14ac:dyDescent="0.25">
      <c r="B17" s="94" t="s">
        <v>43</v>
      </c>
      <c r="C17" s="60" t="s">
        <v>40</v>
      </c>
      <c r="D17" s="83" t="s">
        <v>41</v>
      </c>
      <c r="E17" s="96">
        <v>5.8</v>
      </c>
      <c r="F17" s="85"/>
      <c r="H17" s="32" t="s">
        <v>94</v>
      </c>
      <c r="I17" s="32" t="s">
        <v>79</v>
      </c>
      <c r="J17" s="32" t="s">
        <v>80</v>
      </c>
      <c r="K17" s="32" t="s">
        <v>32</v>
      </c>
      <c r="L17" s="32" t="s">
        <v>95</v>
      </c>
      <c r="M17" s="32" t="s">
        <v>96</v>
      </c>
      <c r="N17" s="32" t="s">
        <v>97</v>
      </c>
      <c r="O17" s="32" t="s">
        <v>33</v>
      </c>
    </row>
    <row r="18" spans="2:49" ht="17" thickBot="1" x14ac:dyDescent="0.25">
      <c r="B18" s="60" t="s">
        <v>44</v>
      </c>
      <c r="C18" s="60" t="s">
        <v>40</v>
      </c>
      <c r="D18" s="83" t="s">
        <v>41</v>
      </c>
      <c r="E18" s="71">
        <v>7</v>
      </c>
      <c r="F18" s="85"/>
      <c r="H18" s="85" t="s">
        <v>98</v>
      </c>
      <c r="I18" s="1" t="s">
        <v>99</v>
      </c>
      <c r="J18" s="1" t="s">
        <v>100</v>
      </c>
      <c r="K18" s="1" t="s">
        <v>40</v>
      </c>
      <c r="N18" s="80">
        <v>1500</v>
      </c>
      <c r="O18" s="1" t="s">
        <v>101</v>
      </c>
      <c r="P18" s="1" t="s">
        <v>87</v>
      </c>
    </row>
    <row r="19" spans="2:49" ht="15.75" customHeight="1" thickBot="1" x14ac:dyDescent="0.25">
      <c r="B19" s="60" t="s">
        <v>45</v>
      </c>
      <c r="C19" s="60" t="s">
        <v>40</v>
      </c>
      <c r="D19" s="83" t="s">
        <v>41</v>
      </c>
      <c r="E19" s="74">
        <v>10</v>
      </c>
      <c r="F19" s="85"/>
      <c r="H19" s="85" t="s">
        <v>98</v>
      </c>
      <c r="I19" s="1" t="s">
        <v>102</v>
      </c>
      <c r="J19" s="1" t="s">
        <v>103</v>
      </c>
      <c r="K19" s="1" t="s">
        <v>40</v>
      </c>
      <c r="N19" s="80">
        <v>722</v>
      </c>
      <c r="O19" s="1" t="s">
        <v>101</v>
      </c>
      <c r="P19" s="1" t="s">
        <v>87</v>
      </c>
    </row>
    <row r="20" spans="2:49" ht="15.75" customHeight="1" thickBot="1" x14ac:dyDescent="0.25">
      <c r="B20" s="60"/>
      <c r="C20" s="60"/>
      <c r="D20" s="60"/>
      <c r="F20" s="85"/>
      <c r="H20" s="85" t="s">
        <v>98</v>
      </c>
      <c r="I20" s="1" t="s">
        <v>104</v>
      </c>
      <c r="J20" s="1" t="s">
        <v>105</v>
      </c>
      <c r="K20" s="1" t="s">
        <v>40</v>
      </c>
      <c r="N20" s="80">
        <v>2500</v>
      </c>
      <c r="O20" s="1" t="s">
        <v>101</v>
      </c>
      <c r="P20" s="1" t="s">
        <v>87</v>
      </c>
    </row>
    <row r="21" spans="2:49" ht="17" thickBot="1" x14ac:dyDescent="0.25">
      <c r="B21" s="60" t="s">
        <v>46</v>
      </c>
      <c r="C21" s="60" t="s">
        <v>40</v>
      </c>
      <c r="D21" s="83" t="s">
        <v>41</v>
      </c>
      <c r="E21" s="74">
        <v>1.7</v>
      </c>
      <c r="F21" s="85"/>
      <c r="H21" s="85" t="s">
        <v>106</v>
      </c>
      <c r="I21" s="1" t="s">
        <v>107</v>
      </c>
      <c r="J21" s="1" t="s">
        <v>108</v>
      </c>
      <c r="K21" s="1" t="s">
        <v>40</v>
      </c>
      <c r="L21" s="36">
        <v>112.34</v>
      </c>
      <c r="M21" s="89">
        <v>189.29</v>
      </c>
      <c r="N21" s="104">
        <f>AVERAGE(L21:M21)</f>
        <v>150.815</v>
      </c>
      <c r="O21" s="1" t="s">
        <v>52</v>
      </c>
      <c r="P21" s="1" t="s">
        <v>109</v>
      </c>
    </row>
    <row r="22" spans="2:49" ht="17" thickBot="1" x14ac:dyDescent="0.25">
      <c r="B22" s="60" t="s">
        <v>47</v>
      </c>
      <c r="C22" s="60" t="s">
        <v>40</v>
      </c>
      <c r="D22" s="83" t="s">
        <v>41</v>
      </c>
      <c r="E22" s="52">
        <v>3.5</v>
      </c>
      <c r="F22" s="85"/>
      <c r="H22" s="85" t="s">
        <v>110</v>
      </c>
      <c r="I22" s="1" t="s">
        <v>111</v>
      </c>
      <c r="J22" s="1" t="s">
        <v>112</v>
      </c>
      <c r="K22" s="1" t="s">
        <v>40</v>
      </c>
      <c r="L22" s="36">
        <v>898.69</v>
      </c>
      <c r="M22" s="89">
        <v>926.78</v>
      </c>
      <c r="N22" s="104">
        <f>AVERAGE(L22:M22)</f>
        <v>912.73500000000001</v>
      </c>
      <c r="O22" s="1" t="s">
        <v>101</v>
      </c>
      <c r="P22" s="1" t="s">
        <v>87</v>
      </c>
    </row>
    <row r="23" spans="2:49" ht="17" thickBot="1" x14ac:dyDescent="0.25">
      <c r="B23" s="60" t="s">
        <v>48</v>
      </c>
      <c r="C23" s="60" t="s">
        <v>40</v>
      </c>
      <c r="D23" s="83" t="s">
        <v>41</v>
      </c>
      <c r="E23" s="52">
        <v>5</v>
      </c>
      <c r="F23" s="85"/>
      <c r="H23" s="85" t="s">
        <v>110</v>
      </c>
      <c r="I23" s="1" t="s">
        <v>113</v>
      </c>
      <c r="J23" s="1" t="s">
        <v>114</v>
      </c>
      <c r="K23" s="1" t="s">
        <v>40</v>
      </c>
      <c r="L23" s="36">
        <v>1.24</v>
      </c>
      <c r="M23" s="36">
        <v>1.46</v>
      </c>
      <c r="N23" s="104">
        <f>AVERAGE(L23:M23)</f>
        <v>1.35</v>
      </c>
      <c r="O23" s="1" t="s">
        <v>115</v>
      </c>
      <c r="P23" s="1" t="s">
        <v>87</v>
      </c>
    </row>
    <row r="24" spans="2:49" ht="17" thickBot="1" x14ac:dyDescent="0.25">
      <c r="B24" s="60" t="s">
        <v>49</v>
      </c>
      <c r="C24" s="60" t="s">
        <v>40</v>
      </c>
      <c r="D24" s="83" t="s">
        <v>41</v>
      </c>
      <c r="E24" s="74">
        <v>6.3</v>
      </c>
      <c r="F24" s="85"/>
      <c r="H24" s="85" t="s">
        <v>110</v>
      </c>
      <c r="I24" s="1" t="s">
        <v>116</v>
      </c>
      <c r="J24" s="1" t="s">
        <v>117</v>
      </c>
      <c r="K24" s="1" t="s">
        <v>40</v>
      </c>
      <c r="N24" s="98">
        <v>1300</v>
      </c>
      <c r="O24" s="1" t="s">
        <v>101</v>
      </c>
      <c r="P24" s="1" t="s">
        <v>87</v>
      </c>
      <c r="Q24" s="100" t="s">
        <v>274</v>
      </c>
    </row>
    <row r="25" spans="2:49" ht="15.75" customHeight="1" thickBot="1" x14ac:dyDescent="0.25">
      <c r="B25" s="60" t="s">
        <v>50</v>
      </c>
      <c r="C25" s="60" t="s">
        <v>40</v>
      </c>
      <c r="D25" s="83" t="s">
        <v>41</v>
      </c>
      <c r="E25" s="74">
        <v>8.9</v>
      </c>
      <c r="F25" s="85"/>
      <c r="H25" s="85" t="s">
        <v>118</v>
      </c>
      <c r="I25" s="1" t="s">
        <v>119</v>
      </c>
      <c r="J25" s="1" t="s">
        <v>120</v>
      </c>
      <c r="K25" s="1" t="s">
        <v>40</v>
      </c>
      <c r="L25" s="80">
        <v>350</v>
      </c>
      <c r="M25" s="80">
        <v>5450</v>
      </c>
      <c r="N25" s="104">
        <f>AVERAGE(L25:M25)</f>
        <v>2900</v>
      </c>
      <c r="O25" s="1" t="s">
        <v>101</v>
      </c>
      <c r="P25" s="1" t="s">
        <v>121</v>
      </c>
    </row>
    <row r="26" spans="2:49" ht="17" thickBot="1" x14ac:dyDescent="0.25">
      <c r="F26" s="85"/>
      <c r="H26" s="85" t="s">
        <v>118</v>
      </c>
      <c r="I26" s="1" t="s">
        <v>122</v>
      </c>
      <c r="J26" s="1" t="s">
        <v>123</v>
      </c>
      <c r="K26" s="1" t="s">
        <v>40</v>
      </c>
      <c r="L26" s="80">
        <v>350</v>
      </c>
      <c r="M26" s="80">
        <v>4050</v>
      </c>
      <c r="N26" s="104">
        <f t="shared" ref="N26:N27" si="0">AVERAGE(L26:M26)</f>
        <v>2200</v>
      </c>
      <c r="O26" s="1" t="s">
        <v>101</v>
      </c>
      <c r="P26" s="1" t="s">
        <v>121</v>
      </c>
    </row>
    <row r="27" spans="2:49" ht="17" thickBot="1" x14ac:dyDescent="0.25">
      <c r="B27" s="1" t="s">
        <v>310</v>
      </c>
      <c r="C27" s="1" t="s">
        <v>54</v>
      </c>
      <c r="D27" s="1" t="s">
        <v>53</v>
      </c>
      <c r="E27" s="91">
        <f>$N$49+$N$24+$N$18+$N$22+$N$23*$N$35+$N$26</f>
        <v>7372.1782499999999</v>
      </c>
      <c r="F27" s="85" t="s">
        <v>300</v>
      </c>
      <c r="H27" s="85" t="s">
        <v>118</v>
      </c>
      <c r="I27" s="1" t="s">
        <v>124</v>
      </c>
      <c r="J27" s="1" t="s">
        <v>125</v>
      </c>
      <c r="K27" s="1" t="s">
        <v>40</v>
      </c>
      <c r="L27" s="80">
        <v>350</v>
      </c>
      <c r="M27" s="80">
        <v>1500</v>
      </c>
      <c r="N27" s="104">
        <f t="shared" si="0"/>
        <v>925</v>
      </c>
      <c r="O27" s="1" t="s">
        <v>101</v>
      </c>
      <c r="P27" s="1" t="s">
        <v>121</v>
      </c>
    </row>
    <row r="28" spans="2:49" ht="17" thickBot="1" x14ac:dyDescent="0.25">
      <c r="B28" s="1" t="s">
        <v>311</v>
      </c>
      <c r="C28" s="1" t="s">
        <v>55</v>
      </c>
      <c r="D28" s="1" t="s">
        <v>53</v>
      </c>
      <c r="E28" s="91">
        <f>$N$49+$N$24+$N$18+$N$22+$N$23*$N$35+$N$26</f>
        <v>7372.1782499999999</v>
      </c>
      <c r="F28" s="85" t="s">
        <v>300</v>
      </c>
      <c r="H28" s="85" t="s">
        <v>126</v>
      </c>
      <c r="I28" s="1" t="s">
        <v>127</v>
      </c>
      <c r="J28" s="1" t="s">
        <v>128</v>
      </c>
      <c r="K28" s="1" t="s">
        <v>40</v>
      </c>
      <c r="L28" s="36">
        <v>3.08</v>
      </c>
      <c r="M28" s="36">
        <v>5.03</v>
      </c>
      <c r="N28" s="105">
        <f t="shared" ref="N28:N33" si="1">AVERAGE(L28:M28)</f>
        <v>4.0549999999999997</v>
      </c>
      <c r="O28" s="1" t="s">
        <v>129</v>
      </c>
      <c r="P28" s="1" t="s">
        <v>91</v>
      </c>
    </row>
    <row r="29" spans="2:49" ht="17" thickBot="1" x14ac:dyDescent="0.25">
      <c r="B29" s="1" t="s">
        <v>312</v>
      </c>
      <c r="C29" s="1" t="s">
        <v>56</v>
      </c>
      <c r="D29" s="1" t="s">
        <v>53</v>
      </c>
      <c r="E29" s="91">
        <f>$N$49+$N$24+$N$18+$N$22+$N$23*$N$35+$N$26</f>
        <v>7372.1782499999999</v>
      </c>
      <c r="F29" s="85" t="s">
        <v>300</v>
      </c>
      <c r="H29" s="85" t="s">
        <v>126</v>
      </c>
      <c r="I29" s="1" t="s">
        <v>130</v>
      </c>
      <c r="J29" s="1" t="s">
        <v>131</v>
      </c>
      <c r="K29" s="1" t="s">
        <v>40</v>
      </c>
      <c r="L29" s="36">
        <v>0.03</v>
      </c>
      <c r="M29" s="36">
        <v>0.04</v>
      </c>
      <c r="N29" s="106">
        <f t="shared" si="1"/>
        <v>3.5000000000000003E-2</v>
      </c>
      <c r="O29" s="1" t="s">
        <v>132</v>
      </c>
      <c r="P29" s="1" t="s">
        <v>91</v>
      </c>
    </row>
    <row r="30" spans="2:49" ht="17" thickBot="1" x14ac:dyDescent="0.25">
      <c r="B30" s="1" t="s">
        <v>313</v>
      </c>
      <c r="C30" s="1" t="s">
        <v>54</v>
      </c>
      <c r="D30" s="1" t="s">
        <v>53</v>
      </c>
      <c r="E30" s="91">
        <f>$N$50+$N$24+$N$19+$N$22+$N$23*$N$36+$N$27</f>
        <v>4069.1782499999999</v>
      </c>
      <c r="F30" s="85" t="s">
        <v>300</v>
      </c>
      <c r="H30" s="85" t="s">
        <v>126</v>
      </c>
      <c r="I30" s="1" t="s">
        <v>133</v>
      </c>
      <c r="J30" s="1" t="s">
        <v>134</v>
      </c>
      <c r="K30" s="1" t="s">
        <v>40</v>
      </c>
      <c r="L30" s="36">
        <v>4</v>
      </c>
      <c r="N30" s="105">
        <f t="shared" si="1"/>
        <v>4</v>
      </c>
      <c r="O30" s="1" t="s">
        <v>129</v>
      </c>
      <c r="P30" s="1" t="s">
        <v>91</v>
      </c>
    </row>
    <row r="31" spans="2:49" ht="17" thickBot="1" x14ac:dyDescent="0.25">
      <c r="B31" s="1" t="s">
        <v>314</v>
      </c>
      <c r="C31" s="1" t="s">
        <v>55</v>
      </c>
      <c r="D31" s="1" t="s">
        <v>53</v>
      </c>
      <c r="E31" s="91">
        <f>$N$50+$N$24+$N$19+$N$22+$N$23*$N$36+$N$27</f>
        <v>4069.1782499999999</v>
      </c>
      <c r="F31" s="85" t="s">
        <v>300</v>
      </c>
      <c r="H31" s="85" t="s">
        <v>126</v>
      </c>
      <c r="I31" s="1" t="s">
        <v>135</v>
      </c>
      <c r="J31" s="1" t="s">
        <v>136</v>
      </c>
      <c r="K31" s="1" t="s">
        <v>40</v>
      </c>
      <c r="L31" s="36">
        <v>2</v>
      </c>
      <c r="M31" s="36">
        <v>2.39</v>
      </c>
      <c r="N31" s="107">
        <f t="shared" si="1"/>
        <v>2.1950000000000003</v>
      </c>
      <c r="O31" s="1" t="s">
        <v>129</v>
      </c>
      <c r="P31" s="1" t="s">
        <v>91</v>
      </c>
      <c r="Q31" s="101" t="s">
        <v>272</v>
      </c>
      <c r="AW31" s="32" t="s">
        <v>139</v>
      </c>
    </row>
    <row r="32" spans="2:49" ht="17" thickBot="1" x14ac:dyDescent="0.25">
      <c r="B32" s="93" t="s">
        <v>315</v>
      </c>
      <c r="C32" s="1" t="s">
        <v>56</v>
      </c>
      <c r="D32" s="1" t="s">
        <v>53</v>
      </c>
      <c r="E32" s="91">
        <f>$N$50+$N$24+$N$19+$N$22+$N$23*$N$36+$N$27</f>
        <v>4069.1782499999999</v>
      </c>
      <c r="F32" s="85" t="s">
        <v>300</v>
      </c>
      <c r="H32" s="85" t="s">
        <v>126</v>
      </c>
      <c r="I32" s="1" t="s">
        <v>137</v>
      </c>
      <c r="J32" s="1" t="s">
        <v>138</v>
      </c>
      <c r="K32" s="1" t="s">
        <v>40</v>
      </c>
      <c r="L32" s="36">
        <v>0.03</v>
      </c>
      <c r="M32" s="36">
        <v>0.04</v>
      </c>
      <c r="N32" s="107">
        <f t="shared" si="1"/>
        <v>3.5000000000000003E-2</v>
      </c>
      <c r="O32" s="1" t="s">
        <v>132</v>
      </c>
      <c r="P32" s="1" t="s">
        <v>91</v>
      </c>
      <c r="Q32" s="101" t="s">
        <v>272</v>
      </c>
    </row>
    <row r="33" spans="2:17" ht="17" thickBot="1" x14ac:dyDescent="0.25">
      <c r="B33" s="1" t="s">
        <v>259</v>
      </c>
      <c r="C33" s="1" t="s">
        <v>54</v>
      </c>
      <c r="D33" s="1" t="s">
        <v>53</v>
      </c>
      <c r="E33" s="91">
        <f>$N$48+$N$24+$N$20+$N$22+$N$23*$N$34+$N$25</f>
        <v>10080.224249999999</v>
      </c>
      <c r="F33" s="85" t="s">
        <v>300</v>
      </c>
      <c r="H33" s="85" t="s">
        <v>126</v>
      </c>
      <c r="I33" s="1" t="s">
        <v>140</v>
      </c>
      <c r="J33" s="1" t="s">
        <v>141</v>
      </c>
      <c r="K33" s="1" t="s">
        <v>40</v>
      </c>
      <c r="L33" s="36">
        <v>2</v>
      </c>
      <c r="N33" s="105">
        <f t="shared" si="1"/>
        <v>2</v>
      </c>
      <c r="O33" s="1" t="s">
        <v>129</v>
      </c>
      <c r="P33" s="1" t="s">
        <v>91</v>
      </c>
      <c r="Q33" s="101" t="s">
        <v>142</v>
      </c>
    </row>
    <row r="34" spans="2:17" ht="15.75" customHeight="1" thickBot="1" x14ac:dyDescent="0.25">
      <c r="B34" s="1" t="s">
        <v>260</v>
      </c>
      <c r="C34" s="1" t="s">
        <v>55</v>
      </c>
      <c r="D34" s="1" t="s">
        <v>53</v>
      </c>
      <c r="E34" s="91">
        <f>$N$48+$N$24+$N$20+$N$22+$N$23*$N$34+$N$25</f>
        <v>10080.224249999999</v>
      </c>
      <c r="F34" s="85" t="s">
        <v>300</v>
      </c>
      <c r="H34" s="85" t="s">
        <v>126</v>
      </c>
      <c r="I34" s="1" t="s">
        <v>143</v>
      </c>
      <c r="J34" s="1" t="s">
        <v>144</v>
      </c>
      <c r="K34" s="1" t="s">
        <v>40</v>
      </c>
      <c r="N34" s="105">
        <f>$N$28+$N$30+($N$29*$N$13)</f>
        <v>12.955</v>
      </c>
      <c r="O34" s="1" t="s">
        <v>145</v>
      </c>
      <c r="Q34" s="101" t="s">
        <v>146</v>
      </c>
    </row>
    <row r="35" spans="2:17" ht="17" thickBot="1" x14ac:dyDescent="0.25">
      <c r="B35" s="1" t="s">
        <v>261</v>
      </c>
      <c r="C35" s="1" t="s">
        <v>56</v>
      </c>
      <c r="D35" s="1" t="s">
        <v>53</v>
      </c>
      <c r="E35" s="91">
        <f>$N$48+$N$24+$N$20+$N$22+$N$23*$N$34+$N$25</f>
        <v>10080.224249999999</v>
      </c>
      <c r="F35" s="85" t="s">
        <v>300</v>
      </c>
      <c r="H35" s="85" t="s">
        <v>126</v>
      </c>
      <c r="I35" s="1" t="s">
        <v>147</v>
      </c>
      <c r="J35" s="1" t="s">
        <v>148</v>
      </c>
      <c r="K35" s="1" t="s">
        <v>40</v>
      </c>
      <c r="N35" s="105">
        <f>$N$31+$N$33+$N$32*$N$14</f>
        <v>6.995000000000001</v>
      </c>
      <c r="O35" s="1" t="s">
        <v>145</v>
      </c>
      <c r="Q35" s="101" t="s">
        <v>146</v>
      </c>
    </row>
    <row r="36" spans="2:17" ht="17" thickBot="1" x14ac:dyDescent="0.25">
      <c r="F36" s="85"/>
      <c r="H36" s="85" t="s">
        <v>126</v>
      </c>
      <c r="I36" s="1" t="s">
        <v>149</v>
      </c>
      <c r="J36" s="1" t="s">
        <v>150</v>
      </c>
      <c r="K36" s="1" t="s">
        <v>40</v>
      </c>
      <c r="N36" s="105">
        <f>$N$31+$N$33+$N$32*$N$14</f>
        <v>6.995000000000001</v>
      </c>
      <c r="O36" s="1" t="s">
        <v>145</v>
      </c>
      <c r="Q36" s="101" t="s">
        <v>146</v>
      </c>
    </row>
    <row r="37" spans="2:17" ht="17" thickBot="1" x14ac:dyDescent="0.25">
      <c r="B37" s="60" t="s">
        <v>51</v>
      </c>
      <c r="C37" s="1" t="s">
        <v>40</v>
      </c>
      <c r="D37" s="1" t="s">
        <v>52</v>
      </c>
      <c r="E37" s="91">
        <f>N21+N23</f>
        <v>152.16499999999999</v>
      </c>
      <c r="F37" s="85"/>
      <c r="H37" s="85" t="s">
        <v>151</v>
      </c>
      <c r="I37" s="1" t="s">
        <v>152</v>
      </c>
      <c r="J37" s="1" t="s">
        <v>153</v>
      </c>
      <c r="K37" s="1" t="s">
        <v>40</v>
      </c>
      <c r="N37" s="105">
        <f>I87</f>
        <v>7.5999999999999984E-2</v>
      </c>
      <c r="O37" s="1" t="s">
        <v>132</v>
      </c>
      <c r="P37" s="1" t="s">
        <v>154</v>
      </c>
      <c r="Q37" s="101" t="s">
        <v>155</v>
      </c>
    </row>
    <row r="38" spans="2:17" ht="17" thickBot="1" x14ac:dyDescent="0.25">
      <c r="B38" s="60" t="s">
        <v>159</v>
      </c>
      <c r="C38" s="1" t="s">
        <v>40</v>
      </c>
      <c r="D38" s="1" t="s">
        <v>53</v>
      </c>
      <c r="E38" s="91">
        <f>N51+N24+N22+N25</f>
        <v>7562.7349999999997</v>
      </c>
      <c r="F38" s="85"/>
      <c r="H38" s="85" t="s">
        <v>151</v>
      </c>
      <c r="I38" s="1" t="s">
        <v>157</v>
      </c>
      <c r="J38" s="1" t="s">
        <v>158</v>
      </c>
      <c r="K38" s="1" t="s">
        <v>40</v>
      </c>
      <c r="N38" s="89">
        <v>0.04</v>
      </c>
      <c r="O38" s="1" t="s">
        <v>132</v>
      </c>
      <c r="P38" s="1" t="s">
        <v>154</v>
      </c>
      <c r="Q38" s="101"/>
    </row>
    <row r="39" spans="2:17" ht="17" thickBot="1" x14ac:dyDescent="0.25">
      <c r="B39" s="97"/>
      <c r="F39" s="85"/>
      <c r="H39" s="85" t="s">
        <v>161</v>
      </c>
      <c r="I39" s="1" t="s">
        <v>302</v>
      </c>
      <c r="J39" s="1" t="s">
        <v>289</v>
      </c>
      <c r="K39" s="1" t="s">
        <v>54</v>
      </c>
      <c r="L39" s="80">
        <f>N41+401.34</f>
        <v>1575.0542857142857</v>
      </c>
      <c r="M39" s="80">
        <f>N41+2014.85</f>
        <v>3188.5642857142857</v>
      </c>
      <c r="N39" s="104">
        <f>AVERAGE(L39:M39)</f>
        <v>2381.8092857142856</v>
      </c>
      <c r="O39" s="1" t="s">
        <v>101</v>
      </c>
      <c r="P39" s="1" t="s">
        <v>162</v>
      </c>
      <c r="Q39" s="101" t="s">
        <v>163</v>
      </c>
    </row>
    <row r="40" spans="2:17" ht="17" thickBot="1" x14ac:dyDescent="0.25">
      <c r="B40" s="1" t="s">
        <v>57</v>
      </c>
      <c r="C40" s="1" t="s">
        <v>40</v>
      </c>
      <c r="D40" s="83" t="s">
        <v>52</v>
      </c>
      <c r="E40" s="91">
        <f>N59</f>
        <v>132.5</v>
      </c>
      <c r="F40" s="85"/>
      <c r="H40" s="85" t="s">
        <v>161</v>
      </c>
      <c r="I40" s="1" t="s">
        <v>303</v>
      </c>
      <c r="J40" s="1" t="s">
        <v>290</v>
      </c>
      <c r="K40" s="1" t="s">
        <v>55</v>
      </c>
      <c r="L40" s="92"/>
      <c r="M40" s="92"/>
      <c r="N40" s="104">
        <f>N43*$N$14/$N$13</f>
        <v>1173.7142857142858</v>
      </c>
      <c r="O40" s="1" t="s">
        <v>101</v>
      </c>
      <c r="Q40" s="101"/>
    </row>
    <row r="41" spans="2:17" ht="17" thickBot="1" x14ac:dyDescent="0.25">
      <c r="B41" s="1" t="s">
        <v>262</v>
      </c>
      <c r="C41" s="1" t="s">
        <v>54</v>
      </c>
      <c r="D41" s="83" t="s">
        <v>52</v>
      </c>
      <c r="E41" s="91">
        <f>N60</f>
        <v>100</v>
      </c>
      <c r="F41" s="85"/>
      <c r="H41" s="85" t="s">
        <v>161</v>
      </c>
      <c r="I41" s="1" t="s">
        <v>304</v>
      </c>
      <c r="J41" s="1" t="s">
        <v>164</v>
      </c>
      <c r="K41" s="1" t="s">
        <v>56</v>
      </c>
      <c r="L41" s="92"/>
      <c r="M41" s="92"/>
      <c r="N41" s="104">
        <f>N44*$N$14/$N$13</f>
        <v>1173.7142857142858</v>
      </c>
      <c r="O41" s="1" t="s">
        <v>101</v>
      </c>
      <c r="Q41" s="101" t="s">
        <v>165</v>
      </c>
    </row>
    <row r="42" spans="2:17" ht="17" thickBot="1" x14ac:dyDescent="0.25">
      <c r="B42" s="1" t="s">
        <v>263</v>
      </c>
      <c r="C42" s="1" t="s">
        <v>55</v>
      </c>
      <c r="D42" s="83" t="s">
        <v>52</v>
      </c>
      <c r="E42" s="91">
        <f>N61</f>
        <v>50</v>
      </c>
      <c r="F42" s="85"/>
      <c r="H42" s="85" t="s">
        <v>161</v>
      </c>
      <c r="I42" s="1" t="s">
        <v>305</v>
      </c>
      <c r="J42" s="1" t="s">
        <v>285</v>
      </c>
      <c r="K42" s="1" t="s">
        <v>54</v>
      </c>
      <c r="L42" s="104">
        <f>N43+957.21</f>
        <v>3011.21</v>
      </c>
      <c r="M42" s="104">
        <f>N43+3221.92</f>
        <v>5275.92</v>
      </c>
      <c r="N42" s="104">
        <f>AVERAGE(L42:M42)</f>
        <v>4143.5650000000005</v>
      </c>
      <c r="O42" s="1" t="s">
        <v>101</v>
      </c>
      <c r="P42" s="1" t="s">
        <v>162</v>
      </c>
      <c r="Q42" s="101" t="s">
        <v>163</v>
      </c>
    </row>
    <row r="43" spans="2:17" ht="17" thickBot="1" x14ac:dyDescent="0.25">
      <c r="B43" s="1" t="s">
        <v>264</v>
      </c>
      <c r="C43" s="1" t="s">
        <v>56</v>
      </c>
      <c r="D43" s="83" t="s">
        <v>52</v>
      </c>
      <c r="E43" s="91">
        <f>N62</f>
        <v>50</v>
      </c>
      <c r="F43" s="85"/>
      <c r="H43" s="85" t="s">
        <v>161</v>
      </c>
      <c r="I43" s="1" t="s">
        <v>166</v>
      </c>
      <c r="J43" s="1" t="s">
        <v>285</v>
      </c>
      <c r="K43" s="1" t="s">
        <v>55</v>
      </c>
      <c r="L43" s="79"/>
      <c r="M43" s="79"/>
      <c r="N43" s="80">
        <v>2054</v>
      </c>
      <c r="O43" s="1" t="s">
        <v>101</v>
      </c>
      <c r="P43" s="1" t="s">
        <v>167</v>
      </c>
      <c r="Q43" s="101"/>
    </row>
    <row r="44" spans="2:17" ht="17" thickBot="1" x14ac:dyDescent="0.25">
      <c r="B44" s="1" t="s">
        <v>265</v>
      </c>
      <c r="C44" s="1" t="s">
        <v>54</v>
      </c>
      <c r="D44" s="1" t="s">
        <v>58</v>
      </c>
      <c r="E44" s="91">
        <f>N56</f>
        <v>2045.88</v>
      </c>
      <c r="F44" s="85" t="s">
        <v>156</v>
      </c>
      <c r="G44" s="32"/>
      <c r="H44" s="85" t="s">
        <v>161</v>
      </c>
      <c r="I44" s="1" t="s">
        <v>168</v>
      </c>
      <c r="J44" s="1" t="s">
        <v>285</v>
      </c>
      <c r="K44" s="1" t="s">
        <v>56</v>
      </c>
      <c r="L44" s="79"/>
      <c r="M44" s="79"/>
      <c r="N44" s="80">
        <v>2054</v>
      </c>
      <c r="O44" s="1" t="s">
        <v>101</v>
      </c>
      <c r="P44" s="1" t="s">
        <v>167</v>
      </c>
      <c r="Q44" s="101"/>
    </row>
    <row r="45" spans="2:17" ht="15.75" customHeight="1" thickBot="1" x14ac:dyDescent="0.25">
      <c r="B45" s="1" t="s">
        <v>266</v>
      </c>
      <c r="C45" s="1" t="s">
        <v>55</v>
      </c>
      <c r="D45" s="1" t="s">
        <v>58</v>
      </c>
      <c r="E45" s="91">
        <f t="shared" ref="E45:E46" si="2">N57</f>
        <v>1817.96</v>
      </c>
      <c r="F45" s="85" t="s">
        <v>160</v>
      </c>
      <c r="H45" s="85" t="s">
        <v>288</v>
      </c>
      <c r="I45" s="1" t="s">
        <v>169</v>
      </c>
      <c r="J45" s="1" t="s">
        <v>284</v>
      </c>
      <c r="K45" s="1" t="s">
        <v>54</v>
      </c>
      <c r="M45" s="79"/>
      <c r="N45" s="104">
        <f>($N$44/($N$28+$N$29*$N$13)*$N$37+9.0579)*$N$15</f>
        <v>25386.201253954958</v>
      </c>
      <c r="O45" s="1" t="s">
        <v>101</v>
      </c>
      <c r="P45" s="1" t="s">
        <v>170</v>
      </c>
      <c r="Q45" s="101" t="s">
        <v>273</v>
      </c>
    </row>
    <row r="46" spans="2:17" ht="15.75" customHeight="1" thickBot="1" x14ac:dyDescent="0.25">
      <c r="B46" s="1" t="s">
        <v>267</v>
      </c>
      <c r="C46" s="1" t="s">
        <v>56</v>
      </c>
      <c r="D46" s="1" t="s">
        <v>58</v>
      </c>
      <c r="E46" s="91">
        <f t="shared" si="2"/>
        <v>1415.87</v>
      </c>
      <c r="F46" s="85"/>
      <c r="H46" s="85" t="s">
        <v>288</v>
      </c>
      <c r="I46" s="1" t="s">
        <v>169</v>
      </c>
      <c r="J46" s="1" t="s">
        <v>284</v>
      </c>
      <c r="K46" s="1" t="s">
        <v>55</v>
      </c>
      <c r="L46" s="79"/>
      <c r="M46" s="79"/>
      <c r="N46" s="104">
        <f>$N$44/($N$28+$N$29*$N$13)*$N$37*$N$15</f>
        <v>16705.713753954959</v>
      </c>
      <c r="O46" s="1" t="s">
        <v>101</v>
      </c>
      <c r="Q46" s="101" t="s">
        <v>283</v>
      </c>
    </row>
    <row r="47" spans="2:17" ht="15.75" customHeight="1" thickBot="1" x14ac:dyDescent="0.25">
      <c r="B47" s="1" t="s">
        <v>268</v>
      </c>
      <c r="C47" s="1" t="s">
        <v>54</v>
      </c>
      <c r="D47" s="1" t="s">
        <v>52</v>
      </c>
      <c r="E47" s="91">
        <f>N53</f>
        <v>245.35</v>
      </c>
      <c r="F47" s="85"/>
      <c r="H47" s="85" t="s">
        <v>288</v>
      </c>
      <c r="I47" s="1" t="s">
        <v>169</v>
      </c>
      <c r="J47" s="1" t="s">
        <v>284</v>
      </c>
      <c r="K47" s="1" t="s">
        <v>56</v>
      </c>
      <c r="L47" s="79"/>
      <c r="M47" s="79"/>
      <c r="N47" s="104">
        <f>$N$44/($N$28+$N$29*$N$13)*$N$37*$N$15</f>
        <v>16705.713753954959</v>
      </c>
      <c r="O47" s="1" t="s">
        <v>101</v>
      </c>
      <c r="Q47" s="101" t="s">
        <v>283</v>
      </c>
    </row>
    <row r="48" spans="2:17" ht="15.75" customHeight="1" thickBot="1" x14ac:dyDescent="0.25">
      <c r="B48" s="1" t="s">
        <v>269</v>
      </c>
      <c r="C48" s="1" t="s">
        <v>55</v>
      </c>
      <c r="D48" s="1" t="s">
        <v>52</v>
      </c>
      <c r="E48" s="91">
        <f>N54</f>
        <v>245.35</v>
      </c>
      <c r="F48" s="85"/>
      <c r="H48" s="85" t="s">
        <v>171</v>
      </c>
      <c r="I48" s="1" t="s">
        <v>172</v>
      </c>
      <c r="J48" s="1" t="s">
        <v>306</v>
      </c>
      <c r="K48" s="1" t="s">
        <v>40</v>
      </c>
      <c r="L48" s="80">
        <v>400</v>
      </c>
      <c r="M48" s="80">
        <v>4500</v>
      </c>
      <c r="N48" s="104">
        <f>AVERAGE(L48:M48)</f>
        <v>2450</v>
      </c>
      <c r="O48" s="1" t="s">
        <v>101</v>
      </c>
      <c r="P48" s="1" t="s">
        <v>121</v>
      </c>
      <c r="Q48" s="101"/>
    </row>
    <row r="49" spans="2:31" ht="15.75" customHeight="1" thickBot="1" x14ac:dyDescent="0.25">
      <c r="B49" s="1" t="s">
        <v>270</v>
      </c>
      <c r="C49" s="1" t="s">
        <v>56</v>
      </c>
      <c r="D49" s="1" t="s">
        <v>52</v>
      </c>
      <c r="E49" s="91">
        <f>N55</f>
        <v>215.74</v>
      </c>
      <c r="F49" s="85"/>
      <c r="H49" s="85" t="s">
        <v>171</v>
      </c>
      <c r="I49" s="1" t="s">
        <v>173</v>
      </c>
      <c r="J49" s="1" t="s">
        <v>307</v>
      </c>
      <c r="K49" s="1" t="s">
        <v>40</v>
      </c>
      <c r="L49" s="80">
        <v>400</v>
      </c>
      <c r="M49" s="80">
        <v>2500</v>
      </c>
      <c r="N49" s="104">
        <f t="shared" ref="N49:N50" si="3">AVERAGE(L49:M49)</f>
        <v>1450</v>
      </c>
      <c r="O49" s="1" t="s">
        <v>101</v>
      </c>
      <c r="P49" s="1" t="s">
        <v>121</v>
      </c>
      <c r="Q49" s="101"/>
    </row>
    <row r="50" spans="2:31" ht="15.75" customHeight="1" thickBot="1" x14ac:dyDescent="0.25">
      <c r="B50" s="1" t="s">
        <v>59</v>
      </c>
      <c r="C50" s="1" t="s">
        <v>40</v>
      </c>
      <c r="D50" s="1" t="s">
        <v>286</v>
      </c>
      <c r="E50" s="78">
        <f>N64/100</f>
        <v>2.5000000000000001E-2</v>
      </c>
      <c r="F50" s="85"/>
      <c r="H50" s="85" t="s">
        <v>171</v>
      </c>
      <c r="I50" s="1" t="s">
        <v>174</v>
      </c>
      <c r="J50" s="1" t="s">
        <v>308</v>
      </c>
      <c r="K50" s="1" t="s">
        <v>40</v>
      </c>
      <c r="L50" s="80">
        <v>0</v>
      </c>
      <c r="M50" s="80">
        <v>400</v>
      </c>
      <c r="N50" s="104">
        <f t="shared" si="3"/>
        <v>200</v>
      </c>
      <c r="O50" s="1" t="s">
        <v>101</v>
      </c>
      <c r="P50" s="1" t="s">
        <v>121</v>
      </c>
      <c r="Q50" s="101"/>
    </row>
    <row r="51" spans="2:31" ht="17" thickBot="1" x14ac:dyDescent="0.25">
      <c r="B51" s="1" t="s">
        <v>60</v>
      </c>
      <c r="C51" s="1" t="s">
        <v>40</v>
      </c>
      <c r="D51" s="1" t="s">
        <v>286</v>
      </c>
      <c r="E51" s="78">
        <f>N63/100</f>
        <v>1.8000000000000002E-2</v>
      </c>
      <c r="F51" s="85"/>
      <c r="H51" s="85" t="s">
        <v>171</v>
      </c>
      <c r="I51" s="1" t="s">
        <v>175</v>
      </c>
      <c r="J51" s="1" t="s">
        <v>309</v>
      </c>
      <c r="K51" s="1" t="s">
        <v>40</v>
      </c>
      <c r="L51" s="80">
        <v>400</v>
      </c>
      <c r="M51" s="80">
        <v>4500</v>
      </c>
      <c r="N51" s="104">
        <f>AVERAGE(L51:M51)</f>
        <v>2450</v>
      </c>
      <c r="O51" s="1" t="s">
        <v>101</v>
      </c>
      <c r="P51" s="1" t="s">
        <v>121</v>
      </c>
      <c r="Q51" s="101"/>
    </row>
    <row r="52" spans="2:31" ht="15.75" customHeight="1" thickBot="1" x14ac:dyDescent="0.25">
      <c r="B52" s="97"/>
      <c r="F52" s="85"/>
      <c r="H52" s="85"/>
      <c r="L52" s="79"/>
      <c r="M52" s="79"/>
      <c r="N52" s="79"/>
      <c r="Q52" s="101"/>
    </row>
    <row r="53" spans="2:31" ht="15.75" customHeight="1" thickBot="1" x14ac:dyDescent="0.25">
      <c r="B53" s="1" t="s">
        <v>291</v>
      </c>
      <c r="C53" s="1" t="s">
        <v>54</v>
      </c>
      <c r="D53" s="1" t="s">
        <v>53</v>
      </c>
      <c r="E53" s="91">
        <f t="shared" ref="E53:E58" si="4">N39</f>
        <v>2381.8092857142856</v>
      </c>
      <c r="F53" s="85"/>
      <c r="H53" s="85" t="s">
        <v>176</v>
      </c>
      <c r="I53" s="1" t="s">
        <v>177</v>
      </c>
      <c r="J53" s="1" t="s">
        <v>178</v>
      </c>
      <c r="K53" s="1" t="s">
        <v>54</v>
      </c>
      <c r="L53" s="79"/>
      <c r="M53" s="79"/>
      <c r="N53" s="104">
        <f>N54</f>
        <v>245.35</v>
      </c>
      <c r="O53" s="83" t="s">
        <v>52</v>
      </c>
      <c r="P53" s="1" t="s">
        <v>179</v>
      </c>
      <c r="Q53" s="101" t="s">
        <v>180</v>
      </c>
      <c r="AE53" s="32" t="s">
        <v>182</v>
      </c>
    </row>
    <row r="54" spans="2:31" ht="15.75" customHeight="1" thickBot="1" x14ac:dyDescent="0.25">
      <c r="B54" s="1" t="s">
        <v>292</v>
      </c>
      <c r="C54" s="1" t="s">
        <v>55</v>
      </c>
      <c r="D54" s="1" t="s">
        <v>53</v>
      </c>
      <c r="E54" s="91">
        <f t="shared" si="4"/>
        <v>1173.7142857142858</v>
      </c>
      <c r="F54" s="85"/>
      <c r="H54" s="85" t="s">
        <v>176</v>
      </c>
      <c r="I54" s="1" t="s">
        <v>177</v>
      </c>
      <c r="J54" s="1" t="s">
        <v>178</v>
      </c>
      <c r="K54" s="1" t="s">
        <v>55</v>
      </c>
      <c r="L54" s="80">
        <f>(407.8*$I$69^0.48*$I$70*1000)/($I$69*1000)</f>
        <v>184.73044673699135</v>
      </c>
      <c r="M54" s="80">
        <f>(890.4*$I$69^0.36*$I$70*1000)/($I$69*1000)</f>
        <v>305.96828370366376</v>
      </c>
      <c r="N54" s="104">
        <f>ROUND(AVERAGE(L54:M54),2)</f>
        <v>245.35</v>
      </c>
      <c r="O54" s="83" t="s">
        <v>52</v>
      </c>
      <c r="P54" s="1" t="s">
        <v>179</v>
      </c>
      <c r="Q54" s="102" t="s">
        <v>181</v>
      </c>
      <c r="AE54" s="32" t="s">
        <v>256</v>
      </c>
    </row>
    <row r="55" spans="2:31" ht="15.75" customHeight="1" thickBot="1" x14ac:dyDescent="0.25">
      <c r="B55" s="1" t="s">
        <v>293</v>
      </c>
      <c r="C55" s="1" t="s">
        <v>56</v>
      </c>
      <c r="D55" s="1" t="s">
        <v>53</v>
      </c>
      <c r="E55" s="91">
        <f t="shared" si="4"/>
        <v>1173.7142857142858</v>
      </c>
      <c r="F55" s="85"/>
      <c r="H55" s="85" t="s">
        <v>176</v>
      </c>
      <c r="I55" s="1" t="s">
        <v>177</v>
      </c>
      <c r="J55" s="1" t="s">
        <v>178</v>
      </c>
      <c r="K55" s="1" t="s">
        <v>56</v>
      </c>
      <c r="L55" s="80">
        <f>(320.5*$I$69^0.5)*($I$70*1000)/($I$69*1000)</f>
        <v>152.02649851259486</v>
      </c>
      <c r="M55" s="80">
        <f>(871.4*$I$69^0.33)*($I$70*1000)/($I$69*1000)</f>
        <v>279.45302471883679</v>
      </c>
      <c r="N55" s="104">
        <f>ROUND(AVERAGE(L55:M55),2)</f>
        <v>215.74</v>
      </c>
      <c r="O55" s="83" t="s">
        <v>52</v>
      </c>
      <c r="P55" s="1" t="s">
        <v>179</v>
      </c>
      <c r="Q55" s="102" t="s">
        <v>183</v>
      </c>
    </row>
    <row r="56" spans="2:31" ht="15.75" customHeight="1" thickBot="1" x14ac:dyDescent="0.25">
      <c r="B56" s="1" t="s">
        <v>294</v>
      </c>
      <c r="C56" s="1" t="s">
        <v>54</v>
      </c>
      <c r="D56" s="1" t="s">
        <v>53</v>
      </c>
      <c r="E56" s="91">
        <f t="shared" si="4"/>
        <v>4143.5650000000005</v>
      </c>
      <c r="F56" s="85"/>
      <c r="H56" s="85" t="s">
        <v>176</v>
      </c>
      <c r="I56" s="1" t="s">
        <v>184</v>
      </c>
      <c r="J56" s="1" t="s">
        <v>185</v>
      </c>
      <c r="K56" s="1" t="s">
        <v>54</v>
      </c>
      <c r="L56" s="80">
        <f>776.1*$I$72^0.42</f>
        <v>1757.3524056860317</v>
      </c>
      <c r="M56" s="80">
        <f>1114.4*I72^0.38</f>
        <v>2334.4165774225071</v>
      </c>
      <c r="N56" s="104">
        <f>ROUND(AVERAGE(L56:M56),2)</f>
        <v>2045.88</v>
      </c>
      <c r="O56" s="83" t="s">
        <v>58</v>
      </c>
      <c r="P56" s="1" t="s">
        <v>179</v>
      </c>
      <c r="Q56" s="101" t="s">
        <v>186</v>
      </c>
    </row>
    <row r="57" spans="2:31" ht="15.75" customHeight="1" thickBot="1" x14ac:dyDescent="0.25">
      <c r="B57" s="1" t="s">
        <v>295</v>
      </c>
      <c r="C57" s="1" t="s">
        <v>55</v>
      </c>
      <c r="D57" s="1" t="s">
        <v>53</v>
      </c>
      <c r="E57" s="91">
        <f t="shared" si="4"/>
        <v>2054</v>
      </c>
      <c r="F57" s="85"/>
      <c r="H57" s="85" t="s">
        <v>176</v>
      </c>
      <c r="I57" s="1" t="s">
        <v>184</v>
      </c>
      <c r="J57" s="1" t="s">
        <v>185</v>
      </c>
      <c r="K57" s="1" t="s">
        <v>55</v>
      </c>
      <c r="L57" s="80">
        <f>680.3*$I$72^0.41</f>
        <v>1510.743266937679</v>
      </c>
      <c r="M57" s="80">
        <f>1075.5*$I$72^0.35</f>
        <v>2125.1751486948192</v>
      </c>
      <c r="N57" s="104">
        <f>ROUND(AVERAGE(L57:M57),2)</f>
        <v>1817.96</v>
      </c>
      <c r="O57" s="83" t="s">
        <v>58</v>
      </c>
      <c r="P57" s="1" t="s">
        <v>179</v>
      </c>
      <c r="Q57" s="101" t="s">
        <v>187</v>
      </c>
    </row>
    <row r="58" spans="2:31" ht="17" thickBot="1" x14ac:dyDescent="0.25">
      <c r="B58" s="1" t="s">
        <v>296</v>
      </c>
      <c r="C58" s="1" t="s">
        <v>56</v>
      </c>
      <c r="D58" s="1" t="s">
        <v>53</v>
      </c>
      <c r="E58" s="91">
        <f t="shared" si="4"/>
        <v>2054</v>
      </c>
      <c r="F58" s="85"/>
      <c r="H58" s="85" t="s">
        <v>176</v>
      </c>
      <c r="I58" s="1" t="s">
        <v>184</v>
      </c>
      <c r="J58" s="1" t="s">
        <v>185</v>
      </c>
      <c r="K58" s="1" t="s">
        <v>56</v>
      </c>
      <c r="L58" s="80">
        <f>407.8*$I$72^0.48</f>
        <v>1037.753676499224</v>
      </c>
      <c r="M58" s="80">
        <f>890.4*$I$72^0.36</f>
        <v>1793.9917673573862</v>
      </c>
      <c r="N58" s="104">
        <f>ROUND(AVERAGE(L58:M58),2)</f>
        <v>1415.87</v>
      </c>
      <c r="O58" s="83" t="s">
        <v>58</v>
      </c>
      <c r="P58" s="1" t="s">
        <v>179</v>
      </c>
      <c r="Q58" s="101" t="s">
        <v>188</v>
      </c>
    </row>
    <row r="59" spans="2:31" ht="17" thickBot="1" x14ac:dyDescent="0.25">
      <c r="F59" s="85"/>
      <c r="H59" s="85" t="s">
        <v>176</v>
      </c>
      <c r="I59" s="1" t="s">
        <v>189</v>
      </c>
      <c r="J59" s="1" t="s">
        <v>190</v>
      </c>
      <c r="K59" s="1" t="s">
        <v>40</v>
      </c>
      <c r="L59" s="80">
        <v>125</v>
      </c>
      <c r="M59" s="80">
        <v>140</v>
      </c>
      <c r="N59" s="104">
        <f>AVERAGE(L59:M59)</f>
        <v>132.5</v>
      </c>
      <c r="O59" s="35" t="s">
        <v>52</v>
      </c>
      <c r="P59" s="1" t="s">
        <v>191</v>
      </c>
      <c r="Q59" s="101"/>
    </row>
    <row r="60" spans="2:31" ht="17" thickBot="1" x14ac:dyDescent="0.25">
      <c r="B60" s="1" t="s">
        <v>316</v>
      </c>
      <c r="C60" s="1" t="s">
        <v>54</v>
      </c>
      <c r="D60" s="1" t="s">
        <v>53</v>
      </c>
      <c r="E60" s="91">
        <f>N45</f>
        <v>25386.201253954958</v>
      </c>
      <c r="F60" s="85"/>
      <c r="H60" s="85" t="s">
        <v>176</v>
      </c>
      <c r="I60" s="1" t="s">
        <v>192</v>
      </c>
      <c r="J60" s="1" t="s">
        <v>193</v>
      </c>
      <c r="K60" s="1" t="s">
        <v>54</v>
      </c>
      <c r="N60" s="80">
        <v>100</v>
      </c>
      <c r="O60" s="35" t="s">
        <v>52</v>
      </c>
      <c r="P60" s="1" t="s">
        <v>194</v>
      </c>
      <c r="Q60" s="101" t="s">
        <v>195</v>
      </c>
    </row>
    <row r="61" spans="2:31" ht="17" thickBot="1" x14ac:dyDescent="0.25">
      <c r="B61" s="1" t="s">
        <v>317</v>
      </c>
      <c r="C61" s="1" t="s">
        <v>55</v>
      </c>
      <c r="D61" s="1" t="s">
        <v>53</v>
      </c>
      <c r="E61" s="91">
        <f>N46</f>
        <v>16705.713753954959</v>
      </c>
      <c r="F61" s="85"/>
      <c r="H61" s="85" t="s">
        <v>176</v>
      </c>
      <c r="I61" s="1" t="s">
        <v>192</v>
      </c>
      <c r="J61" s="1" t="s">
        <v>193</v>
      </c>
      <c r="K61" s="1" t="s">
        <v>55</v>
      </c>
      <c r="N61" s="80">
        <v>50</v>
      </c>
      <c r="O61" s="35" t="s">
        <v>52</v>
      </c>
      <c r="P61" s="1" t="s">
        <v>194</v>
      </c>
      <c r="Q61" s="101" t="s">
        <v>196</v>
      </c>
    </row>
    <row r="62" spans="2:31" ht="17" thickBot="1" x14ac:dyDescent="0.25">
      <c r="B62" s="1" t="s">
        <v>318</v>
      </c>
      <c r="C62" s="1" t="s">
        <v>56</v>
      </c>
      <c r="D62" s="1" t="s">
        <v>53</v>
      </c>
      <c r="E62" s="91">
        <f>N47</f>
        <v>16705.713753954959</v>
      </c>
      <c r="F62" s="85"/>
      <c r="H62" s="85" t="s">
        <v>176</v>
      </c>
      <c r="I62" s="1" t="s">
        <v>192</v>
      </c>
      <c r="J62" s="1" t="s">
        <v>193</v>
      </c>
      <c r="K62" s="1" t="s">
        <v>56</v>
      </c>
      <c r="N62" s="80">
        <v>50</v>
      </c>
      <c r="O62" s="35" t="s">
        <v>52</v>
      </c>
      <c r="P62" s="1" t="s">
        <v>194</v>
      </c>
      <c r="Q62" s="101" t="s">
        <v>196</v>
      </c>
    </row>
    <row r="63" spans="2:31" ht="17" x14ac:dyDescent="0.2">
      <c r="H63" s="88" t="s">
        <v>197</v>
      </c>
      <c r="I63" s="1" t="s">
        <v>198</v>
      </c>
      <c r="J63" s="86" t="s">
        <v>199</v>
      </c>
      <c r="K63" s="1" t="s">
        <v>40</v>
      </c>
      <c r="N63" s="36">
        <v>1.8</v>
      </c>
      <c r="O63" s="1" t="s">
        <v>200</v>
      </c>
      <c r="P63" s="1" t="s">
        <v>201</v>
      </c>
      <c r="Q63" s="101" t="s">
        <v>202</v>
      </c>
    </row>
    <row r="64" spans="2:31" ht="17" x14ac:dyDescent="0.2">
      <c r="H64" s="85" t="s">
        <v>197</v>
      </c>
      <c r="I64" s="1" t="s">
        <v>203</v>
      </c>
      <c r="J64" s="86" t="s">
        <v>204</v>
      </c>
      <c r="K64" s="1" t="s">
        <v>40</v>
      </c>
      <c r="N64" s="36">
        <v>2.5</v>
      </c>
      <c r="O64" s="1" t="s">
        <v>200</v>
      </c>
      <c r="P64" s="1" t="s">
        <v>201</v>
      </c>
      <c r="Q64" s="101" t="s">
        <v>205</v>
      </c>
    </row>
    <row r="65" spans="8:49" ht="16" x14ac:dyDescent="0.2">
      <c r="AW65" s="32" t="s">
        <v>206</v>
      </c>
    </row>
    <row r="66" spans="8:49" ht="16" x14ac:dyDescent="0.2">
      <c r="AW66" s="32" t="s">
        <v>208</v>
      </c>
    </row>
    <row r="67" spans="8:49" ht="16" x14ac:dyDescent="0.2">
      <c r="H67" s="32" t="s">
        <v>207</v>
      </c>
      <c r="AE67" s="32" t="s">
        <v>210</v>
      </c>
    </row>
    <row r="68" spans="8:49" ht="16" x14ac:dyDescent="0.2">
      <c r="H68" s="32" t="s">
        <v>209</v>
      </c>
      <c r="I68" s="87" t="s">
        <v>34</v>
      </c>
      <c r="J68" s="32" t="s">
        <v>33</v>
      </c>
      <c r="K68" s="32" t="s">
        <v>84</v>
      </c>
      <c r="M68" s="32" t="s">
        <v>36</v>
      </c>
      <c r="AE68" s="32" t="s">
        <v>256</v>
      </c>
    </row>
    <row r="69" spans="8:49" ht="16" x14ac:dyDescent="0.2">
      <c r="H69" s="1" t="s">
        <v>211</v>
      </c>
      <c r="I69" s="36">
        <v>10</v>
      </c>
      <c r="J69" s="1" t="s">
        <v>212</v>
      </c>
      <c r="K69" s="1" t="s">
        <v>213</v>
      </c>
      <c r="M69" s="84" t="s">
        <v>214</v>
      </c>
    </row>
    <row r="70" spans="8:49" ht="16" x14ac:dyDescent="0.2">
      <c r="H70" s="1" t="s">
        <v>215</v>
      </c>
      <c r="I70" s="36">
        <v>1.5</v>
      </c>
      <c r="J70" s="1" t="s">
        <v>216</v>
      </c>
      <c r="K70" s="1" t="s">
        <v>213</v>
      </c>
    </row>
    <row r="71" spans="8:49" ht="68" x14ac:dyDescent="0.2">
      <c r="H71" s="1" t="s">
        <v>217</v>
      </c>
      <c r="I71" s="1" t="s">
        <v>218</v>
      </c>
      <c r="J71" s="1" t="s">
        <v>219</v>
      </c>
      <c r="K71" s="86" t="s">
        <v>220</v>
      </c>
      <c r="M71" s="1" t="s">
        <v>221</v>
      </c>
    </row>
    <row r="72" spans="8:49" ht="16" x14ac:dyDescent="0.2">
      <c r="H72" s="1" t="s">
        <v>222</v>
      </c>
      <c r="I72" s="1">
        <v>7</v>
      </c>
      <c r="J72" s="1" t="s">
        <v>212</v>
      </c>
      <c r="K72" s="1" t="s">
        <v>213</v>
      </c>
      <c r="M72" s="84" t="s">
        <v>223</v>
      </c>
    </row>
    <row r="73" spans="8:49" ht="16" x14ac:dyDescent="0.2"/>
    <row r="74" spans="8:49" ht="16" x14ac:dyDescent="0.2">
      <c r="H74" s="1" t="s">
        <v>224</v>
      </c>
      <c r="I74" s="1">
        <f>N28+N30+N29*N13</f>
        <v>12.955</v>
      </c>
      <c r="J74" s="1" t="s">
        <v>145</v>
      </c>
      <c r="K74" s="1" t="s">
        <v>225</v>
      </c>
    </row>
    <row r="75" spans="8:49" ht="16" x14ac:dyDescent="0.2">
      <c r="H75" s="1" t="s">
        <v>226</v>
      </c>
      <c r="I75" s="1">
        <f>N31+N33+N32*N14</f>
        <v>6.995000000000001</v>
      </c>
      <c r="J75" s="1" t="s">
        <v>145</v>
      </c>
      <c r="K75" s="1" t="s">
        <v>225</v>
      </c>
    </row>
    <row r="76" spans="8:49" ht="16" x14ac:dyDescent="0.2"/>
    <row r="77" spans="8:49" ht="16" x14ac:dyDescent="0.2">
      <c r="H77" s="1" t="s">
        <v>227</v>
      </c>
      <c r="I77" s="1">
        <f>AVERAGE(0.06,0.13)</f>
        <v>9.5000000000000001E-2</v>
      </c>
    </row>
    <row r="78" spans="8:49" ht="16" x14ac:dyDescent="0.2">
      <c r="H78" s="1" t="s">
        <v>228</v>
      </c>
      <c r="I78" s="1">
        <f>AVERAGE(0.03,0.08)</f>
        <v>5.5E-2</v>
      </c>
    </row>
    <row r="79" spans="8:49" ht="16" x14ac:dyDescent="0.2">
      <c r="H79" s="1" t="s">
        <v>229</v>
      </c>
      <c r="I79" s="90">
        <f>AVERAGE(0.08,0.14)</f>
        <v>0.11000000000000001</v>
      </c>
    </row>
    <row r="80" spans="8:49" ht="16" x14ac:dyDescent="0.2">
      <c r="H80" s="1" t="s">
        <v>230</v>
      </c>
      <c r="I80" s="90">
        <f>AVERAGE(0.06,0.09)</f>
        <v>7.4999999999999997E-2</v>
      </c>
    </row>
    <row r="81" spans="7:31" ht="16" x14ac:dyDescent="0.2">
      <c r="H81" s="1" t="s">
        <v>231</v>
      </c>
      <c r="I81" s="90">
        <f>AVERAGE(0.03,0.07)</f>
        <v>0.05</v>
      </c>
    </row>
    <row r="82" spans="7:31" ht="16" x14ac:dyDescent="0.2">
      <c r="H82" s="1" t="s">
        <v>232</v>
      </c>
      <c r="I82" s="90">
        <f>AVERAGE(0.03,0.05)</f>
        <v>0.04</v>
      </c>
      <c r="AE82" s="32" t="s">
        <v>234</v>
      </c>
    </row>
    <row r="83" spans="7:31" ht="16" x14ac:dyDescent="0.2">
      <c r="G83" s="82"/>
      <c r="H83" s="1" t="s">
        <v>233</v>
      </c>
      <c r="I83" s="90">
        <f>AVERAGE(0.08,0.16)</f>
        <v>0.12</v>
      </c>
      <c r="AE83" s="32" t="s">
        <v>256</v>
      </c>
    </row>
    <row r="84" spans="7:31" ht="16" x14ac:dyDescent="0.2">
      <c r="G84" s="81"/>
      <c r="H84" s="1" t="s">
        <v>235</v>
      </c>
      <c r="I84" s="90">
        <f>AVERAGE(0.06,0.1)</f>
        <v>0.08</v>
      </c>
    </row>
    <row r="85" spans="7:31" ht="16" x14ac:dyDescent="0.2">
      <c r="G85" s="81"/>
      <c r="H85" s="1" t="s">
        <v>236</v>
      </c>
      <c r="I85" s="90">
        <f>AVERAGE(0.01,0.03)</f>
        <v>0.02</v>
      </c>
    </row>
    <row r="86" spans="7:31" ht="15.75" customHeight="1" x14ac:dyDescent="0.2">
      <c r="H86" s="1" t="s">
        <v>237</v>
      </c>
      <c r="I86" s="1">
        <f>AVERAGE(0.09,0.14)</f>
        <v>0.115</v>
      </c>
    </row>
    <row r="87" spans="7:31" ht="15.75" customHeight="1" x14ac:dyDescent="0.2">
      <c r="H87" s="32" t="s">
        <v>238</v>
      </c>
      <c r="I87" s="32">
        <f>AVERAGE(I77:I86)</f>
        <v>7.5999999999999984E-2</v>
      </c>
    </row>
    <row r="116" spans="31:31" ht="15.75" customHeight="1" x14ac:dyDescent="0.2">
      <c r="AE116" s="32" t="s">
        <v>239</v>
      </c>
    </row>
    <row r="117" spans="31:31" ht="15.75" customHeight="1" x14ac:dyDescent="0.2">
      <c r="AE117" s="32" t="s">
        <v>256</v>
      </c>
    </row>
    <row r="137" spans="31:31" ht="15.75" customHeight="1" x14ac:dyDescent="0.2">
      <c r="AE137" s="32" t="s">
        <v>240</v>
      </c>
    </row>
    <row r="138" spans="31:31" ht="15.75" customHeight="1" x14ac:dyDescent="0.2">
      <c r="AE138" s="32" t="s">
        <v>256</v>
      </c>
    </row>
    <row r="147" spans="2:31" ht="15.75" customHeight="1" x14ac:dyDescent="0.2">
      <c r="B147" s="32"/>
    </row>
    <row r="149" spans="2:31" ht="15.75" customHeight="1" x14ac:dyDescent="0.2">
      <c r="AE149" s="32"/>
    </row>
    <row r="150" spans="2:31" ht="15.75" customHeight="1" x14ac:dyDescent="0.2">
      <c r="AE150" s="32"/>
    </row>
    <row r="158" spans="2:31" ht="15.75" customHeight="1" x14ac:dyDescent="0.2">
      <c r="AE158" s="32" t="s">
        <v>241</v>
      </c>
    </row>
    <row r="159" spans="2:31" ht="15.75" customHeight="1" x14ac:dyDescent="0.2">
      <c r="AE159" s="32" t="s">
        <v>256</v>
      </c>
    </row>
    <row r="181" spans="31:31" ht="15.75" customHeight="1" x14ac:dyDescent="0.2">
      <c r="AE181" s="32" t="s">
        <v>242</v>
      </c>
    </row>
    <row r="182" spans="31:31" ht="15.75" customHeight="1" x14ac:dyDescent="0.2">
      <c r="AE182" s="32" t="s">
        <v>256</v>
      </c>
    </row>
    <row r="212" spans="31:31" ht="15.75" customHeight="1" x14ac:dyDescent="0.2">
      <c r="AE212" s="32" t="s">
        <v>243</v>
      </c>
    </row>
    <row r="213" spans="31:31" ht="15.75" customHeight="1" x14ac:dyDescent="0.2">
      <c r="AE213" s="32" t="s">
        <v>255</v>
      </c>
    </row>
    <row r="214" spans="31:31" ht="15.75" customHeight="1" x14ac:dyDescent="0.2">
      <c r="AE214" s="32" t="s">
        <v>244</v>
      </c>
    </row>
    <row r="244" spans="31:31" ht="15.75" customHeight="1" x14ac:dyDescent="0.2">
      <c r="AE244" s="32" t="s">
        <v>245</v>
      </c>
    </row>
    <row r="245" spans="31:31" ht="15.75" customHeight="1" x14ac:dyDescent="0.2">
      <c r="AE245" s="32" t="s">
        <v>256</v>
      </c>
    </row>
    <row r="256" spans="31:31" ht="15.75" customHeight="1" x14ac:dyDescent="0.2">
      <c r="AE256" s="32" t="s">
        <v>246</v>
      </c>
    </row>
    <row r="257" spans="31:31" ht="15.75" customHeight="1" x14ac:dyDescent="0.2">
      <c r="AE257" s="32" t="s">
        <v>256</v>
      </c>
    </row>
    <row r="266" spans="31:31" ht="15.75" customHeight="1" x14ac:dyDescent="0.2">
      <c r="AE266" s="32" t="s">
        <v>247</v>
      </c>
    </row>
    <row r="267" spans="31:31" ht="15.75" customHeight="1" x14ac:dyDescent="0.2">
      <c r="AE267" s="32" t="s">
        <v>256</v>
      </c>
    </row>
    <row r="286" spans="31:31" ht="15.75" customHeight="1" x14ac:dyDescent="0.2">
      <c r="AE286" s="1" t="s">
        <v>248</v>
      </c>
    </row>
    <row r="287" spans="31:31" ht="15.75" customHeight="1" x14ac:dyDescent="0.2">
      <c r="AE287" s="1" t="s">
        <v>249</v>
      </c>
    </row>
    <row r="301" spans="31:31" ht="15.75" customHeight="1" x14ac:dyDescent="0.2">
      <c r="AE301" s="1" t="s">
        <v>250</v>
      </c>
    </row>
    <row r="302" spans="31:31" ht="15.75" customHeight="1" x14ac:dyDescent="0.2">
      <c r="AE302" s="1" t="s">
        <v>251</v>
      </c>
    </row>
    <row r="327" spans="31:31" ht="15.75" customHeight="1" x14ac:dyDescent="0.2">
      <c r="AE327" s="1" t="s">
        <v>252</v>
      </c>
    </row>
    <row r="328" spans="31:31" ht="15.75" customHeight="1" x14ac:dyDescent="0.2">
      <c r="AE328" s="1" t="s">
        <v>253</v>
      </c>
    </row>
    <row r="340" spans="31:31" ht="15.75" customHeight="1" x14ac:dyDescent="0.2">
      <c r="AE340" s="1" t="s">
        <v>254</v>
      </c>
    </row>
    <row r="341" spans="31:31" ht="15.75" customHeight="1" x14ac:dyDescent="0.2">
      <c r="AE341" s="1" t="s">
        <v>253</v>
      </c>
    </row>
    <row r="359" spans="31:31" ht="15.75" customHeight="1" x14ac:dyDescent="0.2">
      <c r="AE359" s="32" t="s">
        <v>279</v>
      </c>
    </row>
    <row r="360" spans="31:31" ht="15.75" customHeight="1" x14ac:dyDescent="0.2">
      <c r="AE360" s="32" t="s">
        <v>280</v>
      </c>
    </row>
  </sheetData>
  <phoneticPr fontId="17" type="noConversion"/>
  <hyperlinks>
    <hyperlink ref="M69" r:id="rId1" location="primary-pipelines" xr:uid="{F18BE3B5-C589-4D08-949B-1A7D85DA0839}"/>
    <hyperlink ref="M72" r:id="rId2" location="secondary-distribution-pipelines" xr:uid="{E9263C66-5DE7-204A-BB98-1B6C43D83D25}"/>
  </hyperlinks>
  <pageMargins left="0.7" right="0.7" top="0.75" bottom="0.75" header="0.3" footer="0.3"/>
  <pageSetup paperSize="9" orientation="portrait" horizontalDpi="0" verticalDpi="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ea8976e-b461-4dc7-a1f6-93425136281f">
      <UserInfo>
        <DisplayName>dorine.vandervlies</DisplayName>
        <AccountId>23</AccountId>
        <AccountType/>
      </UserInfo>
      <UserInfo>
        <DisplayName>Koen van Bemmelen</DisplayName>
        <AccountId>43</AccountId>
        <AccountType/>
      </UserInfo>
    </SharedWithUsers>
    <lcf76f155ced4ddcb4097134ff3c332f xmlns="26ea20d7-b07c-4b8c-910d-061b36a62ee7">
      <Terms xmlns="http://schemas.microsoft.com/office/infopath/2007/PartnerControls"/>
    </lcf76f155ced4ddcb4097134ff3c332f>
    <TaxCatchAll xmlns="8ea8976e-b461-4dc7-a1f6-93425136281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76FF306601E54A9190474F965DF301" ma:contentTypeVersion="13" ma:contentTypeDescription="Een nieuw document maken." ma:contentTypeScope="" ma:versionID="bda8d4a885eca293e7ca224b8bffdc5f">
  <xsd:schema xmlns:xsd="http://www.w3.org/2001/XMLSchema" xmlns:xs="http://www.w3.org/2001/XMLSchema" xmlns:p="http://schemas.microsoft.com/office/2006/metadata/properties" xmlns:ns2="26ea20d7-b07c-4b8c-910d-061b36a62ee7" xmlns:ns3="8ea8976e-b461-4dc7-a1f6-93425136281f" targetNamespace="http://schemas.microsoft.com/office/2006/metadata/properties" ma:root="true" ma:fieldsID="17f7ab0dec35c99b796dfb93cbcaf53c" ns2:_="" ns3:_="">
    <xsd:import namespace="26ea20d7-b07c-4b8c-910d-061b36a62ee7"/>
    <xsd:import namespace="8ea8976e-b461-4dc7-a1f6-93425136281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Locatio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ea20d7-b07c-4b8c-910d-061b36a62e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Afbeeldingtags" ma:readOnly="false" ma:fieldId="{5cf76f15-5ced-4ddc-b409-7134ff3c332f}" ma:taxonomyMulti="true" ma:sspId="11aa8d75-97ee-4a6e-a682-6298985b5c9e" ma:termSetId="09814cd3-568e-fe90-9814-8d621ff8fb84" ma:anchorId="fba54fb3-c3e1-fe81-a776-ca4b69148c4d" ma:open="true" ma:isKeyword="false">
      <xsd:complexType>
        <xsd:sequence>
          <xsd:element ref="pc:Terms" minOccurs="0" maxOccurs="1"/>
        </xsd:sequence>
      </xsd:complex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a8976e-b461-4dc7-a1f6-93425136281f" elementFormDefault="qualified">
    <xsd:import namespace="http://schemas.microsoft.com/office/2006/documentManagement/types"/>
    <xsd:import namespace="http://schemas.microsoft.com/office/infopath/2007/PartnerControls"/>
    <xsd:element name="SharedWithUsers" ma:index="11"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Gedeeld met details" ma:internalName="SharedWithDetails" ma:readOnly="true">
      <xsd:simpleType>
        <xsd:restriction base="dms:Note">
          <xsd:maxLength value="255"/>
        </xsd:restriction>
      </xsd:simpleType>
    </xsd:element>
    <xsd:element name="TaxCatchAll" ma:index="16" nillable="true" ma:displayName="Taxonomy Catch All Column" ma:hidden="true" ma:list="{63fa1f66-9166-4d51-a9dc-77dbf5e90cce}" ma:internalName="TaxCatchAll" ma:showField="CatchAllData" ma:web="8ea8976e-b461-4dc7-a1f6-9342513628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6EB489-9EB7-4994-B41B-2A74B8C9435B}">
  <ds:schemaRefs>
    <ds:schemaRef ds:uri="http://purl.org/dc/dcmitype/"/>
    <ds:schemaRef ds:uri="http://purl.org/dc/terms/"/>
    <ds:schemaRef ds:uri="http://schemas.microsoft.com/office/2006/documentManagement/types"/>
    <ds:schemaRef ds:uri="http://schemas.microsoft.com/office/infopath/2007/PartnerControls"/>
    <ds:schemaRef ds:uri="26ea20d7-b07c-4b8c-910d-061b36a62ee7"/>
    <ds:schemaRef ds:uri="http://purl.org/dc/elements/1.1/"/>
    <ds:schemaRef ds:uri="8ea8976e-b461-4dc7-a1f6-93425136281f"/>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5099EFF-5E1B-4E0C-B78C-47C8184F2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ea20d7-b07c-4b8c-910d-061b36a62ee7"/>
    <ds:schemaRef ds:uri="8ea8976e-b461-4dc7-a1f6-9342513628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123427-7514-489C-8DF8-047B78B72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Assumptions</vt:lpstr>
      <vt:lpstr>Dashboard</vt:lpstr>
      <vt:lpstr>Sources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Michiel den Haan</dc:creator>
  <cp:keywords/>
  <dc:description/>
  <cp:lastModifiedBy>Mathijs Bijkerk</cp:lastModifiedBy>
  <cp:revision/>
  <dcterms:created xsi:type="dcterms:W3CDTF">2021-04-28T07:58:45Z</dcterms:created>
  <dcterms:modified xsi:type="dcterms:W3CDTF">2023-10-05T10:12:24Z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0x010100FB76FF306601E54A9190474F965DF301</vt:lpwstr>
  </property>
  <property fmtid="{D5CDD505-2E9C-101B-9397-08002B2CF9AE}" pid="3" name="MediaServiceImageTags">
    <vt:lpwstr/>
  </property>
</Properties>
</file>