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tlubben/Dropbox (Quintel)/Quintel/Projects/201606_ETMoses voor Groningen/Reitdiep/Dataset Reitdiep/"/>
    </mc:Choice>
  </mc:AlternateContent>
  <bookViews>
    <workbookView xWindow="28800" yWindow="-10360" windowWidth="51200" windowHeight="28360" tabRatio="500"/>
  </bookViews>
  <sheets>
    <sheet name="Dashboard" sheetId="1" r:id="rId1"/>
    <sheet name="Analyse" sheetId="6" r:id="rId2"/>
    <sheet name=".yml" sheetId="2" r:id="rId3"/>
  </sheets>
  <externalReferences>
    <externalReference r:id="rId4"/>
  </externalReferences>
  <definedNames>
    <definedName name="Eff_cooking_biomass">[1]technical_specs!$P$51</definedName>
    <definedName name="Eff_cooking_electric">[1]technical_specs!$P$48</definedName>
    <definedName name="Eff_cooking_gas">[1]technical_specs!$P$47</definedName>
    <definedName name="Eff_cooking_halogen">[1]technical_specs!$P$49</definedName>
    <definedName name="Eff_cooking_induction">[1]technical_specs!$P$50</definedName>
    <definedName name="Eff_cooling_airco">[1]technical_specs!$P$44</definedName>
    <definedName name="Eff_cooling_pump_air">[1]technical_specs!$P$43</definedName>
    <definedName name="Eff_cooling_pump_ground">[1]technical_specs!$P$42</definedName>
    <definedName name="Eff_hot_water_coal">[1]technical_specs!$P$36</definedName>
    <definedName name="Eff_hot_water_combi_boiler">[1]technical_specs!$P$26</definedName>
    <definedName name="Eff_hot_water_district">[1]technical_specs!$P$30</definedName>
    <definedName name="Eff_hot_water_electric">[1]technical_specs!$P$33</definedName>
    <definedName name="Eff_hot_water_fuel_cell">[1]technical_specs!$P$37</definedName>
    <definedName name="Eff_hot_water_gas">[1]technical_specs!$P$34</definedName>
    <definedName name="Eff_hot_water_hhp_gas">[1]technical_specs!$P$39</definedName>
    <definedName name="Eff_hot_water_hhp_heatpump">[1]technical_specs!$P$38</definedName>
    <definedName name="Eff_hot_water_micro_CHP">[1]technical_specs!$P$29</definedName>
    <definedName name="Eff_hot_water_oil">[1]technical_specs!$P$35</definedName>
    <definedName name="Eff_hot_water_pump_air">[1]technical_specs!$P$31</definedName>
    <definedName name="Eff_hot_water_pump_ground">[1]technical_specs!$P$28</definedName>
    <definedName name="Eff_hot_water_solar_thermal_panel">[1]technical_specs!$P$27</definedName>
    <definedName name="Eff_hot_water_woodpellets">[1]technical_specs!$P$32</definedName>
    <definedName name="Eff_lighting_fluorescent">[1]technical_specs!$P$55</definedName>
    <definedName name="Eff_lighting_incandescent">[1]technical_specs!$P$54</definedName>
    <definedName name="Eff_lighting_led">[1]technical_specs!$P$56</definedName>
    <definedName name="Eff_space_heating_coal">[1]technical_specs!$P$21</definedName>
    <definedName name="Eff_space_heating_combi_boiler">[1]technical_specs!$P$11</definedName>
    <definedName name="Eff_space_heating_district">[1]technical_specs!$P$15</definedName>
    <definedName name="Eff_space_heating_electric">[1]technical_specs!$P$18</definedName>
    <definedName name="Eff_space_heating_gas">[1]technical_specs!$P$19</definedName>
    <definedName name="Eff_space_heating_hhp_gas">[1]technical_specs!$P$23</definedName>
    <definedName name="Eff_space_heating_hhp_heatpump">[1]technical_specs!$P$22</definedName>
    <definedName name="Eff_space_heating_micro_CHP">[1]technical_specs!$P$14</definedName>
    <definedName name="Eff_space_heating_oil">[1]technical_specs!$P$20</definedName>
    <definedName name="Eff_space_heating_pump_air">[1]technical_specs!$P$16</definedName>
    <definedName name="Eff_space_heating_pump_ground">[1]technical_specs!$P$13</definedName>
    <definedName name="Eff_space_heating_solar_thermal">[1]technical_specs!$P$12</definedName>
    <definedName name="Eff_space_heating_woodpellets">[1]technical_specs!$P$17</definedName>
    <definedName name="Final_demand_appliances">[1]Dashboard!$E$25</definedName>
    <definedName name="Final_demand_coal">'[1]Fuel aggregation'!$C$11</definedName>
    <definedName name="Final_demand_cooking">[1]Dashboard!$E$24</definedName>
    <definedName name="Final_demand_cooling">[1]Dashboard!$E$22</definedName>
    <definedName name="Final_demand_electricity">'[1]Fuel aggregation'!$I$11</definedName>
    <definedName name="Final_demand_gas">'[1]Fuel aggregation'!$D$11</definedName>
    <definedName name="Final_demand_heat">'[1]Fuel aggregation'!$J$11</definedName>
    <definedName name="Final_demand_hot_water">[1]Dashboard!$E$21</definedName>
    <definedName name="Final_demand_lighting">[1]Dashboard!$E$23</definedName>
    <definedName name="Final_demand_oil">'[1]Fuel aggregation'!$E$11</definedName>
    <definedName name="Final_demand_residences">'[1]Fuel aggregation'!$L$11</definedName>
    <definedName name="Final_demand_solar_thermal">'[1]Fuel aggregation'!$G$11</definedName>
    <definedName name="Final_demand_space_heating">[1]Dashboard!$E$20</definedName>
    <definedName name="Final_demand_woodpellets">'[1]Fuel aggregation'!$F$11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2" i="1" l="1"/>
  <c r="E90" i="6"/>
  <c r="F22" i="1"/>
  <c r="F27" i="1"/>
  <c r="F26" i="1"/>
  <c r="F24" i="1"/>
  <c r="F23" i="1"/>
  <c r="F19" i="1"/>
  <c r="D11" i="6"/>
  <c r="D35" i="6"/>
  <c r="D44" i="6"/>
  <c r="D37" i="6"/>
  <c r="L37" i="6"/>
  <c r="L44" i="6"/>
  <c r="D47" i="6"/>
  <c r="L47" i="6"/>
  <c r="E11" i="6"/>
  <c r="E35" i="6"/>
  <c r="D48" i="6"/>
  <c r="E48" i="6"/>
  <c r="E38" i="6"/>
  <c r="L38" i="6"/>
  <c r="D39" i="6"/>
  <c r="L39" i="6"/>
  <c r="I11" i="6"/>
  <c r="I35" i="6"/>
  <c r="I40" i="6"/>
  <c r="L40" i="6"/>
  <c r="E41" i="6"/>
  <c r="L41" i="6"/>
  <c r="H11" i="6"/>
  <c r="H35" i="6"/>
  <c r="H42" i="6"/>
  <c r="L42" i="6"/>
  <c r="E43" i="6"/>
  <c r="L43" i="6"/>
  <c r="G11" i="6"/>
  <c r="G35" i="6"/>
  <c r="G45" i="6"/>
  <c r="L45" i="6"/>
  <c r="F11" i="6"/>
  <c r="F35" i="6"/>
  <c r="F46" i="6"/>
  <c r="L46" i="6"/>
  <c r="L48" i="6"/>
  <c r="M47" i="6"/>
  <c r="B33" i="2"/>
  <c r="M48" i="6"/>
  <c r="B36" i="2"/>
  <c r="F174" i="1"/>
  <c r="F115" i="1"/>
  <c r="F116" i="1"/>
  <c r="F92" i="1"/>
  <c r="F94" i="1"/>
  <c r="F88" i="1"/>
  <c r="F89" i="1"/>
  <c r="F90" i="1"/>
  <c r="F87" i="1"/>
  <c r="F109" i="1"/>
  <c r="F110" i="1"/>
  <c r="F111" i="1"/>
  <c r="F112" i="1"/>
  <c r="F108" i="1"/>
  <c r="F185" i="1"/>
  <c r="E170" i="1"/>
  <c r="F170" i="1"/>
  <c r="F186" i="1"/>
  <c r="B17" i="2"/>
  <c r="D17" i="2"/>
  <c r="F71" i="1"/>
  <c r="G17" i="6"/>
  <c r="G29" i="6"/>
  <c r="F76" i="1"/>
  <c r="F17" i="6"/>
  <c r="F30" i="6"/>
  <c r="D17" i="6"/>
  <c r="D31" i="6"/>
  <c r="E169" i="1"/>
  <c r="E31" i="6"/>
  <c r="E17" i="6"/>
  <c r="E22" i="6"/>
  <c r="E25" i="6"/>
  <c r="E27" i="6"/>
  <c r="D20" i="6"/>
  <c r="D23" i="6"/>
  <c r="D28" i="6"/>
  <c r="F52" i="1"/>
  <c r="I17" i="6"/>
  <c r="I24" i="6"/>
  <c r="F57" i="1"/>
  <c r="H17" i="6"/>
  <c r="H26" i="6"/>
  <c r="N20" i="6"/>
  <c r="L29" i="6"/>
  <c r="L30" i="6"/>
  <c r="L22" i="6"/>
  <c r="L25" i="6"/>
  <c r="L27" i="6"/>
  <c r="L20" i="6"/>
  <c r="L23" i="6"/>
  <c r="L28" i="6"/>
  <c r="L31" i="6"/>
  <c r="L24" i="6"/>
  <c r="L26" i="6"/>
  <c r="M20" i="6"/>
  <c r="F167" i="1"/>
  <c r="L17" i="6"/>
  <c r="J20" i="6"/>
  <c r="B52" i="2"/>
  <c r="L90" i="6"/>
  <c r="F59" i="1"/>
  <c r="H60" i="6"/>
  <c r="H66" i="6"/>
  <c r="F58" i="1"/>
  <c r="F72" i="1"/>
  <c r="F77" i="1"/>
  <c r="D52" i="2"/>
  <c r="E70" i="6"/>
  <c r="F146" i="1"/>
  <c r="F147" i="1"/>
  <c r="F148" i="1"/>
  <c r="E72" i="6"/>
  <c r="L72" i="6"/>
  <c r="E73" i="6"/>
  <c r="L73" i="6"/>
  <c r="E74" i="6"/>
  <c r="L74" i="6"/>
  <c r="M72" i="6"/>
  <c r="B50" i="2"/>
  <c r="D50" i="2"/>
  <c r="M74" i="6"/>
  <c r="B51" i="2"/>
  <c r="D51" i="2"/>
  <c r="M73" i="6"/>
  <c r="B49" i="2"/>
  <c r="D49" i="2"/>
  <c r="F53" i="1"/>
  <c r="M42" i="6"/>
  <c r="B48" i="2"/>
  <c r="D48" i="2"/>
  <c r="M37" i="6"/>
  <c r="B30" i="2"/>
  <c r="D30" i="2"/>
  <c r="M45" i="6"/>
  <c r="B31" i="2"/>
  <c r="D31" i="2"/>
  <c r="M40" i="6"/>
  <c r="B32" i="2"/>
  <c r="D32" i="2"/>
  <c r="D33" i="2"/>
  <c r="M41" i="6"/>
  <c r="B34" i="2"/>
  <c r="D34" i="2"/>
  <c r="M38" i="6"/>
  <c r="B35" i="2"/>
  <c r="D35" i="2"/>
  <c r="D36" i="2"/>
  <c r="M39" i="6"/>
  <c r="B37" i="2"/>
  <c r="D37" i="2"/>
  <c r="M44" i="6"/>
  <c r="B38" i="2"/>
  <c r="D38" i="2"/>
  <c r="M43" i="6"/>
  <c r="B39" i="2"/>
  <c r="D39" i="2"/>
  <c r="B41" i="2"/>
  <c r="B40" i="2"/>
  <c r="D40" i="2"/>
  <c r="D41" i="2"/>
  <c r="F168" i="1"/>
  <c r="B42" i="2"/>
  <c r="D42" i="2"/>
  <c r="B43" i="2"/>
  <c r="D43" i="2"/>
  <c r="B45" i="2"/>
  <c r="B44" i="2"/>
  <c r="D44" i="2"/>
  <c r="D45" i="2"/>
  <c r="B47" i="2"/>
  <c r="B46" i="2"/>
  <c r="D46" i="2"/>
  <c r="D47" i="2"/>
  <c r="M46" i="6"/>
  <c r="B29" i="2"/>
  <c r="D29" i="2"/>
  <c r="B19" i="2"/>
  <c r="D19" i="2"/>
  <c r="M29" i="6"/>
  <c r="B20" i="2"/>
  <c r="D20" i="2"/>
  <c r="M24" i="6"/>
  <c r="B21" i="2"/>
  <c r="D21" i="2"/>
  <c r="M27" i="6"/>
  <c r="B22" i="2"/>
  <c r="D22" i="2"/>
  <c r="M25" i="6"/>
  <c r="B23" i="2"/>
  <c r="D23" i="2"/>
  <c r="M22" i="6"/>
  <c r="B24" i="2"/>
  <c r="D24" i="2"/>
  <c r="M31" i="6"/>
  <c r="B25" i="2"/>
  <c r="D25" i="2"/>
  <c r="M23" i="6"/>
  <c r="B26" i="2"/>
  <c r="D26" i="2"/>
  <c r="M28" i="6"/>
  <c r="B27" i="2"/>
  <c r="D27" i="2"/>
  <c r="M26" i="6"/>
  <c r="B28" i="2"/>
  <c r="D28" i="2"/>
  <c r="M30" i="6"/>
  <c r="B18" i="2"/>
  <c r="D18" i="2"/>
  <c r="B14" i="2"/>
  <c r="D14" i="2"/>
  <c r="B15" i="2"/>
  <c r="D15" i="2"/>
  <c r="B16" i="2"/>
  <c r="D16" i="2"/>
  <c r="B13" i="2"/>
  <c r="D13" i="2"/>
  <c r="E78" i="6"/>
  <c r="F155" i="1"/>
  <c r="E83" i="6"/>
  <c r="L83" i="6"/>
  <c r="B57" i="2"/>
  <c r="D57" i="2"/>
  <c r="F157" i="1"/>
  <c r="E85" i="6"/>
  <c r="L85" i="6"/>
  <c r="B58" i="2"/>
  <c r="D58" i="2"/>
  <c r="F152" i="1"/>
  <c r="E80" i="6"/>
  <c r="L80" i="6"/>
  <c r="B59" i="2"/>
  <c r="D59" i="2"/>
  <c r="F153" i="1"/>
  <c r="E81" i="6"/>
  <c r="L81" i="6"/>
  <c r="B60" i="2"/>
  <c r="D60" i="2"/>
  <c r="F159" i="1"/>
  <c r="E87" i="6"/>
  <c r="L87" i="6"/>
  <c r="B61" i="2"/>
  <c r="D61" i="2"/>
  <c r="F156" i="1"/>
  <c r="E84" i="6"/>
  <c r="L84" i="6"/>
  <c r="B62" i="2"/>
  <c r="D62" i="2"/>
  <c r="F158" i="1"/>
  <c r="E86" i="6"/>
  <c r="L86" i="6"/>
  <c r="B63" i="2"/>
  <c r="D63" i="2"/>
  <c r="F154" i="1"/>
  <c r="E82" i="6"/>
  <c r="L82" i="6"/>
  <c r="B64" i="2"/>
  <c r="D64" i="2"/>
  <c r="E52" i="6"/>
  <c r="F131" i="1"/>
  <c r="E54" i="6"/>
  <c r="L54" i="6"/>
  <c r="E55" i="6"/>
  <c r="L55" i="6"/>
  <c r="E56" i="6"/>
  <c r="L56" i="6"/>
  <c r="L52" i="6"/>
  <c r="F177" i="1"/>
  <c r="F176" i="1"/>
  <c r="L15" i="6"/>
  <c r="B65" i="2"/>
  <c r="D65" i="2"/>
  <c r="L14" i="6"/>
  <c r="B66" i="2"/>
  <c r="D66" i="2"/>
  <c r="L35" i="6"/>
  <c r="B67" i="2"/>
  <c r="D67" i="2"/>
  <c r="L70" i="6"/>
  <c r="B68" i="2"/>
  <c r="D68" i="2"/>
  <c r="B69" i="2"/>
  <c r="D69" i="2"/>
  <c r="B70" i="2"/>
  <c r="D70" i="2"/>
  <c r="D60" i="6"/>
  <c r="D62" i="6"/>
  <c r="L62" i="6"/>
  <c r="E60" i="6"/>
  <c r="F138" i="1"/>
  <c r="F139" i="1"/>
  <c r="F140" i="1"/>
  <c r="E63" i="6"/>
  <c r="L63" i="6"/>
  <c r="E64" i="6"/>
  <c r="L64" i="6"/>
  <c r="E65" i="6"/>
  <c r="L65" i="6"/>
  <c r="L66" i="6"/>
  <c r="L60" i="6"/>
  <c r="B56" i="2"/>
  <c r="D56" i="2"/>
  <c r="M55" i="6"/>
  <c r="B11" i="2"/>
  <c r="D11" i="2"/>
  <c r="M54" i="6"/>
  <c r="B12" i="2"/>
  <c r="D12" i="2"/>
  <c r="M56" i="6"/>
  <c r="B10" i="2"/>
  <c r="D10" i="2"/>
  <c r="M65" i="6"/>
  <c r="B6" i="2"/>
  <c r="D6" i="2"/>
  <c r="M62" i="6"/>
  <c r="B7" i="2"/>
  <c r="D7" i="2"/>
  <c r="M63" i="6"/>
  <c r="B8" i="2"/>
  <c r="D8" i="2"/>
  <c r="M66" i="6"/>
  <c r="B9" i="2"/>
  <c r="D9" i="2"/>
  <c r="M64" i="6"/>
  <c r="B5" i="2"/>
  <c r="D5" i="2"/>
  <c r="F169" i="1"/>
  <c r="L21" i="6"/>
  <c r="N37" i="6"/>
  <c r="E94" i="6"/>
  <c r="D94" i="6"/>
  <c r="M21" i="6"/>
  <c r="N80" i="6"/>
  <c r="N82" i="6"/>
  <c r="N83" i="6"/>
  <c r="N84" i="6"/>
  <c r="N85" i="6"/>
  <c r="N86" i="6"/>
  <c r="N87" i="6"/>
  <c r="N81" i="6"/>
  <c r="N73" i="6"/>
  <c r="N74" i="6"/>
  <c r="N72" i="6"/>
  <c r="M81" i="6"/>
  <c r="M82" i="6"/>
  <c r="M83" i="6"/>
  <c r="M84" i="6"/>
  <c r="M85" i="6"/>
  <c r="M86" i="6"/>
  <c r="M87" i="6"/>
  <c r="M80" i="6"/>
  <c r="J47" i="6"/>
  <c r="N47" i="6"/>
  <c r="L78" i="6"/>
  <c r="N38" i="6"/>
  <c r="N39" i="6"/>
  <c r="N40" i="6"/>
  <c r="N41" i="6"/>
  <c r="N42" i="6"/>
  <c r="N43" i="6"/>
  <c r="N44" i="6"/>
  <c r="N45" i="6"/>
  <c r="N46" i="6"/>
  <c r="N48" i="6"/>
  <c r="N55" i="6"/>
  <c r="N56" i="6"/>
  <c r="N54" i="6"/>
  <c r="N63" i="6"/>
  <c r="N64" i="6"/>
  <c r="N65" i="6"/>
  <c r="N66" i="6"/>
  <c r="N62" i="6"/>
  <c r="I94" i="6"/>
  <c r="I95" i="6"/>
  <c r="H94" i="6"/>
  <c r="H95" i="6"/>
  <c r="G94" i="6"/>
  <c r="G95" i="6"/>
  <c r="F94" i="6"/>
  <c r="F95" i="6"/>
  <c r="D95" i="6"/>
  <c r="J87" i="6"/>
  <c r="J81" i="6"/>
  <c r="J82" i="6"/>
  <c r="J83" i="6"/>
  <c r="J84" i="6"/>
  <c r="J85" i="6"/>
  <c r="J86" i="6"/>
  <c r="J80" i="6"/>
  <c r="J74" i="6"/>
  <c r="J73" i="6"/>
  <c r="J72" i="6"/>
  <c r="J66" i="6"/>
  <c r="J63" i="6"/>
  <c r="J64" i="6"/>
  <c r="J65" i="6"/>
  <c r="J62" i="6"/>
  <c r="J56" i="6"/>
  <c r="J55" i="6"/>
  <c r="J54" i="6"/>
  <c r="J48" i="6"/>
  <c r="J38" i="6"/>
  <c r="J39" i="6"/>
  <c r="J40" i="6"/>
  <c r="J41" i="6"/>
  <c r="J42" i="6"/>
  <c r="J43" i="6"/>
  <c r="J44" i="6"/>
  <c r="J45" i="6"/>
  <c r="J46" i="6"/>
  <c r="J37" i="6"/>
  <c r="J21" i="6"/>
  <c r="J22" i="6"/>
  <c r="J24" i="6"/>
  <c r="J23" i="6"/>
  <c r="J25" i="6"/>
  <c r="J26" i="6"/>
  <c r="J27" i="6"/>
  <c r="J28" i="6"/>
  <c r="J29" i="6"/>
  <c r="J31" i="6"/>
  <c r="J30" i="6"/>
  <c r="E95" i="6"/>
  <c r="N31" i="6"/>
  <c r="N30" i="6"/>
  <c r="N29" i="6"/>
  <c r="N28" i="6"/>
  <c r="N27" i="6"/>
  <c r="N26" i="6"/>
  <c r="N25" i="6"/>
  <c r="N24" i="6"/>
  <c r="N23" i="6"/>
  <c r="N22" i="6"/>
  <c r="N21" i="6"/>
</calcChain>
</file>

<file path=xl/sharedStrings.xml><?xml version="1.0" encoding="utf-8"?>
<sst xmlns="http://schemas.openxmlformats.org/spreadsheetml/2006/main" count="429" uniqueCount="294">
  <si>
    <t>Electric heat pump ground</t>
  </si>
  <si>
    <t>Electric heat pump air</t>
  </si>
  <si>
    <t>Conventional electric airconditioning</t>
  </si>
  <si>
    <t>Computers / Media</t>
  </si>
  <si>
    <t>./households/households_cooking:</t>
  </si>
  <si>
    <t>./households/households_demand:</t>
  </si>
  <si>
    <t>Sector</t>
  </si>
  <si>
    <t>Unit</t>
  </si>
  <si>
    <t>Value</t>
  </si>
  <si>
    <t>Source</t>
  </si>
  <si>
    <t>Space Heating</t>
  </si>
  <si>
    <t>Hot Water</t>
  </si>
  <si>
    <t>Space Cooling</t>
  </si>
  <si>
    <t>Lighting</t>
  </si>
  <si>
    <t>Cooking</t>
  </si>
  <si>
    <t>Electrical Appliances</t>
  </si>
  <si>
    <t>LED lamps</t>
  </si>
  <si>
    <t>Heater characterization (solar thermal, el. add-on)</t>
  </si>
  <si>
    <t>Percentage of useful heat in space heating delivered by solar thermal panel (if household is equipped)</t>
  </si>
  <si>
    <t>Percentage of useful heat in hot water delivered by solar thermal panel (if household is equipped)</t>
  </si>
  <si>
    <t>Old / New Houses Split</t>
  </si>
  <si>
    <t>Percentage of old houses (built before 1992)</t>
  </si>
  <si>
    <t>Percentage of new houses (built after 1991)</t>
  </si>
  <si>
    <t xml:space="preserve">Gas </t>
  </si>
  <si>
    <t>Final demand per energy carrier</t>
  </si>
  <si>
    <t>Notes</t>
  </si>
  <si>
    <t>Application</t>
  </si>
  <si>
    <t>Technology used</t>
  </si>
  <si>
    <t>Final demand for network gas (TJ)</t>
  </si>
  <si>
    <t>Final demand for electricity (TJ)</t>
  </si>
  <si>
    <t>Final demand for coal (TJ)</t>
  </si>
  <si>
    <t>Final demand for oil (TJ)</t>
  </si>
  <si>
    <t>Final demand for woodpellets (TJ)</t>
  </si>
  <si>
    <t>Final demand for district heat (TJ)</t>
  </si>
  <si>
    <t>Useful demand (TJ)</t>
  </si>
  <si>
    <t>Share of useful demand within application</t>
  </si>
  <si>
    <t>Condensing Combi Boiler (space heating)</t>
  </si>
  <si>
    <t>Solar thermal panel (space heating)</t>
  </si>
  <si>
    <t>Electric Heat Pump (ground) (space heating)</t>
  </si>
  <si>
    <t>kWh</t>
  </si>
  <si>
    <t>Micro CHP (gas-fired)) (space heating)</t>
  </si>
  <si>
    <t>District Heating (space heating)</t>
  </si>
  <si>
    <t>m3</t>
  </si>
  <si>
    <t>Electric Heaters (resistance) (space heating)</t>
  </si>
  <si>
    <t>Gas-fired Heaters (space heating)</t>
  </si>
  <si>
    <t>Oil-fired Heaters (space heating)</t>
  </si>
  <si>
    <t>Coal-fired Heaters (space heating)</t>
  </si>
  <si>
    <t>Condensing Combi Boiler (hot water)</t>
  </si>
  <si>
    <t>Electric Heat Pump (ground) (hot water)</t>
  </si>
  <si>
    <t>Micro CHP (gas-fired)) (hot water)</t>
  </si>
  <si>
    <t>District Heating (hot water)</t>
  </si>
  <si>
    <t>Electric Heaters (resistance) (hot water)</t>
  </si>
  <si>
    <t>Gas-fired Heaters (hot water)</t>
  </si>
  <si>
    <t>Oil-fired Heaters (hot water)</t>
  </si>
  <si>
    <t>Coal-fired Heaters (hot water)</t>
  </si>
  <si>
    <t>Fuel Cell (hot water)</t>
  </si>
  <si>
    <t>Gas stoves</t>
  </si>
  <si>
    <t>Electric stoves (resistance)</t>
  </si>
  <si>
    <t>Electric halogen stoves</t>
  </si>
  <si>
    <t>Electric induction stoves</t>
  </si>
  <si>
    <t>Biomass stoves</t>
  </si>
  <si>
    <t>Incandescent lamps</t>
  </si>
  <si>
    <t>Low energy light bulbs / fluorescent lighting</t>
  </si>
  <si>
    <t>Dishwashers</t>
  </si>
  <si>
    <t>Fridges / Freezers</t>
  </si>
  <si>
    <t>Washing Machines</t>
  </si>
  <si>
    <t>Dryers</t>
  </si>
  <si>
    <t>Television</t>
  </si>
  <si>
    <t>Vacuum Cleaners</t>
  </si>
  <si>
    <t>Others</t>
  </si>
  <si>
    <t>Network gas</t>
  </si>
  <si>
    <t>Electricity</t>
  </si>
  <si>
    <t>Coal</t>
  </si>
  <si>
    <t>Oil</t>
  </si>
  <si>
    <t>Woodpellets</t>
  </si>
  <si>
    <t>District heat</t>
  </si>
  <si>
    <t>Diiference between Carrier demand in analysis and Carrier demand in IEA data (TJ)</t>
  </si>
  <si>
    <t>Data</t>
  </si>
  <si>
    <t>File input</t>
  </si>
  <si>
    <t>Distribution of natural gas</t>
  </si>
  <si>
    <t>Distribution of electricity</t>
  </si>
  <si>
    <t>Space heating</t>
  </si>
  <si>
    <t>Hot water</t>
  </si>
  <si>
    <t>Cooling</t>
  </si>
  <si>
    <t>Appliances</t>
  </si>
  <si>
    <t>Biomass</t>
  </si>
  <si>
    <t>Heat</t>
  </si>
  <si>
    <t>Percentage of electricity used by:</t>
  </si>
  <si>
    <t>Dish washer</t>
  </si>
  <si>
    <t>Washing machine</t>
  </si>
  <si>
    <t>Dryer</t>
  </si>
  <si>
    <t>Computer and other media</t>
  </si>
  <si>
    <t>Vaccuum cleaner</t>
  </si>
  <si>
    <t>Refrigerator and freezer</t>
  </si>
  <si>
    <t>Condensing Combi Boiler</t>
  </si>
  <si>
    <t>District Heating</t>
  </si>
  <si>
    <t>Electric Heaters (resistance)</t>
  </si>
  <si>
    <t>Gas-fired Heaters</t>
  </si>
  <si>
    <t>Oil-fired Heaters</t>
  </si>
  <si>
    <t>Coal-fired Heaters</t>
  </si>
  <si>
    <t>Hybrid heatpump</t>
  </si>
  <si>
    <t xml:space="preserve"> UD shares cooking</t>
  </si>
  <si>
    <t>UD shares hot water</t>
  </si>
  <si>
    <t xml:space="preserve"> UD shares space heating</t>
  </si>
  <si>
    <t>Hybrid heat pump (space heating)</t>
  </si>
  <si>
    <t>Hybrid heat pump (hot water)</t>
  </si>
  <si>
    <t>District heating sources</t>
  </si>
  <si>
    <t>Collective CHP biogas</t>
  </si>
  <si>
    <t>Collective CHP wood pellets</t>
  </si>
  <si>
    <t xml:space="preserve">Collective geothermal </t>
  </si>
  <si>
    <t>Central heat network</t>
  </si>
  <si>
    <t>Sources for district heating in households</t>
  </si>
  <si>
    <t xml:space="preserve">Energy demand </t>
  </si>
  <si>
    <t>TJ</t>
  </si>
  <si>
    <t>Division of (final) natural gas demand:</t>
  </si>
  <si>
    <t xml:space="preserve">Division of (final) electricity demand </t>
  </si>
  <si>
    <t>#</t>
  </si>
  <si>
    <t xml:space="preserve"> UD shares cooling</t>
  </si>
  <si>
    <t>Percentage of useful cooling energy delivered by</t>
  </si>
  <si>
    <t>From national data</t>
  </si>
  <si>
    <t>Application of district heat</t>
  </si>
  <si>
    <t xml:space="preserve">Total </t>
  </si>
  <si>
    <t>Total</t>
  </si>
  <si>
    <t>National UD</t>
  </si>
  <si>
    <t>Gas-fired micro CHP</t>
  </si>
  <si>
    <t xml:space="preserve">UD division per carrier: </t>
  </si>
  <si>
    <t>Electricity-driven Heat pump (air)</t>
  </si>
  <si>
    <t>Electricity-driven Heat pump (ground)</t>
  </si>
  <si>
    <t>Fuel cell</t>
  </si>
  <si>
    <t>All oil goes in oil heater</t>
  </si>
  <si>
    <t>All coal goes in coal heater</t>
  </si>
  <si>
    <t>All woodpellets go in biomass heater</t>
  </si>
  <si>
    <t>All district space heating</t>
  </si>
  <si>
    <t xml:space="preserve">All solar thermal space heating </t>
  </si>
  <si>
    <t>Gas</t>
  </si>
  <si>
    <t>Other</t>
  </si>
  <si>
    <t xml:space="preserve">Electricity </t>
  </si>
  <si>
    <t>All cooking biomass goes here</t>
  </si>
  <si>
    <t>National gas technnology split</t>
  </si>
  <si>
    <t>National electricity technology split</t>
  </si>
  <si>
    <t>Percentage of light (useful energy) delivered by</t>
  </si>
  <si>
    <t xml:space="preserve">R-value old houses </t>
  </si>
  <si>
    <t>R-value new houses</t>
  </si>
  <si>
    <t>Careful: this is only to split UD into old and new houses, it does not set the default R value. That must be done in the area analysis</t>
  </si>
  <si>
    <t>All cooking gas goes in the gas stove</t>
  </si>
  <si>
    <t>Old houses</t>
  </si>
  <si>
    <t>New houses</t>
  </si>
  <si>
    <t>Old/new split</t>
  </si>
  <si>
    <t>Total final demand (TJ)</t>
  </si>
  <si>
    <t>Percentage of total final demand</t>
  </si>
  <si>
    <t>Effective efficiency</t>
  </si>
  <si>
    <t>Checks</t>
  </si>
  <si>
    <t xml:space="preserve">Total FD from </t>
  </si>
  <si>
    <t>Solar PV</t>
  </si>
  <si>
    <t>Wp/m2</t>
  </si>
  <si>
    <t>Capacity per unit surface</t>
  </si>
  <si>
    <t>Percentage of houses equipped with solar thermal panels</t>
  </si>
  <si>
    <t>%</t>
  </si>
  <si>
    <t xml:space="preserve">Installed solar PV capacity </t>
  </si>
  <si>
    <t>Distribution of final demand</t>
  </si>
  <si>
    <t xml:space="preserve">Data </t>
  </si>
  <si>
    <t>Distribution of biomass</t>
  </si>
  <si>
    <t>Distribution of heat</t>
  </si>
  <si>
    <t>Market shares technologies</t>
  </si>
  <si>
    <t>Used constants</t>
  </si>
  <si>
    <t>National dataset</t>
  </si>
  <si>
    <t>Application of biomass</t>
  </si>
  <si>
    <t xml:space="preserve">Ratio gas usage to electricity usage is fixed, </t>
  </si>
  <si>
    <t xml:space="preserve">Careful: Hybrid heatpumps also use a part of electricity for heating. These percentages distribute what is left </t>
  </si>
  <si>
    <t xml:space="preserve">Careful: Hybrid heatpumps also use a part of electricity for hot water. These percentages distribute what is left </t>
  </si>
  <si>
    <t>Ratio electricity:gas usage hybrid heat pump space heating</t>
  </si>
  <si>
    <t>Ratio electricity:gas usage hybrid heat pump hot water</t>
  </si>
  <si>
    <t xml:space="preserve">In this sheet an overview is presented of the allocation of energy carriers over the different technologies and applications. In the next sheet, the initializer inputs are determined. </t>
  </si>
  <si>
    <t>Nationaal</t>
  </si>
  <si>
    <t>National shares</t>
  </si>
  <si>
    <t>Woodpellets (biomass) heaters</t>
  </si>
  <si>
    <t>Solar thermal panels</t>
  </si>
  <si>
    <t>Conversion</t>
  </si>
  <si>
    <t>ETM value: used for calculating market penetration, is not set into ETM</t>
  </si>
  <si>
    <t>ETM value</t>
  </si>
  <si>
    <t>Physics</t>
  </si>
  <si>
    <t xml:space="preserve">households_useful_demand_cooking_useable_heat: </t>
  </si>
  <si>
    <t xml:space="preserve">households_appliances_clothes_dryer_electricity: </t>
  </si>
  <si>
    <t xml:space="preserve">households_appliances_computer_media_electricity: </t>
  </si>
  <si>
    <t xml:space="preserve">households_appliances_dishwasher_electricity: </t>
  </si>
  <si>
    <t xml:space="preserve">households_appliances_fridge_freezer_electricity: </t>
  </si>
  <si>
    <t xml:space="preserve">households_appliances_other_electricity: </t>
  </si>
  <si>
    <t xml:space="preserve">households_appliances_television_electricity: </t>
  </si>
  <si>
    <t xml:space="preserve">households_appliances_vacuum_cleaner_electricity: </t>
  </si>
  <si>
    <t xml:space="preserve">households_appliances_washing_machine_electricity: </t>
  </si>
  <si>
    <t xml:space="preserve">households_new_houses_useful_demand_for_cooling: </t>
  </si>
  <si>
    <t xml:space="preserve">households_old_houses_useful_demand_for_cooling: </t>
  </si>
  <si>
    <t xml:space="preserve">households_useful_demand_hot_water: </t>
  </si>
  <si>
    <t xml:space="preserve">households_useful_demand_light: </t>
  </si>
  <si>
    <t xml:space="preserve">households_new_houses_useful_demand_for_heating: </t>
  </si>
  <si>
    <t xml:space="preserve">households_old_houses_useful_demand_for_heating: </t>
  </si>
  <si>
    <t xml:space="preserve">:"households_cooling_airconditioning_electricity-households_useful_demand_for_cooling_after_insulation@cooling": </t>
  </si>
  <si>
    <t xml:space="preserve">:"households_cooling_heatpump_air_water_electricity-households_useful_demand_for_cooling_after_insulation@cooling": </t>
  </si>
  <si>
    <t xml:space="preserve">:"households_cooling_heatpump_ground_water_electricity-households_useful_demand_for_cooling_after_insulation@cooling": </t>
  </si>
  <si>
    <t xml:space="preserve">:"households_cooker_halogen_electricity-households_useful_demand_cooking_useable_heat@useable_heat": </t>
  </si>
  <si>
    <t xml:space="preserve">:"households_cooker_induction_electricity-households_useful_demand_cooking_useable_heat@useable_heat": </t>
  </si>
  <si>
    <t xml:space="preserve">:"households_cooker_network_gas-households_useful_demand_cooking_useable_heat@useable_heat": </t>
  </si>
  <si>
    <t xml:space="preserve">:"households_cooker_resistive_electricity-households_useful_demand_cooking_useable_heat@useable_heat": </t>
  </si>
  <si>
    <t xml:space="preserve">:"households_cooker_wood_pellets-households_useful_demand_cooking_useable_heat@useable_heat": </t>
  </si>
  <si>
    <t xml:space="preserve">:"households_collective_chp_biogas-households_final_demand_steam_hot_water@steam_hot_water": </t>
  </si>
  <si>
    <t xml:space="preserve">:"households_collective_chp_network_gas-households_final_demand_steam_hot_water@steam_hot_water": </t>
  </si>
  <si>
    <t xml:space="preserve">:"households_collective_chp_wood_pellets-households_final_demand_steam_hot_water@steam_hot_water": </t>
  </si>
  <si>
    <t xml:space="preserve">:"households_collective_geothermal-households_final_demand_steam_hot_water@steam_hot_water": </t>
  </si>
  <si>
    <t xml:space="preserve">:"households_heat_network_connection_steam_hot_water-households_final_demand_steam_hot_water@steam_hot_water": </t>
  </si>
  <si>
    <t xml:space="preserve">:"households_useful_demand_for_hot_water_after_solar_heater-households_useful_demand_hot_water@useable_heat": </t>
  </si>
  <si>
    <t xml:space="preserve">:"households_useful_demand_for_hot_water_for_houses_with_solar_heater-households_useful_demand_hot_water@useable_heat": </t>
  </si>
  <si>
    <t>Electricity-driven Heat pump (air) (hot water)</t>
  </si>
  <si>
    <t>Woodpellets (biomass) heaters (hot water)</t>
  </si>
  <si>
    <t xml:space="preserve">Gegevens CBS: </t>
  </si>
  <si>
    <t xml:space="preserve">Gegevens klimaatmonitor: </t>
  </si>
  <si>
    <t xml:space="preserve">:"households_lighting_efficient_fluorescent_electricity-households_useful_demand_light@light": </t>
  </si>
  <si>
    <t xml:space="preserve">:"households_lighting_incandescent_electricity-households_useful_demand_light@light": </t>
  </si>
  <si>
    <t xml:space="preserve">:"households_lighting_led_electricity-households_useful_demand_light@light": </t>
  </si>
  <si>
    <t xml:space="preserve">:"households_solar_pv_solar_radiation-households_locally_available_electricity@electricity": </t>
  </si>
  <si>
    <t>Collective CHP network gas</t>
  </si>
  <si>
    <t>Note: Conversion to change TJ to MJ; for shares no conversion needed</t>
  </si>
  <si>
    <t>Gross calorific value (gcv) (m3 to TJ)</t>
  </si>
  <si>
    <t>kWh to TJ</t>
  </si>
  <si>
    <t>Heat pumps (ground)</t>
  </si>
  <si>
    <t>Heat pumps (air)</t>
  </si>
  <si>
    <t>Airconditioning</t>
  </si>
  <si>
    <t>Low energy light bulbs (efficiient fluorescent lighting)</t>
  </si>
  <si>
    <t>Carrier</t>
  </si>
  <si>
    <t>Distribution of oil</t>
  </si>
  <si>
    <t>Application of oil</t>
  </si>
  <si>
    <t>Distribution of coal</t>
  </si>
  <si>
    <t>Application of coal</t>
  </si>
  <si>
    <t>Electricity-driven Heat pump (air) (space heating)</t>
  </si>
  <si>
    <t>Woodpellets (biomass) heaters (space heating)</t>
  </si>
  <si>
    <t>National FD</t>
  </si>
  <si>
    <t>Full load hours solar PV</t>
  </si>
  <si>
    <t>hour</t>
  </si>
  <si>
    <t>ETM</t>
  </si>
  <si>
    <t>Electrical efficiency</t>
  </si>
  <si>
    <t>kWp</t>
  </si>
  <si>
    <t>Geen warmtenet in 2015</t>
  </si>
  <si>
    <t># Shares</t>
  </si>
  <si>
    <t>Value should be a demand, even though the initializer method sets a share (see: https://github.com/quintel/etsource/issues/1358)</t>
  </si>
  <si>
    <t xml:space="preserve">:"households_useful_demand_for_space_heating_after_insulation_and_solar_heater-households_useful_demand_for_space_heating_after_insulation_for_houses_with_solar_heater@useable_heat": </t>
  </si>
  <si>
    <t># Preset demands</t>
  </si>
  <si>
    <t xml:space="preserve">:"households_water_heater_solar_thermal-households_useful_demand_for_hot_water_for_houses_with_solar_heater@useable_heat": </t>
  </si>
  <si>
    <t xml:space="preserve">:"households_useful_demand_for_hot_water_after_solar_heater-households_useful_demand_for_hot_water_for_houses_with_solar_heater@useable_heat": </t>
  </si>
  <si>
    <t xml:space="preserve">:"households_water_heater_solar_thermal-households_useful_demand_for_space_heating_after_insulation_for_houses_with_solar_heater@useable_heat": </t>
  </si>
  <si>
    <t xml:space="preserve">:"households_useful_demand_for_space_heating_after_insulation_and_solar_heater-households_useful_demand_for_space_heating_after_insulation@useable_heat": </t>
  </si>
  <si>
    <t xml:space="preserve">:"households_useful_demand_for_space_heating_after_insulation_for_houses_with_solar_heater-households_useful_demand_for_space_heating_after_insulation@useable_heat": </t>
  </si>
  <si>
    <t xml:space="preserve">:"households_space_heater_coal_aggregator-households_useful_demand_for_space_heating_after_insulation_and_solar_heater@useable_heat": </t>
  </si>
  <si>
    <t xml:space="preserve">:"households_space_heater_combined_network_gas_aggregator-households_useful_demand_for_space_heating_after_insulation_and_solar_heater@useable_heat": </t>
  </si>
  <si>
    <t xml:space="preserve">:"households_space_heater_crude_oil_aggregator-households_useful_demand_for_space_heating_after_insulation_and_solar_heater@useable_heat": </t>
  </si>
  <si>
    <t xml:space="preserve">:"households_space_heater_district_heating_steam_hot_water_aggregator-households_useful_demand_for_space_heating_after_insulation_and_solar_heater@useable_heat": </t>
  </si>
  <si>
    <t xml:space="preserve">:"households_space_heater_electricity_aggregator-households_useful_demand_for_space_heating_after_insulation_and_solar_heater@useable_heat": </t>
  </si>
  <si>
    <t xml:space="preserve">:"households_space_heater_heatpump_air_water_electricity_aggregator-households_useful_demand_for_space_heating_after_insulation_and_solar_heater@useable_heat": </t>
  </si>
  <si>
    <t xml:space="preserve">:"households_space_heater_heatpump_ground_water_electricity_aggregator-households_useful_demand_for_space_heating_after_insulation_and_solar_heater@useable_heat": </t>
  </si>
  <si>
    <t xml:space="preserve">:"households_space_heater_hybrid_heatpump_air_water_electricity_aggregator-households_useful_demand_for_space_heating_after_insulation_and_solar_heater@useable_heat": </t>
  </si>
  <si>
    <t xml:space="preserve">:"households_space_heater_micro_chp_network_gas_aggregator-households_useful_demand_for_space_heating_after_insulation_and_solar_heater@useable_heat": </t>
  </si>
  <si>
    <t xml:space="preserve">:"households_space_heater_network_gas_aggregator-households_useful_demand_for_space_heating_after_insulation_and_solar_heater@useable_heat": </t>
  </si>
  <si>
    <t xml:space="preserve">:"households_space_heater_wood_pellets_aggregator-households_useful_demand_for_space_heating_after_insulation_and_solar_heater@useable_heat": </t>
  </si>
  <si>
    <t xml:space="preserve">:"households_water_heater_coal_aggregator-households_useful_demand_for_hot_water_after_solar_heater_and_p2h@useable_heat": </t>
  </si>
  <si>
    <t xml:space="preserve">:"households_water_heater_combined_network_gas_aggregator-households_useful_demand_for_hot_water_after_solar_heater_and_p2h@useable_heat": </t>
  </si>
  <si>
    <t xml:space="preserve">:"households_water_heater_crude_oil_aggregator-households_useful_demand_for_hot_water_after_solar_heater_and_p2h@useable_heat": </t>
  </si>
  <si>
    <t xml:space="preserve">:"households_water_heater_district_heating_steam_hot_water_aggregator-households_useful_demand_for_hot_water_after_solar_heater_and_p2h@useable_heat": </t>
  </si>
  <si>
    <t xml:space="preserve">:"households_water_heater_fuel_cell_chp_network_gas_aggregator-households_useful_demand_for_hot_water_after_solar_heater_and_p2h@useable_heat": </t>
  </si>
  <si>
    <t xml:space="preserve">:"households_water_heater_heatpump_air_water_electricity_aggregator-households_useful_demand_for_hot_water_after_solar_heater_and_p2h@useable_heat": </t>
  </si>
  <si>
    <t xml:space="preserve">:"households_water_heater_heatpump_ground_water_electricity_aggregator-households_useful_demand_for_hot_water_after_solar_heater_and_p2h@useable_heat": </t>
  </si>
  <si>
    <t xml:space="preserve">:"households_water_heater_hybrid_heatpump_air_water_electricity_aggregator-households_useful_demand_for_hot_water_after_solar_heater_and_p2h@useable_heat": </t>
  </si>
  <si>
    <t xml:space="preserve">:"households_water_heater_micro_chp_network_gas_aggregator-households_useful_demand_for_hot_water_after_solar_heater_and_p2h@useable_heat":  </t>
  </si>
  <si>
    <t xml:space="preserve">:"households_water_heater_network_gas_aggregator-households_useful_demand_for_hot_water_after_solar_heater_and_p2h@useable_heat": </t>
  </si>
  <si>
    <t xml:space="preserve">:"households_water_heater_resistive_electricity_aggregator-households_useful_demand_for_hot_water_after_solar_heater_and_p2h@useable_heat": </t>
  </si>
  <si>
    <t xml:space="preserve">:"households_water_heater_wood_pellets_aggregator-households_useful_demand_for_hot_water_after_solar_heater_and_p2h@useable_heat": </t>
  </si>
  <si>
    <t>Note: cancelled in yml (#) because of share setter bug</t>
  </si>
  <si>
    <t>Gecorrigeerd om aantal warmtepompen te verlagen. Scenario had te veel renewable ambient heat tov data</t>
  </si>
  <si>
    <t>zie area</t>
  </si>
  <si>
    <t>https://klimaatmonitor.databank.nl/Jive?sel_guid=2c8efaaa-1038-47b3-bebf-4b576c6ac244</t>
  </si>
  <si>
    <t>CBS</t>
  </si>
  <si>
    <t>https://klimaatmonitor.databank.nl/Jive?sel_guid=595eadb3-c2c4-41d1-993a-a65d88f18af6</t>
  </si>
  <si>
    <t>http://statline.cbs.nl/Statweb/publication/?DM=SLNL&amp;PA=83220NED&amp;D1=4,27,33,44-46,54,62,85,100&amp;D2=90-91,174-175&amp;HDR=T&amp;STB=G1&amp;VW=T</t>
  </si>
  <si>
    <t>Number of houses Reitdiep</t>
  </si>
  <si>
    <t>CBS 2017 (vanwege grote verschillen tussen woningbouwvoorraad 2015 en 2017): https://opendata.cbs.nl/statline/#/CBS/nl/dataset/83765NED/table?dl=5063</t>
  </si>
  <si>
    <t>Number of houses Groningen</t>
  </si>
  <si>
    <t xml:space="preserve">CBS </t>
  </si>
  <si>
    <t>Number of houses NL</t>
  </si>
  <si>
    <t>Percentage of houses built before 1992</t>
  </si>
  <si>
    <t>CBS - Heel Reitdiep is nieuwbouw.</t>
  </si>
  <si>
    <t xml:space="preserve">Klimaatmonitor (vermogen geregistreerde PV-panelen) (62% toegekend aan residences, 38% aan services) : https://klimaatmonitor.databank.nl/Jive/JiveReportContents.ashx?filename=klimaatmonitor.databank.nl_snkm%5Crep_buurt_klimaatmonitor_29e583e632090d5f0054cc6a3b6dcd39%5Crep_buurt_klimaatmonitor_29e583e632090d5f0054cc6a3b6dcd39.htm&amp;rnd=1512394296375 </t>
  </si>
  <si>
    <t>Klimaatmonitor (houtkachels plus houtskool) - Geschaald Groningen</t>
  </si>
  <si>
    <t>Geschaald NL</t>
  </si>
  <si>
    <t>per household Reitdiep</t>
  </si>
  <si>
    <t>CBS, 3310 kWh electriciteitsverbruik per huishouden.</t>
  </si>
  <si>
    <t>Verandert naar zelfde percentage als space heating, was 9.6%  in Nationale data en leek erg onrealistisch</t>
  </si>
  <si>
    <t>Verandert naar zelfde percentage als space heating, was 90.4%  in Nationale data en leek erg onrealistisch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</si>
</sst>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%"/>
    <numFmt numFmtId="166" formatCode="0.0000"/>
    <numFmt numFmtId="167" formatCode="#,##0.0000000"/>
    <numFmt numFmtId="168" formatCode="#,##0.00000000"/>
    <numFmt numFmtId="169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10"/>
      <name val="Calibri"/>
      <family val="2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1"/>
      <name val="Consola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/>
      <diagonal/>
    </border>
  </borders>
  <cellStyleXfs count="25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1" applyNumberFormat="0" applyAlignment="0" applyProtection="0"/>
    <xf numFmtId="164" fontId="11" fillId="6" borderId="8">
      <alignment horizontal="right" vertical="center"/>
    </xf>
    <xf numFmtId="0" fontId="12" fillId="0" borderId="0" applyNumberFormat="0" applyFont="0" applyFill="0" applyBorder="0" applyAlignment="0" applyProtection="0"/>
    <xf numFmtId="9" fontId="12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21">
    <xf numFmtId="0" fontId="0" fillId="0" borderId="0" xfId="0"/>
    <xf numFmtId="0" fontId="0" fillId="4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3" xfId="0" applyFill="1" applyBorder="1"/>
    <xf numFmtId="0" fontId="7" fillId="4" borderId="2" xfId="0" applyFont="1" applyFill="1" applyBorder="1"/>
    <xf numFmtId="0" fontId="0" fillId="4" borderId="9" xfId="0" applyFill="1" applyBorder="1"/>
    <xf numFmtId="0" fontId="7" fillId="4" borderId="0" xfId="0" applyFont="1" applyFill="1" applyBorder="1"/>
    <xf numFmtId="2" fontId="0" fillId="4" borderId="0" xfId="0" applyNumberFormat="1" applyFill="1" applyBorder="1" applyAlignment="1">
      <alignment horizontal="left"/>
    </xf>
    <xf numFmtId="0" fontId="7" fillId="4" borderId="11" xfId="0" applyFont="1" applyFill="1" applyBorder="1"/>
    <xf numFmtId="0" fontId="0" fillId="4" borderId="12" xfId="0" applyFont="1" applyFill="1" applyBorder="1"/>
    <xf numFmtId="0" fontId="0" fillId="4" borderId="1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right"/>
    </xf>
    <xf numFmtId="0" fontId="0" fillId="4" borderId="12" xfId="0" applyFill="1" applyBorder="1"/>
    <xf numFmtId="0" fontId="0" fillId="4" borderId="13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right"/>
    </xf>
    <xf numFmtId="0" fontId="7" fillId="4" borderId="13" xfId="0" applyFont="1" applyFill="1" applyBorder="1"/>
    <xf numFmtId="0" fontId="0" fillId="0" borderId="0" xfId="0" applyFont="1" applyFill="1" applyBorder="1"/>
    <xf numFmtId="0" fontId="17" fillId="4" borderId="13" xfId="0" applyFont="1" applyFill="1" applyBorder="1"/>
    <xf numFmtId="0" fontId="0" fillId="4" borderId="13" xfId="0" applyFill="1" applyBorder="1"/>
    <xf numFmtId="0" fontId="0" fillId="4" borderId="15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7" fillId="4" borderId="14" xfId="0" applyFont="1" applyFill="1" applyBorder="1"/>
    <xf numFmtId="0" fontId="0" fillId="4" borderId="5" xfId="0" applyFont="1" applyFill="1" applyBorder="1"/>
    <xf numFmtId="0" fontId="0" fillId="4" borderId="16" xfId="0" applyFon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9" fontId="0" fillId="4" borderId="0" xfId="1" applyFont="1" applyFill="1" applyBorder="1" applyAlignment="1">
      <alignment horizontal="right"/>
    </xf>
    <xf numFmtId="10" fontId="8" fillId="4" borderId="5" xfId="1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left"/>
    </xf>
    <xf numFmtId="10" fontId="8" fillId="4" borderId="0" xfId="1" applyNumberFormat="1" applyFont="1" applyFill="1" applyBorder="1" applyAlignment="1">
      <alignment horizontal="right"/>
    </xf>
    <xf numFmtId="10" fontId="0" fillId="4" borderId="5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0" fontId="17" fillId="4" borderId="17" xfId="0" applyFont="1" applyFill="1" applyBorder="1"/>
    <xf numFmtId="0" fontId="0" fillId="4" borderId="3" xfId="0" applyFont="1" applyFill="1" applyBorder="1"/>
    <xf numFmtId="0" fontId="0" fillId="4" borderId="3" xfId="0" applyFill="1" applyBorder="1" applyAlignment="1">
      <alignment horizontal="left"/>
    </xf>
    <xf numFmtId="0" fontId="0" fillId="4" borderId="5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right"/>
    </xf>
    <xf numFmtId="0" fontId="0" fillId="4" borderId="20" xfId="0" applyFont="1" applyFill="1" applyBorder="1"/>
    <xf numFmtId="0" fontId="0" fillId="4" borderId="6" xfId="0" applyFont="1" applyFill="1" applyBorder="1"/>
    <xf numFmtId="0" fontId="0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6" xfId="0" applyFill="1" applyBorder="1"/>
    <xf numFmtId="0" fontId="16" fillId="5" borderId="14" xfId="0" applyFont="1" applyFill="1" applyBorder="1"/>
    <xf numFmtId="0" fontId="16" fillId="4" borderId="5" xfId="0" applyFont="1" applyFill="1" applyBorder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indent="2"/>
    </xf>
    <xf numFmtId="3" fontId="0" fillId="4" borderId="9" xfId="0" applyNumberFormat="1" applyFont="1" applyFill="1" applyBorder="1" applyAlignment="1">
      <alignment horizontal="right"/>
    </xf>
    <xf numFmtId="0" fontId="0" fillId="4" borderId="15" xfId="0" applyFill="1" applyBorder="1"/>
    <xf numFmtId="10" fontId="0" fillId="4" borderId="9" xfId="1" applyNumberFormat="1" applyFont="1" applyFill="1" applyBorder="1"/>
    <xf numFmtId="10" fontId="0" fillId="4" borderId="0" xfId="1" applyNumberFormat="1" applyFont="1" applyFill="1" applyBorder="1"/>
    <xf numFmtId="0" fontId="9" fillId="4" borderId="9" xfId="0" applyFont="1" applyFill="1" applyBorder="1"/>
    <xf numFmtId="0" fontId="9" fillId="4" borderId="0" xfId="0" applyFont="1" applyFill="1" applyBorder="1" applyAlignment="1">
      <alignment horizontal="left"/>
    </xf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16" fillId="4" borderId="23" xfId="0" applyFont="1" applyFill="1" applyBorder="1"/>
    <xf numFmtId="0" fontId="7" fillId="4" borderId="22" xfId="0" applyFont="1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10" fillId="4" borderId="0" xfId="0" applyFont="1" applyFill="1" applyBorder="1"/>
    <xf numFmtId="0" fontId="7" fillId="4" borderId="14" xfId="0" applyFont="1" applyFill="1" applyBorder="1" applyAlignment="1">
      <alignment vertical="top" wrapText="1"/>
    </xf>
    <xf numFmtId="0" fontId="7" fillId="4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7" fillId="4" borderId="0" xfId="0" applyFont="1" applyFill="1" applyBorder="1" applyAlignment="1">
      <alignment vertical="top" wrapText="1"/>
    </xf>
    <xf numFmtId="0" fontId="20" fillId="4" borderId="13" xfId="0" applyFont="1" applyFill="1" applyBorder="1"/>
    <xf numFmtId="0" fontId="7" fillId="4" borderId="3" xfId="0" applyFont="1" applyFill="1" applyBorder="1" applyAlignment="1">
      <alignment vertical="top" wrapText="1"/>
    </xf>
    <xf numFmtId="0" fontId="0" fillId="4" borderId="22" xfId="0" applyFont="1" applyFill="1" applyBorder="1"/>
    <xf numFmtId="0" fontId="0" fillId="4" borderId="0" xfId="0" applyFont="1" applyFill="1"/>
    <xf numFmtId="0" fontId="15" fillId="4" borderId="13" xfId="0" applyFont="1" applyFill="1" applyBorder="1"/>
    <xf numFmtId="4" fontId="7" fillId="4" borderId="5" xfId="0" applyNumberFormat="1" applyFont="1" applyFill="1" applyBorder="1"/>
    <xf numFmtId="4" fontId="7" fillId="4" borderId="0" xfId="0" applyNumberFormat="1" applyFont="1" applyFill="1" applyBorder="1"/>
    <xf numFmtId="0" fontId="20" fillId="4" borderId="5" xfId="0" applyFont="1" applyFill="1" applyBorder="1"/>
    <xf numFmtId="0" fontId="18" fillId="0" borderId="0" xfId="0" applyFont="1" applyFill="1" applyBorder="1"/>
    <xf numFmtId="4" fontId="15" fillId="4" borderId="13" xfId="0" applyNumberFormat="1" applyFont="1" applyFill="1" applyBorder="1" applyAlignment="1">
      <alignment horizontal="left"/>
    </xf>
    <xf numFmtId="11" fontId="0" fillId="4" borderId="0" xfId="0" applyNumberFormat="1" applyFill="1"/>
    <xf numFmtId="0" fontId="18" fillId="0" borderId="5" xfId="0" applyFont="1" applyFill="1" applyBorder="1"/>
    <xf numFmtId="0" fontId="18" fillId="4" borderId="0" xfId="0" applyFont="1" applyFill="1" applyBorder="1"/>
    <xf numFmtId="10" fontId="20" fillId="4" borderId="0" xfId="0" applyNumberFormat="1" applyFont="1" applyFill="1" applyBorder="1"/>
    <xf numFmtId="4" fontId="7" fillId="4" borderId="3" xfId="0" applyNumberFormat="1" applyFont="1" applyFill="1" applyBorder="1"/>
    <xf numFmtId="0" fontId="20" fillId="4" borderId="14" xfId="0" applyFont="1" applyFill="1" applyBorder="1"/>
    <xf numFmtId="0" fontId="18" fillId="4" borderId="5" xfId="0" applyFont="1" applyFill="1" applyBorder="1"/>
    <xf numFmtId="4" fontId="0" fillId="4" borderId="5" xfId="0" applyNumberFormat="1" applyFont="1" applyFill="1" applyBorder="1"/>
    <xf numFmtId="4" fontId="0" fillId="4" borderId="26" xfId="0" applyNumberFormat="1" applyFont="1" applyFill="1" applyBorder="1"/>
    <xf numFmtId="4" fontId="0" fillId="4" borderId="0" xfId="0" applyNumberFormat="1" applyFont="1" applyFill="1" applyBorder="1"/>
    <xf numFmtId="2" fontId="0" fillId="4" borderId="0" xfId="0" applyNumberFormat="1" applyFill="1" applyBorder="1"/>
    <xf numFmtId="0" fontId="21" fillId="4" borderId="0" xfId="0" applyFont="1" applyFill="1" applyBorder="1"/>
    <xf numFmtId="0" fontId="21" fillId="4" borderId="0" xfId="0" applyFont="1" applyFill="1"/>
    <xf numFmtId="0" fontId="20" fillId="4" borderId="0" xfId="0" applyFont="1" applyFill="1" applyBorder="1"/>
    <xf numFmtId="4" fontId="20" fillId="4" borderId="0" xfId="0" applyNumberFormat="1" applyFont="1" applyFill="1" applyBorder="1"/>
    <xf numFmtId="4" fontId="20" fillId="4" borderId="5" xfId="0" applyNumberFormat="1" applyFont="1" applyFill="1" applyBorder="1"/>
    <xf numFmtId="0" fontId="0" fillId="0" borderId="5" xfId="0" applyFont="1" applyFill="1" applyBorder="1"/>
    <xf numFmtId="4" fontId="0" fillId="4" borderId="26" xfId="0" applyNumberFormat="1" applyFill="1" applyBorder="1"/>
    <xf numFmtId="4" fontId="0" fillId="4" borderId="5" xfId="0" applyNumberFormat="1" applyFill="1" applyBorder="1"/>
    <xf numFmtId="0" fontId="7" fillId="4" borderId="3" xfId="0" applyFont="1" applyFill="1" applyBorder="1" applyAlignment="1"/>
    <xf numFmtId="4" fontId="7" fillId="0" borderId="7" xfId="0" applyNumberFormat="1" applyFont="1" applyFill="1" applyBorder="1"/>
    <xf numFmtId="4" fontId="7" fillId="0" borderId="0" xfId="0" applyNumberFormat="1" applyFont="1" applyFill="1" applyBorder="1"/>
    <xf numFmtId="0" fontId="7" fillId="4" borderId="0" xfId="0" applyFont="1" applyFill="1" applyBorder="1" applyAlignment="1"/>
    <xf numFmtId="9" fontId="7" fillId="0" borderId="0" xfId="1" applyNumberFormat="1" applyFont="1" applyFill="1" applyBorder="1"/>
    <xf numFmtId="0" fontId="0" fillId="4" borderId="20" xfId="0" applyFill="1" applyBorder="1"/>
    <xf numFmtId="0" fontId="6" fillId="4" borderId="1" xfId="3" applyFill="1"/>
    <xf numFmtId="0" fontId="6" fillId="4" borderId="0" xfId="3" applyFill="1" applyBorder="1"/>
    <xf numFmtId="11" fontId="0" fillId="4" borderId="0" xfId="0" applyNumberFormat="1" applyFill="1" applyBorder="1"/>
    <xf numFmtId="166" fontId="14" fillId="4" borderId="0" xfId="9" applyNumberFormat="1" applyFill="1" applyBorder="1"/>
    <xf numFmtId="165" fontId="2" fillId="4" borderId="22" xfId="1" applyNumberFormat="1" applyFont="1" applyFill="1" applyBorder="1"/>
    <xf numFmtId="0" fontId="2" fillId="4" borderId="22" xfId="0" applyFont="1" applyFill="1" applyBorder="1"/>
    <xf numFmtId="9" fontId="7" fillId="4" borderId="0" xfId="1" applyNumberFormat="1" applyFont="1" applyFill="1" applyBorder="1"/>
    <xf numFmtId="0" fontId="0" fillId="0" borderId="0" xfId="0" applyBorder="1"/>
    <xf numFmtId="0" fontId="0" fillId="4" borderId="0" xfId="0" applyFill="1" applyBorder="1" applyAlignment="1">
      <alignment horizontal="left" indent="2"/>
    </xf>
    <xf numFmtId="0" fontId="0" fillId="4" borderId="28" xfId="0" applyFont="1" applyFill="1" applyBorder="1" applyAlignment="1">
      <alignment horizontal="left" indent="2"/>
    </xf>
    <xf numFmtId="0" fontId="0" fillId="4" borderId="27" xfId="0" applyFill="1" applyBorder="1"/>
    <xf numFmtId="2" fontId="0" fillId="0" borderId="0" xfId="0" applyNumberFormat="1"/>
    <xf numFmtId="0" fontId="18" fillId="4" borderId="0" xfId="0" applyFont="1" applyFill="1" applyBorder="1" applyAlignment="1">
      <alignment horizontal="left" indent="2"/>
    </xf>
    <xf numFmtId="3" fontId="0" fillId="4" borderId="15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0" fontId="0" fillId="4" borderId="0" xfId="0" applyNumberFormat="1" applyFill="1" applyBorder="1"/>
    <xf numFmtId="0" fontId="0" fillId="4" borderId="0" xfId="0" applyFill="1" applyAlignment="1">
      <alignment horizontal="left"/>
    </xf>
    <xf numFmtId="0" fontId="0" fillId="4" borderId="12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3" fontId="0" fillId="4" borderId="22" xfId="0" applyNumberFormat="1" applyFont="1" applyFill="1" applyBorder="1" applyAlignment="1">
      <alignment horizontal="left"/>
    </xf>
    <xf numFmtId="3" fontId="0" fillId="4" borderId="0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0" fontId="0" fillId="4" borderId="0" xfId="0" applyNumberForma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10" fontId="0" fillId="4" borderId="0" xfId="1" applyNumberFormat="1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0" fontId="0" fillId="4" borderId="9" xfId="1" applyNumberFormat="1" applyFont="1" applyFill="1" applyBorder="1" applyAlignment="1">
      <alignment horizontal="right"/>
    </xf>
    <xf numFmtId="0" fontId="9" fillId="4" borderId="0" xfId="0" applyFont="1" applyFill="1" applyBorder="1"/>
    <xf numFmtId="1" fontId="7" fillId="4" borderId="0" xfId="1" applyNumberFormat="1" applyFont="1" applyFill="1" applyBorder="1" applyAlignment="1">
      <alignment vertical="top" wrapText="1"/>
    </xf>
    <xf numFmtId="4" fontId="23" fillId="4" borderId="0" xfId="0" applyNumberFormat="1" applyFont="1" applyFill="1" applyBorder="1"/>
    <xf numFmtId="10" fontId="0" fillId="4" borderId="5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10" fontId="0" fillId="4" borderId="6" xfId="0" applyNumberFormat="1" applyFont="1" applyFill="1" applyBorder="1" applyAlignment="1">
      <alignment horizontal="right"/>
    </xf>
    <xf numFmtId="0" fontId="9" fillId="4" borderId="29" xfId="0" applyFont="1" applyFill="1" applyBorder="1"/>
    <xf numFmtId="4" fontId="19" fillId="4" borderId="0" xfId="0" applyNumberFormat="1" applyFont="1" applyFill="1" applyBorder="1"/>
    <xf numFmtId="0" fontId="0" fillId="4" borderId="5" xfId="0" applyFont="1" applyFill="1" applyBorder="1" applyAlignment="1">
      <alignment horizontal="left" indent="2"/>
    </xf>
    <xf numFmtId="10" fontId="0" fillId="4" borderId="5" xfId="1" applyNumberFormat="1" applyFont="1" applyFill="1" applyBorder="1" applyAlignment="1">
      <alignment horizontal="left"/>
    </xf>
    <xf numFmtId="0" fontId="9" fillId="4" borderId="5" xfId="0" applyFont="1" applyFill="1" applyBorder="1"/>
    <xf numFmtId="0" fontId="0" fillId="0" borderId="0" xfId="0" applyNumberFormat="1"/>
    <xf numFmtId="0" fontId="0" fillId="4" borderId="0" xfId="0" applyNumberFormat="1" applyFill="1" applyBorder="1" applyAlignment="1">
      <alignment horizontal="left"/>
    </xf>
    <xf numFmtId="0" fontId="0" fillId="4" borderId="19" xfId="1" applyNumberFormat="1" applyFont="1" applyFill="1" applyBorder="1" applyAlignment="1">
      <alignment horizontal="right"/>
    </xf>
    <xf numFmtId="0" fontId="0" fillId="4" borderId="9" xfId="1" applyNumberFormat="1" applyFont="1" applyFill="1" applyBorder="1" applyAlignment="1">
      <alignment horizontal="right"/>
    </xf>
    <xf numFmtId="0" fontId="20" fillId="4" borderId="17" xfId="0" applyFont="1" applyFill="1" applyBorder="1"/>
    <xf numFmtId="0" fontId="20" fillId="4" borderId="30" xfId="0" applyFont="1" applyFill="1" applyBorder="1"/>
    <xf numFmtId="4" fontId="7" fillId="4" borderId="30" xfId="0" applyNumberFormat="1" applyFont="1" applyFill="1" applyBorder="1"/>
    <xf numFmtId="0" fontId="17" fillId="4" borderId="1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horizontal="left" indent="2"/>
    </xf>
    <xf numFmtId="0" fontId="0" fillId="4" borderId="31" xfId="0" applyFont="1" applyFill="1" applyBorder="1" applyAlignment="1">
      <alignment horizontal="left" indent="2"/>
    </xf>
    <xf numFmtId="3" fontId="7" fillId="4" borderId="7" xfId="0" applyNumberFormat="1" applyFont="1" applyFill="1" applyBorder="1" applyAlignment="1">
      <alignment vertical="top" wrapText="1"/>
    </xf>
    <xf numFmtId="4" fontId="0" fillId="4" borderId="7" xfId="0" applyNumberFormat="1" applyFont="1" applyFill="1" applyBorder="1" applyAlignment="1">
      <alignment vertical="top" wrapText="1"/>
    </xf>
    <xf numFmtId="4" fontId="7" fillId="4" borderId="7" xfId="0" applyNumberFormat="1" applyFont="1" applyFill="1" applyBorder="1" applyAlignment="1">
      <alignment vertical="top" wrapText="1"/>
    </xf>
    <xf numFmtId="4" fontId="7" fillId="4" borderId="7" xfId="0" applyNumberFormat="1" applyFont="1" applyFill="1" applyBorder="1"/>
    <xf numFmtId="4" fontId="5" fillId="4" borderId="7" xfId="2" applyNumberFormat="1" applyFill="1" applyBorder="1"/>
    <xf numFmtId="4" fontId="0" fillId="4" borderId="7" xfId="0" applyNumberFormat="1" applyFill="1" applyBorder="1"/>
    <xf numFmtId="0" fontId="0" fillId="4" borderId="5" xfId="0" applyFill="1" applyBorder="1" applyAlignment="1">
      <alignment vertical="top" wrapText="1"/>
    </xf>
    <xf numFmtId="0" fontId="7" fillId="4" borderId="4" xfId="0" applyFont="1" applyFill="1" applyBorder="1" applyAlignment="1">
      <alignment vertical="top" wrapText="1"/>
    </xf>
    <xf numFmtId="0" fontId="7" fillId="4" borderId="5" xfId="0" applyFont="1" applyFill="1" applyBorder="1" applyAlignment="1">
      <alignment vertical="top"/>
    </xf>
    <xf numFmtId="0" fontId="7" fillId="4" borderId="23" xfId="0" applyFont="1" applyFill="1" applyBorder="1" applyAlignment="1">
      <alignment vertical="top" wrapText="1"/>
    </xf>
    <xf numFmtId="10" fontId="5" fillId="4" borderId="0" xfId="2" applyNumberFormat="1" applyFill="1" applyBorder="1"/>
    <xf numFmtId="10" fontId="5" fillId="4" borderId="0" xfId="2" applyNumberFormat="1" applyFont="1" applyFill="1" applyBorder="1"/>
    <xf numFmtId="0" fontId="7" fillId="4" borderId="0" xfId="0" applyFont="1" applyFill="1" applyBorder="1" applyAlignment="1">
      <alignment wrapText="1"/>
    </xf>
    <xf numFmtId="0" fontId="0" fillId="4" borderId="0" xfId="0" applyFill="1" applyBorder="1" applyAlignment="1">
      <alignment vertical="top" wrapText="1"/>
    </xf>
    <xf numFmtId="4" fontId="5" fillId="7" borderId="2" xfId="2" applyNumberFormat="1" applyFill="1" applyBorder="1"/>
    <xf numFmtId="4" fontId="5" fillId="7" borderId="3" xfId="2" applyNumberFormat="1" applyFill="1" applyBorder="1"/>
    <xf numFmtId="4" fontId="5" fillId="7" borderId="0" xfId="2" applyNumberFormat="1" applyFill="1" applyBorder="1"/>
    <xf numFmtId="4" fontId="5" fillId="7" borderId="7" xfId="2" applyNumberFormat="1" applyFill="1" applyBorder="1"/>
    <xf numFmtId="4" fontId="5" fillId="7" borderId="5" xfId="2" applyNumberFormat="1" applyFill="1" applyBorder="1"/>
    <xf numFmtId="4" fontId="5" fillId="7" borderId="4" xfId="2" applyNumberFormat="1" applyFill="1" applyBorder="1"/>
    <xf numFmtId="4" fontId="7" fillId="4" borderId="2" xfId="0" applyNumberFormat="1" applyFont="1" applyFill="1" applyBorder="1"/>
    <xf numFmtId="4" fontId="5" fillId="4" borderId="2" xfId="2" applyNumberFormat="1" applyFill="1" applyBorder="1"/>
    <xf numFmtId="0" fontId="2" fillId="4" borderId="24" xfId="0" applyFont="1" applyFill="1" applyBorder="1"/>
    <xf numFmtId="2" fontId="0" fillId="4" borderId="3" xfId="0" applyNumberFormat="1" applyFill="1" applyBorder="1"/>
    <xf numFmtId="165" fontId="2" fillId="4" borderId="24" xfId="1" applyNumberFormat="1" applyFont="1" applyFill="1" applyBorder="1"/>
    <xf numFmtId="0" fontId="22" fillId="4" borderId="17" xfId="0" applyFont="1" applyFill="1" applyBorder="1"/>
    <xf numFmtId="0" fontId="7" fillId="4" borderId="30" xfId="0" applyFont="1" applyFill="1" applyBorder="1"/>
    <xf numFmtId="4" fontId="7" fillId="4" borderId="32" xfId="0" applyNumberFormat="1" applyFont="1" applyFill="1" applyBorder="1"/>
    <xf numFmtId="0" fontId="7" fillId="4" borderId="24" xfId="0" applyFont="1" applyFill="1" applyBorder="1"/>
    <xf numFmtId="10" fontId="0" fillId="4" borderId="9" xfId="0" applyNumberFormat="1" applyFill="1" applyBorder="1"/>
    <xf numFmtId="10" fontId="0" fillId="4" borderId="9" xfId="0" applyNumberFormat="1" applyFont="1" applyFill="1" applyBorder="1" applyAlignment="1">
      <alignment horizontal="right"/>
    </xf>
    <xf numFmtId="0" fontId="17" fillId="4" borderId="0" xfId="0" applyFont="1" applyFill="1" applyBorder="1"/>
    <xf numFmtId="0" fontId="17" fillId="4" borderId="20" xfId="0" applyFont="1" applyFill="1" applyBorder="1"/>
    <xf numFmtId="0" fontId="0" fillId="4" borderId="33" xfId="0" applyFont="1" applyFill="1" applyBorder="1" applyAlignment="1">
      <alignment horizontal="center"/>
    </xf>
    <xf numFmtId="164" fontId="18" fillId="4" borderId="6" xfId="1" applyNumberFormat="1" applyFont="1" applyFill="1" applyBorder="1" applyAlignment="1">
      <alignment horizontal="right"/>
    </xf>
    <xf numFmtId="10" fontId="0" fillId="4" borderId="6" xfId="1" applyNumberFormat="1" applyFont="1" applyFill="1" applyBorder="1" applyAlignment="1">
      <alignment horizontal="right"/>
    </xf>
    <xf numFmtId="0" fontId="17" fillId="4" borderId="11" xfId="0" applyFont="1" applyFill="1" applyBorder="1"/>
    <xf numFmtId="0" fontId="0" fillId="4" borderId="34" xfId="0" applyFont="1" applyFill="1" applyBorder="1" applyAlignment="1">
      <alignment horizontal="center"/>
    </xf>
    <xf numFmtId="10" fontId="0" fillId="4" borderId="12" xfId="0" applyNumberFormat="1" applyFont="1" applyFill="1" applyBorder="1" applyAlignment="1">
      <alignment horizontal="right"/>
    </xf>
    <xf numFmtId="0" fontId="0" fillId="4" borderId="12" xfId="0" applyFill="1" applyBorder="1" applyAlignment="1">
      <alignment horizontal="left"/>
    </xf>
    <xf numFmtId="10" fontId="0" fillId="4" borderId="5" xfId="0" applyNumberFormat="1" applyFill="1" applyBorder="1"/>
    <xf numFmtId="10" fontId="0" fillId="0" borderId="0" xfId="0" applyNumberFormat="1"/>
    <xf numFmtId="2" fontId="0" fillId="4" borderId="9" xfId="0" applyNumberFormat="1" applyFill="1" applyBorder="1"/>
    <xf numFmtId="2" fontId="0" fillId="0" borderId="9" xfId="0" applyNumberFormat="1" applyBorder="1"/>
    <xf numFmtId="9" fontId="0" fillId="4" borderId="0" xfId="0" applyNumberFormat="1" applyFill="1" applyBorder="1" applyAlignment="1">
      <alignment horizontal="left"/>
    </xf>
    <xf numFmtId="0" fontId="24" fillId="0" borderId="0" xfId="0" applyFont="1"/>
    <xf numFmtId="0" fontId="25" fillId="4" borderId="0" xfId="14" applyFill="1" applyBorder="1"/>
    <xf numFmtId="0" fontId="7" fillId="0" borderId="0" xfId="0" applyFont="1"/>
    <xf numFmtId="167" fontId="0" fillId="4" borderId="9" xfId="0" applyNumberFormat="1" applyFont="1" applyFill="1" applyBorder="1" applyAlignment="1">
      <alignment horizontal="right"/>
    </xf>
    <xf numFmtId="168" fontId="0" fillId="4" borderId="9" xfId="0" applyNumberFormat="1" applyFont="1" applyFill="1" applyBorder="1" applyAlignment="1">
      <alignment horizontal="right"/>
    </xf>
    <xf numFmtId="0" fontId="9" fillId="8" borderId="9" xfId="0" applyFont="1" applyFill="1" applyBorder="1"/>
    <xf numFmtId="10" fontId="27" fillId="4" borderId="0" xfId="0" applyNumberFormat="1" applyFont="1" applyFill="1" applyBorder="1" applyAlignment="1">
      <alignment horizontal="left"/>
    </xf>
    <xf numFmtId="3" fontId="0" fillId="0" borderId="9" xfId="0" applyNumberFormat="1" applyFont="1" applyFill="1" applyBorder="1" applyAlignment="1">
      <alignment horizontal="right"/>
    </xf>
    <xf numFmtId="10" fontId="0" fillId="0" borderId="9" xfId="1" applyNumberFormat="1" applyFont="1" applyFill="1" applyBorder="1"/>
    <xf numFmtId="4" fontId="0" fillId="0" borderId="0" xfId="0" applyNumberFormat="1"/>
    <xf numFmtId="169" fontId="7" fillId="4" borderId="0" xfId="1" applyNumberFormat="1" applyFont="1" applyFill="1" applyBorder="1" applyAlignment="1">
      <alignment vertical="top" wrapText="1"/>
    </xf>
    <xf numFmtId="10" fontId="0" fillId="0" borderId="9" xfId="0" applyNumberFormat="1" applyFont="1" applyFill="1" applyBorder="1" applyAlignment="1">
      <alignment horizontal="right"/>
    </xf>
    <xf numFmtId="165" fontId="0" fillId="4" borderId="9" xfId="1" applyNumberFormat="1" applyFont="1" applyFill="1" applyBorder="1"/>
    <xf numFmtId="0" fontId="24" fillId="0" borderId="0" xfId="0" applyFont="1" applyAlignment="1"/>
    <xf numFmtId="0" fontId="25" fillId="0" borderId="0" xfId="14"/>
    <xf numFmtId="3" fontId="0" fillId="4" borderId="0" xfId="0" applyNumberFormat="1" applyFont="1" applyFill="1" applyBorder="1" applyAlignment="1">
      <alignment horizontal="right"/>
    </xf>
    <xf numFmtId="9" fontId="1" fillId="4" borderId="0" xfId="1" applyFont="1" applyFill="1" applyBorder="1" applyAlignment="1">
      <alignment horizontal="right"/>
    </xf>
    <xf numFmtId="0" fontId="0" fillId="4" borderId="1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25"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Good" xfId="2" builtinId="26"/>
    <cellStyle name="Hyperlink" xfId="10" builtinId="8" hidden="1"/>
    <cellStyle name="Hyperlink" xfId="12" builtinId="8" hidden="1"/>
    <cellStyle name="Hyperlink" xfId="14" builtinId="8"/>
    <cellStyle name="Input" xfId="3" builtinId="20"/>
    <cellStyle name="Input cel" xfId="4"/>
    <cellStyle name="Linked Cell" xfId="9" builtinId="24"/>
    <cellStyle name="Normal" xfId="0" builtinId="0"/>
    <cellStyle name="Normal 2" xfId="5"/>
    <cellStyle name="Percent" xfId="1" builtinId="5"/>
    <cellStyle name="Percent 2" xfId="6"/>
    <cellStyle name="Percent 3" xfId="7"/>
    <cellStyle name="Warning Text 3" xfId="8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end/etdataset/analyses/6_residen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E20">
            <v>292481.03262334003</v>
          </cell>
        </row>
        <row r="21">
          <cell r="E21">
            <v>71970.539521814397</v>
          </cell>
        </row>
        <row r="22">
          <cell r="E22">
            <v>6530.3137113401999</v>
          </cell>
        </row>
        <row r="23">
          <cell r="E23">
            <v>12127.725463917501</v>
          </cell>
        </row>
        <row r="24">
          <cell r="E24">
            <v>9890.7872362886592</v>
          </cell>
        </row>
        <row r="25">
          <cell r="E25">
            <v>57833.111258999998</v>
          </cell>
        </row>
      </sheetData>
      <sheetData sheetId="7"/>
      <sheetData sheetId="8">
        <row r="11">
          <cell r="P11">
            <v>1.0669999999999999</v>
          </cell>
        </row>
        <row r="12">
          <cell r="P12">
            <v>1</v>
          </cell>
        </row>
        <row r="13">
          <cell r="P13">
            <v>4.8000000000000078</v>
          </cell>
        </row>
        <row r="14">
          <cell r="P14">
            <v>0.88</v>
          </cell>
        </row>
        <row r="15">
          <cell r="P15">
            <v>1</v>
          </cell>
        </row>
        <row r="16">
          <cell r="P16">
            <v>4.5000000000000044</v>
          </cell>
        </row>
        <row r="17">
          <cell r="P17">
            <v>0.82</v>
          </cell>
        </row>
        <row r="18">
          <cell r="P18">
            <v>1</v>
          </cell>
        </row>
        <row r="19">
          <cell r="P19">
            <v>0.8</v>
          </cell>
        </row>
        <row r="20">
          <cell r="P20">
            <v>0.85</v>
          </cell>
        </row>
        <row r="21">
          <cell r="P21">
            <v>0.8</v>
          </cell>
        </row>
        <row r="22">
          <cell r="P22">
            <v>4.4999999999999885</v>
          </cell>
        </row>
        <row r="23">
          <cell r="P23">
            <v>1.0669999999999999</v>
          </cell>
        </row>
        <row r="26">
          <cell r="P26">
            <v>0.9</v>
          </cell>
        </row>
        <row r="27">
          <cell r="P27">
            <v>1</v>
          </cell>
        </row>
        <row r="28">
          <cell r="P28">
            <v>3.0000000000000031</v>
          </cell>
        </row>
        <row r="29">
          <cell r="P29">
            <v>0.88</v>
          </cell>
        </row>
        <row r="30">
          <cell r="P30">
            <v>1</v>
          </cell>
        </row>
        <row r="31">
          <cell r="P31">
            <v>3.0000000000000031</v>
          </cell>
        </row>
        <row r="32">
          <cell r="P32">
            <v>0.82</v>
          </cell>
        </row>
        <row r="33">
          <cell r="P33">
            <v>0.95</v>
          </cell>
        </row>
        <row r="34">
          <cell r="P34">
            <v>0.67</v>
          </cell>
        </row>
        <row r="35">
          <cell r="P35">
            <v>0.85</v>
          </cell>
        </row>
        <row r="36">
          <cell r="P36">
            <v>0.8</v>
          </cell>
        </row>
        <row r="37">
          <cell r="P37">
            <v>0.2</v>
          </cell>
        </row>
        <row r="38">
          <cell r="P38">
            <v>3.0000000000000044</v>
          </cell>
        </row>
        <row r="39">
          <cell r="P39">
            <v>0.9</v>
          </cell>
        </row>
        <row r="42">
          <cell r="P42">
            <v>18.999999999050001</v>
          </cell>
        </row>
        <row r="43">
          <cell r="P43">
            <v>4.5000000000000044</v>
          </cell>
        </row>
        <row r="44">
          <cell r="P44">
            <v>4</v>
          </cell>
        </row>
        <row r="47">
          <cell r="P47">
            <v>0.4</v>
          </cell>
        </row>
        <row r="48">
          <cell r="P48">
            <v>0.55000000000000004</v>
          </cell>
        </row>
        <row r="49">
          <cell r="P49">
            <v>0.6</v>
          </cell>
        </row>
        <row r="50">
          <cell r="P50">
            <v>0.85</v>
          </cell>
        </row>
        <row r="51">
          <cell r="P51">
            <v>0.3</v>
          </cell>
        </row>
        <row r="54">
          <cell r="P54">
            <v>0.05</v>
          </cell>
        </row>
        <row r="55">
          <cell r="P55">
            <v>0.25</v>
          </cell>
        </row>
        <row r="56">
          <cell r="P56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1">
          <cell r="C11">
            <v>205.11</v>
          </cell>
          <cell r="D11">
            <v>331545.53000000003</v>
          </cell>
          <cell r="E11">
            <v>3700.96</v>
          </cell>
          <cell r="F11">
            <v>12820.53</v>
          </cell>
          <cell r="G11">
            <v>934.83</v>
          </cell>
          <cell r="I11">
            <v>90491.49</v>
          </cell>
          <cell r="J11">
            <v>11141.87</v>
          </cell>
          <cell r="L11">
            <v>451110.33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limaatmonitor.databank.nl/Jive?sel_guid=595eadb3-c2c4-41d1-993a-a65d88f18af6" TargetMode="External"/><Relationship Id="rId2" Type="http://schemas.openxmlformats.org/officeDocument/2006/relationships/hyperlink" Target="https://klimaatmonitor.databank.nl/Jive?sel_guid=2c8efaaa-1038-47b3-bebf-4b576c6ac2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J192"/>
  <sheetViews>
    <sheetView tabSelected="1" topLeftCell="A19" workbookViewId="0">
      <selection activeCell="M40" sqref="M40"/>
    </sheetView>
  </sheetViews>
  <sheetFormatPr baseColWidth="10" defaultRowHeight="16" x14ac:dyDescent="0.2"/>
  <cols>
    <col min="2" max="2" width="29.83203125" customWidth="1"/>
    <col min="3" max="3" width="75.5" customWidth="1"/>
    <col min="4" max="4" width="13" customWidth="1"/>
    <col min="5" max="5" width="13.33203125" style="133" customWidth="1"/>
    <col min="6" max="6" width="24.5" customWidth="1"/>
    <col min="8" max="8" width="112.1640625" customWidth="1"/>
  </cols>
  <sheetData>
    <row r="1" spans="1:10" x14ac:dyDescent="0.2">
      <c r="A1" s="1"/>
      <c r="B1" s="1"/>
      <c r="C1" s="1"/>
      <c r="D1" s="1"/>
      <c r="E1" s="122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22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22"/>
      <c r="F3" s="1"/>
      <c r="G3" s="1"/>
      <c r="H3" s="1"/>
      <c r="I3" s="1"/>
      <c r="J3" s="1"/>
    </row>
    <row r="4" spans="1:10" ht="17" thickBot="1" x14ac:dyDescent="0.25">
      <c r="A4" s="1"/>
      <c r="B4" s="1"/>
      <c r="C4" s="1"/>
      <c r="D4" s="1"/>
      <c r="E4" s="122"/>
      <c r="F4" s="1"/>
      <c r="G4" s="1"/>
      <c r="H4" s="1"/>
      <c r="I4" s="1"/>
      <c r="J4" s="1"/>
    </row>
    <row r="5" spans="1:10" x14ac:dyDescent="0.2">
      <c r="A5" s="1"/>
      <c r="B5" s="9" t="s">
        <v>160</v>
      </c>
      <c r="C5" s="10"/>
      <c r="D5" s="11"/>
      <c r="E5" s="123"/>
      <c r="F5" s="12"/>
      <c r="G5" s="13"/>
      <c r="H5" s="13"/>
      <c r="I5" s="59"/>
      <c r="J5" s="1"/>
    </row>
    <row r="6" spans="1:10" x14ac:dyDescent="0.2">
      <c r="A6" s="1"/>
      <c r="B6" s="14"/>
      <c r="C6" s="15"/>
      <c r="D6" s="16"/>
      <c r="E6" s="50"/>
      <c r="F6" s="17"/>
      <c r="G6" s="3"/>
      <c r="H6" s="3"/>
      <c r="I6" s="60"/>
      <c r="J6" s="1"/>
    </row>
    <row r="7" spans="1:10" x14ac:dyDescent="0.2">
      <c r="A7" s="1"/>
      <c r="B7" s="48" t="s">
        <v>6</v>
      </c>
      <c r="C7" s="49"/>
      <c r="D7" s="49" t="s">
        <v>7</v>
      </c>
      <c r="E7" s="124" t="s">
        <v>234</v>
      </c>
      <c r="F7" s="49" t="s">
        <v>8</v>
      </c>
      <c r="G7" s="49"/>
      <c r="H7" s="49" t="s">
        <v>9</v>
      </c>
      <c r="I7" s="61"/>
      <c r="J7" s="1"/>
    </row>
    <row r="8" spans="1:10" x14ac:dyDescent="0.2">
      <c r="A8" s="1"/>
      <c r="B8" s="22" t="s">
        <v>77</v>
      </c>
      <c r="C8" s="7"/>
      <c r="D8" s="18"/>
      <c r="E8" s="125"/>
      <c r="F8" s="19"/>
      <c r="G8" s="7"/>
      <c r="H8" s="7" t="s">
        <v>214</v>
      </c>
      <c r="I8" s="62"/>
      <c r="J8" s="1"/>
    </row>
    <row r="9" spans="1:10" x14ac:dyDescent="0.2">
      <c r="A9" s="1"/>
      <c r="B9" s="22"/>
      <c r="C9" s="7"/>
      <c r="D9" s="18"/>
      <c r="E9" s="125"/>
      <c r="F9" s="19"/>
      <c r="G9" s="7"/>
      <c r="H9" s="215" t="s">
        <v>276</v>
      </c>
      <c r="I9" s="62"/>
      <c r="J9" s="1"/>
    </row>
    <row r="10" spans="1:10" x14ac:dyDescent="0.2">
      <c r="A10" s="1"/>
      <c r="B10" s="22"/>
      <c r="C10" s="7"/>
      <c r="D10" s="18"/>
      <c r="E10" s="125"/>
      <c r="F10" s="19"/>
      <c r="G10" s="7"/>
      <c r="H10" s="215" t="s">
        <v>278</v>
      </c>
      <c r="I10" s="62"/>
      <c r="J10" s="1"/>
    </row>
    <row r="11" spans="1:10" x14ac:dyDescent="0.2">
      <c r="A11" s="1"/>
      <c r="B11" s="22"/>
      <c r="C11" s="7"/>
      <c r="D11" s="18"/>
      <c r="E11" s="125"/>
      <c r="F11" s="19"/>
      <c r="G11" s="7"/>
      <c r="H11" s="7" t="s">
        <v>213</v>
      </c>
      <c r="I11" s="62"/>
      <c r="J11" s="1"/>
    </row>
    <row r="12" spans="1:10" x14ac:dyDescent="0.2">
      <c r="A12" s="1"/>
      <c r="B12" s="22"/>
      <c r="C12" s="7"/>
      <c r="D12" s="18"/>
      <c r="E12" s="125"/>
      <c r="F12" s="19"/>
      <c r="G12" s="7"/>
      <c r="H12" s="202" t="s">
        <v>279</v>
      </c>
      <c r="I12" s="62"/>
      <c r="J12" s="1"/>
    </row>
    <row r="13" spans="1:10" ht="17" thickBot="1" x14ac:dyDescent="0.25">
      <c r="A13" s="1"/>
      <c r="B13" s="22"/>
      <c r="C13" s="7"/>
      <c r="D13" s="18"/>
      <c r="E13" s="125"/>
      <c r="F13" s="19"/>
      <c r="G13" s="7"/>
      <c r="I13" s="62"/>
      <c r="J13" s="1"/>
    </row>
    <row r="14" spans="1:10" ht="17" thickBot="1" x14ac:dyDescent="0.25">
      <c r="A14" s="1"/>
      <c r="B14" s="22"/>
      <c r="C14" s="15" t="s">
        <v>280</v>
      </c>
      <c r="D14" s="18" t="s">
        <v>116</v>
      </c>
      <c r="E14" s="125"/>
      <c r="F14" s="52">
        <v>918</v>
      </c>
      <c r="G14" s="7"/>
      <c r="H14" s="6" t="s">
        <v>281</v>
      </c>
      <c r="I14" s="62"/>
      <c r="J14" s="1"/>
    </row>
    <row r="15" spans="1:10" ht="17" thickBot="1" x14ac:dyDescent="0.25">
      <c r="A15" s="1"/>
      <c r="B15" s="22"/>
      <c r="C15" s="15" t="s">
        <v>282</v>
      </c>
      <c r="D15" s="18" t="s">
        <v>116</v>
      </c>
      <c r="E15" s="125"/>
      <c r="F15" s="52">
        <v>98239</v>
      </c>
      <c r="G15" s="7"/>
      <c r="H15" s="6" t="s">
        <v>283</v>
      </c>
      <c r="I15" s="62"/>
      <c r="J15" s="1"/>
    </row>
    <row r="16" spans="1:10" ht="17" thickBot="1" x14ac:dyDescent="0.25">
      <c r="A16" s="1"/>
      <c r="B16" s="22"/>
      <c r="C16" s="15" t="s">
        <v>284</v>
      </c>
      <c r="D16" s="18" t="s">
        <v>116</v>
      </c>
      <c r="E16" s="125"/>
      <c r="F16" s="52">
        <v>7587029</v>
      </c>
      <c r="G16" s="7"/>
      <c r="H16" s="58" t="s">
        <v>283</v>
      </c>
      <c r="I16" s="62"/>
      <c r="J16" s="1"/>
    </row>
    <row r="17" spans="1:10" ht="17" thickBot="1" x14ac:dyDescent="0.25">
      <c r="A17" s="1"/>
      <c r="B17" s="22"/>
      <c r="C17" s="15" t="s">
        <v>285</v>
      </c>
      <c r="D17" s="18" t="s">
        <v>157</v>
      </c>
      <c r="E17" s="125"/>
      <c r="F17" s="186">
        <v>0</v>
      </c>
      <c r="G17" s="7"/>
      <c r="H17" s="58" t="s">
        <v>286</v>
      </c>
      <c r="I17" s="62"/>
      <c r="J17" s="1"/>
    </row>
    <row r="18" spans="1:10" ht="17" thickBot="1" x14ac:dyDescent="0.25">
      <c r="A18" s="1"/>
      <c r="B18" s="22"/>
      <c r="C18" s="15" t="s">
        <v>156</v>
      </c>
      <c r="D18" s="18" t="s">
        <v>157</v>
      </c>
      <c r="E18" s="125"/>
      <c r="F18" s="212">
        <v>9.9000000000000008E-3</v>
      </c>
      <c r="G18" s="7"/>
      <c r="H18" s="6" t="s">
        <v>165</v>
      </c>
      <c r="I18" s="62"/>
      <c r="J18" s="1"/>
    </row>
    <row r="19" spans="1:10" ht="17" thickBot="1" x14ac:dyDescent="0.25">
      <c r="A19" s="1"/>
      <c r="B19" s="22"/>
      <c r="C19" s="15" t="s">
        <v>158</v>
      </c>
      <c r="D19" s="16" t="s">
        <v>239</v>
      </c>
      <c r="E19" s="125"/>
      <c r="F19" s="52">
        <f>308*0.62</f>
        <v>190.96</v>
      </c>
      <c r="G19" s="7"/>
      <c r="H19" s="6" t="s">
        <v>287</v>
      </c>
      <c r="I19" s="62"/>
      <c r="J19" s="1"/>
    </row>
    <row r="20" spans="1:10" x14ac:dyDescent="0.2">
      <c r="A20" s="1"/>
      <c r="B20" s="22"/>
      <c r="C20" s="15"/>
      <c r="D20" s="16"/>
      <c r="E20" s="125"/>
      <c r="F20" s="216"/>
      <c r="G20" s="7"/>
      <c r="H20" s="3"/>
      <c r="I20" s="62"/>
      <c r="J20" s="1"/>
    </row>
    <row r="21" spans="1:10" ht="17" thickBot="1" x14ac:dyDescent="0.25">
      <c r="A21" s="1"/>
      <c r="B21" s="22"/>
      <c r="C21" s="50" t="s">
        <v>112</v>
      </c>
      <c r="D21" s="24"/>
      <c r="E21" s="50"/>
      <c r="F21" s="217"/>
      <c r="G21" s="25" t="s">
        <v>290</v>
      </c>
      <c r="H21" s="3"/>
      <c r="I21" s="60"/>
      <c r="J21" s="1"/>
    </row>
    <row r="22" spans="1:10" ht="17" thickBot="1" x14ac:dyDescent="0.25">
      <c r="A22" s="1"/>
      <c r="B22" s="22"/>
      <c r="C22" s="51" t="s">
        <v>71</v>
      </c>
      <c r="D22" s="120" t="s">
        <v>39</v>
      </c>
      <c r="E22" s="126"/>
      <c r="F22" s="52">
        <f>G22*F14</f>
        <v>3038580</v>
      </c>
      <c r="G22" s="50">
        <v>3310</v>
      </c>
      <c r="H22" s="6" t="s">
        <v>291</v>
      </c>
      <c r="I22" s="60"/>
      <c r="J22" s="1"/>
    </row>
    <row r="23" spans="1:10" ht="17" thickBot="1" x14ac:dyDescent="0.25">
      <c r="A23" s="1"/>
      <c r="B23" s="22"/>
      <c r="C23" s="51" t="s">
        <v>23</v>
      </c>
      <c r="D23" s="120" t="s">
        <v>42</v>
      </c>
      <c r="E23" s="126"/>
      <c r="F23" s="52">
        <f>F14*1160</f>
        <v>1064880</v>
      </c>
      <c r="G23" s="25"/>
      <c r="H23" s="6" t="s">
        <v>277</v>
      </c>
      <c r="I23" s="60"/>
      <c r="J23" s="1"/>
    </row>
    <row r="24" spans="1:10" ht="17" thickBot="1" x14ac:dyDescent="0.25">
      <c r="A24" s="1"/>
      <c r="B24" s="22"/>
      <c r="C24" s="51" t="s">
        <v>85</v>
      </c>
      <c r="D24" s="120" t="s">
        <v>113</v>
      </c>
      <c r="E24" s="127">
        <v>18364</v>
      </c>
      <c r="F24" s="6">
        <f>40*(F14/F15)</f>
        <v>0.37378230641598553</v>
      </c>
      <c r="G24" s="25"/>
      <c r="H24" s="6" t="s">
        <v>288</v>
      </c>
      <c r="I24" s="60"/>
      <c r="J24" s="1"/>
    </row>
    <row r="25" spans="1:10" ht="17" thickBot="1" x14ac:dyDescent="0.25">
      <c r="A25" s="1"/>
      <c r="B25" s="22"/>
      <c r="C25" s="51" t="s">
        <v>86</v>
      </c>
      <c r="D25" s="119" t="s">
        <v>113</v>
      </c>
      <c r="E25" s="127">
        <v>12076</v>
      </c>
      <c r="F25" s="208">
        <v>0</v>
      </c>
      <c r="G25" s="25"/>
      <c r="H25" s="6" t="s">
        <v>240</v>
      </c>
      <c r="I25" s="60"/>
      <c r="J25" s="1"/>
    </row>
    <row r="26" spans="1:10" ht="17" thickBot="1" x14ac:dyDescent="0.25">
      <c r="A26" s="1"/>
      <c r="B26" s="22"/>
      <c r="C26" s="51" t="s">
        <v>73</v>
      </c>
      <c r="D26" s="119" t="s">
        <v>113</v>
      </c>
      <c r="E26" s="127">
        <v>1568</v>
      </c>
      <c r="F26" s="198">
        <f>(F14/F16)*E26</f>
        <v>0.18972169475034298</v>
      </c>
      <c r="G26" s="25"/>
      <c r="H26" s="6" t="s">
        <v>289</v>
      </c>
      <c r="I26" s="60"/>
      <c r="J26" s="1"/>
    </row>
    <row r="27" spans="1:10" ht="17" thickBot="1" x14ac:dyDescent="0.25">
      <c r="A27" s="1"/>
      <c r="B27" s="22"/>
      <c r="C27" s="51" t="s">
        <v>72</v>
      </c>
      <c r="D27" s="119" t="s">
        <v>113</v>
      </c>
      <c r="E27" s="127">
        <v>20</v>
      </c>
      <c r="F27" s="198">
        <f>(F14/F16)*E27</f>
        <v>2.4199195758972318E-3</v>
      </c>
      <c r="G27" s="25"/>
      <c r="H27" s="6" t="s">
        <v>289</v>
      </c>
      <c r="I27" s="60"/>
      <c r="J27" s="1"/>
    </row>
    <row r="28" spans="1:10" ht="17" thickBot="1" x14ac:dyDescent="0.25">
      <c r="A28" s="1"/>
      <c r="B28" s="188"/>
      <c r="C28" s="44"/>
      <c r="D28" s="189"/>
      <c r="E28" s="132"/>
      <c r="F28" s="190"/>
      <c r="G28" s="46"/>
      <c r="H28" s="47"/>
      <c r="I28" s="65"/>
      <c r="J28" s="1"/>
    </row>
    <row r="29" spans="1:10" x14ac:dyDescent="0.2">
      <c r="A29" s="1"/>
      <c r="B29" s="187"/>
      <c r="C29" s="15"/>
      <c r="D29" s="16"/>
      <c r="E29" s="50"/>
      <c r="F29" s="17"/>
      <c r="G29" s="26"/>
      <c r="H29" s="3"/>
      <c r="I29" s="3"/>
      <c r="J29" s="1"/>
    </row>
    <row r="30" spans="1:10" ht="17" thickBot="1" x14ac:dyDescent="0.25">
      <c r="A30" s="1"/>
      <c r="B30" s="187"/>
      <c r="C30" s="15"/>
      <c r="D30" s="16"/>
      <c r="E30" s="50"/>
      <c r="F30" s="17"/>
      <c r="G30" s="26"/>
      <c r="H30" s="3"/>
      <c r="I30" s="3"/>
      <c r="J30" s="1"/>
    </row>
    <row r="31" spans="1:10" x14ac:dyDescent="0.2">
      <c r="A31" s="1"/>
      <c r="B31" s="9" t="s">
        <v>159</v>
      </c>
      <c r="C31" s="10"/>
      <c r="D31" s="11"/>
      <c r="E31" s="123"/>
      <c r="F31" s="12"/>
      <c r="G31" s="13"/>
      <c r="H31" s="13"/>
      <c r="I31" s="59"/>
      <c r="J31" s="1"/>
    </row>
    <row r="32" spans="1:10" x14ac:dyDescent="0.2">
      <c r="A32" s="1"/>
      <c r="B32" s="14"/>
      <c r="C32" s="15"/>
      <c r="D32" s="16"/>
      <c r="E32" s="50"/>
      <c r="F32" s="17"/>
      <c r="G32" s="3"/>
      <c r="H32" s="3"/>
      <c r="I32" s="60"/>
      <c r="J32" s="1"/>
    </row>
    <row r="33" spans="1:10" x14ac:dyDescent="0.2">
      <c r="A33" s="1"/>
      <c r="B33" s="48" t="s">
        <v>227</v>
      </c>
      <c r="C33" s="49"/>
      <c r="D33" s="49" t="s">
        <v>7</v>
      </c>
      <c r="E33" s="124" t="s">
        <v>123</v>
      </c>
      <c r="F33" s="49" t="s">
        <v>8</v>
      </c>
      <c r="G33" s="49"/>
      <c r="H33" s="49" t="s">
        <v>9</v>
      </c>
      <c r="I33" s="61"/>
      <c r="J33" s="1"/>
    </row>
    <row r="34" spans="1:10" x14ac:dyDescent="0.2">
      <c r="A34" s="1"/>
      <c r="B34" s="22"/>
      <c r="C34" s="15"/>
      <c r="D34" s="24"/>
      <c r="E34" s="50"/>
      <c r="F34" s="17"/>
      <c r="G34" s="26"/>
      <c r="H34" s="3"/>
      <c r="I34" s="60"/>
      <c r="J34" s="1"/>
    </row>
    <row r="35" spans="1:10" x14ac:dyDescent="0.2">
      <c r="A35" s="1"/>
      <c r="B35" s="22" t="s">
        <v>79</v>
      </c>
      <c r="C35" s="15"/>
      <c r="D35" s="24"/>
      <c r="E35" s="50"/>
      <c r="F35" s="31"/>
      <c r="G35" s="26"/>
      <c r="H35" s="3"/>
      <c r="I35" s="60"/>
      <c r="J35" s="1"/>
    </row>
    <row r="36" spans="1:10" ht="17" thickBot="1" x14ac:dyDescent="0.25">
      <c r="A36" s="1"/>
      <c r="B36" s="22"/>
      <c r="C36" s="50" t="s">
        <v>114</v>
      </c>
      <c r="D36" s="24"/>
      <c r="E36" s="50"/>
      <c r="F36" s="31"/>
      <c r="G36" s="26"/>
      <c r="H36" s="3"/>
      <c r="I36" s="60"/>
      <c r="J36" s="1"/>
    </row>
    <row r="37" spans="1:10" ht="17" thickBot="1" x14ac:dyDescent="0.25">
      <c r="A37" s="1"/>
      <c r="B37" s="22"/>
      <c r="C37" s="51" t="s">
        <v>81</v>
      </c>
      <c r="D37" s="3"/>
      <c r="E37" s="129">
        <v>0.78700000000000003</v>
      </c>
      <c r="F37" s="54">
        <v>0.78700000000000003</v>
      </c>
      <c r="G37" s="26"/>
      <c r="H37" s="56" t="s">
        <v>173</v>
      </c>
      <c r="I37" s="60"/>
      <c r="J37" s="1"/>
    </row>
    <row r="38" spans="1:10" ht="17" thickBot="1" x14ac:dyDescent="0.25">
      <c r="A38" s="1"/>
      <c r="B38" s="22"/>
      <c r="C38" s="51" t="s">
        <v>82</v>
      </c>
      <c r="D38" s="3"/>
      <c r="E38" s="129">
        <v>0.159</v>
      </c>
      <c r="F38" s="54">
        <v>0.159</v>
      </c>
      <c r="G38" s="26"/>
      <c r="H38" s="56" t="s">
        <v>173</v>
      </c>
      <c r="I38" s="60"/>
      <c r="J38" s="1"/>
    </row>
    <row r="39" spans="1:10" ht="17" thickBot="1" x14ac:dyDescent="0.25">
      <c r="A39" s="1"/>
      <c r="B39" s="22"/>
      <c r="C39" s="51" t="s">
        <v>14</v>
      </c>
      <c r="D39" s="3"/>
      <c r="E39" s="129">
        <v>5.3999999999999999E-2</v>
      </c>
      <c r="F39" s="54">
        <v>5.3999999999999999E-2</v>
      </c>
      <c r="G39" s="26"/>
      <c r="H39" s="56" t="s">
        <v>173</v>
      </c>
      <c r="I39" s="60"/>
      <c r="J39" s="1"/>
    </row>
    <row r="40" spans="1:10" x14ac:dyDescent="0.2">
      <c r="A40" s="1"/>
      <c r="B40" s="27"/>
      <c r="C40" s="28"/>
      <c r="D40" s="29"/>
      <c r="E40" s="128"/>
      <c r="F40" s="32"/>
      <c r="G40" s="33"/>
      <c r="H40" s="2"/>
      <c r="I40" s="63"/>
      <c r="J40" s="1"/>
    </row>
    <row r="41" spans="1:10" x14ac:dyDescent="0.2">
      <c r="A41" s="1"/>
      <c r="B41" s="22" t="s">
        <v>80</v>
      </c>
      <c r="C41" s="15"/>
      <c r="D41" s="24"/>
      <c r="E41" s="50"/>
      <c r="F41" s="34"/>
      <c r="G41" s="26"/>
      <c r="H41" s="3"/>
      <c r="I41" s="60"/>
      <c r="J41" s="1"/>
    </row>
    <row r="42" spans="1:10" ht="17" thickBot="1" x14ac:dyDescent="0.25">
      <c r="A42" s="1"/>
      <c r="B42" s="22"/>
      <c r="C42" s="50" t="s">
        <v>115</v>
      </c>
      <c r="D42" s="24"/>
      <c r="E42" s="50"/>
      <c r="F42" s="34"/>
      <c r="G42" s="26"/>
      <c r="H42" s="3"/>
      <c r="I42" s="60"/>
      <c r="J42" s="1"/>
    </row>
    <row r="43" spans="1:10" ht="17" thickBot="1" x14ac:dyDescent="0.25">
      <c r="A43" s="1"/>
      <c r="B43" s="22"/>
      <c r="C43" s="51" t="s">
        <v>81</v>
      </c>
      <c r="D43" s="53"/>
      <c r="E43" s="129">
        <v>0.08</v>
      </c>
      <c r="F43" s="54">
        <v>0.08</v>
      </c>
      <c r="G43" s="26"/>
      <c r="H43" s="206" t="s">
        <v>173</v>
      </c>
      <c r="I43" s="60"/>
      <c r="J43" s="1"/>
    </row>
    <row r="44" spans="1:10" ht="17" thickBot="1" x14ac:dyDescent="0.25">
      <c r="A44" s="1"/>
      <c r="B44" s="22"/>
      <c r="C44" s="51" t="s">
        <v>82</v>
      </c>
      <c r="D44" s="53"/>
      <c r="E44" s="129">
        <v>0.05</v>
      </c>
      <c r="F44" s="54">
        <v>0.05</v>
      </c>
      <c r="G44" s="26"/>
      <c r="H44" s="206" t="s">
        <v>173</v>
      </c>
      <c r="I44" s="60"/>
      <c r="J44" s="1"/>
    </row>
    <row r="45" spans="1:10" ht="17" thickBot="1" x14ac:dyDescent="0.25">
      <c r="A45" s="1"/>
      <c r="B45" s="22"/>
      <c r="C45" s="51" t="s">
        <v>14</v>
      </c>
      <c r="D45" s="53"/>
      <c r="E45" s="129">
        <v>0.06</v>
      </c>
      <c r="F45" s="54">
        <v>0.06</v>
      </c>
      <c r="G45" s="26"/>
      <c r="H45" s="206" t="s">
        <v>173</v>
      </c>
      <c r="I45" s="60"/>
      <c r="J45" s="1"/>
    </row>
    <row r="46" spans="1:10" ht="17" thickBot="1" x14ac:dyDescent="0.25">
      <c r="A46" s="1"/>
      <c r="B46" s="22"/>
      <c r="C46" s="114" t="s">
        <v>83</v>
      </c>
      <c r="D46" s="53"/>
      <c r="E46" s="129">
        <v>0.08</v>
      </c>
      <c r="F46" s="54">
        <v>0.08</v>
      </c>
      <c r="G46" s="26"/>
      <c r="H46" s="206" t="s">
        <v>173</v>
      </c>
      <c r="I46" s="60"/>
      <c r="J46" s="1"/>
    </row>
    <row r="47" spans="1:10" ht="17" thickBot="1" x14ac:dyDescent="0.25">
      <c r="A47" s="1"/>
      <c r="B47" s="22"/>
      <c r="C47" s="114" t="s">
        <v>13</v>
      </c>
      <c r="D47" s="53"/>
      <c r="E47" s="129">
        <v>0.12</v>
      </c>
      <c r="F47" s="54">
        <v>0.12</v>
      </c>
      <c r="G47" s="26"/>
      <c r="H47" s="206" t="s">
        <v>173</v>
      </c>
      <c r="I47" s="60"/>
      <c r="J47" s="1"/>
    </row>
    <row r="48" spans="1:10" ht="17" thickBot="1" x14ac:dyDescent="0.25">
      <c r="A48" s="1"/>
      <c r="B48" s="22"/>
      <c r="C48" s="114" t="s">
        <v>84</v>
      </c>
      <c r="D48" s="53"/>
      <c r="E48" s="129">
        <v>0.61</v>
      </c>
      <c r="F48" s="54">
        <v>0.61</v>
      </c>
      <c r="G48" s="26"/>
      <c r="H48" s="206" t="s">
        <v>173</v>
      </c>
      <c r="I48" s="60"/>
      <c r="J48" s="1"/>
    </row>
    <row r="49" spans="1:10" x14ac:dyDescent="0.2">
      <c r="A49" s="1"/>
      <c r="B49" s="27"/>
      <c r="C49" s="28"/>
      <c r="D49" s="29"/>
      <c r="E49" s="128"/>
      <c r="F49" s="35"/>
      <c r="G49" s="30"/>
      <c r="H49" s="2"/>
      <c r="I49" s="63"/>
      <c r="J49" s="1"/>
    </row>
    <row r="50" spans="1:10" x14ac:dyDescent="0.2">
      <c r="A50" s="1"/>
      <c r="B50" s="37" t="s">
        <v>162</v>
      </c>
      <c r="C50" s="38"/>
      <c r="D50" s="41"/>
      <c r="E50" s="130"/>
      <c r="F50" s="42"/>
      <c r="G50" s="39"/>
      <c r="H50" s="4"/>
      <c r="I50" s="64"/>
      <c r="J50" s="1"/>
    </row>
    <row r="51" spans="1:10" ht="17" thickBot="1" x14ac:dyDescent="0.25">
      <c r="A51" s="1"/>
      <c r="B51" s="22"/>
      <c r="C51" s="3" t="s">
        <v>120</v>
      </c>
      <c r="D51" s="24"/>
      <c r="E51" s="50"/>
      <c r="F51" s="36"/>
      <c r="G51" s="26"/>
      <c r="H51" s="3"/>
      <c r="I51" s="60"/>
      <c r="J51" s="1"/>
    </row>
    <row r="52" spans="1:10" ht="17" thickBot="1" x14ac:dyDescent="0.25">
      <c r="A52" s="1"/>
      <c r="B52" s="22"/>
      <c r="C52" s="51" t="s">
        <v>81</v>
      </c>
      <c r="D52" s="53"/>
      <c r="E52" s="129">
        <v>0.83199999999999996</v>
      </c>
      <c r="F52" s="54">
        <f>E52</f>
        <v>0.83199999999999996</v>
      </c>
      <c r="G52" s="26"/>
      <c r="H52" s="56" t="s">
        <v>173</v>
      </c>
      <c r="I52" s="60"/>
      <c r="J52" s="1"/>
    </row>
    <row r="53" spans="1:10" ht="17" thickBot="1" x14ac:dyDescent="0.25">
      <c r="A53" s="1"/>
      <c r="B53" s="22"/>
      <c r="C53" s="51" t="s">
        <v>82</v>
      </c>
      <c r="D53" s="53"/>
      <c r="E53" s="129">
        <v>0.16800000000000001</v>
      </c>
      <c r="F53" s="54">
        <f>E53</f>
        <v>0.16800000000000001</v>
      </c>
      <c r="G53" s="26"/>
      <c r="H53" s="56" t="s">
        <v>173</v>
      </c>
      <c r="I53" s="60"/>
      <c r="J53" s="1"/>
    </row>
    <row r="54" spans="1:10" x14ac:dyDescent="0.2">
      <c r="A54" s="1"/>
      <c r="B54" s="22"/>
      <c r="C54" s="15"/>
      <c r="D54" s="24"/>
      <c r="E54" s="50"/>
      <c r="F54" s="36"/>
      <c r="G54" s="26"/>
      <c r="H54" s="3"/>
      <c r="I54" s="60"/>
      <c r="J54" s="1"/>
    </row>
    <row r="55" spans="1:10" x14ac:dyDescent="0.2">
      <c r="A55" s="1"/>
      <c r="B55" s="37" t="s">
        <v>161</v>
      </c>
      <c r="C55" s="38"/>
      <c r="D55" s="41"/>
      <c r="E55" s="130"/>
      <c r="F55" s="42"/>
      <c r="G55" s="39"/>
      <c r="H55" s="4"/>
      <c r="I55" s="64"/>
      <c r="J55" s="1"/>
    </row>
    <row r="56" spans="1:10" ht="17" thickBot="1" x14ac:dyDescent="0.25">
      <c r="A56" s="1"/>
      <c r="B56" s="22"/>
      <c r="C56" s="3" t="s">
        <v>166</v>
      </c>
      <c r="D56" s="24"/>
      <c r="E56" s="50"/>
      <c r="F56" s="36"/>
      <c r="G56" s="26"/>
      <c r="H56" s="3"/>
      <c r="I56" s="60"/>
      <c r="J56" s="1"/>
    </row>
    <row r="57" spans="1:10" ht="17" thickBot="1" x14ac:dyDescent="0.25">
      <c r="A57" s="1"/>
      <c r="B57" s="22"/>
      <c r="C57" s="51" t="s">
        <v>81</v>
      </c>
      <c r="D57" s="53"/>
      <c r="E57" s="129">
        <v>1</v>
      </c>
      <c r="F57" s="54">
        <f>E57</f>
        <v>1</v>
      </c>
      <c r="G57" s="26"/>
      <c r="H57" s="56" t="s">
        <v>173</v>
      </c>
      <c r="I57" s="60"/>
      <c r="J57" s="1"/>
    </row>
    <row r="58" spans="1:10" ht="17" thickBot="1" x14ac:dyDescent="0.25">
      <c r="A58" s="1"/>
      <c r="B58" s="22"/>
      <c r="C58" s="51" t="s">
        <v>82</v>
      </c>
      <c r="D58" s="53"/>
      <c r="E58" s="129">
        <v>0</v>
      </c>
      <c r="F58" s="54">
        <f>E58</f>
        <v>0</v>
      </c>
      <c r="G58" s="26"/>
      <c r="H58" s="56" t="s">
        <v>173</v>
      </c>
      <c r="I58" s="60"/>
      <c r="J58" s="1"/>
    </row>
    <row r="59" spans="1:10" ht="17" thickBot="1" x14ac:dyDescent="0.25">
      <c r="A59" s="1"/>
      <c r="B59" s="22"/>
      <c r="C59" s="51" t="s">
        <v>14</v>
      </c>
      <c r="D59" s="53"/>
      <c r="E59" s="129">
        <v>0</v>
      </c>
      <c r="F59" s="54">
        <f>E59</f>
        <v>0</v>
      </c>
      <c r="G59" s="26"/>
      <c r="H59" s="56" t="s">
        <v>173</v>
      </c>
      <c r="I59" s="60"/>
      <c r="J59" s="1"/>
    </row>
    <row r="60" spans="1:10" x14ac:dyDescent="0.2">
      <c r="A60" s="1"/>
      <c r="B60" s="22"/>
      <c r="C60" s="51"/>
      <c r="D60" s="53"/>
      <c r="E60" s="129"/>
      <c r="F60" s="55"/>
      <c r="G60" s="26"/>
      <c r="H60" s="135"/>
      <c r="I60" s="60"/>
      <c r="J60" s="1"/>
    </row>
    <row r="61" spans="1:10" x14ac:dyDescent="0.2">
      <c r="A61" s="1"/>
      <c r="B61" s="37" t="s">
        <v>106</v>
      </c>
      <c r="C61" s="38"/>
      <c r="D61" s="41"/>
      <c r="E61" s="130"/>
      <c r="F61" s="42"/>
      <c r="G61" s="39"/>
      <c r="H61" s="4"/>
      <c r="I61" s="64"/>
      <c r="J61" s="1"/>
    </row>
    <row r="62" spans="1:10" ht="17" thickBot="1" x14ac:dyDescent="0.25">
      <c r="A62" s="1"/>
      <c r="B62" s="22"/>
      <c r="C62" s="3" t="s">
        <v>111</v>
      </c>
      <c r="D62" s="24"/>
      <c r="E62" s="50"/>
      <c r="F62" s="36"/>
      <c r="G62" s="26"/>
      <c r="H62" s="3"/>
      <c r="I62" s="60"/>
      <c r="J62" s="1"/>
    </row>
    <row r="63" spans="1:10" ht="17" thickBot="1" x14ac:dyDescent="0.25">
      <c r="A63" s="1"/>
      <c r="B63" s="22"/>
      <c r="C63" s="114" t="s">
        <v>107</v>
      </c>
      <c r="D63" s="53"/>
      <c r="E63" s="26">
        <v>0</v>
      </c>
      <c r="F63" s="209">
        <v>0</v>
      </c>
      <c r="G63" s="26"/>
      <c r="H63" s="56" t="s">
        <v>173</v>
      </c>
      <c r="I63" s="60"/>
      <c r="J63" s="1"/>
    </row>
    <row r="64" spans="1:10" ht="17" thickBot="1" x14ac:dyDescent="0.25">
      <c r="A64" s="1"/>
      <c r="B64" s="22"/>
      <c r="C64" s="114" t="s">
        <v>219</v>
      </c>
      <c r="D64" s="53"/>
      <c r="E64" s="26">
        <v>0</v>
      </c>
      <c r="F64" s="209">
        <v>0</v>
      </c>
      <c r="G64" s="26"/>
      <c r="H64" s="56" t="s">
        <v>173</v>
      </c>
      <c r="I64" s="60"/>
      <c r="J64" s="1"/>
    </row>
    <row r="65" spans="1:10" ht="17" thickBot="1" x14ac:dyDescent="0.25">
      <c r="A65" s="1"/>
      <c r="B65" s="22"/>
      <c r="C65" s="114" t="s">
        <v>108</v>
      </c>
      <c r="D65" s="53"/>
      <c r="E65" s="26">
        <v>0</v>
      </c>
      <c r="F65" s="209">
        <v>0</v>
      </c>
      <c r="G65" s="26"/>
      <c r="H65" s="56" t="s">
        <v>173</v>
      </c>
      <c r="I65" s="60"/>
      <c r="J65" s="1"/>
    </row>
    <row r="66" spans="1:10" ht="17" thickBot="1" x14ac:dyDescent="0.25">
      <c r="A66" s="1"/>
      <c r="B66" s="22"/>
      <c r="C66" s="114" t="s">
        <v>109</v>
      </c>
      <c r="D66" s="53"/>
      <c r="E66" s="26">
        <v>0</v>
      </c>
      <c r="F66" s="209">
        <v>0</v>
      </c>
      <c r="G66" s="26"/>
      <c r="H66" s="56" t="s">
        <v>173</v>
      </c>
      <c r="I66" s="60"/>
      <c r="J66" s="1"/>
    </row>
    <row r="67" spans="1:10" ht="17" thickBot="1" x14ac:dyDescent="0.25">
      <c r="A67" s="1"/>
      <c r="B67" s="22"/>
      <c r="C67" s="114" t="s">
        <v>110</v>
      </c>
      <c r="D67" s="53"/>
      <c r="E67" s="200">
        <v>1</v>
      </c>
      <c r="F67" s="209">
        <v>1</v>
      </c>
      <c r="G67" s="26"/>
      <c r="H67" s="206" t="s">
        <v>173</v>
      </c>
      <c r="I67" s="60"/>
      <c r="J67" s="1"/>
    </row>
    <row r="68" spans="1:10" x14ac:dyDescent="0.2">
      <c r="A68" s="1"/>
      <c r="B68" s="22"/>
      <c r="C68" s="114"/>
      <c r="D68" s="53"/>
      <c r="E68" s="200"/>
      <c r="F68" s="114"/>
      <c r="G68" s="26"/>
      <c r="H68" s="135"/>
      <c r="I68" s="60"/>
      <c r="J68" s="1"/>
    </row>
    <row r="69" spans="1:10" x14ac:dyDescent="0.2">
      <c r="A69" s="1"/>
      <c r="B69" s="37" t="s">
        <v>228</v>
      </c>
      <c r="C69" s="38"/>
      <c r="D69" s="41"/>
      <c r="E69" s="130"/>
      <c r="F69" s="42"/>
      <c r="G69" s="39"/>
      <c r="H69" s="4"/>
      <c r="I69" s="60"/>
      <c r="J69" s="1"/>
    </row>
    <row r="70" spans="1:10" ht="17" thickBot="1" x14ac:dyDescent="0.25">
      <c r="A70" s="1"/>
      <c r="B70" s="22"/>
      <c r="C70" s="3" t="s">
        <v>229</v>
      </c>
      <c r="D70" s="24"/>
      <c r="E70" s="50"/>
      <c r="F70" s="36"/>
      <c r="G70" s="26"/>
      <c r="H70" s="3"/>
      <c r="I70" s="60"/>
      <c r="J70" s="1"/>
    </row>
    <row r="71" spans="1:10" ht="17" thickBot="1" x14ac:dyDescent="0.25">
      <c r="A71" s="1"/>
      <c r="B71" s="22"/>
      <c r="C71" s="51" t="s">
        <v>81</v>
      </c>
      <c r="D71" s="53"/>
      <c r="E71" s="129">
        <v>1</v>
      </c>
      <c r="F71" s="54">
        <f>E71</f>
        <v>1</v>
      </c>
      <c r="G71" s="26"/>
      <c r="H71" s="56" t="s">
        <v>173</v>
      </c>
      <c r="I71" s="60"/>
      <c r="J71" s="1"/>
    </row>
    <row r="72" spans="1:10" ht="17" thickBot="1" x14ac:dyDescent="0.25">
      <c r="A72" s="1"/>
      <c r="B72" s="22"/>
      <c r="C72" s="51" t="s">
        <v>82</v>
      </c>
      <c r="D72" s="53"/>
      <c r="E72" s="129">
        <v>0</v>
      </c>
      <c r="F72" s="54">
        <f>E72</f>
        <v>0</v>
      </c>
      <c r="G72" s="26"/>
      <c r="H72" s="56" t="s">
        <v>173</v>
      </c>
      <c r="I72" s="60"/>
      <c r="J72" s="1"/>
    </row>
    <row r="73" spans="1:10" x14ac:dyDescent="0.2">
      <c r="A73" s="1"/>
      <c r="B73" s="22"/>
      <c r="C73" s="15"/>
      <c r="D73" s="24"/>
      <c r="E73" s="50"/>
      <c r="F73" s="36"/>
      <c r="G73" s="26"/>
      <c r="H73" s="3"/>
      <c r="I73" s="60"/>
      <c r="J73" s="1"/>
    </row>
    <row r="74" spans="1:10" x14ac:dyDescent="0.2">
      <c r="A74" s="1"/>
      <c r="B74" s="37" t="s">
        <v>230</v>
      </c>
      <c r="C74" s="38"/>
      <c r="D74" s="41"/>
      <c r="E74" s="130"/>
      <c r="F74" s="42"/>
      <c r="G74" s="39"/>
      <c r="H74" s="4"/>
      <c r="I74" s="60"/>
      <c r="J74" s="1"/>
    </row>
    <row r="75" spans="1:10" ht="17" thickBot="1" x14ac:dyDescent="0.25">
      <c r="A75" s="1"/>
      <c r="B75" s="22"/>
      <c r="C75" s="3" t="s">
        <v>231</v>
      </c>
      <c r="D75" s="24"/>
      <c r="E75" s="50"/>
      <c r="F75" s="36"/>
      <c r="G75" s="26"/>
      <c r="H75" s="3"/>
      <c r="I75" s="60"/>
      <c r="J75" s="1"/>
    </row>
    <row r="76" spans="1:10" ht="17" thickBot="1" x14ac:dyDescent="0.25">
      <c r="A76" s="1"/>
      <c r="B76" s="22"/>
      <c r="C76" s="51" t="s">
        <v>81</v>
      </c>
      <c r="D76" s="53"/>
      <c r="E76" s="129">
        <v>1</v>
      </c>
      <c r="F76" s="54">
        <f>E76</f>
        <v>1</v>
      </c>
      <c r="G76" s="26"/>
      <c r="H76" s="56" t="s">
        <v>173</v>
      </c>
      <c r="I76" s="60"/>
      <c r="J76" s="1"/>
    </row>
    <row r="77" spans="1:10" ht="17" thickBot="1" x14ac:dyDescent="0.25">
      <c r="A77" s="1"/>
      <c r="B77" s="22"/>
      <c r="C77" s="51" t="s">
        <v>82</v>
      </c>
      <c r="D77" s="53"/>
      <c r="E77" s="129">
        <v>0</v>
      </c>
      <c r="F77" s="54">
        <f>E77</f>
        <v>0</v>
      </c>
      <c r="G77" s="26"/>
      <c r="H77" s="56" t="s">
        <v>173</v>
      </c>
      <c r="I77" s="60"/>
      <c r="J77" s="1"/>
    </row>
    <row r="78" spans="1:10" ht="17" thickBot="1" x14ac:dyDescent="0.25">
      <c r="A78" s="1"/>
      <c r="B78" s="188"/>
      <c r="C78" s="44"/>
      <c r="D78" s="189"/>
      <c r="E78" s="132"/>
      <c r="F78" s="191"/>
      <c r="G78" s="46"/>
      <c r="H78" s="47"/>
      <c r="I78" s="65"/>
      <c r="J78" s="1"/>
    </row>
    <row r="79" spans="1:10" x14ac:dyDescent="0.2">
      <c r="A79" s="3"/>
      <c r="B79" s="187"/>
      <c r="C79" s="15"/>
      <c r="D79" s="24"/>
      <c r="E79" s="50"/>
      <c r="F79" s="36"/>
      <c r="G79" s="26"/>
      <c r="H79" s="3"/>
      <c r="I79" s="3"/>
      <c r="J79" s="3"/>
    </row>
    <row r="80" spans="1:10" x14ac:dyDescent="0.2">
      <c r="A80" s="3"/>
      <c r="B80" s="187"/>
      <c r="C80" s="15"/>
      <c r="D80" s="24"/>
      <c r="E80" s="50"/>
      <c r="F80" s="36"/>
      <c r="G80" s="26"/>
      <c r="H80" s="3"/>
      <c r="I80" s="3"/>
      <c r="J80" s="3"/>
    </row>
    <row r="81" spans="1:10" ht="17" thickBot="1" x14ac:dyDescent="0.25">
      <c r="A81" s="3"/>
      <c r="B81" s="187"/>
      <c r="C81" s="15"/>
      <c r="D81" s="24"/>
      <c r="E81" s="50"/>
      <c r="F81" s="36"/>
      <c r="G81" s="26"/>
      <c r="H81" s="3"/>
      <c r="I81" s="3"/>
      <c r="J81" s="3"/>
    </row>
    <row r="82" spans="1:10" x14ac:dyDescent="0.2">
      <c r="A82" s="1"/>
      <c r="B82" s="9" t="s">
        <v>163</v>
      </c>
      <c r="C82" s="10"/>
      <c r="D82" s="11"/>
      <c r="E82" s="123"/>
      <c r="F82" s="12"/>
      <c r="G82" s="13"/>
      <c r="H82" s="13"/>
      <c r="I82" s="59"/>
      <c r="J82" s="1"/>
    </row>
    <row r="83" spans="1:10" x14ac:dyDescent="0.2">
      <c r="A83" s="1"/>
      <c r="B83" s="14"/>
      <c r="C83" s="15"/>
      <c r="D83" s="16"/>
      <c r="E83" s="50"/>
      <c r="F83" s="17"/>
      <c r="G83" s="3"/>
      <c r="H83" s="3"/>
      <c r="I83" s="60"/>
      <c r="J83" s="1"/>
    </row>
    <row r="84" spans="1:10" x14ac:dyDescent="0.2">
      <c r="A84" s="1"/>
      <c r="B84" s="48" t="s">
        <v>6</v>
      </c>
      <c r="C84" s="49"/>
      <c r="D84" s="49" t="s">
        <v>7</v>
      </c>
      <c r="E84" s="124" t="s">
        <v>123</v>
      </c>
      <c r="F84" s="49" t="s">
        <v>8</v>
      </c>
      <c r="G84" s="49"/>
      <c r="H84" s="49" t="s">
        <v>9</v>
      </c>
      <c r="I84" s="61"/>
      <c r="J84" s="1"/>
    </row>
    <row r="85" spans="1:10" x14ac:dyDescent="0.2">
      <c r="A85" s="1"/>
      <c r="B85" s="37" t="s">
        <v>103</v>
      </c>
      <c r="C85" s="38"/>
      <c r="D85" s="41"/>
      <c r="E85" s="130"/>
      <c r="F85" s="42"/>
      <c r="G85" s="39"/>
      <c r="H85" s="4"/>
      <c r="I85" s="64"/>
      <c r="J85" s="1"/>
    </row>
    <row r="86" spans="1:10" ht="17" thickBot="1" x14ac:dyDescent="0.25">
      <c r="A86" s="1"/>
      <c r="B86" s="22"/>
      <c r="C86" s="15" t="s">
        <v>125</v>
      </c>
      <c r="D86" s="24"/>
      <c r="E86" s="50"/>
      <c r="F86" s="36"/>
      <c r="G86" s="26"/>
      <c r="H86" s="3"/>
      <c r="I86" s="60"/>
      <c r="J86" s="1"/>
    </row>
    <row r="87" spans="1:10" ht="17" thickBot="1" x14ac:dyDescent="0.25">
      <c r="A87" s="1"/>
      <c r="B87" s="22" t="s">
        <v>134</v>
      </c>
      <c r="C87" s="51" t="s">
        <v>94</v>
      </c>
      <c r="D87" s="53"/>
      <c r="E87" s="131">
        <v>0.83979999999999999</v>
      </c>
      <c r="F87" s="213">
        <f>E87/SUM(E$87:E$90)</f>
        <v>0.96740006911646126</v>
      </c>
      <c r="G87" s="26"/>
      <c r="H87" s="6" t="s">
        <v>138</v>
      </c>
      <c r="I87" s="60"/>
      <c r="J87" s="1"/>
    </row>
    <row r="88" spans="1:10" ht="17" thickBot="1" x14ac:dyDescent="0.25">
      <c r="A88" s="1"/>
      <c r="B88" s="22"/>
      <c r="C88" s="51" t="s">
        <v>124</v>
      </c>
      <c r="D88" s="53"/>
      <c r="E88" s="131">
        <v>0</v>
      </c>
      <c r="F88" s="213">
        <f t="shared" ref="F88:F90" si="0">E88/SUM(E$87:E$90)</f>
        <v>0</v>
      </c>
      <c r="G88" s="26"/>
      <c r="H88" s="6" t="s">
        <v>138</v>
      </c>
      <c r="I88" s="60"/>
      <c r="J88" s="1"/>
    </row>
    <row r="89" spans="1:10" ht="17" thickBot="1" x14ac:dyDescent="0.25">
      <c r="A89" s="1"/>
      <c r="B89" s="22"/>
      <c r="C89" s="51" t="s">
        <v>97</v>
      </c>
      <c r="D89" s="53"/>
      <c r="E89" s="131">
        <v>2.75E-2</v>
      </c>
      <c r="F89" s="213">
        <f t="shared" si="0"/>
        <v>3.1678378067042968E-2</v>
      </c>
      <c r="G89" s="26"/>
      <c r="H89" s="6" t="s">
        <v>138</v>
      </c>
      <c r="I89" s="60"/>
      <c r="J89" s="1"/>
    </row>
    <row r="90" spans="1:10" ht="17" thickBot="1" x14ac:dyDescent="0.25">
      <c r="A90" s="1"/>
      <c r="B90" s="23"/>
      <c r="C90" s="51" t="s">
        <v>100</v>
      </c>
      <c r="D90" s="53"/>
      <c r="E90" s="131">
        <v>8.0000000000000004E-4</v>
      </c>
      <c r="F90" s="213">
        <f t="shared" si="0"/>
        <v>9.2155281649579552E-4</v>
      </c>
      <c r="G90" s="26"/>
      <c r="H90" s="6" t="s">
        <v>167</v>
      </c>
      <c r="I90" s="60"/>
      <c r="J90" s="1"/>
    </row>
    <row r="91" spans="1:10" ht="17" thickBot="1" x14ac:dyDescent="0.25">
      <c r="A91" s="1"/>
      <c r="B91" s="22"/>
      <c r="C91" s="3"/>
      <c r="D91" s="3"/>
      <c r="E91" s="26"/>
      <c r="F91" s="55"/>
      <c r="G91" s="26"/>
      <c r="H91" s="3"/>
      <c r="I91" s="60"/>
      <c r="J91" s="1"/>
    </row>
    <row r="92" spans="1:10" ht="17" thickBot="1" x14ac:dyDescent="0.25">
      <c r="A92" s="1"/>
      <c r="B92" s="22" t="s">
        <v>71</v>
      </c>
      <c r="C92" s="51" t="s">
        <v>127</v>
      </c>
      <c r="D92" s="53"/>
      <c r="E92" s="131">
        <v>3.5000000000000001E-3</v>
      </c>
      <c r="F92" s="54">
        <f>E92/SUM(E$92:E$94)</f>
        <v>0.12237762237762238</v>
      </c>
      <c r="G92" s="26"/>
      <c r="H92" s="6" t="s">
        <v>274</v>
      </c>
      <c r="I92" s="60"/>
      <c r="J92" s="1"/>
    </row>
    <row r="93" spans="1:10" ht="16" customHeight="1" thickBot="1" x14ac:dyDescent="0.25">
      <c r="A93" s="1"/>
      <c r="B93" s="218" t="s">
        <v>168</v>
      </c>
      <c r="C93" s="51" t="s">
        <v>126</v>
      </c>
      <c r="D93" s="53"/>
      <c r="E93" s="131">
        <v>3.5000000000000001E-3</v>
      </c>
      <c r="F93" s="54">
        <v>0.4</v>
      </c>
      <c r="G93" s="26"/>
      <c r="H93" s="6" t="s">
        <v>274</v>
      </c>
      <c r="I93" s="60"/>
      <c r="J93" s="1"/>
    </row>
    <row r="94" spans="1:10" ht="17" thickBot="1" x14ac:dyDescent="0.25">
      <c r="A94" s="1"/>
      <c r="B94" s="218"/>
      <c r="C94" s="51" t="s">
        <v>96</v>
      </c>
      <c r="D94" s="53"/>
      <c r="E94" s="131">
        <v>2.1600000000000001E-2</v>
      </c>
      <c r="F94" s="54">
        <f>1-F93-F92</f>
        <v>0.47762237762237758</v>
      </c>
      <c r="G94" s="26"/>
      <c r="H94" s="6" t="s">
        <v>139</v>
      </c>
      <c r="I94" s="60"/>
      <c r="J94" s="1"/>
    </row>
    <row r="95" spans="1:10" ht="17" thickBot="1" x14ac:dyDescent="0.25">
      <c r="A95" s="1"/>
      <c r="B95" s="23"/>
      <c r="C95" s="3"/>
      <c r="D95" s="53"/>
      <c r="E95" s="129"/>
      <c r="F95" s="55"/>
      <c r="G95" s="26"/>
      <c r="H95" s="3"/>
      <c r="I95" s="60"/>
      <c r="J95" s="1"/>
    </row>
    <row r="96" spans="1:10" ht="17" thickBot="1" x14ac:dyDescent="0.25">
      <c r="A96" s="1"/>
      <c r="B96" s="22" t="s">
        <v>135</v>
      </c>
      <c r="C96" s="51" t="s">
        <v>98</v>
      </c>
      <c r="D96" s="53"/>
      <c r="E96" s="129"/>
      <c r="F96" s="54">
        <v>1</v>
      </c>
      <c r="G96" s="26"/>
      <c r="H96" s="6" t="s">
        <v>129</v>
      </c>
      <c r="I96" s="60"/>
      <c r="J96" s="1"/>
    </row>
    <row r="97" spans="1:10" ht="17" thickBot="1" x14ac:dyDescent="0.25">
      <c r="A97" s="1"/>
      <c r="B97" s="22"/>
      <c r="C97" s="51"/>
      <c r="D97" s="53"/>
      <c r="E97" s="129"/>
      <c r="F97" s="129"/>
      <c r="G97" s="129"/>
      <c r="H97" s="129"/>
      <c r="I97" s="60"/>
      <c r="J97" s="1"/>
    </row>
    <row r="98" spans="1:10" ht="17" thickBot="1" x14ac:dyDescent="0.25">
      <c r="A98" s="1"/>
      <c r="B98" s="22"/>
      <c r="C98" s="51" t="s">
        <v>99</v>
      </c>
      <c r="D98" s="53"/>
      <c r="E98" s="129"/>
      <c r="F98" s="54">
        <v>1</v>
      </c>
      <c r="G98" s="26"/>
      <c r="H98" s="6" t="s">
        <v>130</v>
      </c>
      <c r="I98" s="60"/>
      <c r="J98" s="1"/>
    </row>
    <row r="99" spans="1:10" ht="17" thickBot="1" x14ac:dyDescent="0.25">
      <c r="A99" s="1"/>
      <c r="B99" s="22"/>
      <c r="C99" s="51"/>
      <c r="D99" s="53"/>
      <c r="E99" s="129"/>
      <c r="F99" s="129"/>
      <c r="G99" s="129"/>
      <c r="H99" s="129"/>
      <c r="I99" s="60"/>
      <c r="J99" s="1"/>
    </row>
    <row r="100" spans="1:10" ht="17" thickBot="1" x14ac:dyDescent="0.25">
      <c r="A100" s="1"/>
      <c r="B100" s="22"/>
      <c r="C100" s="51" t="s">
        <v>175</v>
      </c>
      <c r="D100" s="53"/>
      <c r="E100" s="129"/>
      <c r="F100" s="54">
        <v>1</v>
      </c>
      <c r="G100" s="26"/>
      <c r="H100" s="6" t="s">
        <v>131</v>
      </c>
      <c r="I100" s="60"/>
      <c r="J100" s="1"/>
    </row>
    <row r="101" spans="1:10" ht="17" thickBot="1" x14ac:dyDescent="0.25">
      <c r="A101" s="1"/>
      <c r="B101" s="22"/>
      <c r="C101" s="51"/>
      <c r="D101" s="53"/>
      <c r="E101" s="129"/>
      <c r="F101" s="129"/>
      <c r="G101" s="129"/>
      <c r="H101" s="129"/>
      <c r="I101" s="60"/>
      <c r="J101" s="1"/>
    </row>
    <row r="102" spans="1:10" ht="17" thickBot="1" x14ac:dyDescent="0.25">
      <c r="A102" s="1"/>
      <c r="B102" s="22"/>
      <c r="C102" s="51" t="s">
        <v>95</v>
      </c>
      <c r="D102" s="53"/>
      <c r="E102" s="129"/>
      <c r="F102" s="54">
        <v>1</v>
      </c>
      <c r="G102" s="26"/>
      <c r="H102" s="6" t="s">
        <v>132</v>
      </c>
      <c r="I102" s="60"/>
      <c r="J102" s="1"/>
    </row>
    <row r="103" spans="1:10" ht="17" thickBot="1" x14ac:dyDescent="0.25">
      <c r="A103" s="1"/>
      <c r="B103" s="22"/>
      <c r="C103" s="51"/>
      <c r="D103" s="53"/>
      <c r="E103" s="129"/>
      <c r="F103" s="129"/>
      <c r="G103" s="129"/>
      <c r="H103" s="129"/>
      <c r="I103" s="60"/>
      <c r="J103" s="1"/>
    </row>
    <row r="104" spans="1:10" ht="17" thickBot="1" x14ac:dyDescent="0.25">
      <c r="A104" s="1"/>
      <c r="B104" s="22"/>
      <c r="C104" s="51" t="s">
        <v>176</v>
      </c>
      <c r="D104" s="53"/>
      <c r="E104" s="129"/>
      <c r="F104" s="54">
        <v>1</v>
      </c>
      <c r="G104" s="26"/>
      <c r="H104" s="6" t="s">
        <v>133</v>
      </c>
      <c r="I104" s="60"/>
      <c r="J104" s="1"/>
    </row>
    <row r="105" spans="1:10" x14ac:dyDescent="0.2">
      <c r="A105" s="1"/>
      <c r="B105" s="27"/>
      <c r="C105" s="28"/>
      <c r="D105" s="53"/>
      <c r="E105" s="26"/>
      <c r="F105" s="35"/>
      <c r="G105" s="30"/>
      <c r="H105" s="2"/>
      <c r="I105" s="63"/>
      <c r="J105" s="1"/>
    </row>
    <row r="106" spans="1:10" x14ac:dyDescent="0.2">
      <c r="A106" s="1"/>
      <c r="B106" s="37" t="s">
        <v>102</v>
      </c>
      <c r="C106" s="38"/>
      <c r="D106" s="41"/>
      <c r="E106" s="130"/>
      <c r="F106" s="42"/>
      <c r="G106" s="39"/>
      <c r="H106" s="4"/>
      <c r="I106" s="64"/>
      <c r="J106" s="1"/>
    </row>
    <row r="107" spans="1:10" ht="17" thickBot="1" x14ac:dyDescent="0.25">
      <c r="A107" s="1"/>
      <c r="B107" s="22"/>
      <c r="C107" s="15" t="s">
        <v>125</v>
      </c>
      <c r="D107" s="24"/>
      <c r="E107" s="50"/>
      <c r="F107" s="36"/>
      <c r="G107" s="26"/>
      <c r="H107" s="3"/>
      <c r="I107" s="60"/>
      <c r="J107" s="1"/>
    </row>
    <row r="108" spans="1:10" ht="17" thickBot="1" x14ac:dyDescent="0.25">
      <c r="A108" s="1"/>
      <c r="B108" s="22" t="s">
        <v>134</v>
      </c>
      <c r="C108" s="51" t="s">
        <v>94</v>
      </c>
      <c r="D108" s="53"/>
      <c r="E108" s="131">
        <v>0.83720000000000006</v>
      </c>
      <c r="F108" s="213">
        <f>E108/SUM($E$108:$E$112)</f>
        <v>0.96774939313374175</v>
      </c>
      <c r="G108" s="26"/>
      <c r="H108" s="6" t="s">
        <v>174</v>
      </c>
      <c r="I108" s="60"/>
      <c r="J108" s="1"/>
    </row>
    <row r="109" spans="1:10" ht="17" thickBot="1" x14ac:dyDescent="0.25">
      <c r="A109" s="1"/>
      <c r="B109" s="22"/>
      <c r="C109" s="51" t="s">
        <v>124</v>
      </c>
      <c r="D109" s="53"/>
      <c r="E109" s="131">
        <v>0</v>
      </c>
      <c r="F109" s="213">
        <f t="shared" ref="F109:F112" si="1">E109/SUM($E$108:$E$112)</f>
        <v>0</v>
      </c>
      <c r="G109" s="26"/>
      <c r="H109" s="6" t="s">
        <v>174</v>
      </c>
      <c r="I109" s="60"/>
      <c r="J109" s="1"/>
    </row>
    <row r="110" spans="1:10" ht="17" thickBot="1" x14ac:dyDescent="0.25">
      <c r="A110" s="1"/>
      <c r="B110" s="22"/>
      <c r="C110" s="51" t="s">
        <v>97</v>
      </c>
      <c r="D110" s="53"/>
      <c r="E110" s="131">
        <v>2.7300000000000001E-2</v>
      </c>
      <c r="F110" s="213">
        <f t="shared" si="1"/>
        <v>3.1557045428274186E-2</v>
      </c>
      <c r="G110" s="26"/>
      <c r="H110" s="6" t="s">
        <v>174</v>
      </c>
      <c r="I110" s="60"/>
      <c r="J110" s="1"/>
    </row>
    <row r="111" spans="1:10" ht="17" thickBot="1" x14ac:dyDescent="0.25">
      <c r="A111" s="1"/>
      <c r="B111" s="22"/>
      <c r="C111" s="51" t="s">
        <v>100</v>
      </c>
      <c r="D111" s="53"/>
      <c r="E111" s="131">
        <v>5.9999999999999995E-4</v>
      </c>
      <c r="F111" s="213">
        <f t="shared" si="1"/>
        <v>6.9356143798404799E-4</v>
      </c>
      <c r="G111" s="26"/>
      <c r="H111" s="6" t="s">
        <v>174</v>
      </c>
      <c r="I111" s="60"/>
      <c r="J111" s="1"/>
    </row>
    <row r="112" spans="1:10" ht="17" thickBot="1" x14ac:dyDescent="0.25">
      <c r="A112" s="1"/>
      <c r="B112" s="22"/>
      <c r="C112" s="115" t="s">
        <v>128</v>
      </c>
      <c r="D112" s="53"/>
      <c r="E112" s="131">
        <v>0</v>
      </c>
      <c r="F112" s="213">
        <f t="shared" si="1"/>
        <v>0</v>
      </c>
      <c r="G112" s="26"/>
      <c r="H112" s="6" t="s">
        <v>174</v>
      </c>
      <c r="I112" s="60"/>
      <c r="J112" s="1"/>
    </row>
    <row r="113" spans="1:10" ht="17" thickBot="1" x14ac:dyDescent="0.25">
      <c r="A113" s="1"/>
      <c r="B113" s="22"/>
      <c r="C113" s="3"/>
      <c r="D113" s="53"/>
      <c r="E113" s="129"/>
      <c r="F113" s="55"/>
      <c r="G113" s="26"/>
      <c r="H113" s="3"/>
      <c r="I113" s="60"/>
      <c r="J113" s="1"/>
    </row>
    <row r="114" spans="1:10" ht="17" thickBot="1" x14ac:dyDescent="0.25">
      <c r="A114" s="1"/>
      <c r="B114" s="22" t="s">
        <v>71</v>
      </c>
      <c r="C114" s="51" t="s">
        <v>126</v>
      </c>
      <c r="D114" s="53"/>
      <c r="E114" s="131">
        <v>2.7000000000000001E-3</v>
      </c>
      <c r="F114" s="54">
        <v>0.17</v>
      </c>
      <c r="G114" s="26"/>
      <c r="H114" s="6" t="s">
        <v>274</v>
      </c>
      <c r="I114" s="60"/>
      <c r="J114" s="1"/>
    </row>
    <row r="115" spans="1:10" ht="17" thickBot="1" x14ac:dyDescent="0.25">
      <c r="A115" s="1"/>
      <c r="B115" s="218" t="s">
        <v>169</v>
      </c>
      <c r="C115" s="51" t="s">
        <v>127</v>
      </c>
      <c r="D115" s="53"/>
      <c r="E115" s="131">
        <v>3.0000000000000001E-3</v>
      </c>
      <c r="F115" s="54">
        <f t="shared" ref="F115" si="2">E115/SUM($E$114:$E$116)</f>
        <v>3.4802784222737818E-2</v>
      </c>
      <c r="G115" s="26"/>
      <c r="H115" s="6" t="s">
        <v>274</v>
      </c>
      <c r="I115" s="60"/>
      <c r="J115" s="1"/>
    </row>
    <row r="116" spans="1:10" ht="17" thickBot="1" x14ac:dyDescent="0.25">
      <c r="A116" s="1"/>
      <c r="B116" s="218"/>
      <c r="C116" s="51" t="s">
        <v>96</v>
      </c>
      <c r="D116" s="53"/>
      <c r="E116" s="131">
        <v>8.0500000000000002E-2</v>
      </c>
      <c r="F116" s="54">
        <f>1-F115-F114</f>
        <v>0.7951972157772621</v>
      </c>
      <c r="G116" s="26"/>
      <c r="H116" s="6" t="s">
        <v>174</v>
      </c>
      <c r="I116" s="60"/>
      <c r="J116" s="1"/>
    </row>
    <row r="117" spans="1:10" ht="17" thickBot="1" x14ac:dyDescent="0.25">
      <c r="A117" s="1"/>
      <c r="B117" s="22"/>
      <c r="C117" s="3"/>
      <c r="D117" s="53"/>
      <c r="E117" s="129"/>
      <c r="F117" s="55"/>
      <c r="G117" s="26"/>
      <c r="H117" s="3"/>
      <c r="I117" s="60"/>
      <c r="J117" s="1"/>
    </row>
    <row r="118" spans="1:10" ht="17" thickBot="1" x14ac:dyDescent="0.25">
      <c r="A118" s="1"/>
      <c r="B118" s="22" t="s">
        <v>135</v>
      </c>
      <c r="C118" s="51" t="s">
        <v>98</v>
      </c>
      <c r="D118" s="53"/>
      <c r="E118" s="129"/>
      <c r="F118" s="54">
        <v>1</v>
      </c>
      <c r="G118" s="26"/>
      <c r="H118" s="6" t="s">
        <v>129</v>
      </c>
      <c r="I118" s="60"/>
      <c r="J118" s="1"/>
    </row>
    <row r="119" spans="1:10" ht="17" thickBot="1" x14ac:dyDescent="0.25">
      <c r="A119" s="1"/>
      <c r="B119" s="22"/>
      <c r="C119" s="51"/>
      <c r="D119" s="53"/>
      <c r="E119" s="129"/>
      <c r="F119" s="129"/>
      <c r="G119" s="26"/>
      <c r="H119" s="6"/>
      <c r="I119" s="60"/>
      <c r="J119" s="1"/>
    </row>
    <row r="120" spans="1:10" ht="17" thickBot="1" x14ac:dyDescent="0.25">
      <c r="A120" s="1"/>
      <c r="B120" s="22"/>
      <c r="C120" s="51" t="s">
        <v>99</v>
      </c>
      <c r="D120" s="53"/>
      <c r="E120" s="129"/>
      <c r="F120" s="54">
        <v>1</v>
      </c>
      <c r="G120" s="26"/>
      <c r="H120" s="6" t="s">
        <v>130</v>
      </c>
      <c r="I120" s="60"/>
      <c r="J120" s="1"/>
    </row>
    <row r="121" spans="1:10" ht="17" thickBot="1" x14ac:dyDescent="0.25">
      <c r="A121" s="1"/>
      <c r="B121" s="22"/>
      <c r="C121" s="51"/>
      <c r="D121" s="53"/>
      <c r="E121" s="207"/>
      <c r="F121" s="207"/>
      <c r="G121" s="26"/>
      <c r="H121" s="6"/>
      <c r="I121" s="60"/>
      <c r="J121" s="1"/>
    </row>
    <row r="122" spans="1:10" ht="17" thickBot="1" x14ac:dyDescent="0.25">
      <c r="A122" s="1"/>
      <c r="B122" s="22"/>
      <c r="C122" s="51" t="s">
        <v>175</v>
      </c>
      <c r="D122" s="53"/>
      <c r="E122" s="129"/>
      <c r="F122" s="54">
        <v>1</v>
      </c>
      <c r="G122" s="26"/>
      <c r="H122" s="6" t="s">
        <v>131</v>
      </c>
      <c r="I122" s="60"/>
      <c r="J122" s="1"/>
    </row>
    <row r="123" spans="1:10" ht="17" thickBot="1" x14ac:dyDescent="0.25">
      <c r="A123" s="1"/>
      <c r="B123" s="22"/>
      <c r="C123" s="51"/>
      <c r="D123" s="53"/>
      <c r="E123" s="129"/>
      <c r="F123" s="129"/>
      <c r="G123" s="26"/>
      <c r="H123" s="6"/>
      <c r="I123" s="60"/>
      <c r="J123" s="1"/>
    </row>
    <row r="124" spans="1:10" ht="17" thickBot="1" x14ac:dyDescent="0.25">
      <c r="A124" s="1"/>
      <c r="B124" s="22"/>
      <c r="C124" s="51" t="s">
        <v>95</v>
      </c>
      <c r="D124" s="53"/>
      <c r="E124" s="129"/>
      <c r="F124" s="54">
        <v>1</v>
      </c>
      <c r="G124" s="26"/>
      <c r="H124" s="6" t="s">
        <v>132</v>
      </c>
      <c r="I124" s="60"/>
      <c r="J124" s="1"/>
    </row>
    <row r="125" spans="1:10" ht="17" thickBot="1" x14ac:dyDescent="0.25">
      <c r="A125" s="1"/>
      <c r="B125" s="22"/>
      <c r="C125" s="51"/>
      <c r="D125" s="53"/>
      <c r="E125" s="129"/>
      <c r="F125" s="129"/>
      <c r="G125" s="26"/>
      <c r="H125" s="6"/>
      <c r="I125" s="60"/>
      <c r="J125" s="1"/>
    </row>
    <row r="126" spans="1:10" ht="17" thickBot="1" x14ac:dyDescent="0.25">
      <c r="A126" s="1"/>
      <c r="B126" s="22"/>
      <c r="C126" s="51" t="s">
        <v>176</v>
      </c>
      <c r="D126" s="53"/>
      <c r="E126" s="129"/>
      <c r="F126" s="54">
        <v>1</v>
      </c>
      <c r="G126" s="26"/>
      <c r="H126" s="6" t="s">
        <v>133</v>
      </c>
      <c r="I126" s="60"/>
      <c r="J126" s="1"/>
    </row>
    <row r="127" spans="1:10" x14ac:dyDescent="0.2">
      <c r="A127" s="1"/>
      <c r="B127" s="27"/>
      <c r="C127" s="116"/>
      <c r="D127" s="29"/>
      <c r="E127" s="128"/>
      <c r="F127" s="35"/>
      <c r="G127" s="30"/>
      <c r="H127" s="2"/>
      <c r="I127" s="63"/>
      <c r="J127" s="1"/>
    </row>
    <row r="128" spans="1:10" x14ac:dyDescent="0.2">
      <c r="A128" s="1"/>
      <c r="B128" s="22" t="s">
        <v>117</v>
      </c>
      <c r="C128" s="3"/>
      <c r="D128" s="3"/>
      <c r="E128" s="26"/>
      <c r="F128" s="121"/>
      <c r="G128" s="3"/>
      <c r="H128" s="3"/>
      <c r="I128" s="60"/>
      <c r="J128" s="1"/>
    </row>
    <row r="129" spans="1:10" ht="17" thickBot="1" x14ac:dyDescent="0.25">
      <c r="A129" s="1"/>
      <c r="B129" s="23"/>
      <c r="C129" s="50" t="s">
        <v>118</v>
      </c>
      <c r="D129" s="24"/>
      <c r="E129" s="131"/>
      <c r="F129" s="36"/>
      <c r="G129" s="3"/>
      <c r="H129" s="135"/>
      <c r="I129" s="60"/>
      <c r="J129" s="1"/>
    </row>
    <row r="130" spans="1:10" ht="17" thickBot="1" x14ac:dyDescent="0.25">
      <c r="A130" s="1"/>
      <c r="B130" s="22"/>
      <c r="C130" s="51" t="s">
        <v>223</v>
      </c>
      <c r="D130" s="24"/>
      <c r="E130" s="131">
        <v>9.5799999999999996E-2</v>
      </c>
      <c r="F130" s="134">
        <v>6.0000000000000001E-3</v>
      </c>
      <c r="G130" s="26"/>
      <c r="H130" s="56" t="s">
        <v>292</v>
      </c>
      <c r="I130" s="60"/>
      <c r="J130" s="1"/>
    </row>
    <row r="131" spans="1:10" ht="17" thickBot="1" x14ac:dyDescent="0.25">
      <c r="A131" s="1"/>
      <c r="B131" s="22"/>
      <c r="C131" s="51" t="s">
        <v>224</v>
      </c>
      <c r="D131" s="24"/>
      <c r="E131" s="131">
        <v>0</v>
      </c>
      <c r="F131" s="134">
        <f>E131</f>
        <v>0</v>
      </c>
      <c r="G131" s="57"/>
      <c r="H131" s="56" t="s">
        <v>119</v>
      </c>
      <c r="I131" s="60"/>
      <c r="J131" s="1"/>
    </row>
    <row r="132" spans="1:10" ht="17" thickBot="1" x14ac:dyDescent="0.25">
      <c r="A132" s="1"/>
      <c r="B132" s="22"/>
      <c r="C132" s="51" t="s">
        <v>225</v>
      </c>
      <c r="D132" s="24"/>
      <c r="E132" s="131">
        <v>0.9042</v>
      </c>
      <c r="F132" s="134">
        <f>1-F130</f>
        <v>0.99399999999999999</v>
      </c>
      <c r="G132" s="57"/>
      <c r="H132" s="56" t="s">
        <v>293</v>
      </c>
      <c r="I132" s="60"/>
      <c r="J132" s="1"/>
    </row>
    <row r="133" spans="1:10" x14ac:dyDescent="0.2">
      <c r="A133" s="1"/>
      <c r="B133" s="27"/>
      <c r="C133" s="28"/>
      <c r="D133" s="29"/>
      <c r="E133" s="128"/>
      <c r="F133" s="35"/>
      <c r="G133" s="30"/>
      <c r="H133" s="2"/>
      <c r="I133" s="63"/>
      <c r="J133" s="1"/>
    </row>
    <row r="134" spans="1:10" x14ac:dyDescent="0.2">
      <c r="A134" s="1"/>
      <c r="B134" s="22" t="s">
        <v>101</v>
      </c>
      <c r="C134" s="3"/>
      <c r="D134" s="3"/>
      <c r="E134" s="26"/>
      <c r="F134" s="121"/>
      <c r="G134" s="3"/>
      <c r="H134" s="3"/>
      <c r="I134" s="60"/>
      <c r="J134" s="1"/>
    </row>
    <row r="135" spans="1:10" ht="17" thickBot="1" x14ac:dyDescent="0.25">
      <c r="A135" s="1"/>
      <c r="B135" s="23"/>
      <c r="C135" s="3"/>
      <c r="D135" s="3"/>
      <c r="E135" s="26"/>
      <c r="F135" s="121"/>
      <c r="G135" s="3"/>
      <c r="H135" s="3"/>
      <c r="I135" s="60"/>
      <c r="J135" s="1"/>
    </row>
    <row r="136" spans="1:10" ht="17" thickBot="1" x14ac:dyDescent="0.25">
      <c r="A136" s="1"/>
      <c r="B136" s="22" t="s">
        <v>134</v>
      </c>
      <c r="C136" s="118" t="s">
        <v>56</v>
      </c>
      <c r="D136" s="24"/>
      <c r="E136" s="131">
        <v>0.66080000000000005</v>
      </c>
      <c r="F136" s="134">
        <v>1</v>
      </c>
      <c r="G136" s="3"/>
      <c r="H136" s="56" t="s">
        <v>144</v>
      </c>
      <c r="I136" s="60"/>
      <c r="J136" s="1"/>
    </row>
    <row r="137" spans="1:10" ht="17" thickBot="1" x14ac:dyDescent="0.25">
      <c r="A137" s="1"/>
      <c r="B137" s="22"/>
      <c r="C137" s="3"/>
      <c r="D137" s="3"/>
      <c r="E137" s="26"/>
      <c r="F137" s="3"/>
      <c r="G137" s="26"/>
      <c r="H137" s="135"/>
      <c r="I137" s="60"/>
      <c r="J137" s="1"/>
    </row>
    <row r="138" spans="1:10" ht="17" thickBot="1" x14ac:dyDescent="0.25">
      <c r="A138" s="1"/>
      <c r="B138" s="22"/>
      <c r="C138" s="118" t="s">
        <v>57</v>
      </c>
      <c r="D138" s="24"/>
      <c r="E138" s="131">
        <v>2.8299999999999999E-2</v>
      </c>
      <c r="F138" s="134">
        <f>E138/SUM(E$138:E$140)</f>
        <v>8.3407014441497201E-2</v>
      </c>
      <c r="G138" s="26"/>
      <c r="H138" s="56" t="s">
        <v>119</v>
      </c>
      <c r="I138" s="60"/>
      <c r="J138" s="1"/>
    </row>
    <row r="139" spans="1:10" ht="17" thickBot="1" x14ac:dyDescent="0.25">
      <c r="A139" s="1"/>
      <c r="B139" s="22" t="s">
        <v>136</v>
      </c>
      <c r="C139" s="51" t="s">
        <v>58</v>
      </c>
      <c r="D139" s="24"/>
      <c r="E139" s="131">
        <v>0.22620000000000001</v>
      </c>
      <c r="F139" s="134">
        <f t="shared" ref="F139:F140" si="3">E139/SUM(E$138:E$140)</f>
        <v>0.66666666666666674</v>
      </c>
      <c r="G139" s="57"/>
      <c r="H139" s="141" t="s">
        <v>119</v>
      </c>
      <c r="I139" s="60"/>
      <c r="J139" s="1"/>
    </row>
    <row r="140" spans="1:10" ht="17" thickBot="1" x14ac:dyDescent="0.25">
      <c r="A140" s="1"/>
      <c r="B140" s="22"/>
      <c r="C140" s="51" t="s">
        <v>59</v>
      </c>
      <c r="D140" s="24"/>
      <c r="E140" s="131">
        <v>8.48E-2</v>
      </c>
      <c r="F140" s="134">
        <f t="shared" si="3"/>
        <v>0.24992631889183614</v>
      </c>
      <c r="G140" s="57"/>
      <c r="H140" s="56" t="s">
        <v>119</v>
      </c>
      <c r="I140" s="60"/>
      <c r="J140" s="1"/>
    </row>
    <row r="141" spans="1:10" ht="17" thickBot="1" x14ac:dyDescent="0.25">
      <c r="A141" s="1"/>
      <c r="B141" s="22"/>
      <c r="C141" s="51"/>
      <c r="D141" s="24"/>
      <c r="E141" s="131"/>
      <c r="F141" s="36"/>
      <c r="G141" s="57"/>
      <c r="H141" s="135"/>
      <c r="I141" s="60"/>
      <c r="J141" s="1"/>
    </row>
    <row r="142" spans="1:10" ht="17" thickBot="1" x14ac:dyDescent="0.25">
      <c r="A142" s="1"/>
      <c r="B142" s="22" t="s">
        <v>85</v>
      </c>
      <c r="C142" s="51" t="s">
        <v>60</v>
      </c>
      <c r="D142" s="24"/>
      <c r="E142" s="131">
        <v>0</v>
      </c>
      <c r="F142" s="134">
        <v>1</v>
      </c>
      <c r="G142" s="57"/>
      <c r="H142" s="56" t="s">
        <v>137</v>
      </c>
      <c r="I142" s="60"/>
      <c r="J142" s="1"/>
    </row>
    <row r="143" spans="1:10" x14ac:dyDescent="0.2">
      <c r="A143" s="1"/>
      <c r="B143" s="27"/>
      <c r="C143" s="28"/>
      <c r="D143" s="29"/>
      <c r="E143" s="128"/>
      <c r="F143" s="35"/>
      <c r="G143" s="30"/>
      <c r="H143" s="2"/>
      <c r="I143" s="63"/>
      <c r="J143" s="1"/>
    </row>
    <row r="144" spans="1:10" x14ac:dyDescent="0.2">
      <c r="A144" s="1"/>
      <c r="B144" s="22" t="s">
        <v>13</v>
      </c>
      <c r="C144" s="15"/>
      <c r="D144" s="24"/>
      <c r="E144" s="50"/>
      <c r="F144" s="36"/>
      <c r="G144" s="26"/>
      <c r="H144" s="3"/>
      <c r="I144" s="60"/>
      <c r="J144" s="1"/>
    </row>
    <row r="145" spans="1:10" ht="17" thickBot="1" x14ac:dyDescent="0.25">
      <c r="A145" s="1"/>
      <c r="B145" s="22"/>
      <c r="C145" s="50" t="s">
        <v>140</v>
      </c>
      <c r="D145" s="24"/>
      <c r="E145" s="50"/>
      <c r="F145" s="36"/>
      <c r="G145" s="26"/>
      <c r="H145" s="3"/>
      <c r="I145" s="60"/>
      <c r="J145" s="1"/>
    </row>
    <row r="146" spans="1:10" ht="17" thickBot="1" x14ac:dyDescent="0.25">
      <c r="A146" s="1"/>
      <c r="B146" s="22"/>
      <c r="C146" s="51" t="s">
        <v>61</v>
      </c>
      <c r="D146" s="24"/>
      <c r="E146" s="131">
        <v>0.495</v>
      </c>
      <c r="F146" s="185">
        <f>E146</f>
        <v>0.495</v>
      </c>
      <c r="G146" s="57"/>
      <c r="H146" s="56" t="s">
        <v>119</v>
      </c>
      <c r="I146" s="60"/>
      <c r="J146" s="1"/>
    </row>
    <row r="147" spans="1:10" ht="17" thickBot="1" x14ac:dyDescent="0.25">
      <c r="A147" s="1"/>
      <c r="B147" s="22"/>
      <c r="C147" s="51" t="s">
        <v>226</v>
      </c>
      <c r="D147" s="24"/>
      <c r="E147" s="131">
        <v>0.48499999999999999</v>
      </c>
      <c r="F147" s="185">
        <f>E147</f>
        <v>0.48499999999999999</v>
      </c>
      <c r="G147" s="26"/>
      <c r="H147" s="56" t="s">
        <v>119</v>
      </c>
      <c r="I147" s="60"/>
      <c r="J147" s="1"/>
    </row>
    <row r="148" spans="1:10" ht="17" thickBot="1" x14ac:dyDescent="0.25">
      <c r="A148" s="1"/>
      <c r="B148" s="22"/>
      <c r="C148" s="51" t="s">
        <v>16</v>
      </c>
      <c r="D148" s="24"/>
      <c r="E148" s="131">
        <v>0.02</v>
      </c>
      <c r="F148" s="185">
        <f t="shared" ref="F148" si="4">E148</f>
        <v>0.02</v>
      </c>
      <c r="G148" s="26"/>
      <c r="H148" s="56" t="s">
        <v>119</v>
      </c>
      <c r="I148" s="60"/>
      <c r="J148" s="1"/>
    </row>
    <row r="149" spans="1:10" x14ac:dyDescent="0.2">
      <c r="A149" s="1"/>
      <c r="B149" s="27"/>
      <c r="C149" s="143"/>
      <c r="D149" s="40"/>
      <c r="E149" s="144"/>
      <c r="F149" s="196"/>
      <c r="G149" s="30"/>
      <c r="H149" s="145"/>
      <c r="I149" s="63"/>
      <c r="J149" s="1"/>
    </row>
    <row r="150" spans="1:10" x14ac:dyDescent="0.2">
      <c r="A150" s="1"/>
      <c r="B150" s="22" t="s">
        <v>84</v>
      </c>
      <c r="C150" s="15"/>
      <c r="D150" s="24"/>
      <c r="E150" s="50"/>
      <c r="F150" s="36"/>
      <c r="G150" s="26"/>
      <c r="H150" s="3"/>
      <c r="I150" s="60"/>
      <c r="J150" s="1"/>
    </row>
    <row r="151" spans="1:10" ht="17" thickBot="1" x14ac:dyDescent="0.25">
      <c r="A151" s="1"/>
      <c r="B151" s="22"/>
      <c r="C151" s="50" t="s">
        <v>87</v>
      </c>
      <c r="D151" s="24"/>
      <c r="E151" s="50"/>
      <c r="F151" s="36"/>
      <c r="G151" s="26"/>
      <c r="H151" s="3"/>
      <c r="I151" s="60"/>
      <c r="J151" s="1"/>
    </row>
    <row r="152" spans="1:10" ht="17" thickBot="1" x14ac:dyDescent="0.25">
      <c r="A152" s="1"/>
      <c r="B152" s="22"/>
      <c r="C152" s="51" t="s">
        <v>88</v>
      </c>
      <c r="D152" s="24"/>
      <c r="E152" s="131">
        <v>8.2000000000000003E-2</v>
      </c>
      <c r="F152" s="185">
        <f>E152</f>
        <v>8.2000000000000003E-2</v>
      </c>
      <c r="G152" s="57"/>
      <c r="H152" s="56" t="s">
        <v>119</v>
      </c>
      <c r="I152" s="60"/>
      <c r="J152" s="1"/>
    </row>
    <row r="153" spans="1:10" ht="17" thickBot="1" x14ac:dyDescent="0.25">
      <c r="A153" s="1"/>
      <c r="B153" s="22"/>
      <c r="C153" s="51" t="s">
        <v>93</v>
      </c>
      <c r="D153" s="24"/>
      <c r="E153" s="131">
        <v>0.29499999999999998</v>
      </c>
      <c r="F153" s="185">
        <f t="shared" ref="F153:F159" si="5">E153</f>
        <v>0.29499999999999998</v>
      </c>
      <c r="G153" s="26"/>
      <c r="H153" s="56" t="s">
        <v>119</v>
      </c>
      <c r="I153" s="60"/>
      <c r="J153" s="1"/>
    </row>
    <row r="154" spans="1:10" ht="17" thickBot="1" x14ac:dyDescent="0.25">
      <c r="A154" s="1"/>
      <c r="B154" s="22"/>
      <c r="C154" s="51" t="s">
        <v>89</v>
      </c>
      <c r="D154" s="24"/>
      <c r="E154" s="131">
        <v>8.2000000000000003E-2</v>
      </c>
      <c r="F154" s="185">
        <f t="shared" si="5"/>
        <v>8.2000000000000003E-2</v>
      </c>
      <c r="G154" s="26"/>
      <c r="H154" s="56" t="s">
        <v>119</v>
      </c>
      <c r="I154" s="60"/>
      <c r="J154" s="1"/>
    </row>
    <row r="155" spans="1:10" ht="17" thickBot="1" x14ac:dyDescent="0.25">
      <c r="A155" s="1"/>
      <c r="B155" s="22"/>
      <c r="C155" s="51" t="s">
        <v>90</v>
      </c>
      <c r="D155" s="24"/>
      <c r="E155" s="131">
        <v>9.8000000000000004E-2</v>
      </c>
      <c r="F155" s="185">
        <f t="shared" si="5"/>
        <v>9.8000000000000004E-2</v>
      </c>
      <c r="G155" s="26"/>
      <c r="H155" s="56" t="s">
        <v>119</v>
      </c>
      <c r="I155" s="60"/>
      <c r="J155" s="1"/>
    </row>
    <row r="156" spans="1:10" ht="17" thickBot="1" x14ac:dyDescent="0.25">
      <c r="A156" s="1"/>
      <c r="B156" s="22"/>
      <c r="C156" s="51" t="s">
        <v>67</v>
      </c>
      <c r="D156" s="24"/>
      <c r="E156" s="131">
        <v>0.13100000000000001</v>
      </c>
      <c r="F156" s="185">
        <f t="shared" si="5"/>
        <v>0.13100000000000001</v>
      </c>
      <c r="G156" s="26"/>
      <c r="H156" s="56" t="s">
        <v>119</v>
      </c>
      <c r="I156" s="60"/>
      <c r="J156" s="1"/>
    </row>
    <row r="157" spans="1:10" ht="17" thickBot="1" x14ac:dyDescent="0.25">
      <c r="A157" s="1"/>
      <c r="B157" s="22"/>
      <c r="C157" s="51" t="s">
        <v>91</v>
      </c>
      <c r="D157" s="24"/>
      <c r="E157" s="131">
        <v>0.13100000000000001</v>
      </c>
      <c r="F157" s="185">
        <f t="shared" si="5"/>
        <v>0.13100000000000001</v>
      </c>
      <c r="G157" s="26"/>
      <c r="H157" s="56" t="s">
        <v>119</v>
      </c>
      <c r="I157" s="60"/>
      <c r="J157" s="1"/>
    </row>
    <row r="158" spans="1:10" ht="17" thickBot="1" x14ac:dyDescent="0.25">
      <c r="A158" s="1"/>
      <c r="B158" s="22"/>
      <c r="C158" s="51" t="s">
        <v>92</v>
      </c>
      <c r="D158" s="24"/>
      <c r="E158" s="131">
        <v>6.6000000000000003E-2</v>
      </c>
      <c r="F158" s="185">
        <f t="shared" si="5"/>
        <v>6.6000000000000003E-2</v>
      </c>
      <c r="G158" s="26"/>
      <c r="H158" s="56" t="s">
        <v>119</v>
      </c>
      <c r="I158" s="60"/>
      <c r="J158" s="1"/>
    </row>
    <row r="159" spans="1:10" ht="17" thickBot="1" x14ac:dyDescent="0.25">
      <c r="A159" s="1"/>
      <c r="B159" s="22"/>
      <c r="C159" s="51" t="s">
        <v>69</v>
      </c>
      <c r="D159" s="24"/>
      <c r="E159" s="131">
        <v>0.115</v>
      </c>
      <c r="F159" s="185">
        <f t="shared" si="5"/>
        <v>0.115</v>
      </c>
      <c r="G159" s="26"/>
      <c r="H159" s="56" t="s">
        <v>119</v>
      </c>
      <c r="I159" s="60"/>
      <c r="J159" s="1"/>
    </row>
    <row r="160" spans="1:10" ht="17" thickBot="1" x14ac:dyDescent="0.25">
      <c r="A160" s="1"/>
      <c r="B160" s="188"/>
      <c r="C160" s="44"/>
      <c r="D160" s="189"/>
      <c r="E160" s="132"/>
      <c r="F160" s="140"/>
      <c r="G160" s="46"/>
      <c r="H160" s="47"/>
      <c r="I160" s="65"/>
      <c r="J160" s="1"/>
    </row>
    <row r="161" spans="1:10" x14ac:dyDescent="0.2">
      <c r="A161" s="1"/>
      <c r="B161" s="187"/>
      <c r="C161" s="15"/>
      <c r="D161" s="16"/>
      <c r="E161" s="50"/>
      <c r="F161" s="139"/>
      <c r="G161" s="26"/>
      <c r="H161" s="3"/>
      <c r="I161" s="3"/>
      <c r="J161" s="1"/>
    </row>
    <row r="162" spans="1:10" ht="17" thickBot="1" x14ac:dyDescent="0.25">
      <c r="A162" s="1"/>
      <c r="B162" s="187"/>
      <c r="C162" s="15"/>
      <c r="D162" s="16"/>
      <c r="E162" s="50"/>
      <c r="F162" s="139"/>
      <c r="G162" s="26"/>
      <c r="H162" s="3"/>
      <c r="I162" s="3"/>
      <c r="J162" s="1"/>
    </row>
    <row r="163" spans="1:10" x14ac:dyDescent="0.2">
      <c r="A163" s="1"/>
      <c r="B163" s="9" t="s">
        <v>164</v>
      </c>
      <c r="C163" s="10"/>
      <c r="D163" s="11"/>
      <c r="E163" s="123"/>
      <c r="F163" s="12"/>
      <c r="G163" s="13"/>
      <c r="H163" s="13"/>
      <c r="I163" s="59"/>
      <c r="J163" s="1"/>
    </row>
    <row r="164" spans="1:10" x14ac:dyDescent="0.2">
      <c r="A164" s="1"/>
      <c r="B164" s="14"/>
      <c r="C164" s="15"/>
      <c r="D164" s="16"/>
      <c r="E164" s="50"/>
      <c r="F164" s="17"/>
      <c r="G164" s="3"/>
      <c r="H164" s="3"/>
      <c r="I164" s="60"/>
      <c r="J164" s="1"/>
    </row>
    <row r="165" spans="1:10" ht="17" thickBot="1" x14ac:dyDescent="0.25">
      <c r="A165" s="1"/>
      <c r="B165" s="48" t="s">
        <v>6</v>
      </c>
      <c r="C165" s="49"/>
      <c r="D165" s="49" t="s">
        <v>7</v>
      </c>
      <c r="E165" s="124" t="s">
        <v>123</v>
      </c>
      <c r="F165" s="49" t="s">
        <v>8</v>
      </c>
      <c r="G165" s="49"/>
      <c r="H165" s="49" t="s">
        <v>9</v>
      </c>
      <c r="I165" s="61"/>
      <c r="J165" s="1"/>
    </row>
    <row r="166" spans="1:10" ht="17" thickBot="1" x14ac:dyDescent="0.25">
      <c r="A166" s="1"/>
      <c r="B166" s="192" t="s">
        <v>17</v>
      </c>
      <c r="C166" s="10"/>
      <c r="D166" s="193"/>
      <c r="E166" s="123"/>
      <c r="F166" s="194"/>
      <c r="G166" s="195"/>
      <c r="H166" s="13"/>
      <c r="I166" s="59"/>
      <c r="J166" s="1"/>
    </row>
    <row r="167" spans="1:10" ht="17" thickBot="1" x14ac:dyDescent="0.25">
      <c r="A167" s="1"/>
      <c r="B167" s="22"/>
      <c r="C167" s="15" t="s">
        <v>18</v>
      </c>
      <c r="D167" s="24"/>
      <c r="E167" s="131">
        <v>0.15</v>
      </c>
      <c r="F167" s="185">
        <f>E167</f>
        <v>0.15</v>
      </c>
      <c r="G167" s="57"/>
      <c r="H167" s="56" t="s">
        <v>119</v>
      </c>
      <c r="I167" s="60"/>
      <c r="J167" s="1"/>
    </row>
    <row r="168" spans="1:10" ht="17" thickBot="1" x14ac:dyDescent="0.25">
      <c r="A168" s="1"/>
      <c r="B168" s="22"/>
      <c r="C168" s="15" t="s">
        <v>19</v>
      </c>
      <c r="D168" s="24"/>
      <c r="E168" s="131">
        <v>0.5</v>
      </c>
      <c r="F168" s="185">
        <f>E168</f>
        <v>0.5</v>
      </c>
      <c r="G168" s="26"/>
      <c r="H168" s="56" t="s">
        <v>119</v>
      </c>
      <c r="I168" s="60"/>
      <c r="J168" s="1"/>
    </row>
    <row r="169" spans="1:10" ht="17" thickBot="1" x14ac:dyDescent="0.25">
      <c r="A169" s="1"/>
      <c r="B169" s="22"/>
      <c r="C169" s="15" t="s">
        <v>170</v>
      </c>
      <c r="D169" s="24"/>
      <c r="E169" s="8">
        <f>18.06/18.74</f>
        <v>0.96371398078975457</v>
      </c>
      <c r="F169" s="199">
        <f>E169</f>
        <v>0.96371398078975457</v>
      </c>
      <c r="G169" s="26"/>
      <c r="H169" s="56" t="s">
        <v>119</v>
      </c>
      <c r="I169" s="60"/>
      <c r="J169" s="1"/>
    </row>
    <row r="170" spans="1:10" ht="17" thickBot="1" x14ac:dyDescent="0.25">
      <c r="A170" s="1"/>
      <c r="B170" s="22"/>
      <c r="C170" s="15" t="s">
        <v>171</v>
      </c>
      <c r="D170" s="24"/>
      <c r="E170" s="131">
        <f>22.22/33.33</f>
        <v>0.66666666666666663</v>
      </c>
      <c r="F170" s="198">
        <f>E170</f>
        <v>0.66666666666666663</v>
      </c>
      <c r="G170" s="26"/>
      <c r="H170" s="56" t="s">
        <v>119</v>
      </c>
      <c r="I170" s="60"/>
      <c r="J170" s="1"/>
    </row>
    <row r="171" spans="1:10" x14ac:dyDescent="0.2">
      <c r="A171" s="1"/>
      <c r="B171" s="27"/>
      <c r="C171" s="28"/>
      <c r="D171" s="29"/>
      <c r="E171" s="128"/>
      <c r="F171" s="138"/>
      <c r="G171" s="30"/>
      <c r="H171" s="2"/>
      <c r="I171" s="63"/>
      <c r="J171" s="1"/>
    </row>
    <row r="172" spans="1:10" ht="17" thickBot="1" x14ac:dyDescent="0.25">
      <c r="A172" s="1"/>
      <c r="B172" s="37" t="s">
        <v>20</v>
      </c>
      <c r="C172" s="38"/>
      <c r="D172" s="41"/>
      <c r="E172" s="130"/>
      <c r="F172" s="42"/>
      <c r="G172" s="39"/>
      <c r="H172" s="4"/>
      <c r="I172" s="64"/>
      <c r="J172" s="1"/>
    </row>
    <row r="173" spans="1:10" ht="17" thickBot="1" x14ac:dyDescent="0.25">
      <c r="A173" s="1"/>
      <c r="B173" s="22"/>
      <c r="C173" s="15" t="s">
        <v>21</v>
      </c>
      <c r="D173" s="24"/>
      <c r="E173" s="129">
        <v>0.77700000000000002</v>
      </c>
      <c r="F173" s="185">
        <v>0</v>
      </c>
      <c r="G173" s="26"/>
      <c r="H173" s="58" t="s">
        <v>275</v>
      </c>
      <c r="I173" s="60"/>
      <c r="J173" s="1"/>
    </row>
    <row r="174" spans="1:10" ht="17" thickBot="1" x14ac:dyDescent="0.25">
      <c r="A174" s="1"/>
      <c r="B174" s="22"/>
      <c r="C174" s="15" t="s">
        <v>22</v>
      </c>
      <c r="D174" s="24"/>
      <c r="E174" s="129">
        <v>0.223</v>
      </c>
      <c r="F174" s="185">
        <f>1-F173</f>
        <v>1</v>
      </c>
      <c r="G174" s="26"/>
      <c r="H174" s="6" t="s">
        <v>275</v>
      </c>
      <c r="I174" s="60"/>
      <c r="J174" s="1"/>
    </row>
    <row r="175" spans="1:10" ht="17" thickBot="1" x14ac:dyDescent="0.25">
      <c r="A175" s="1"/>
      <c r="B175" s="22"/>
      <c r="C175" s="15"/>
      <c r="D175" s="16"/>
      <c r="E175" s="129"/>
      <c r="F175" s="36"/>
      <c r="G175" s="26"/>
      <c r="H175" s="3"/>
      <c r="I175" s="60"/>
      <c r="J175" s="1"/>
    </row>
    <row r="176" spans="1:10" ht="17" thickBot="1" x14ac:dyDescent="0.25">
      <c r="A176" s="1"/>
      <c r="B176" s="22"/>
      <c r="C176" s="15" t="s">
        <v>141</v>
      </c>
      <c r="D176" s="16"/>
      <c r="E176" s="147">
        <v>0.5</v>
      </c>
      <c r="F176" s="148">
        <f>E176</f>
        <v>0.5</v>
      </c>
      <c r="G176" s="26"/>
      <c r="H176" s="58" t="s">
        <v>143</v>
      </c>
      <c r="I176" s="60"/>
      <c r="J176" s="1"/>
    </row>
    <row r="177" spans="1:10" ht="17" thickBot="1" x14ac:dyDescent="0.25">
      <c r="A177" s="1"/>
      <c r="B177" s="22"/>
      <c r="C177" s="15" t="s">
        <v>142</v>
      </c>
      <c r="D177" s="16"/>
      <c r="E177" s="147">
        <v>1.8</v>
      </c>
      <c r="F177" s="149">
        <f>E177</f>
        <v>1.8</v>
      </c>
      <c r="G177" s="26"/>
      <c r="H177" s="6" t="s">
        <v>143</v>
      </c>
      <c r="I177" s="60"/>
      <c r="J177" s="1"/>
    </row>
    <row r="178" spans="1:10" x14ac:dyDescent="0.2">
      <c r="A178" s="1"/>
      <c r="B178" s="22"/>
      <c r="C178" s="3"/>
      <c r="D178" s="3"/>
      <c r="E178" s="26"/>
      <c r="F178" s="3"/>
      <c r="G178" s="3"/>
      <c r="H178" s="3"/>
      <c r="I178" s="62"/>
      <c r="J178" s="1"/>
    </row>
    <row r="179" spans="1:10" ht="17" thickBot="1" x14ac:dyDescent="0.25">
      <c r="A179" s="1"/>
      <c r="B179" s="37" t="s">
        <v>153</v>
      </c>
      <c r="C179" s="4"/>
      <c r="D179" s="4"/>
      <c r="E179" s="39"/>
      <c r="F179" s="4"/>
      <c r="G179" s="4"/>
      <c r="H179" s="4"/>
      <c r="I179" s="184"/>
      <c r="J179" s="1"/>
    </row>
    <row r="180" spans="1:10" ht="17" thickBot="1" x14ac:dyDescent="0.25">
      <c r="A180" s="1"/>
      <c r="B180" s="14"/>
      <c r="C180" s="15" t="s">
        <v>155</v>
      </c>
      <c r="D180" s="16" t="s">
        <v>154</v>
      </c>
      <c r="E180" s="125"/>
      <c r="F180" s="52">
        <v>160</v>
      </c>
      <c r="G180" s="7"/>
      <c r="H180" s="6" t="s">
        <v>178</v>
      </c>
      <c r="I180" s="60"/>
      <c r="J180" s="1"/>
    </row>
    <row r="181" spans="1:10" ht="17" thickBot="1" x14ac:dyDescent="0.25">
      <c r="A181" s="1"/>
      <c r="B181" s="14"/>
      <c r="C181" s="15" t="s">
        <v>235</v>
      </c>
      <c r="D181" s="16" t="s">
        <v>236</v>
      </c>
      <c r="E181" s="125"/>
      <c r="F181" s="52">
        <v>867</v>
      </c>
      <c r="G181" s="7"/>
      <c r="H181" s="6" t="s">
        <v>237</v>
      </c>
      <c r="I181" s="60"/>
      <c r="J181" s="1"/>
    </row>
    <row r="182" spans="1:10" ht="17" thickBot="1" x14ac:dyDescent="0.25">
      <c r="A182" s="1"/>
      <c r="B182" s="14"/>
      <c r="C182" s="15" t="s">
        <v>238</v>
      </c>
      <c r="D182" s="16" t="s">
        <v>157</v>
      </c>
      <c r="E182" s="125"/>
      <c r="F182" s="186">
        <v>0.16</v>
      </c>
      <c r="G182" s="7"/>
      <c r="H182" s="6" t="s">
        <v>237</v>
      </c>
      <c r="I182" s="60"/>
      <c r="J182" s="1"/>
    </row>
    <row r="183" spans="1:10" x14ac:dyDescent="0.2">
      <c r="A183" s="1"/>
      <c r="B183" s="14"/>
      <c r="C183" s="15"/>
      <c r="D183" s="16"/>
      <c r="E183" s="125"/>
      <c r="F183" s="125"/>
      <c r="G183" s="125"/>
      <c r="H183" s="125"/>
      <c r="I183" s="60"/>
      <c r="J183" s="1"/>
    </row>
    <row r="184" spans="1:10" ht="17" thickBot="1" x14ac:dyDescent="0.25">
      <c r="A184" s="1"/>
      <c r="B184" s="22" t="s">
        <v>177</v>
      </c>
      <c r="C184" s="15"/>
      <c r="D184" s="16"/>
      <c r="E184" s="125"/>
      <c r="F184" s="125"/>
      <c r="G184" s="125"/>
      <c r="H184" s="125"/>
      <c r="I184" s="60"/>
      <c r="J184" s="1"/>
    </row>
    <row r="185" spans="1:10" ht="17" thickBot="1" x14ac:dyDescent="0.25">
      <c r="A185" s="1"/>
      <c r="B185" s="22"/>
      <c r="C185" s="15" t="s">
        <v>221</v>
      </c>
      <c r="D185" s="16"/>
      <c r="E185" s="125"/>
      <c r="F185" s="205">
        <f>31.65/10^6</f>
        <v>3.1649999999999997E-5</v>
      </c>
      <c r="G185" s="7"/>
      <c r="H185" s="6" t="s">
        <v>179</v>
      </c>
      <c r="I185" s="60"/>
      <c r="J185" s="1"/>
    </row>
    <row r="186" spans="1:10" ht="17" thickBot="1" x14ac:dyDescent="0.25">
      <c r="A186" s="1"/>
      <c r="B186" s="22"/>
      <c r="C186" s="15" t="s">
        <v>222</v>
      </c>
      <c r="D186" s="16"/>
      <c r="E186" s="125"/>
      <c r="F186" s="204">
        <f>3600/10^9</f>
        <v>3.5999999999999998E-6</v>
      </c>
      <c r="G186" s="7"/>
      <c r="H186" s="6" t="s">
        <v>180</v>
      </c>
      <c r="I186" s="60"/>
      <c r="J186" s="1"/>
    </row>
    <row r="187" spans="1:10" x14ac:dyDescent="0.2">
      <c r="A187" s="1"/>
      <c r="B187" s="22"/>
      <c r="C187" s="15"/>
      <c r="D187" s="16"/>
      <c r="E187" s="125"/>
      <c r="F187" s="125"/>
      <c r="G187" s="125"/>
      <c r="H187" s="125"/>
      <c r="I187" s="60"/>
      <c r="J187" s="1"/>
    </row>
    <row r="188" spans="1:10" ht="17" thickBot="1" x14ac:dyDescent="0.25">
      <c r="A188" s="1"/>
      <c r="B188" s="43"/>
      <c r="C188" s="44"/>
      <c r="D188" s="45"/>
      <c r="E188" s="132"/>
      <c r="F188" s="140"/>
      <c r="G188" s="46"/>
      <c r="H188" s="47"/>
      <c r="I188" s="65"/>
      <c r="J188" s="1"/>
    </row>
    <row r="189" spans="1:10" x14ac:dyDescent="0.2">
      <c r="A189" s="1"/>
      <c r="B189" s="1"/>
      <c r="C189" s="1"/>
      <c r="D189" s="1"/>
      <c r="E189" s="122"/>
      <c r="F189" s="1"/>
      <c r="G189" s="1"/>
      <c r="H189" s="1"/>
      <c r="I189" s="1"/>
      <c r="J189" s="1"/>
    </row>
    <row r="190" spans="1:10" x14ac:dyDescent="0.2">
      <c r="A190" s="1"/>
      <c r="B190" s="1"/>
      <c r="C190" s="1"/>
      <c r="D190" s="1"/>
      <c r="E190" s="122"/>
      <c r="F190" s="1"/>
      <c r="G190" s="1"/>
      <c r="H190" s="1"/>
      <c r="I190" s="1"/>
      <c r="J190" s="1"/>
    </row>
    <row r="191" spans="1:10" x14ac:dyDescent="0.2">
      <c r="A191" s="1"/>
      <c r="B191" s="1"/>
      <c r="C191" s="1"/>
      <c r="D191" s="1"/>
      <c r="E191" s="122"/>
      <c r="F191" s="1"/>
      <c r="G191" s="1"/>
      <c r="H191" s="1"/>
      <c r="I191" s="1"/>
      <c r="J191" s="1"/>
    </row>
    <row r="192" spans="1:10" x14ac:dyDescent="0.2">
      <c r="A192" s="1"/>
      <c r="B192" s="1"/>
      <c r="C192" s="1"/>
      <c r="D192" s="1"/>
      <c r="E192" s="122"/>
      <c r="F192" s="1"/>
      <c r="G192" s="1"/>
      <c r="H192" s="1"/>
      <c r="I192" s="1"/>
      <c r="J192" s="1"/>
    </row>
  </sheetData>
  <mergeCells count="2">
    <mergeCell ref="B93:B94"/>
    <mergeCell ref="B115:B116"/>
  </mergeCells>
  <dataValidations count="3">
    <dataValidation type="decimal" showInputMessage="1" showErrorMessage="1" errorTitle="Number Range" error="You may only  instert a number between 0 and 100%_x000d_" sqref="E167:E168 E170">
      <formula1>0</formula1>
      <formula2>1</formula2>
    </dataValidation>
    <dataValidation type="decimal" operator="greaterThanOrEqual" showInputMessage="1" showErrorMessage="1" errorTitle="Number Range" error="You may only add positive numbers. _x000d_" sqref="F150:F151 E152:E159 E87:E90 F166 F171:F177 E129:E132 E114:E116 E138:F142 F143:F145 E136:F136 E146:E149 E92:E94 F129:F133 F160:F162 E108:E112 F37:F81 F85:F127">
      <formula1>0</formula1>
    </dataValidation>
    <dataValidation type="decimal" operator="greaterThanOrEqual" allowBlank="1" showInputMessage="1" showErrorMessage="1" errorTitle="Number Range" error="You may only enter positive numbers here. " sqref="F180:F187 F14:F20 F22:F27">
      <formula1>0</formula1>
    </dataValidation>
  </dataValidations>
  <hyperlinks>
    <hyperlink ref="H10" r:id="rId1" tooltip="Link naar de opgeslagen presentatie (Opent in nieuw venster)"/>
    <hyperlink ref="H9" r:id="rId2" tooltip="Link naar de opgeslagen presentatie (Opent in nieuw venster)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0.39997558519241921"/>
  </sheetPr>
  <dimension ref="B1:S97"/>
  <sheetViews>
    <sheetView workbookViewId="0">
      <pane xSplit="3" ySplit="12" topLeftCell="D19" activePane="bottomRight" state="frozen"/>
      <selection pane="topRight" activeCell="D1" sqref="D1"/>
      <selection pane="bottomLeft" activeCell="A13" sqref="A13"/>
      <selection pane="bottomRight" activeCell="M22" sqref="M22"/>
    </sheetView>
  </sheetViews>
  <sheetFormatPr baseColWidth="10" defaultRowHeight="16" x14ac:dyDescent="0.2"/>
  <cols>
    <col min="2" max="2" width="24.1640625" customWidth="1"/>
    <col min="3" max="3" width="49.83203125" customWidth="1"/>
    <col min="4" max="4" width="20.1640625" customWidth="1"/>
    <col min="5" max="5" width="22.5" customWidth="1"/>
    <col min="6" max="9" width="20.1640625" customWidth="1"/>
    <col min="10" max="10" width="11.6640625" customWidth="1"/>
    <col min="11" max="11" width="13" customWidth="1"/>
    <col min="12" max="12" width="17" bestFit="1" customWidth="1"/>
    <col min="13" max="13" width="15.1640625" customWidth="1"/>
    <col min="14" max="14" width="24" bestFit="1" customWidth="1"/>
    <col min="15" max="15" width="53.83203125" bestFit="1" customWidth="1"/>
    <col min="16" max="16" width="21.1640625" bestFit="1" customWidth="1"/>
    <col min="17" max="17" width="8.1640625" bestFit="1" customWidth="1"/>
    <col min="18" max="18" width="11.1640625" bestFit="1" customWidth="1"/>
    <col min="19" max="19" width="7.1640625" bestFit="1" customWidth="1"/>
  </cols>
  <sheetData>
    <row r="1" spans="2:19" ht="21" x14ac:dyDescent="0.25">
      <c r="B1" s="66" t="s">
        <v>24</v>
      </c>
      <c r="C1" s="3"/>
      <c r="D1" s="3"/>
      <c r="E1" s="3"/>
      <c r="F1" s="3"/>
      <c r="G1" s="3"/>
      <c r="H1" s="3"/>
      <c r="I1" s="3"/>
      <c r="J1" s="3"/>
      <c r="K1" s="1"/>
      <c r="L1" s="1"/>
      <c r="M1" s="1"/>
      <c r="N1" s="3"/>
      <c r="O1" s="1"/>
      <c r="P1" s="1"/>
      <c r="Q1" s="1"/>
      <c r="R1" s="1"/>
      <c r="S1" s="1"/>
    </row>
    <row r="2" spans="2:19" x14ac:dyDescent="0.2">
      <c r="B2" s="1"/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3"/>
      <c r="O2" s="1"/>
      <c r="P2" s="1"/>
      <c r="Q2" s="1"/>
      <c r="R2" s="1"/>
      <c r="S2" s="1"/>
    </row>
    <row r="3" spans="2:19" x14ac:dyDescent="0.2">
      <c r="B3" s="5" t="s">
        <v>25</v>
      </c>
      <c r="C3" s="4"/>
      <c r="D3" s="4"/>
      <c r="E3" s="4"/>
      <c r="F3" s="3"/>
      <c r="G3" s="3"/>
      <c r="H3" s="3"/>
      <c r="I3" s="3"/>
      <c r="J3" s="3"/>
      <c r="K3" s="1"/>
      <c r="L3" s="1"/>
      <c r="M3" s="1"/>
      <c r="N3" s="3"/>
      <c r="O3" s="1"/>
      <c r="P3" s="1"/>
      <c r="Q3" s="1"/>
      <c r="R3" s="1"/>
      <c r="S3" s="1"/>
    </row>
    <row r="4" spans="2:19" ht="78" customHeight="1" x14ac:dyDescent="0.2">
      <c r="B4" s="219" t="s">
        <v>172</v>
      </c>
      <c r="C4" s="220"/>
      <c r="D4" s="162"/>
      <c r="E4" s="162"/>
      <c r="F4" s="3"/>
      <c r="G4" s="3"/>
      <c r="H4" s="3"/>
      <c r="I4" s="3"/>
      <c r="J4" s="3"/>
      <c r="K4" s="1"/>
      <c r="L4" s="1"/>
      <c r="M4" s="1"/>
      <c r="N4" s="169"/>
      <c r="O4" s="1"/>
      <c r="P4" s="1"/>
      <c r="Q4" s="3"/>
      <c r="R4" s="1"/>
      <c r="S4" s="1"/>
    </row>
    <row r="5" spans="2:19" ht="17" thickBot="1" x14ac:dyDescent="0.25">
      <c r="B5" s="3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3"/>
      <c r="O5" s="1"/>
      <c r="P5" s="1"/>
      <c r="Q5" s="3"/>
      <c r="R5" s="1"/>
      <c r="S5" s="1"/>
    </row>
    <row r="6" spans="2:19" x14ac:dyDescent="0.2">
      <c r="B6" s="9" t="s">
        <v>24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59"/>
      <c r="N6" s="3"/>
      <c r="O6" s="1"/>
      <c r="P6" s="1"/>
      <c r="Q6" s="107"/>
      <c r="R6" s="1"/>
      <c r="S6" s="1"/>
    </row>
    <row r="7" spans="2:19" x14ac:dyDescent="0.2">
      <c r="B7" s="23"/>
      <c r="C7" s="3"/>
      <c r="D7" s="3"/>
      <c r="E7" s="3"/>
      <c r="F7" s="3"/>
      <c r="G7" s="3"/>
      <c r="H7" s="3"/>
      <c r="I7" s="3"/>
      <c r="J7" s="3"/>
      <c r="K7" s="3"/>
      <c r="L7" s="3"/>
      <c r="M7" s="60"/>
      <c r="N7" s="3"/>
      <c r="O7" s="1"/>
      <c r="P7" s="1"/>
      <c r="Q7" s="107"/>
      <c r="R7" s="1"/>
      <c r="S7" s="1"/>
    </row>
    <row r="8" spans="2:19" ht="48" x14ac:dyDescent="0.2">
      <c r="B8" s="67" t="s">
        <v>26</v>
      </c>
      <c r="C8" s="68" t="s">
        <v>27</v>
      </c>
      <c r="D8" s="69" t="s">
        <v>28</v>
      </c>
      <c r="E8" s="69" t="s">
        <v>29</v>
      </c>
      <c r="F8" s="69" t="s">
        <v>30</v>
      </c>
      <c r="G8" s="69" t="s">
        <v>31</v>
      </c>
      <c r="H8" s="69" t="s">
        <v>32</v>
      </c>
      <c r="I8" s="69" t="s">
        <v>33</v>
      </c>
      <c r="J8" s="163" t="s">
        <v>148</v>
      </c>
      <c r="K8" s="68" t="s">
        <v>150</v>
      </c>
      <c r="L8" s="164" t="s">
        <v>34</v>
      </c>
      <c r="M8" s="165" t="s">
        <v>35</v>
      </c>
      <c r="N8" s="69" t="s">
        <v>149</v>
      </c>
      <c r="O8" s="1"/>
      <c r="P8" s="1"/>
      <c r="Q8" s="109"/>
      <c r="R8" s="1"/>
      <c r="S8" s="1"/>
    </row>
    <row r="9" spans="2:19" x14ac:dyDescent="0.2">
      <c r="B9" s="71"/>
      <c r="C9" s="72"/>
      <c r="D9" s="3"/>
      <c r="E9" s="3"/>
      <c r="F9" s="3"/>
      <c r="G9" s="3"/>
      <c r="H9" s="3"/>
      <c r="I9" s="3"/>
      <c r="J9" s="156"/>
      <c r="K9" s="3"/>
      <c r="L9" s="3"/>
      <c r="M9" s="60"/>
      <c r="N9" s="3"/>
      <c r="O9" s="1"/>
      <c r="P9" s="1"/>
      <c r="Q9" s="3"/>
      <c r="R9" s="1"/>
      <c r="S9" s="1"/>
    </row>
    <row r="10" spans="2:19" x14ac:dyDescent="0.2">
      <c r="B10" s="14"/>
      <c r="C10" s="3"/>
      <c r="D10" s="3"/>
      <c r="E10" s="3"/>
      <c r="F10" s="3"/>
      <c r="G10" s="3"/>
      <c r="H10" s="3"/>
      <c r="I10" s="3"/>
      <c r="J10" s="157"/>
      <c r="K10" s="15"/>
      <c r="L10" s="15"/>
      <c r="M10" s="73"/>
      <c r="N10" s="3"/>
      <c r="O10" s="74"/>
      <c r="P10" s="15"/>
      <c r="Q10" s="15"/>
      <c r="R10" s="74"/>
      <c r="S10" s="74"/>
    </row>
    <row r="11" spans="2:19" x14ac:dyDescent="0.2">
      <c r="B11" s="75"/>
      <c r="C11" s="70"/>
      <c r="D11" s="211">
        <f>Dashboard!F23*Dashboard!F185</f>
        <v>33.703451999999999</v>
      </c>
      <c r="E11" s="211">
        <f>Dashboard!F22*Dashboard!F186</f>
        <v>10.938888</v>
      </c>
      <c r="F11" s="136">
        <f>Dashboard!F27</f>
        <v>2.4199195758972318E-3</v>
      </c>
      <c r="G11" s="136">
        <f>Dashboard!F26</f>
        <v>0.18972169475034298</v>
      </c>
      <c r="H11" s="136">
        <f>Dashboard!F24</f>
        <v>0.37378230641598553</v>
      </c>
      <c r="I11" s="136">
        <f>Dashboard!F25</f>
        <v>0</v>
      </c>
      <c r="J11" s="158"/>
      <c r="K11" s="3"/>
      <c r="L11" s="3"/>
      <c r="M11" s="60"/>
      <c r="N11" s="70"/>
      <c r="O11" s="1"/>
      <c r="P11" s="3"/>
      <c r="Q11" s="3"/>
      <c r="R11" s="1"/>
      <c r="S11" s="1"/>
    </row>
    <row r="12" spans="2:19" x14ac:dyDescent="0.2">
      <c r="B12" s="67"/>
      <c r="C12" s="2"/>
      <c r="D12" s="76"/>
      <c r="E12" s="76"/>
      <c r="F12" s="76"/>
      <c r="G12" s="76"/>
      <c r="H12" s="76"/>
      <c r="I12" s="76"/>
      <c r="J12" s="159"/>
      <c r="K12" s="3"/>
      <c r="L12" s="3"/>
      <c r="M12" s="60"/>
      <c r="N12" s="2"/>
      <c r="O12" s="1"/>
      <c r="P12" s="3"/>
      <c r="Q12" s="3"/>
      <c r="R12" s="1"/>
      <c r="S12" s="1"/>
    </row>
    <row r="13" spans="2:19" x14ac:dyDescent="0.2">
      <c r="B13" s="153" t="s">
        <v>147</v>
      </c>
      <c r="C13" s="3"/>
      <c r="D13" s="77"/>
      <c r="E13" s="77"/>
      <c r="F13" s="77"/>
      <c r="G13" s="77"/>
      <c r="H13" s="77"/>
      <c r="I13" s="77"/>
      <c r="J13" s="159"/>
      <c r="K13" s="3"/>
      <c r="L13" s="3"/>
      <c r="M13" s="60"/>
      <c r="N13" s="3"/>
      <c r="O13" s="1"/>
      <c r="P13" s="3"/>
      <c r="Q13" s="3"/>
      <c r="R13" s="1"/>
      <c r="S13" s="1"/>
    </row>
    <row r="14" spans="2:19" x14ac:dyDescent="0.2">
      <c r="B14" s="71"/>
      <c r="C14" s="83" t="s">
        <v>145</v>
      </c>
      <c r="D14" s="77"/>
      <c r="E14" s="77"/>
      <c r="F14" s="77"/>
      <c r="G14" s="77"/>
      <c r="H14" s="77"/>
      <c r="I14" s="77"/>
      <c r="J14" s="159"/>
      <c r="K14" s="3"/>
      <c r="L14" s="3">
        <f>Dashboard!F173*(1/Dashboard!F176)/(Dashboard!F$173*(1/Dashboard!F$176)+Dashboard!F$174*(1/Dashboard!F$177))</f>
        <v>0</v>
      </c>
      <c r="M14" s="60"/>
      <c r="N14" s="3"/>
      <c r="O14" s="1"/>
      <c r="P14" s="3"/>
      <c r="Q14" s="3"/>
      <c r="R14" s="1"/>
      <c r="S14" s="1"/>
    </row>
    <row r="15" spans="2:19" x14ac:dyDescent="0.2">
      <c r="B15" s="71"/>
      <c r="C15" s="83" t="s">
        <v>146</v>
      </c>
      <c r="D15" s="77"/>
      <c r="E15" s="77"/>
      <c r="F15" s="77"/>
      <c r="G15" s="77"/>
      <c r="H15" s="77"/>
      <c r="I15" s="77"/>
      <c r="J15" s="159"/>
      <c r="K15" s="3"/>
      <c r="L15" s="3">
        <f>Dashboard!F174*(1/Dashboard!F177)/(Dashboard!F$173*(1/Dashboard!F$176)+Dashboard!F$174*(1/Dashboard!F$177))</f>
        <v>1</v>
      </c>
      <c r="M15" s="60"/>
      <c r="N15" s="3"/>
      <c r="O15" s="1"/>
      <c r="P15" s="3"/>
      <c r="Q15" s="3"/>
      <c r="R15" s="1"/>
      <c r="S15" s="1"/>
    </row>
    <row r="16" spans="2:19" x14ac:dyDescent="0.2">
      <c r="B16" s="150" t="s">
        <v>10</v>
      </c>
      <c r="C16" s="151"/>
      <c r="D16" s="152"/>
      <c r="E16" s="152"/>
      <c r="F16" s="152"/>
      <c r="G16" s="152"/>
      <c r="H16" s="152"/>
      <c r="I16" s="152"/>
      <c r="J16" s="159"/>
      <c r="K16" s="3"/>
      <c r="L16" s="3"/>
      <c r="M16" s="60"/>
      <c r="N16" s="3"/>
      <c r="O16" s="1"/>
      <c r="P16" s="3"/>
      <c r="Q16" s="3"/>
      <c r="R16" s="1"/>
      <c r="S16" s="1"/>
    </row>
    <row r="17" spans="2:19" x14ac:dyDescent="0.2">
      <c r="B17" s="71"/>
      <c r="C17" s="83" t="s">
        <v>121</v>
      </c>
      <c r="D17" s="77">
        <f>D11*Dashboard!F37</f>
        <v>26.524616724000001</v>
      </c>
      <c r="E17" s="77">
        <f>E11*Dashboard!F43</f>
        <v>0.87511104000000006</v>
      </c>
      <c r="F17" s="77">
        <f>F11*Dashboard!F76</f>
        <v>2.4199195758972318E-3</v>
      </c>
      <c r="G17" s="77">
        <f>G11*Dashboard!F71</f>
        <v>0.18972169475034298</v>
      </c>
      <c r="H17" s="77">
        <f>H11*Dashboard!F57</f>
        <v>0.37378230641598553</v>
      </c>
      <c r="I17" s="77">
        <f>I11*Dashboard!F52</f>
        <v>0</v>
      </c>
      <c r="J17" s="176"/>
      <c r="K17" s="4"/>
      <c r="L17" s="4">
        <f>SUM(L20:L31)/(1-Dashboard!F17*Dashboard!F167)</f>
        <v>29.988627585611674</v>
      </c>
      <c r="M17" s="64"/>
      <c r="N17" s="3"/>
      <c r="O17" s="1"/>
      <c r="P17" s="3"/>
      <c r="Q17" s="3"/>
      <c r="R17" s="1"/>
      <c r="S17" s="1"/>
    </row>
    <row r="18" spans="2:19" x14ac:dyDescent="0.2">
      <c r="B18" s="71"/>
      <c r="C18" s="83"/>
      <c r="D18" s="77"/>
      <c r="E18" s="77"/>
      <c r="F18" s="77"/>
      <c r="G18" s="77"/>
      <c r="H18" s="77"/>
      <c r="I18" s="77"/>
      <c r="J18" s="159"/>
      <c r="K18" s="3"/>
      <c r="L18" s="3"/>
      <c r="M18" s="60"/>
      <c r="N18" s="3"/>
      <c r="O18" s="1"/>
      <c r="P18" s="3"/>
      <c r="Q18" s="3"/>
      <c r="R18" s="1"/>
      <c r="S18" s="1"/>
    </row>
    <row r="19" spans="2:19" x14ac:dyDescent="0.2">
      <c r="B19" s="71"/>
      <c r="C19" s="94"/>
      <c r="D19" s="77"/>
      <c r="E19" s="77"/>
      <c r="F19" s="77"/>
      <c r="G19" s="77"/>
      <c r="H19" s="77"/>
      <c r="I19" s="77"/>
      <c r="J19" s="159"/>
      <c r="K19" s="3"/>
      <c r="L19" s="3"/>
      <c r="M19" s="60"/>
      <c r="N19" s="3"/>
      <c r="O19" s="1"/>
      <c r="P19" s="3"/>
      <c r="Q19" s="3"/>
      <c r="R19" s="1"/>
      <c r="S19" s="1"/>
    </row>
    <row r="20" spans="2:19" x14ac:dyDescent="0.2">
      <c r="B20" s="154"/>
      <c r="C20" s="79" t="s">
        <v>36</v>
      </c>
      <c r="D20" s="170">
        <f>(Dashboard!F87/K20)/(Dashboard!F$87/K$20+Dashboard!F$88/K$23+Dashboard!F$89/K$28+Dashboard!F$90/K$31)*D$17</f>
        <v>25.409137613940548</v>
      </c>
      <c r="E20" s="171"/>
      <c r="F20" s="171"/>
      <c r="G20" s="171"/>
      <c r="H20" s="171"/>
      <c r="I20" s="171"/>
      <c r="J20" s="160">
        <f>SUM(D20:I20)</f>
        <v>25.409137613940548</v>
      </c>
      <c r="K20" s="3">
        <v>1.0669999999999999</v>
      </c>
      <c r="L20" s="3">
        <f t="shared" ref="L20:L31" si="0">K20*SUM(D20:I20)</f>
        <v>27.111549834074562</v>
      </c>
      <c r="M20" s="110">
        <f>L20/SUM($L$20:$L$31)</f>
        <v>0.9040610396950105</v>
      </c>
      <c r="N20" s="166">
        <f>SUM(D20:I20)/SUM($D$20:$I$31)</f>
        <v>0.90858378343471669</v>
      </c>
      <c r="O20" s="1"/>
      <c r="P20" s="3"/>
      <c r="Q20" s="3"/>
      <c r="R20" s="1"/>
      <c r="S20" s="1"/>
    </row>
    <row r="21" spans="2:19" x14ac:dyDescent="0.2">
      <c r="B21" s="154"/>
      <c r="C21" s="79" t="s">
        <v>37</v>
      </c>
      <c r="D21" s="172"/>
      <c r="E21" s="172"/>
      <c r="F21" s="172"/>
      <c r="G21" s="172"/>
      <c r="H21" s="172"/>
      <c r="I21" s="172"/>
      <c r="J21" s="160">
        <f t="shared" ref="J21:J31" si="1">SUM(D21:I21)</f>
        <v>0</v>
      </c>
      <c r="K21" s="3">
        <v>1</v>
      </c>
      <c r="L21" s="3">
        <f t="shared" si="0"/>
        <v>0</v>
      </c>
      <c r="M21" s="110">
        <f t="shared" ref="M21:M31" si="2">L21/SUM($L$20:$L$31)</f>
        <v>0</v>
      </c>
      <c r="N21" s="166">
        <f t="shared" ref="N21:N31" si="3">SUM(D21:I21)/SUM($D$20:$I$31)</f>
        <v>0</v>
      </c>
      <c r="O21" s="1"/>
      <c r="P21" s="3"/>
      <c r="Q21" s="3"/>
      <c r="R21" s="1"/>
      <c r="S21" s="1"/>
    </row>
    <row r="22" spans="2:19" x14ac:dyDescent="0.2">
      <c r="B22" s="154"/>
      <c r="C22" s="79" t="s">
        <v>38</v>
      </c>
      <c r="D22" s="172"/>
      <c r="E22" s="172">
        <f>(Dashboard!F92/K22)/(Dashboard!F$92/K$22+Dashboard!F$93/K$25+Dashboard!F$94/K$27)*(E$17-E$31)</f>
        <v>3.7449306678940163E-2</v>
      </c>
      <c r="F22" s="172"/>
      <c r="G22" s="172"/>
      <c r="H22" s="172"/>
      <c r="I22" s="172"/>
      <c r="J22" s="160">
        <f t="shared" si="1"/>
        <v>3.7449306678940163E-2</v>
      </c>
      <c r="K22" s="3">
        <v>4.8000000000000078</v>
      </c>
      <c r="L22" s="3">
        <f t="shared" si="0"/>
        <v>0.17975667205891308</v>
      </c>
      <c r="M22" s="110">
        <f t="shared" si="2"/>
        <v>5.9941613381853803E-3</v>
      </c>
      <c r="N22" s="166">
        <f t="shared" si="3"/>
        <v>1.3391179687535094E-3</v>
      </c>
      <c r="O22" s="1"/>
      <c r="P22" s="107"/>
      <c r="Q22" s="3"/>
      <c r="R22" s="1"/>
      <c r="S22" s="1"/>
    </row>
    <row r="23" spans="2:19" x14ac:dyDescent="0.2">
      <c r="B23" s="154"/>
      <c r="C23" s="79" t="s">
        <v>40</v>
      </c>
      <c r="D23" s="172">
        <f>(Dashboard!F88/K23)/(Dashboard!F$87/K$20+Dashboard!F$88/K$23+Dashboard!F$89/K$28+Dashboard!F$90/K$31)*D$17</f>
        <v>0</v>
      </c>
      <c r="E23" s="172"/>
      <c r="F23" s="172"/>
      <c r="G23" s="172"/>
      <c r="H23" s="172"/>
      <c r="I23" s="172"/>
      <c r="J23" s="160">
        <f t="shared" si="1"/>
        <v>0</v>
      </c>
      <c r="K23" s="3">
        <v>0.88</v>
      </c>
      <c r="L23" s="3">
        <f t="shared" si="0"/>
        <v>0</v>
      </c>
      <c r="M23" s="110">
        <f t="shared" si="2"/>
        <v>0</v>
      </c>
      <c r="N23" s="166">
        <f t="shared" si="3"/>
        <v>0</v>
      </c>
      <c r="O23" s="1"/>
      <c r="P23" s="108"/>
      <c r="Q23" s="1"/>
      <c r="R23" s="81"/>
      <c r="S23" s="1"/>
    </row>
    <row r="24" spans="2:19" x14ac:dyDescent="0.2">
      <c r="B24" s="154"/>
      <c r="C24" s="79" t="s">
        <v>41</v>
      </c>
      <c r="D24" s="172"/>
      <c r="E24" s="172"/>
      <c r="F24" s="172"/>
      <c r="G24" s="172"/>
      <c r="H24" s="172"/>
      <c r="I24" s="172">
        <f>I17</f>
        <v>0</v>
      </c>
      <c r="J24" s="160">
        <f t="shared" si="1"/>
        <v>0</v>
      </c>
      <c r="K24" s="3">
        <v>1</v>
      </c>
      <c r="L24" s="3">
        <f t="shared" si="0"/>
        <v>0</v>
      </c>
      <c r="M24" s="110">
        <f t="shared" si="2"/>
        <v>0</v>
      </c>
      <c r="N24" s="166">
        <f t="shared" si="3"/>
        <v>0</v>
      </c>
      <c r="O24" s="1"/>
      <c r="P24" s="3"/>
      <c r="Q24" s="1"/>
      <c r="R24" s="1"/>
      <c r="S24" s="1"/>
    </row>
    <row r="25" spans="2:19" x14ac:dyDescent="0.2">
      <c r="B25" s="154"/>
      <c r="C25" s="79" t="s">
        <v>232</v>
      </c>
      <c r="D25" s="172"/>
      <c r="E25" s="172">
        <f>(Dashboard!F93/K25)/(Dashboard!F$92/K$22+Dashboard!F$93/K$25+Dashboard!F$94/K$27)*(E$17-E$31)</f>
        <v>0.13056611608596591</v>
      </c>
      <c r="F25" s="172"/>
      <c r="G25" s="172"/>
      <c r="H25" s="172"/>
      <c r="I25" s="172"/>
      <c r="J25" s="160">
        <f t="shared" si="1"/>
        <v>0.13056611608596591</v>
      </c>
      <c r="K25" s="3">
        <v>4.5000000000000044</v>
      </c>
      <c r="L25" s="3">
        <f t="shared" si="0"/>
        <v>0.58754752238684715</v>
      </c>
      <c r="M25" s="110">
        <f t="shared" si="2"/>
        <v>1.959234448824021E-2</v>
      </c>
      <c r="N25" s="166">
        <f t="shared" si="3"/>
        <v>4.6688029142979513E-3</v>
      </c>
      <c r="O25" s="1"/>
      <c r="P25" s="107"/>
      <c r="Q25" s="1"/>
      <c r="R25" s="1"/>
      <c r="S25" s="1"/>
    </row>
    <row r="26" spans="2:19" x14ac:dyDescent="0.2">
      <c r="B26" s="154"/>
      <c r="C26" s="79" t="s">
        <v>233</v>
      </c>
      <c r="D26" s="172"/>
      <c r="E26" s="172"/>
      <c r="F26" s="172"/>
      <c r="G26" s="172"/>
      <c r="H26" s="172">
        <f>H17</f>
        <v>0.37378230641598553</v>
      </c>
      <c r="I26" s="172"/>
      <c r="J26" s="160">
        <f t="shared" si="1"/>
        <v>0.37378230641598553</v>
      </c>
      <c r="K26" s="3">
        <v>0.82</v>
      </c>
      <c r="L26" s="3">
        <f t="shared" si="0"/>
        <v>0.30650149126110809</v>
      </c>
      <c r="M26" s="110">
        <f t="shared" si="2"/>
        <v>1.0220590801833336E-2</v>
      </c>
      <c r="N26" s="166">
        <f t="shared" si="3"/>
        <v>1.3365764210669812E-2</v>
      </c>
      <c r="O26" s="1"/>
      <c r="P26" s="108"/>
      <c r="Q26" s="1"/>
      <c r="R26" s="81"/>
      <c r="S26" s="1"/>
    </row>
    <row r="27" spans="2:19" x14ac:dyDescent="0.2">
      <c r="B27" s="154"/>
      <c r="C27" s="79" t="s">
        <v>43</v>
      </c>
      <c r="D27" s="172"/>
      <c r="E27" s="172">
        <f>(Dashboard!F94/K27)/(Dashboard!F$92/K$22+Dashboard!F$93/K$25+Dashboard!F$94/K$27)*(E$17-E$31)</f>
        <v>0.70156461152135774</v>
      </c>
      <c r="F27" s="172"/>
      <c r="G27" s="172"/>
      <c r="H27" s="172"/>
      <c r="I27" s="172"/>
      <c r="J27" s="160">
        <f t="shared" si="1"/>
        <v>0.70156461152135774</v>
      </c>
      <c r="K27" s="3">
        <v>1</v>
      </c>
      <c r="L27" s="3">
        <f t="shared" si="0"/>
        <v>0.70156461152135774</v>
      </c>
      <c r="M27" s="110">
        <f t="shared" si="2"/>
        <v>2.3394355394174934E-2</v>
      </c>
      <c r="N27" s="166">
        <f t="shared" si="3"/>
        <v>2.508665342149435E-2</v>
      </c>
      <c r="O27" s="1"/>
      <c r="P27" s="3"/>
      <c r="Q27" s="1"/>
      <c r="R27" s="1"/>
      <c r="S27" s="1"/>
    </row>
    <row r="28" spans="2:19" x14ac:dyDescent="0.2">
      <c r="B28" s="154"/>
      <c r="C28" s="79" t="s">
        <v>44</v>
      </c>
      <c r="D28" s="172">
        <f>(Dashboard!F89/K28)/(Dashboard!F$87/K$20+Dashboard!F$88/K$23+Dashboard!F$89/K$28+Dashboard!F$90/K$31)*D$17</f>
        <v>1.1097398494240451</v>
      </c>
      <c r="E28" s="172"/>
      <c r="F28" s="172"/>
      <c r="G28" s="172"/>
      <c r="H28" s="172"/>
      <c r="I28" s="172"/>
      <c r="J28" s="160">
        <f t="shared" si="1"/>
        <v>1.1097398494240451</v>
      </c>
      <c r="K28" s="3">
        <v>0.8</v>
      </c>
      <c r="L28" s="3">
        <f t="shared" si="0"/>
        <v>0.88779187953923611</v>
      </c>
      <c r="M28" s="110">
        <f t="shared" si="2"/>
        <v>2.9604285057886152E-2</v>
      </c>
      <c r="N28" s="166">
        <f t="shared" si="3"/>
        <v>3.9682245274817181E-2</v>
      </c>
      <c r="O28" s="1"/>
      <c r="P28" s="3"/>
      <c r="Q28" s="1"/>
      <c r="R28" s="1"/>
      <c r="S28" s="1"/>
    </row>
    <row r="29" spans="2:19" x14ac:dyDescent="0.2">
      <c r="B29" s="154"/>
      <c r="C29" s="79" t="s">
        <v>45</v>
      </c>
      <c r="D29" s="172"/>
      <c r="E29" s="172"/>
      <c r="F29" s="172"/>
      <c r="G29" s="172">
        <f>G17</f>
        <v>0.18972169475034298</v>
      </c>
      <c r="H29" s="172"/>
      <c r="I29" s="172"/>
      <c r="J29" s="160">
        <f t="shared" si="1"/>
        <v>0.18972169475034298</v>
      </c>
      <c r="K29" s="3">
        <v>0.85</v>
      </c>
      <c r="L29" s="3">
        <f t="shared" si="0"/>
        <v>0.16126344053779151</v>
      </c>
      <c r="M29" s="110">
        <f t="shared" si="2"/>
        <v>5.377486518094764E-3</v>
      </c>
      <c r="N29" s="166">
        <f t="shared" si="3"/>
        <v>6.784097037647552E-3</v>
      </c>
      <c r="O29" s="1"/>
      <c r="P29" s="3"/>
      <c r="Q29" s="1"/>
      <c r="R29" s="1"/>
      <c r="S29" s="1"/>
    </row>
    <row r="30" spans="2:19" x14ac:dyDescent="0.2">
      <c r="B30" s="154"/>
      <c r="C30" s="79" t="s">
        <v>46</v>
      </c>
      <c r="D30" s="172"/>
      <c r="E30" s="172"/>
      <c r="F30" s="172">
        <f>F17</f>
        <v>2.4199195758972318E-3</v>
      </c>
      <c r="G30" s="172"/>
      <c r="H30" s="172"/>
      <c r="I30" s="172"/>
      <c r="J30" s="160">
        <f t="shared" si="1"/>
        <v>2.4199195758972318E-3</v>
      </c>
      <c r="K30" s="3">
        <v>0.8</v>
      </c>
      <c r="L30" s="3">
        <f t="shared" si="0"/>
        <v>1.9359356607177856E-3</v>
      </c>
      <c r="M30" s="110">
        <f t="shared" si="2"/>
        <v>6.4555660481329711E-5</v>
      </c>
      <c r="N30" s="166">
        <f t="shared" si="3"/>
        <v>8.6531849969994279E-5</v>
      </c>
      <c r="O30" s="1"/>
      <c r="P30" s="3"/>
      <c r="Q30" s="1"/>
      <c r="R30" s="1"/>
      <c r="S30" s="1"/>
    </row>
    <row r="31" spans="2:19" x14ac:dyDescent="0.2">
      <c r="B31" s="154"/>
      <c r="C31" s="82" t="s">
        <v>104</v>
      </c>
      <c r="D31" s="173">
        <f>(Dashboard!F90/K31)/(Dashboard!F$87/K$20+Dashboard!F$88/K$23+Dashboard!F$89/K$28+Dashboard!F$90/K$31)*D$17</f>
        <v>5.7392606354051707E-3</v>
      </c>
      <c r="E31" s="174">
        <f>D31*Dashboard!E169</f>
        <v>5.5310057137362536E-3</v>
      </c>
      <c r="F31" s="174"/>
      <c r="G31" s="174"/>
      <c r="H31" s="174"/>
      <c r="I31" s="174"/>
      <c r="J31" s="160">
        <f t="shared" si="1"/>
        <v>1.1270266349141425E-2</v>
      </c>
      <c r="K31" s="3">
        <v>4.4999999999999947</v>
      </c>
      <c r="L31" s="3">
        <f t="shared" si="0"/>
        <v>5.0716198571136351E-2</v>
      </c>
      <c r="M31" s="110">
        <f t="shared" si="2"/>
        <v>1.6911810460932734E-3</v>
      </c>
      <c r="N31" s="166">
        <f t="shared" si="3"/>
        <v>4.0300388763299833E-4</v>
      </c>
      <c r="O31" s="1"/>
      <c r="P31" s="3"/>
      <c r="Q31" s="1"/>
      <c r="R31" s="1"/>
      <c r="S31" s="1"/>
    </row>
    <row r="32" spans="2:19" x14ac:dyDescent="0.2">
      <c r="B32" s="71"/>
      <c r="C32" s="83"/>
      <c r="D32" s="85"/>
      <c r="E32" s="77"/>
      <c r="F32" s="85"/>
      <c r="G32" s="85"/>
      <c r="H32" s="85"/>
      <c r="I32" s="85"/>
      <c r="J32" s="160"/>
      <c r="K32" s="3"/>
      <c r="L32" s="3"/>
      <c r="M32" s="111"/>
      <c r="N32" s="84"/>
      <c r="O32" s="1"/>
      <c r="P32" s="3"/>
      <c r="Q32" s="1"/>
      <c r="R32" s="1"/>
      <c r="S32" s="1"/>
    </row>
    <row r="33" spans="2:19" x14ac:dyDescent="0.2">
      <c r="B33" s="86"/>
      <c r="C33" s="87"/>
      <c r="D33" s="76"/>
      <c r="E33" s="76"/>
      <c r="F33" s="76"/>
      <c r="G33" s="76"/>
      <c r="H33" s="76"/>
      <c r="I33" s="76"/>
      <c r="J33" s="160"/>
      <c r="K33" s="3"/>
      <c r="L33" s="3"/>
      <c r="M33" s="111"/>
      <c r="N33" s="84"/>
      <c r="O33" s="1"/>
      <c r="P33" s="1"/>
      <c r="Q33" s="1"/>
      <c r="R33" s="1"/>
      <c r="S33" s="1"/>
    </row>
    <row r="34" spans="2:19" x14ac:dyDescent="0.2">
      <c r="B34" s="71" t="s">
        <v>11</v>
      </c>
      <c r="C34" s="87"/>
      <c r="D34" s="88"/>
      <c r="E34" s="88"/>
      <c r="F34" s="88"/>
      <c r="G34" s="88"/>
      <c r="H34" s="88"/>
      <c r="I34" s="88"/>
      <c r="J34" s="160"/>
      <c r="K34" s="3"/>
      <c r="L34" s="3"/>
      <c r="M34" s="111"/>
      <c r="N34" s="84"/>
      <c r="O34" s="1"/>
      <c r="P34" s="1"/>
      <c r="Q34" s="1"/>
      <c r="R34" s="1"/>
      <c r="S34" s="1"/>
    </row>
    <row r="35" spans="2:19" x14ac:dyDescent="0.2">
      <c r="B35" s="71"/>
      <c r="C35" s="83" t="s">
        <v>121</v>
      </c>
      <c r="D35" s="77">
        <f>D11*Dashboard!F38</f>
        <v>5.3588488679999999</v>
      </c>
      <c r="E35" s="77">
        <f>E11*Dashboard!F44</f>
        <v>0.5469444</v>
      </c>
      <c r="F35" s="77">
        <f>F11*Dashboard!F77</f>
        <v>0</v>
      </c>
      <c r="G35" s="77">
        <f>G11*Dashboard!F72</f>
        <v>0</v>
      </c>
      <c r="H35" s="77">
        <f>H11*Dashboard!F58</f>
        <v>0</v>
      </c>
      <c r="I35" s="77">
        <f>I11*Dashboard!F53</f>
        <v>0</v>
      </c>
      <c r="J35" s="177"/>
      <c r="K35" s="4"/>
      <c r="L35" s="4">
        <f>SUM(L37:L48)/(1-Dashboard!F17*Dashboard!F168)</f>
        <v>5.3791694201580604</v>
      </c>
      <c r="M35" s="178"/>
      <c r="N35" s="84"/>
      <c r="O35" s="1"/>
      <c r="P35" s="1"/>
      <c r="Q35" s="1"/>
      <c r="R35" s="1"/>
      <c r="S35" s="1"/>
    </row>
    <row r="36" spans="2:19" x14ac:dyDescent="0.2">
      <c r="B36" s="71"/>
      <c r="C36" s="83"/>
      <c r="D36" s="90"/>
      <c r="E36" s="90"/>
      <c r="F36" s="90"/>
      <c r="G36" s="90"/>
      <c r="H36" s="90"/>
      <c r="I36" s="90"/>
      <c r="J36" s="160"/>
      <c r="K36" s="3"/>
      <c r="L36" s="3"/>
      <c r="M36" s="111"/>
      <c r="N36" s="84"/>
      <c r="O36" s="1"/>
      <c r="P36" s="1"/>
      <c r="Q36" s="1"/>
      <c r="R36" s="1"/>
      <c r="S36" s="1"/>
    </row>
    <row r="37" spans="2:19" x14ac:dyDescent="0.2">
      <c r="B37" s="155"/>
      <c r="C37" s="79" t="s">
        <v>47</v>
      </c>
      <c r="D37" s="170">
        <f>(Dashboard!F108/K37)/(Dashboard!F$108/K$37+Dashboard!F$109/K$39+Dashboard!F$110/K$44+Dashboard!F$111/K$48+Dashboard!F112*K47)*D$35</f>
        <v>5.1329098393961345</v>
      </c>
      <c r="E37" s="171"/>
      <c r="F37" s="171"/>
      <c r="G37" s="171"/>
      <c r="H37" s="171"/>
      <c r="I37" s="171"/>
      <c r="J37" s="160">
        <f t="shared" ref="J37:J48" si="4">SUM(D37:I37)</f>
        <v>5.1329098393961345</v>
      </c>
      <c r="K37" s="3">
        <v>0.9</v>
      </c>
      <c r="L37" s="3">
        <f t="shared" ref="L37:L48" si="5">K37*SUM(D37:I37)</f>
        <v>4.6196188554565216</v>
      </c>
      <c r="M37" s="110">
        <f t="shared" ref="M37:M48" si="6">L37/SUM($L$37:$L$48)</f>
        <v>0.85879779843795656</v>
      </c>
      <c r="N37" s="166">
        <f t="shared" ref="N37:N48" si="7">SUM(D37:I37)/SUM($D$37:$I$48)</f>
        <v>0.86912927646203353</v>
      </c>
      <c r="O37" s="1"/>
      <c r="P37" s="1"/>
      <c r="Q37" s="1"/>
      <c r="R37" s="1"/>
      <c r="S37" s="1"/>
    </row>
    <row r="38" spans="2:19" x14ac:dyDescent="0.2">
      <c r="B38" s="155"/>
      <c r="C38" s="79" t="s">
        <v>48</v>
      </c>
      <c r="D38" s="172"/>
      <c r="E38" s="172">
        <f>(Dashboard!F115/K38)/(Dashboard!F$114/K$38+Dashboard!F$115/K$41+Dashboard!F$116/K$43)*(E$35-E$48)</f>
        <v>6.9991159058256924E-3</v>
      </c>
      <c r="F38" s="172"/>
      <c r="G38" s="172"/>
      <c r="H38" s="172"/>
      <c r="I38" s="172"/>
      <c r="J38" s="160">
        <f t="shared" si="4"/>
        <v>6.9991159058256924E-3</v>
      </c>
      <c r="K38" s="3">
        <v>3.0000000000000031</v>
      </c>
      <c r="L38" s="3">
        <f t="shared" si="5"/>
        <v>2.0997347717477098E-2</v>
      </c>
      <c r="M38" s="110">
        <f t="shared" si="6"/>
        <v>3.9034553622332492E-3</v>
      </c>
      <c r="N38" s="166">
        <f t="shared" si="7"/>
        <v>1.1851243706668829E-3</v>
      </c>
      <c r="O38" s="1"/>
      <c r="P38" s="1"/>
      <c r="Q38" s="1"/>
      <c r="R38" s="1"/>
      <c r="S38" s="1"/>
    </row>
    <row r="39" spans="2:19" x14ac:dyDescent="0.2">
      <c r="B39" s="155"/>
      <c r="C39" s="79" t="s">
        <v>49</v>
      </c>
      <c r="D39" s="172">
        <f>(Dashboard!F109/K39)/(Dashboard!F$108/K$37+Dashboard!F$109/K$39+Dashboard!F$110/K$43+Dashboard!F$111/K$48+Dashboard!F112*K47)*D$35</f>
        <v>0</v>
      </c>
      <c r="E39" s="172"/>
      <c r="F39" s="172"/>
      <c r="G39" s="172"/>
      <c r="H39" s="172"/>
      <c r="I39" s="172"/>
      <c r="J39" s="160">
        <f t="shared" si="4"/>
        <v>0</v>
      </c>
      <c r="K39" s="3">
        <v>0.88</v>
      </c>
      <c r="L39" s="3">
        <f t="shared" si="5"/>
        <v>0</v>
      </c>
      <c r="M39" s="110">
        <f t="shared" si="6"/>
        <v>0</v>
      </c>
      <c r="N39" s="166">
        <f t="shared" si="7"/>
        <v>0</v>
      </c>
      <c r="O39" s="1"/>
      <c r="P39" s="1"/>
      <c r="Q39" s="1"/>
      <c r="R39" s="1"/>
      <c r="S39" s="1"/>
    </row>
    <row r="40" spans="2:19" x14ac:dyDescent="0.2">
      <c r="B40" s="155"/>
      <c r="C40" s="79" t="s">
        <v>50</v>
      </c>
      <c r="D40" s="172"/>
      <c r="E40" s="172"/>
      <c r="F40" s="172"/>
      <c r="G40" s="172"/>
      <c r="H40" s="172"/>
      <c r="I40" s="172">
        <f>I35</f>
        <v>0</v>
      </c>
      <c r="J40" s="160">
        <f t="shared" si="4"/>
        <v>0</v>
      </c>
      <c r="K40" s="3">
        <v>1</v>
      </c>
      <c r="L40" s="3">
        <f t="shared" si="5"/>
        <v>0</v>
      </c>
      <c r="M40" s="110">
        <f t="shared" si="6"/>
        <v>0</v>
      </c>
      <c r="N40" s="166">
        <f t="shared" si="7"/>
        <v>0</v>
      </c>
      <c r="O40" s="1"/>
      <c r="P40" s="1"/>
      <c r="Q40" s="1"/>
      <c r="R40" s="1"/>
      <c r="S40" s="1"/>
    </row>
    <row r="41" spans="2:19" x14ac:dyDescent="0.2">
      <c r="B41" s="155"/>
      <c r="C41" s="79" t="s">
        <v>211</v>
      </c>
      <c r="D41" s="172"/>
      <c r="E41" s="172">
        <f>(Dashboard!F114/K41)/(Dashboard!F$114/K$38+Dashboard!F$115/K$41+Dashboard!F$116/K$43)*(E$35-E$48)</f>
        <v>3.418834816132324E-2</v>
      </c>
      <c r="F41" s="172"/>
      <c r="G41" s="172"/>
      <c r="H41" s="172"/>
      <c r="I41" s="172"/>
      <c r="J41" s="160">
        <f t="shared" si="4"/>
        <v>3.418834816132324E-2</v>
      </c>
      <c r="K41" s="3">
        <v>3.0000000000000031</v>
      </c>
      <c r="L41" s="3">
        <f t="shared" si="5"/>
        <v>0.10256504448396983</v>
      </c>
      <c r="M41" s="110">
        <f t="shared" si="6"/>
        <v>1.9067078292722018E-2</v>
      </c>
      <c r="N41" s="166">
        <f t="shared" si="7"/>
        <v>5.7889375092508352E-3</v>
      </c>
      <c r="O41" s="1"/>
      <c r="P41" s="1"/>
      <c r="Q41" s="1"/>
      <c r="R41" s="1"/>
      <c r="S41" s="1"/>
    </row>
    <row r="42" spans="2:19" x14ac:dyDescent="0.2">
      <c r="B42" s="155"/>
      <c r="C42" s="79" t="s">
        <v>212</v>
      </c>
      <c r="D42" s="172"/>
      <c r="E42" s="172"/>
      <c r="F42" s="172"/>
      <c r="G42" s="172"/>
      <c r="H42" s="172">
        <f>H35</f>
        <v>0</v>
      </c>
      <c r="I42" s="172"/>
      <c r="J42" s="160">
        <f t="shared" si="4"/>
        <v>0</v>
      </c>
      <c r="K42" s="3">
        <v>0.82</v>
      </c>
      <c r="L42" s="3">
        <f t="shared" si="5"/>
        <v>0</v>
      </c>
      <c r="M42" s="110">
        <f t="shared" si="6"/>
        <v>0</v>
      </c>
      <c r="N42" s="166">
        <f t="shared" si="7"/>
        <v>0</v>
      </c>
      <c r="O42" s="1"/>
      <c r="P42" s="1"/>
      <c r="Q42" s="1"/>
      <c r="R42" s="1"/>
      <c r="S42" s="1"/>
    </row>
    <row r="43" spans="2:19" x14ac:dyDescent="0.2">
      <c r="B43" s="155"/>
      <c r="C43" s="79" t="s">
        <v>51</v>
      </c>
      <c r="D43" s="172"/>
      <c r="E43" s="172">
        <f>(Dashboard!F116/K43)/(Dashboard!F$114/K$38+Dashboard!F$115/K$41+Dashboard!F$116/K$43)*(E$35-E$48)</f>
        <v>0.50501199882181935</v>
      </c>
      <c r="F43" s="172"/>
      <c r="G43" s="172"/>
      <c r="H43" s="172"/>
      <c r="I43" s="172"/>
      <c r="J43" s="160">
        <f t="shared" si="4"/>
        <v>0.50501199882181935</v>
      </c>
      <c r="K43" s="3">
        <v>0.95</v>
      </c>
      <c r="L43" s="3">
        <f t="shared" si="5"/>
        <v>0.47976139888072838</v>
      </c>
      <c r="M43" s="110">
        <f t="shared" si="6"/>
        <v>8.91887504198801E-2</v>
      </c>
      <c r="N43" s="166">
        <f t="shared" si="7"/>
        <v>8.5511089591297079E-2</v>
      </c>
      <c r="O43" s="1"/>
      <c r="P43" s="1"/>
      <c r="Q43" s="1"/>
      <c r="R43" s="1"/>
      <c r="S43" s="1"/>
    </row>
    <row r="44" spans="2:19" x14ac:dyDescent="0.2">
      <c r="B44" s="155"/>
      <c r="C44" s="79" t="s">
        <v>52</v>
      </c>
      <c r="D44" s="172">
        <f>(Dashboard!F110/K44)/(Dashboard!F$108/K$37+Dashboard!F$109/K$39+Dashboard!F$110/K$44+Dashboard!F$111/K$48+Dashboard!F112*K47)*D$35</f>
        <v>0.22483544072630696</v>
      </c>
      <c r="E44" s="172"/>
      <c r="F44" s="172"/>
      <c r="G44" s="172"/>
      <c r="H44" s="172"/>
      <c r="I44" s="172"/>
      <c r="J44" s="160">
        <f t="shared" si="4"/>
        <v>0.22483544072630696</v>
      </c>
      <c r="K44" s="3">
        <v>0.67</v>
      </c>
      <c r="L44" s="3">
        <f t="shared" si="5"/>
        <v>0.15063974528662566</v>
      </c>
      <c r="M44" s="110">
        <f t="shared" si="6"/>
        <v>2.8004276036020313E-2</v>
      </c>
      <c r="N44" s="166">
        <f t="shared" si="7"/>
        <v>3.8070231123418077E-2</v>
      </c>
      <c r="O44" s="1"/>
      <c r="P44" s="1"/>
      <c r="Q44" s="1"/>
      <c r="R44" s="1"/>
      <c r="S44" s="1"/>
    </row>
    <row r="45" spans="2:19" x14ac:dyDescent="0.2">
      <c r="B45" s="155"/>
      <c r="C45" s="79" t="s">
        <v>53</v>
      </c>
      <c r="D45" s="172"/>
      <c r="E45" s="172"/>
      <c r="F45" s="172"/>
      <c r="G45" s="172">
        <f>G35</f>
        <v>0</v>
      </c>
      <c r="H45" s="172"/>
      <c r="I45" s="172"/>
      <c r="J45" s="160">
        <f t="shared" si="4"/>
        <v>0</v>
      </c>
      <c r="K45" s="3">
        <v>0.85</v>
      </c>
      <c r="L45" s="3">
        <f t="shared" si="5"/>
        <v>0</v>
      </c>
      <c r="M45" s="110">
        <f t="shared" si="6"/>
        <v>0</v>
      </c>
      <c r="N45" s="166">
        <f t="shared" si="7"/>
        <v>0</v>
      </c>
      <c r="O45" s="1"/>
      <c r="P45" s="1"/>
      <c r="Q45" s="1"/>
      <c r="R45" s="1"/>
      <c r="S45" s="1"/>
    </row>
    <row r="46" spans="2:19" x14ac:dyDescent="0.2">
      <c r="B46" s="155"/>
      <c r="C46" s="79" t="s">
        <v>54</v>
      </c>
      <c r="D46" s="172"/>
      <c r="E46" s="172"/>
      <c r="F46" s="172">
        <f>F35</f>
        <v>0</v>
      </c>
      <c r="G46" s="172"/>
      <c r="H46" s="172"/>
      <c r="I46" s="172"/>
      <c r="J46" s="160">
        <f t="shared" si="4"/>
        <v>0</v>
      </c>
      <c r="K46" s="3">
        <v>0.8</v>
      </c>
      <c r="L46" s="3">
        <f t="shared" si="5"/>
        <v>0</v>
      </c>
      <c r="M46" s="110">
        <f t="shared" si="6"/>
        <v>0</v>
      </c>
      <c r="N46" s="166">
        <f t="shared" si="7"/>
        <v>0</v>
      </c>
      <c r="O46" s="1"/>
      <c r="P46" s="1"/>
      <c r="Q46" s="1"/>
      <c r="R46" s="1"/>
      <c r="S46" s="1"/>
    </row>
    <row r="47" spans="2:19" x14ac:dyDescent="0.2">
      <c r="B47" s="155"/>
      <c r="C47" s="79" t="s">
        <v>55</v>
      </c>
      <c r="D47" s="172">
        <f>(Dashboard!F112/K47)/(Dashboard!F$108/K$37+Dashboard!F$109/K$39+Dashboard!F$110/K$43+Dashboard!F$111/K$48+Dashboard!F112*K47)*D$35</f>
        <v>0</v>
      </c>
      <c r="E47" s="172"/>
      <c r="F47" s="172"/>
      <c r="G47" s="172"/>
      <c r="H47" s="172"/>
      <c r="I47" s="172"/>
      <c r="J47" s="160">
        <f t="shared" si="4"/>
        <v>0</v>
      </c>
      <c r="K47" s="3">
        <v>0.2</v>
      </c>
      <c r="L47" s="3">
        <f t="shared" si="5"/>
        <v>0</v>
      </c>
      <c r="M47" s="110">
        <f t="shared" si="6"/>
        <v>0</v>
      </c>
      <c r="N47" s="166">
        <f t="shared" si="7"/>
        <v>0</v>
      </c>
      <c r="O47" s="1"/>
      <c r="P47" s="1"/>
      <c r="Q47" s="1"/>
      <c r="R47" s="1"/>
      <c r="S47" s="1"/>
    </row>
    <row r="48" spans="2:19" x14ac:dyDescent="0.2">
      <c r="B48" s="154"/>
      <c r="C48" s="79" t="s">
        <v>105</v>
      </c>
      <c r="D48" s="175">
        <f>(Dashboard!F111/K48)/(Dashboard!F$108/K$37+Dashboard!F$109/K$39+Dashboard!F$110/K$43+Dashboard!F$111/K$48+Dashboard!F112*K47)*D$35</f>
        <v>1.1174056665475725E-3</v>
      </c>
      <c r="E48" s="174">
        <f>D48*Dashboard!F170</f>
        <v>7.4493711103171495E-4</v>
      </c>
      <c r="F48" s="174"/>
      <c r="G48" s="174"/>
      <c r="H48" s="174"/>
      <c r="I48" s="174"/>
      <c r="J48" s="160">
        <f t="shared" si="4"/>
        <v>1.8623427775792873E-3</v>
      </c>
      <c r="K48" s="3">
        <v>3</v>
      </c>
      <c r="L48" s="3">
        <f t="shared" si="5"/>
        <v>5.5870283327378624E-3</v>
      </c>
      <c r="M48" s="110">
        <f t="shared" si="6"/>
        <v>1.0386414511877736E-3</v>
      </c>
      <c r="N48" s="166">
        <f t="shared" si="7"/>
        <v>3.153409433336556E-4</v>
      </c>
      <c r="O48" s="1"/>
      <c r="P48" s="1"/>
      <c r="Q48" s="1"/>
      <c r="R48" s="1"/>
      <c r="S48" s="1"/>
    </row>
    <row r="49" spans="2:19" x14ac:dyDescent="0.2">
      <c r="B49" s="71"/>
      <c r="C49" s="113"/>
      <c r="D49" s="90"/>
      <c r="E49" s="90"/>
      <c r="F49" s="90"/>
      <c r="G49" s="90"/>
      <c r="H49" s="90"/>
      <c r="I49" s="90"/>
      <c r="J49" s="160"/>
      <c r="K49" s="3"/>
      <c r="L49" s="3"/>
      <c r="M49" s="111"/>
      <c r="N49" s="84"/>
      <c r="O49" s="1"/>
      <c r="P49" s="1"/>
      <c r="Q49" s="1"/>
      <c r="R49" s="1"/>
      <c r="S49" s="1"/>
    </row>
    <row r="50" spans="2:19" x14ac:dyDescent="0.2">
      <c r="B50" s="86"/>
      <c r="C50" s="87"/>
      <c r="D50" s="88"/>
      <c r="E50" s="88"/>
      <c r="F50" s="88"/>
      <c r="G50" s="88"/>
      <c r="H50" s="88"/>
      <c r="I50" s="88"/>
      <c r="J50" s="160"/>
      <c r="K50" s="3"/>
      <c r="L50" s="3"/>
      <c r="M50" s="111"/>
      <c r="N50" s="84"/>
      <c r="O50" s="1"/>
      <c r="P50" s="1"/>
      <c r="Q50" s="1"/>
      <c r="R50" s="1"/>
      <c r="S50" s="1"/>
    </row>
    <row r="51" spans="2:19" x14ac:dyDescent="0.2">
      <c r="B51" s="71" t="s">
        <v>12</v>
      </c>
      <c r="C51" s="87"/>
      <c r="D51" s="89"/>
      <c r="E51" s="88"/>
      <c r="F51" s="88"/>
      <c r="G51" s="88"/>
      <c r="H51" s="88"/>
      <c r="I51" s="88"/>
      <c r="J51" s="160"/>
      <c r="K51" s="3"/>
      <c r="L51" s="3"/>
      <c r="M51" s="111"/>
      <c r="N51" s="84"/>
      <c r="O51" s="1"/>
      <c r="P51" s="1"/>
      <c r="Q51" s="1"/>
      <c r="R51" s="1"/>
      <c r="S51" s="1"/>
    </row>
    <row r="52" spans="2:19" x14ac:dyDescent="0.2">
      <c r="B52" s="71"/>
      <c r="C52" s="83" t="s">
        <v>122</v>
      </c>
      <c r="D52" s="77"/>
      <c r="E52" s="77">
        <f>E11*Dashboard!F46</f>
        <v>0.87511104000000006</v>
      </c>
      <c r="F52" s="77"/>
      <c r="G52" s="77"/>
      <c r="H52" s="77"/>
      <c r="I52" s="77"/>
      <c r="J52" s="177"/>
      <c r="K52" s="4"/>
      <c r="L52" s="4">
        <f>SUM(L54:L56)</f>
        <v>3.5031857836567752</v>
      </c>
      <c r="M52" s="178"/>
      <c r="N52" s="84"/>
      <c r="O52" s="1"/>
      <c r="P52" s="1"/>
      <c r="Q52" s="1"/>
      <c r="R52" s="1"/>
      <c r="S52" s="1"/>
    </row>
    <row r="53" spans="2:19" x14ac:dyDescent="0.2">
      <c r="B53" s="71"/>
      <c r="C53" s="83"/>
      <c r="D53" s="90"/>
      <c r="E53" s="90"/>
      <c r="F53" s="90"/>
      <c r="G53" s="90"/>
      <c r="H53" s="90"/>
      <c r="I53" s="90"/>
      <c r="J53" s="160"/>
      <c r="K53" s="3"/>
      <c r="L53" s="3"/>
      <c r="M53" s="111"/>
      <c r="N53" s="84"/>
      <c r="O53" s="1"/>
      <c r="P53" s="1"/>
      <c r="Q53" s="1"/>
      <c r="R53" s="1"/>
      <c r="S53" s="1"/>
    </row>
    <row r="54" spans="2:19" x14ac:dyDescent="0.2">
      <c r="B54" s="75"/>
      <c r="C54" s="79" t="s">
        <v>0</v>
      </c>
      <c r="D54" s="170"/>
      <c r="E54" s="171">
        <f>(Dashboard!F130/K54)/(Dashboard!F$130/K$54+Dashboard!F$131/K$55+Dashboard!F$132/K$56)*E$52</f>
        <v>4.5693727612914434E-3</v>
      </c>
      <c r="F54" s="171"/>
      <c r="G54" s="171"/>
      <c r="H54" s="171"/>
      <c r="I54" s="171"/>
      <c r="J54" s="160">
        <f>SUM(D54:I54)</f>
        <v>4.5693727612914434E-3</v>
      </c>
      <c r="K54" s="3">
        <v>4.6000000000000023</v>
      </c>
      <c r="L54" s="3">
        <f>K54*SUM(D54:I54)</f>
        <v>2.101911470194065E-2</v>
      </c>
      <c r="M54" s="110">
        <f>L54/SUM($L$54:$L$56)</f>
        <v>5.9999999999999993E-3</v>
      </c>
      <c r="N54" s="166">
        <f>SUM(D54:I54)/SUM($D$54:$I$56)</f>
        <v>5.2214776781829234E-3</v>
      </c>
      <c r="O54" s="1"/>
      <c r="P54" s="1"/>
      <c r="Q54" s="1"/>
      <c r="R54" s="1"/>
      <c r="S54" s="1"/>
    </row>
    <row r="55" spans="2:19" x14ac:dyDescent="0.2">
      <c r="B55" s="80"/>
      <c r="C55" s="79" t="s">
        <v>1</v>
      </c>
      <c r="D55" s="173"/>
      <c r="E55" s="172">
        <f>(Dashboard!F131/K55)/(Dashboard!F$130/K$54+Dashboard!F$131/K$55+Dashboard!F$132/K$56)*E$52</f>
        <v>0</v>
      </c>
      <c r="F55" s="172"/>
      <c r="G55" s="172"/>
      <c r="H55" s="172"/>
      <c r="I55" s="172"/>
      <c r="J55" s="160">
        <f>SUM(D55:I55)</f>
        <v>0</v>
      </c>
      <c r="K55" s="3">
        <v>4.5000000000000044</v>
      </c>
      <c r="L55" s="3">
        <f>K55*SUM(D55:I55)</f>
        <v>0</v>
      </c>
      <c r="M55" s="110">
        <f>L55/SUM($L$54:$L$56)</f>
        <v>0</v>
      </c>
      <c r="N55" s="166">
        <f>SUM(D55:I55)/SUM($D$54:$I$56)</f>
        <v>0</v>
      </c>
      <c r="O55" s="1"/>
      <c r="P55" s="1"/>
      <c r="Q55" s="1"/>
      <c r="R55" s="1"/>
      <c r="S55" s="1"/>
    </row>
    <row r="56" spans="2:19" x14ac:dyDescent="0.2">
      <c r="B56" s="71"/>
      <c r="C56" s="82" t="s">
        <v>2</v>
      </c>
      <c r="D56" s="175"/>
      <c r="E56" s="174">
        <f>(Dashboard!F132/K56)/(Dashboard!F$130/K$54+Dashboard!F$131/K$55+Dashboard!F$132/K$56)*E$52</f>
        <v>0.87054166723870863</v>
      </c>
      <c r="F56" s="174"/>
      <c r="G56" s="174"/>
      <c r="H56" s="174"/>
      <c r="I56" s="174"/>
      <c r="J56" s="160">
        <f>SUM(D56:I56)</f>
        <v>0.87054166723870863</v>
      </c>
      <c r="K56" s="3">
        <v>4</v>
      </c>
      <c r="L56" s="3">
        <f>K56*SUM(D56:I56)</f>
        <v>3.4821666689548345</v>
      </c>
      <c r="M56" s="110">
        <f>L56/SUM($L$54:$L$56)</f>
        <v>0.99399999999999999</v>
      </c>
      <c r="N56" s="166">
        <f>SUM(D56:I56)/SUM($D$54:$I$56)</f>
        <v>0.99477852232181707</v>
      </c>
      <c r="O56" s="1"/>
      <c r="P56" s="1"/>
      <c r="Q56" s="1"/>
      <c r="R56" s="1"/>
      <c r="S56" s="106"/>
    </row>
    <row r="57" spans="2:19" x14ac:dyDescent="0.2">
      <c r="B57" s="71"/>
      <c r="C57" s="83"/>
      <c r="D57" s="90"/>
      <c r="E57" s="90"/>
      <c r="F57" s="90"/>
      <c r="G57" s="90"/>
      <c r="H57" s="90"/>
      <c r="I57" s="90"/>
      <c r="J57" s="160"/>
      <c r="K57" s="3"/>
      <c r="L57" s="3"/>
      <c r="M57" s="111"/>
      <c r="N57" s="84"/>
      <c r="O57" s="1"/>
      <c r="P57" s="1"/>
      <c r="Q57" s="1"/>
      <c r="R57" s="1"/>
      <c r="S57" s="106"/>
    </row>
    <row r="58" spans="2:19" x14ac:dyDescent="0.2">
      <c r="B58" s="86"/>
      <c r="C58" s="87"/>
      <c r="D58" s="88"/>
      <c r="E58" s="88"/>
      <c r="F58" s="88"/>
      <c r="G58" s="88"/>
      <c r="H58" s="88"/>
      <c r="I58" s="88"/>
      <c r="J58" s="160"/>
      <c r="K58" s="3"/>
      <c r="L58" s="3"/>
      <c r="M58" s="111"/>
      <c r="N58" s="84"/>
      <c r="O58" s="1"/>
      <c r="P58" s="1"/>
      <c r="Q58" s="1"/>
      <c r="R58" s="1"/>
      <c r="S58" s="1"/>
    </row>
    <row r="59" spans="2:19" x14ac:dyDescent="0.2">
      <c r="B59" s="71" t="s">
        <v>14</v>
      </c>
      <c r="C59" s="87"/>
      <c r="D59" s="89"/>
      <c r="E59" s="88"/>
      <c r="F59" s="88"/>
      <c r="G59" s="88"/>
      <c r="H59" s="88"/>
      <c r="I59" s="88"/>
      <c r="J59" s="160"/>
      <c r="K59" s="3"/>
      <c r="L59" s="3"/>
      <c r="M59" s="111"/>
      <c r="N59" s="84"/>
      <c r="O59" s="1"/>
      <c r="P59" s="1"/>
      <c r="Q59" s="1"/>
      <c r="R59" s="1"/>
      <c r="S59" s="1"/>
    </row>
    <row r="60" spans="2:19" x14ac:dyDescent="0.2">
      <c r="B60" s="71"/>
      <c r="C60" s="83" t="s">
        <v>121</v>
      </c>
      <c r="D60" s="77">
        <f>D11*Dashboard!F39</f>
        <v>1.8199864079999999</v>
      </c>
      <c r="E60" s="77">
        <f>E11*Dashboard!F45</f>
        <v>0.65633328000000002</v>
      </c>
      <c r="F60" s="77"/>
      <c r="G60" s="77"/>
      <c r="H60" s="77">
        <f>H11*Dashboard!F59</f>
        <v>0</v>
      </c>
      <c r="I60" s="77"/>
      <c r="J60" s="177"/>
      <c r="K60" s="4"/>
      <c r="L60" s="4">
        <f>SUM(L62:L66)</f>
        <v>1.1495882126937891</v>
      </c>
      <c r="M60" s="178"/>
      <c r="N60" s="84"/>
      <c r="O60" s="1"/>
      <c r="P60" s="1"/>
      <c r="Q60" s="1"/>
      <c r="R60" s="1"/>
      <c r="S60" s="1"/>
    </row>
    <row r="61" spans="2:19" x14ac:dyDescent="0.2">
      <c r="B61" s="71"/>
      <c r="C61" s="83"/>
      <c r="D61" s="90"/>
      <c r="E61" s="90"/>
      <c r="F61" s="90"/>
      <c r="G61" s="90"/>
      <c r="H61" s="90"/>
      <c r="I61" s="90"/>
      <c r="J61" s="160"/>
      <c r="K61" s="3"/>
      <c r="L61" s="3"/>
      <c r="M61" s="111"/>
      <c r="N61" s="84"/>
      <c r="O61" s="1"/>
      <c r="P61" s="1"/>
      <c r="Q61" s="1"/>
      <c r="R61" s="1"/>
      <c r="S61" s="1"/>
    </row>
    <row r="62" spans="2:19" x14ac:dyDescent="0.2">
      <c r="B62" s="75"/>
      <c r="C62" s="79" t="s">
        <v>56</v>
      </c>
      <c r="D62" s="171">
        <f>D60*Dashboard!F136</f>
        <v>1.8199864079999999</v>
      </c>
      <c r="E62" s="171"/>
      <c r="F62" s="171"/>
      <c r="G62" s="171"/>
      <c r="H62" s="171"/>
      <c r="I62" s="171"/>
      <c r="J62" s="160">
        <f>SUM(D62:I62)</f>
        <v>1.8199864079999999</v>
      </c>
      <c r="K62" s="3">
        <v>0.4</v>
      </c>
      <c r="L62" s="3">
        <f>K62*SUM(D62:I62)</f>
        <v>0.7279945632</v>
      </c>
      <c r="M62" s="110">
        <f>L62/SUM($L$62:$L$66)</f>
        <v>0.63326550773699763</v>
      </c>
      <c r="N62" s="166">
        <f>SUM(D62:I62)/SUM($D$62:$I$66)</f>
        <v>0.73495615966689354</v>
      </c>
      <c r="O62" s="1"/>
      <c r="P62" s="1"/>
      <c r="Q62" s="1"/>
      <c r="R62" s="1"/>
      <c r="S62" s="1"/>
    </row>
    <row r="63" spans="2:19" x14ac:dyDescent="0.2">
      <c r="B63" s="80"/>
      <c r="C63" s="79" t="s">
        <v>57</v>
      </c>
      <c r="D63" s="173"/>
      <c r="E63" s="172">
        <f>(Dashboard!F138/K63)/(Dashboard!F$138/K$63+Dashboard!F$139/K$64+Dashboard!F$140/K$65)*E$60</f>
        <v>6.3934304748676299E-2</v>
      </c>
      <c r="F63" s="172"/>
      <c r="G63" s="172"/>
      <c r="H63" s="172"/>
      <c r="I63" s="172"/>
      <c r="J63" s="160">
        <f>SUM(D63:I63)</f>
        <v>6.3934304748676299E-2</v>
      </c>
      <c r="K63" s="3">
        <v>0.55000000000000004</v>
      </c>
      <c r="L63" s="3">
        <f>K63*SUM(D63:I63)</f>
        <v>3.5163867611771968E-2</v>
      </c>
      <c r="M63" s="110">
        <f>L63/SUM($L$62:$L$66)</f>
        <v>3.0588229092375373E-2</v>
      </c>
      <c r="N63" s="166">
        <f>SUM(D63:I63)/SUM($D$62:$I$66)</f>
        <v>2.5818275830255526E-2</v>
      </c>
      <c r="O63" s="1"/>
      <c r="P63" s="1"/>
      <c r="Q63" s="1"/>
      <c r="R63" s="1"/>
      <c r="S63" s="1"/>
    </row>
    <row r="64" spans="2:19" x14ac:dyDescent="0.2">
      <c r="B64" s="71"/>
      <c r="C64" s="79" t="s">
        <v>58</v>
      </c>
      <c r="D64" s="173"/>
      <c r="E64" s="172">
        <f>(Dashboard!F139/K64)/(Dashboard!F$138/K$63+Dashboard!F$139/K$64+Dashboard!F$140/K$65)*E$60</f>
        <v>0.46843738832643234</v>
      </c>
      <c r="F64" s="172"/>
      <c r="G64" s="172"/>
      <c r="H64" s="172"/>
      <c r="I64" s="172"/>
      <c r="J64" s="160">
        <f>SUM(D64:I64)</f>
        <v>0.46843738832643234</v>
      </c>
      <c r="K64" s="3">
        <v>0.6</v>
      </c>
      <c r="L64" s="3">
        <f>K64*SUM(D64:I64)</f>
        <v>0.28106243299585937</v>
      </c>
      <c r="M64" s="110">
        <f>L64/SUM($L$62:$L$66)</f>
        <v>0.24448966150866822</v>
      </c>
      <c r="N64" s="166">
        <f>SUM(D64:I64)/SUM($D$62:$I$66)</f>
        <v>0.18916676655135989</v>
      </c>
      <c r="O64" s="1"/>
      <c r="P64" s="1"/>
      <c r="Q64" s="1"/>
      <c r="R64" s="1"/>
      <c r="S64" s="1"/>
    </row>
    <row r="65" spans="2:19" x14ac:dyDescent="0.2">
      <c r="B65" s="71"/>
      <c r="C65" s="79" t="s">
        <v>59</v>
      </c>
      <c r="D65" s="173"/>
      <c r="E65" s="172">
        <f>(Dashboard!F140/K65)/(Dashboard!F$138/K$63+Dashboard!F$139/K$64+Dashboard!F$140/K$65)*E$60</f>
        <v>0.12396158692489141</v>
      </c>
      <c r="F65" s="172"/>
      <c r="G65" s="172"/>
      <c r="H65" s="172"/>
      <c r="I65" s="172"/>
      <c r="J65" s="160">
        <f>SUM(D65:I65)</f>
        <v>0.12396158692489141</v>
      </c>
      <c r="K65" s="3">
        <v>0.85</v>
      </c>
      <c r="L65" s="3">
        <f>K65*SUM(D65:I65)</f>
        <v>0.1053673488861577</v>
      </c>
      <c r="M65" s="110">
        <f>L65/SUM($L$62:$L$66)</f>
        <v>9.1656601661958714E-2</v>
      </c>
      <c r="N65" s="166">
        <f>SUM(D65:I65)/SUM($D$62:$I$66)</f>
        <v>5.0058797951491076E-2</v>
      </c>
      <c r="O65" s="1"/>
      <c r="P65" s="1"/>
      <c r="Q65" s="1"/>
      <c r="R65" s="1"/>
      <c r="S65" s="1"/>
    </row>
    <row r="66" spans="2:19" x14ac:dyDescent="0.2">
      <c r="B66" s="71"/>
      <c r="C66" s="82" t="s">
        <v>60</v>
      </c>
      <c r="D66" s="175"/>
      <c r="E66" s="174"/>
      <c r="F66" s="174"/>
      <c r="G66" s="174"/>
      <c r="H66" s="174">
        <f>H60*Dashboard!F142</f>
        <v>0</v>
      </c>
      <c r="I66" s="174"/>
      <c r="J66" s="160">
        <f>SUM(D66:I66)</f>
        <v>0</v>
      </c>
      <c r="K66" s="3">
        <v>0.3</v>
      </c>
      <c r="L66" s="3">
        <f>K66*SUM(D66:I66)</f>
        <v>0</v>
      </c>
      <c r="M66" s="110">
        <f>L66/SUM($L$62:$L$66)</f>
        <v>0</v>
      </c>
      <c r="N66" s="167">
        <f>SUM(D66:I66)/SUM($D$62:$I$66)</f>
        <v>0</v>
      </c>
      <c r="O66" s="1"/>
      <c r="P66" s="1"/>
      <c r="Q66" s="1"/>
      <c r="R66" s="1"/>
      <c r="S66" s="1"/>
    </row>
    <row r="67" spans="2:19" x14ac:dyDescent="0.2">
      <c r="B67" s="71"/>
      <c r="C67" s="83"/>
      <c r="D67" s="90"/>
      <c r="E67" s="90"/>
      <c r="F67" s="90"/>
      <c r="G67" s="90"/>
      <c r="H67" s="90"/>
      <c r="I67" s="90"/>
      <c r="J67" s="160"/>
      <c r="K67" s="3"/>
      <c r="L67" s="3"/>
      <c r="M67" s="111"/>
      <c r="N67" s="84"/>
      <c r="O67" s="1"/>
      <c r="P67" s="1"/>
      <c r="Q67" s="1"/>
      <c r="R67" s="1"/>
      <c r="S67" s="1"/>
    </row>
    <row r="68" spans="2:19" x14ac:dyDescent="0.2">
      <c r="B68" s="86"/>
      <c r="C68" s="87"/>
      <c r="D68" s="88"/>
      <c r="E68" s="88"/>
      <c r="F68" s="88"/>
      <c r="G68" s="88"/>
      <c r="H68" s="88"/>
      <c r="I68" s="88"/>
      <c r="J68" s="160"/>
      <c r="K68" s="3"/>
      <c r="L68" s="3"/>
      <c r="M68" s="111"/>
      <c r="N68" s="84"/>
      <c r="O68" s="1"/>
      <c r="P68" s="1"/>
      <c r="Q68" s="1"/>
      <c r="R68" s="1"/>
      <c r="S68" s="1"/>
    </row>
    <row r="69" spans="2:19" x14ac:dyDescent="0.2">
      <c r="B69" s="71" t="s">
        <v>13</v>
      </c>
      <c r="C69" s="87"/>
      <c r="D69" s="89"/>
      <c r="E69" s="88"/>
      <c r="F69" s="88"/>
      <c r="G69" s="88"/>
      <c r="H69" s="88"/>
      <c r="I69" s="88"/>
      <c r="J69" s="160"/>
      <c r="K69" s="3"/>
      <c r="L69" s="3"/>
      <c r="M69" s="111"/>
      <c r="N69" s="84"/>
      <c r="O69" s="1"/>
      <c r="P69" s="1"/>
      <c r="Q69" s="1"/>
      <c r="R69" s="1"/>
      <c r="S69" s="1"/>
    </row>
    <row r="70" spans="2:19" x14ac:dyDescent="0.2">
      <c r="B70" s="71"/>
      <c r="C70" s="83" t="s">
        <v>121</v>
      </c>
      <c r="D70" s="77"/>
      <c r="E70" s="77">
        <f>E11*Dashboard!F47</f>
        <v>1.31266656</v>
      </c>
      <c r="F70" s="77"/>
      <c r="G70" s="77"/>
      <c r="H70" s="77"/>
      <c r="I70" s="77"/>
      <c r="J70" s="177"/>
      <c r="K70" s="4"/>
      <c r="L70" s="179">
        <f>SUM(L72:L74)</f>
        <v>0.11049381818181821</v>
      </c>
      <c r="M70" s="178"/>
      <c r="N70" s="84"/>
      <c r="O70" s="1"/>
      <c r="P70" s="1"/>
      <c r="Q70" s="1"/>
      <c r="R70" s="1"/>
      <c r="S70" s="1"/>
    </row>
    <row r="71" spans="2:19" x14ac:dyDescent="0.2">
      <c r="B71" s="71"/>
      <c r="C71" s="83"/>
      <c r="D71" s="90"/>
      <c r="E71" s="90"/>
      <c r="F71" s="90"/>
      <c r="G71" s="90"/>
      <c r="H71" s="90"/>
      <c r="I71" s="90"/>
      <c r="J71" s="160"/>
      <c r="K71" s="3"/>
      <c r="L71" s="3"/>
      <c r="M71" s="111"/>
      <c r="N71" s="84"/>
      <c r="O71" s="1"/>
      <c r="P71" s="1"/>
      <c r="Q71" s="1"/>
      <c r="R71" s="1"/>
      <c r="S71" s="1"/>
    </row>
    <row r="72" spans="2:19" x14ac:dyDescent="0.2">
      <c r="B72" s="75"/>
      <c r="C72" s="79" t="s">
        <v>61</v>
      </c>
      <c r="D72" s="170"/>
      <c r="E72" s="171">
        <f>(Dashboard!F146/K72)/(Dashboard!F$146/K$72+Dashboard!F$147/K$73+Dashboard!F$148/K$74)*E$70</f>
        <v>1.0938888</v>
      </c>
      <c r="F72" s="171"/>
      <c r="G72" s="171"/>
      <c r="H72" s="171"/>
      <c r="I72" s="171"/>
      <c r="J72" s="160">
        <f>SUM(D72:I72)</f>
        <v>1.0938888</v>
      </c>
      <c r="K72" s="3">
        <v>0.05</v>
      </c>
      <c r="L72" s="91">
        <f>K72*SUM(D72:I72)</f>
        <v>5.4694440000000004E-2</v>
      </c>
      <c r="M72" s="110">
        <f>L72/SUM($L$72:$L$74)</f>
        <v>0.49499999999999994</v>
      </c>
      <c r="N72" s="166">
        <f>E72/SUM($D$72:$I$74)</f>
        <v>0.83333333333333326</v>
      </c>
      <c r="O72" s="74"/>
      <c r="P72" s="92"/>
      <c r="Q72" s="1"/>
      <c r="R72" s="1"/>
      <c r="S72" s="1"/>
    </row>
    <row r="73" spans="2:19" x14ac:dyDescent="0.2">
      <c r="B73" s="80"/>
      <c r="C73" s="79" t="s">
        <v>62</v>
      </c>
      <c r="D73" s="173"/>
      <c r="E73" s="172">
        <f>(Dashboard!F147/K73)/(Dashboard!F$146/K$72+Dashboard!F$147/K$73+Dashboard!F$148/K$74)*E$70</f>
        <v>0.21435800727272733</v>
      </c>
      <c r="F73" s="172"/>
      <c r="G73" s="172"/>
      <c r="H73" s="172"/>
      <c r="I73" s="172"/>
      <c r="J73" s="160">
        <f>SUM(D73:I73)</f>
        <v>0.21435800727272733</v>
      </c>
      <c r="K73" s="3">
        <v>0.25</v>
      </c>
      <c r="L73" s="91">
        <f>K73*SUM(D73:I73)</f>
        <v>5.3589501818181833E-2</v>
      </c>
      <c r="M73" s="110">
        <f t="shared" ref="M73:M74" si="8">L73/SUM($L$72:$L$74)</f>
        <v>0.48500000000000004</v>
      </c>
      <c r="N73" s="166">
        <f>E73/SUM($D$72:$I$74)</f>
        <v>0.16329966329966333</v>
      </c>
      <c r="O73" s="93"/>
      <c r="P73" s="92"/>
      <c r="Q73" s="1"/>
      <c r="R73" s="1"/>
      <c r="S73" s="1"/>
    </row>
    <row r="74" spans="2:19" x14ac:dyDescent="0.2">
      <c r="B74" s="71"/>
      <c r="C74" s="82" t="s">
        <v>16</v>
      </c>
      <c r="D74" s="175"/>
      <c r="E74" s="174">
        <f>(Dashboard!F148/K74)/(Dashboard!F$146/K$72+Dashboard!F$147/K$73+Dashboard!F$148/K$74)*E$70</f>
        <v>4.419752727272728E-3</v>
      </c>
      <c r="F74" s="174"/>
      <c r="G74" s="174"/>
      <c r="H74" s="174"/>
      <c r="I74" s="174"/>
      <c r="J74" s="160">
        <f>SUM(D74:I74)</f>
        <v>4.419752727272728E-3</v>
      </c>
      <c r="K74" s="3">
        <v>0.5</v>
      </c>
      <c r="L74" s="91">
        <f>K74*SUM(D74:I74)</f>
        <v>2.209876363636364E-3</v>
      </c>
      <c r="M74" s="110">
        <f t="shared" si="8"/>
        <v>0.02</v>
      </c>
      <c r="N74" s="166">
        <f>E74/SUM($D$72:$I$74)</f>
        <v>3.3670033670033673E-3</v>
      </c>
      <c r="O74" s="1"/>
      <c r="P74" s="92"/>
      <c r="Q74" s="1"/>
      <c r="R74" s="1"/>
      <c r="S74" s="1"/>
    </row>
    <row r="75" spans="2:19" x14ac:dyDescent="0.2">
      <c r="B75" s="71"/>
      <c r="C75" s="94"/>
      <c r="D75" s="95"/>
      <c r="E75" s="95"/>
      <c r="F75" s="95"/>
      <c r="G75" s="95"/>
      <c r="H75" s="95"/>
      <c r="I75" s="95"/>
      <c r="J75" s="160"/>
      <c r="K75" s="3"/>
      <c r="L75" s="91"/>
      <c r="M75" s="111"/>
      <c r="N75" s="84"/>
      <c r="O75" s="1"/>
      <c r="P75" s="1"/>
      <c r="Q75" s="1"/>
      <c r="R75" s="1"/>
      <c r="S75" s="1"/>
    </row>
    <row r="76" spans="2:19" x14ac:dyDescent="0.2">
      <c r="B76" s="86"/>
      <c r="C76" s="78"/>
      <c r="D76" s="96"/>
      <c r="E76" s="96"/>
      <c r="F76" s="96"/>
      <c r="G76" s="96"/>
      <c r="H76" s="96"/>
      <c r="I76" s="96"/>
      <c r="J76" s="160"/>
      <c r="K76" s="3"/>
      <c r="L76" s="91"/>
      <c r="M76" s="111"/>
      <c r="N76" s="84"/>
      <c r="O76" s="1"/>
      <c r="P76" s="1"/>
      <c r="Q76" s="1"/>
      <c r="R76" s="1"/>
      <c r="S76" s="1"/>
    </row>
    <row r="77" spans="2:19" x14ac:dyDescent="0.2">
      <c r="B77" s="71" t="s">
        <v>15</v>
      </c>
      <c r="C77" s="78"/>
      <c r="D77" s="96"/>
      <c r="E77" s="96"/>
      <c r="F77" s="96"/>
      <c r="G77" s="96"/>
      <c r="H77" s="96"/>
      <c r="I77" s="96"/>
      <c r="J77" s="160"/>
      <c r="K77" s="3"/>
      <c r="L77" s="91"/>
      <c r="M77" s="111"/>
      <c r="N77" s="84"/>
      <c r="O77" s="1"/>
      <c r="P77" s="1"/>
      <c r="Q77" s="1"/>
      <c r="R77" s="1"/>
      <c r="S77" s="1"/>
    </row>
    <row r="78" spans="2:19" x14ac:dyDescent="0.2">
      <c r="B78" s="71"/>
      <c r="C78" s="83" t="s">
        <v>122</v>
      </c>
      <c r="D78" s="137"/>
      <c r="E78" s="142">
        <f>E11*Dashboard!F48</f>
        <v>6.6727216800000004</v>
      </c>
      <c r="F78" s="137"/>
      <c r="G78" s="137"/>
      <c r="H78" s="137"/>
      <c r="I78" s="137"/>
      <c r="J78" s="160"/>
      <c r="K78" s="3"/>
      <c r="L78" s="91">
        <f>SUM(L80:L87)</f>
        <v>6.6727216799999995</v>
      </c>
      <c r="M78" s="111"/>
      <c r="N78" s="84"/>
      <c r="O78" s="1"/>
      <c r="P78" s="1"/>
      <c r="Q78" s="1"/>
      <c r="R78" s="1"/>
      <c r="S78" s="1"/>
    </row>
    <row r="79" spans="2:19" x14ac:dyDescent="0.2">
      <c r="B79" s="71"/>
      <c r="C79" s="94"/>
      <c r="D79" s="95"/>
      <c r="E79" s="95"/>
      <c r="F79" s="95"/>
      <c r="G79" s="95"/>
      <c r="H79" s="95"/>
      <c r="I79" s="95"/>
      <c r="J79" s="160"/>
      <c r="K79" s="3"/>
      <c r="L79" s="91"/>
      <c r="M79" s="111"/>
      <c r="N79" s="84"/>
      <c r="O79" s="1"/>
      <c r="P79" s="1"/>
      <c r="Q79" s="1"/>
      <c r="R79" s="1"/>
      <c r="S79" s="1"/>
    </row>
    <row r="80" spans="2:19" x14ac:dyDescent="0.2">
      <c r="B80" s="75"/>
      <c r="C80" s="21" t="s">
        <v>63</v>
      </c>
      <c r="D80" s="170"/>
      <c r="E80" s="171">
        <f>E$78*Dashboard!F152/K80</f>
        <v>0.54716317776000001</v>
      </c>
      <c r="F80" s="171"/>
      <c r="G80" s="171"/>
      <c r="H80" s="171"/>
      <c r="I80" s="171"/>
      <c r="J80" s="177">
        <f t="shared" ref="J80:J87" si="9">SUM(D80:I80)</f>
        <v>0.54716317776000001</v>
      </c>
      <c r="K80" s="4">
        <v>1</v>
      </c>
      <c r="L80" s="179">
        <f t="shared" ref="L80:L87" si="10">K80*SUM(D80:I80)</f>
        <v>0.54716317776000001</v>
      </c>
      <c r="M80" s="180">
        <f>L80/SUM($L$80:$L$87)</f>
        <v>8.2000000000000003E-2</v>
      </c>
      <c r="N80" s="166">
        <f t="shared" ref="N80:N87" si="11">E80/SUM($D$80:$I$87)</f>
        <v>8.2000000000000003E-2</v>
      </c>
      <c r="O80" s="1"/>
      <c r="P80" s="1"/>
      <c r="Q80" s="1"/>
      <c r="R80" s="1"/>
      <c r="S80" s="1"/>
    </row>
    <row r="81" spans="2:19" x14ac:dyDescent="0.2">
      <c r="B81" s="80"/>
      <c r="C81" s="21" t="s">
        <v>64</v>
      </c>
      <c r="D81" s="173"/>
      <c r="E81" s="172">
        <f>E$78*Dashboard!F153/K81</f>
        <v>1.9684528956</v>
      </c>
      <c r="F81" s="172"/>
      <c r="G81" s="172"/>
      <c r="H81" s="172"/>
      <c r="I81" s="172"/>
      <c r="J81" s="160">
        <f t="shared" si="9"/>
        <v>1.9684528956</v>
      </c>
      <c r="K81" s="3">
        <v>1</v>
      </c>
      <c r="L81" s="91">
        <f t="shared" si="10"/>
        <v>1.9684528956</v>
      </c>
      <c r="M81" s="110">
        <f t="shared" ref="M81:M87" si="12">L81/SUM($L$80:$L$87)</f>
        <v>0.29500000000000004</v>
      </c>
      <c r="N81" s="166">
        <f t="shared" si="11"/>
        <v>0.29500000000000004</v>
      </c>
      <c r="O81" s="1"/>
      <c r="P81" s="1"/>
      <c r="Q81" s="1"/>
      <c r="R81" s="1"/>
      <c r="S81" s="1"/>
    </row>
    <row r="82" spans="2:19" x14ac:dyDescent="0.2">
      <c r="B82" s="14"/>
      <c r="C82" s="21" t="s">
        <v>65</v>
      </c>
      <c r="D82" s="173"/>
      <c r="E82" s="172">
        <f>E$78*Dashboard!F154/K82</f>
        <v>0.54716317776000001</v>
      </c>
      <c r="F82" s="172"/>
      <c r="G82" s="172"/>
      <c r="H82" s="172"/>
      <c r="I82" s="172"/>
      <c r="J82" s="160">
        <f t="shared" si="9"/>
        <v>0.54716317776000001</v>
      </c>
      <c r="K82" s="3">
        <v>1</v>
      </c>
      <c r="L82" s="91">
        <f t="shared" si="10"/>
        <v>0.54716317776000001</v>
      </c>
      <c r="M82" s="110">
        <f t="shared" si="12"/>
        <v>8.2000000000000003E-2</v>
      </c>
      <c r="N82" s="166">
        <f t="shared" si="11"/>
        <v>8.2000000000000003E-2</v>
      </c>
      <c r="O82" s="1"/>
      <c r="P82" s="1"/>
      <c r="Q82" s="1"/>
      <c r="R82" s="1"/>
      <c r="S82" s="1"/>
    </row>
    <row r="83" spans="2:19" x14ac:dyDescent="0.2">
      <c r="B83" s="14"/>
      <c r="C83" s="21" t="s">
        <v>66</v>
      </c>
      <c r="D83" s="173"/>
      <c r="E83" s="172">
        <f>E$78*Dashboard!F155/K83</f>
        <v>0.65392672464000001</v>
      </c>
      <c r="F83" s="172"/>
      <c r="G83" s="172"/>
      <c r="H83" s="172"/>
      <c r="I83" s="172"/>
      <c r="J83" s="160">
        <f t="shared" si="9"/>
        <v>0.65392672464000001</v>
      </c>
      <c r="K83" s="3">
        <v>1</v>
      </c>
      <c r="L83" s="91">
        <f t="shared" si="10"/>
        <v>0.65392672464000001</v>
      </c>
      <c r="M83" s="110">
        <f t="shared" si="12"/>
        <v>9.8000000000000004E-2</v>
      </c>
      <c r="N83" s="166">
        <f t="shared" si="11"/>
        <v>9.8000000000000004E-2</v>
      </c>
      <c r="O83" s="1"/>
      <c r="P83" s="1"/>
      <c r="Q83" s="1"/>
      <c r="R83" s="1"/>
      <c r="S83" s="1"/>
    </row>
    <row r="84" spans="2:19" x14ac:dyDescent="0.2">
      <c r="B84" s="14"/>
      <c r="C84" s="21" t="s">
        <v>67</v>
      </c>
      <c r="D84" s="173"/>
      <c r="E84" s="172">
        <f>E$78*Dashboard!F156/K84</f>
        <v>0.87412654008000013</v>
      </c>
      <c r="F84" s="172"/>
      <c r="G84" s="172"/>
      <c r="H84" s="172"/>
      <c r="I84" s="172"/>
      <c r="J84" s="160">
        <f t="shared" si="9"/>
        <v>0.87412654008000013</v>
      </c>
      <c r="K84" s="3">
        <v>1</v>
      </c>
      <c r="L84" s="91">
        <f t="shared" si="10"/>
        <v>0.87412654008000013</v>
      </c>
      <c r="M84" s="110">
        <f t="shared" si="12"/>
        <v>0.13100000000000003</v>
      </c>
      <c r="N84" s="166">
        <f t="shared" si="11"/>
        <v>0.13100000000000003</v>
      </c>
      <c r="O84" s="1"/>
      <c r="P84" s="1"/>
      <c r="Q84" s="1"/>
      <c r="R84" s="1"/>
      <c r="S84" s="1"/>
    </row>
    <row r="85" spans="2:19" x14ac:dyDescent="0.2">
      <c r="B85" s="14"/>
      <c r="C85" s="21" t="s">
        <v>3</v>
      </c>
      <c r="D85" s="173"/>
      <c r="E85" s="172">
        <f>E$78*Dashboard!F157/K85</f>
        <v>0.87412654008000013</v>
      </c>
      <c r="F85" s="172"/>
      <c r="G85" s="172"/>
      <c r="H85" s="172"/>
      <c r="I85" s="172"/>
      <c r="J85" s="160">
        <f t="shared" si="9"/>
        <v>0.87412654008000013</v>
      </c>
      <c r="K85" s="3">
        <v>1</v>
      </c>
      <c r="L85" s="91">
        <f t="shared" si="10"/>
        <v>0.87412654008000013</v>
      </c>
      <c r="M85" s="110">
        <f t="shared" si="12"/>
        <v>0.13100000000000003</v>
      </c>
      <c r="N85" s="166">
        <f t="shared" si="11"/>
        <v>0.13100000000000003</v>
      </c>
      <c r="O85" s="1"/>
      <c r="P85" s="1"/>
      <c r="Q85" s="1"/>
      <c r="R85" s="1"/>
      <c r="S85" s="1"/>
    </row>
    <row r="86" spans="2:19" x14ac:dyDescent="0.2">
      <c r="B86" s="14"/>
      <c r="C86" s="21" t="s">
        <v>68</v>
      </c>
      <c r="D86" s="173"/>
      <c r="E86" s="172">
        <f>E$78*Dashboard!F158/K86</f>
        <v>0.44039963088000006</v>
      </c>
      <c r="F86" s="172"/>
      <c r="G86" s="172"/>
      <c r="H86" s="172"/>
      <c r="I86" s="172"/>
      <c r="J86" s="160">
        <f t="shared" si="9"/>
        <v>0.44039963088000006</v>
      </c>
      <c r="K86" s="3">
        <v>1</v>
      </c>
      <c r="L86" s="91">
        <f t="shared" si="10"/>
        <v>0.44039963088000006</v>
      </c>
      <c r="M86" s="110">
        <f t="shared" si="12"/>
        <v>6.6000000000000017E-2</v>
      </c>
      <c r="N86" s="166">
        <f t="shared" si="11"/>
        <v>6.6000000000000017E-2</v>
      </c>
      <c r="O86" s="1"/>
      <c r="P86" s="1"/>
      <c r="Q86" s="1"/>
      <c r="R86" s="1"/>
      <c r="S86" s="1"/>
    </row>
    <row r="87" spans="2:19" x14ac:dyDescent="0.2">
      <c r="B87" s="14"/>
      <c r="C87" s="97" t="s">
        <v>69</v>
      </c>
      <c r="D87" s="175"/>
      <c r="E87" s="174">
        <f>E$78*Dashboard!F159/K87</f>
        <v>0.76736299320000012</v>
      </c>
      <c r="F87" s="174"/>
      <c r="G87" s="174"/>
      <c r="H87" s="174"/>
      <c r="I87" s="174"/>
      <c r="J87" s="160">
        <f t="shared" si="9"/>
        <v>0.76736299320000012</v>
      </c>
      <c r="K87" s="3">
        <v>1</v>
      </c>
      <c r="L87" s="91">
        <f t="shared" si="10"/>
        <v>0.76736299320000012</v>
      </c>
      <c r="M87" s="110">
        <f t="shared" si="12"/>
        <v>0.11500000000000003</v>
      </c>
      <c r="N87" s="166">
        <f t="shared" si="11"/>
        <v>0.11500000000000003</v>
      </c>
      <c r="O87" s="1"/>
      <c r="P87" s="1"/>
      <c r="Q87" s="1"/>
      <c r="R87" s="1"/>
      <c r="S87" s="1"/>
    </row>
    <row r="88" spans="2:19" x14ac:dyDescent="0.2">
      <c r="B88" s="71"/>
      <c r="C88" s="94"/>
      <c r="D88" s="94"/>
      <c r="E88" s="94"/>
      <c r="F88" s="94"/>
      <c r="G88" s="94"/>
      <c r="H88" s="94"/>
      <c r="I88" s="94"/>
      <c r="J88" s="160"/>
      <c r="K88" s="3"/>
      <c r="L88" s="3"/>
      <c r="M88" s="60"/>
      <c r="N88" s="94"/>
      <c r="O88" s="1"/>
      <c r="P88" s="1"/>
      <c r="Q88" s="1"/>
      <c r="R88" s="1"/>
      <c r="S88" s="1"/>
    </row>
    <row r="89" spans="2:19" x14ac:dyDescent="0.2">
      <c r="B89" s="86"/>
      <c r="C89" s="2"/>
      <c r="D89" s="98"/>
      <c r="E89" s="99"/>
      <c r="F89" s="99"/>
      <c r="G89" s="99"/>
      <c r="H89" s="99"/>
      <c r="I89" s="99"/>
      <c r="J89" s="161"/>
      <c r="K89" s="3"/>
      <c r="L89" s="3"/>
      <c r="M89" s="60"/>
      <c r="N89" s="3"/>
      <c r="O89" s="1"/>
      <c r="P89" s="1"/>
      <c r="Q89" s="1"/>
      <c r="R89" s="1"/>
      <c r="S89" s="1"/>
    </row>
    <row r="90" spans="2:19" x14ac:dyDescent="0.2">
      <c r="B90" s="153" t="s">
        <v>153</v>
      </c>
      <c r="C90" s="3"/>
      <c r="D90" s="77"/>
      <c r="E90" s="77">
        <f>Dashboard!F19*Dashboard!F181*Dashboard!F186</f>
        <v>0.59602435200000004</v>
      </c>
      <c r="F90" s="77"/>
      <c r="G90" s="77"/>
      <c r="H90" s="77"/>
      <c r="I90" s="77"/>
      <c r="J90" s="159"/>
      <c r="K90" s="3"/>
      <c r="L90" s="3">
        <f>E90/Dashboard!F182</f>
        <v>3.7251522000000001</v>
      </c>
      <c r="M90" s="60"/>
      <c r="N90" s="3"/>
      <c r="O90" s="1"/>
      <c r="P90" s="3"/>
      <c r="Q90" s="3"/>
      <c r="R90" s="1"/>
      <c r="S90" s="1"/>
    </row>
    <row r="91" spans="2:19" x14ac:dyDescent="0.2">
      <c r="B91" s="71"/>
      <c r="C91" s="83"/>
      <c r="D91" s="77"/>
      <c r="E91" s="77"/>
      <c r="F91" s="77"/>
      <c r="G91" s="77"/>
      <c r="H91" s="77"/>
      <c r="I91" s="77"/>
      <c r="J91" s="159"/>
      <c r="K91" s="3"/>
      <c r="L91" s="3"/>
      <c r="M91" s="60"/>
      <c r="N91" s="3"/>
      <c r="O91" s="1"/>
      <c r="P91" s="3"/>
      <c r="Q91" s="3"/>
      <c r="R91" s="1"/>
      <c r="S91" s="1"/>
    </row>
    <row r="92" spans="2:19" x14ac:dyDescent="0.2">
      <c r="B92" s="71"/>
      <c r="C92" s="83"/>
      <c r="D92" s="77"/>
      <c r="E92" s="77"/>
      <c r="F92" s="77"/>
      <c r="G92" s="77"/>
      <c r="H92" s="77"/>
      <c r="I92" s="77"/>
      <c r="J92" s="159"/>
      <c r="K92" s="3"/>
      <c r="L92" s="3"/>
      <c r="M92" s="60"/>
      <c r="N92" s="3"/>
      <c r="O92" s="1"/>
      <c r="P92" s="3"/>
      <c r="Q92" s="3"/>
      <c r="R92" s="1"/>
      <c r="S92" s="1"/>
    </row>
    <row r="93" spans="2:19" x14ac:dyDescent="0.2">
      <c r="B93" s="181" t="s">
        <v>151</v>
      </c>
      <c r="C93" s="182"/>
      <c r="D93" s="152" t="s">
        <v>70</v>
      </c>
      <c r="E93" s="152" t="s">
        <v>71</v>
      </c>
      <c r="F93" s="152" t="s">
        <v>72</v>
      </c>
      <c r="G93" s="152" t="s">
        <v>73</v>
      </c>
      <c r="H93" s="152" t="s">
        <v>74</v>
      </c>
      <c r="I93" s="183" t="s">
        <v>75</v>
      </c>
      <c r="J93" s="159"/>
      <c r="K93" s="3"/>
      <c r="L93" s="3"/>
      <c r="M93" s="60"/>
      <c r="N93" s="7"/>
      <c r="O93" s="1"/>
      <c r="P93" s="1"/>
      <c r="Q93" s="1"/>
      <c r="R93" s="1"/>
      <c r="S93" s="1"/>
    </row>
    <row r="94" spans="2:19" x14ac:dyDescent="0.2">
      <c r="B94" s="20"/>
      <c r="C94" s="100" t="s">
        <v>152</v>
      </c>
      <c r="D94" s="101">
        <f>SUM(E20)</f>
        <v>0</v>
      </c>
      <c r="E94" s="102">
        <f>SUM(E20:E88)</f>
        <v>21.002664960000004</v>
      </c>
      <c r="F94" s="102">
        <f>SUM(F20:F88)</f>
        <v>2.4199195758972318E-3</v>
      </c>
      <c r="G94" s="102">
        <f>SUM(G20:G88)</f>
        <v>0.18972169475034298</v>
      </c>
      <c r="H94" s="102">
        <f>SUM(H20:H88)</f>
        <v>0.37378230641598553</v>
      </c>
      <c r="I94" s="102">
        <f>SUM(I20:I88)</f>
        <v>0</v>
      </c>
      <c r="J94" s="159"/>
      <c r="K94" s="3"/>
      <c r="L94" s="3"/>
      <c r="M94" s="60"/>
      <c r="N94" s="103"/>
      <c r="O94" s="1"/>
      <c r="P94" s="1"/>
      <c r="Q94" s="1"/>
      <c r="R94" s="1"/>
      <c r="S94" s="1"/>
    </row>
    <row r="95" spans="2:19" x14ac:dyDescent="0.2">
      <c r="B95" s="20"/>
      <c r="C95" s="103" t="s">
        <v>76</v>
      </c>
      <c r="D95" s="101">
        <f t="shared" ref="D95:I95" si="13">D10-D94</f>
        <v>0</v>
      </c>
      <c r="E95" s="102">
        <f t="shared" si="13"/>
        <v>-21.002664960000004</v>
      </c>
      <c r="F95" s="102">
        <f t="shared" si="13"/>
        <v>-2.4199195758972318E-3</v>
      </c>
      <c r="G95" s="102">
        <f t="shared" si="13"/>
        <v>-0.18972169475034298</v>
      </c>
      <c r="H95" s="102">
        <f t="shared" si="13"/>
        <v>-0.37378230641598553</v>
      </c>
      <c r="I95" s="102">
        <f t="shared" si="13"/>
        <v>0</v>
      </c>
      <c r="J95" s="159"/>
      <c r="K95" s="3"/>
      <c r="L95" s="3"/>
      <c r="M95" s="60"/>
      <c r="N95" s="168"/>
      <c r="O95" s="1"/>
      <c r="P95" s="1"/>
      <c r="Q95" s="1"/>
      <c r="R95" s="1"/>
      <c r="S95" s="1"/>
    </row>
    <row r="96" spans="2:19" x14ac:dyDescent="0.2">
      <c r="B96" s="20"/>
      <c r="C96" s="103"/>
      <c r="D96" s="104"/>
      <c r="E96" s="104"/>
      <c r="F96" s="104"/>
      <c r="G96" s="104"/>
      <c r="H96" s="104"/>
      <c r="I96" s="104"/>
      <c r="J96" s="112"/>
      <c r="K96" s="3"/>
      <c r="L96" s="3"/>
      <c r="M96" s="60"/>
      <c r="N96" s="103"/>
      <c r="O96" s="1"/>
      <c r="P96" s="1"/>
      <c r="Q96" s="1"/>
      <c r="R96" s="1"/>
      <c r="S96" s="1"/>
    </row>
    <row r="97" spans="2:19" ht="17" thickBot="1" x14ac:dyDescent="0.25">
      <c r="B97" s="105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65"/>
      <c r="N97" s="3"/>
      <c r="O97" s="1"/>
      <c r="P97" s="1"/>
      <c r="Q97" s="1"/>
      <c r="R97" s="1"/>
      <c r="S97" s="1"/>
    </row>
  </sheetData>
  <mergeCells count="1">
    <mergeCell ref="B4:C4"/>
  </mergeCells>
  <conditionalFormatting sqref="H9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5"/>
  </sheetPr>
  <dimension ref="A1:H70"/>
  <sheetViews>
    <sheetView workbookViewId="0">
      <selection activeCell="D52" sqref="D5:D52"/>
    </sheetView>
  </sheetViews>
  <sheetFormatPr baseColWidth="10" defaultRowHeight="16" x14ac:dyDescent="0.2"/>
  <cols>
    <col min="1" max="1" width="123.5" customWidth="1"/>
    <col min="2" max="3" width="18.5" customWidth="1"/>
    <col min="4" max="4" width="90.83203125" customWidth="1"/>
  </cols>
  <sheetData>
    <row r="1" spans="1:4" x14ac:dyDescent="0.2">
      <c r="A1" s="203" t="s">
        <v>220</v>
      </c>
    </row>
    <row r="2" spans="1:4" x14ac:dyDescent="0.2">
      <c r="B2" s="203" t="s">
        <v>8</v>
      </c>
      <c r="C2" s="203" t="s">
        <v>177</v>
      </c>
      <c r="D2" s="203" t="s">
        <v>78</v>
      </c>
    </row>
    <row r="3" spans="1:4" x14ac:dyDescent="0.2">
      <c r="A3" t="s">
        <v>241</v>
      </c>
    </row>
    <row r="4" spans="1:4" x14ac:dyDescent="0.2">
      <c r="A4" t="s">
        <v>4</v>
      </c>
    </row>
    <row r="5" spans="1:4" x14ac:dyDescent="0.2">
      <c r="A5" s="201" t="s">
        <v>199</v>
      </c>
      <c r="B5">
        <f>Analyse!M64</f>
        <v>0.24448966150866822</v>
      </c>
      <c r="C5">
        <v>1</v>
      </c>
      <c r="D5" t="str">
        <f>"  " &amp;A5 &amp; B5*C5</f>
        <v xml:space="preserve">  :"households_cooker_halogen_electricity-households_useful_demand_cooking_useable_heat@useable_heat": 0.244489661508668</v>
      </c>
    </row>
    <row r="6" spans="1:4" x14ac:dyDescent="0.2">
      <c r="A6" s="201" t="s">
        <v>200</v>
      </c>
      <c r="B6">
        <f>Analyse!M65</f>
        <v>9.1656601661958714E-2</v>
      </c>
      <c r="C6">
        <v>1</v>
      </c>
      <c r="D6" t="str">
        <f t="shared" ref="D6:D9" si="0">"  " &amp;A6 &amp; B6*C6</f>
        <v xml:space="preserve">  :"households_cooker_induction_electricity-households_useful_demand_cooking_useable_heat@useable_heat": 0.0916566016619587</v>
      </c>
    </row>
    <row r="7" spans="1:4" x14ac:dyDescent="0.2">
      <c r="A7" s="201" t="s">
        <v>201</v>
      </c>
      <c r="B7">
        <f>Analyse!M62</f>
        <v>0.63326550773699763</v>
      </c>
      <c r="C7">
        <v>1</v>
      </c>
      <c r="D7" t="str">
        <f t="shared" si="0"/>
        <v xml:space="preserve">  :"households_cooker_network_gas-households_useful_demand_cooking_useable_heat@useable_heat": 0.633265507736998</v>
      </c>
    </row>
    <row r="8" spans="1:4" x14ac:dyDescent="0.2">
      <c r="A8" s="201" t="s">
        <v>202</v>
      </c>
      <c r="B8">
        <f>Analyse!M63</f>
        <v>3.0588229092375373E-2</v>
      </c>
      <c r="C8">
        <v>1</v>
      </c>
      <c r="D8" t="str">
        <f t="shared" si="0"/>
        <v xml:space="preserve">  :"households_cooker_resistive_electricity-households_useful_demand_cooking_useable_heat@useable_heat": 0.0305882290923754</v>
      </c>
    </row>
    <row r="9" spans="1:4" x14ac:dyDescent="0.2">
      <c r="A9" s="201" t="s">
        <v>203</v>
      </c>
      <c r="B9">
        <f>Analyse!M66</f>
        <v>0</v>
      </c>
      <c r="C9">
        <v>1</v>
      </c>
      <c r="D9" t="str">
        <f t="shared" si="0"/>
        <v xml:space="preserve">  :"households_cooker_wood_pellets-households_useful_demand_cooking_useable_heat@useable_heat": 0</v>
      </c>
    </row>
    <row r="10" spans="1:4" x14ac:dyDescent="0.2">
      <c r="A10" s="201" t="s">
        <v>196</v>
      </c>
      <c r="B10">
        <f>Analyse!M56</f>
        <v>0.99399999999999999</v>
      </c>
      <c r="C10">
        <v>1</v>
      </c>
      <c r="D10" t="str">
        <f>"  " &amp;A10 &amp; B10*C10</f>
        <v xml:space="preserve">  :"households_cooling_airconditioning_electricity-households_useful_demand_for_cooling_after_insulation@cooling": 0.994</v>
      </c>
    </row>
    <row r="11" spans="1:4" x14ac:dyDescent="0.2">
      <c r="A11" s="201" t="s">
        <v>197</v>
      </c>
      <c r="B11">
        <f>Analyse!M55</f>
        <v>0</v>
      </c>
      <c r="C11">
        <v>1</v>
      </c>
      <c r="D11" t="str">
        <f t="shared" ref="D11:D12" si="1">"  " &amp;A11 &amp; B11*C11</f>
        <v xml:space="preserve">  :"households_cooling_heatpump_air_water_electricity-households_useful_demand_for_cooling_after_insulation@cooling": 0</v>
      </c>
    </row>
    <row r="12" spans="1:4" x14ac:dyDescent="0.2">
      <c r="A12" s="201" t="s">
        <v>198</v>
      </c>
      <c r="B12">
        <f>Analyse!M54</f>
        <v>5.9999999999999993E-3</v>
      </c>
      <c r="C12">
        <v>1</v>
      </c>
      <c r="D12" t="str">
        <f t="shared" si="1"/>
        <v xml:space="preserve">  :"households_cooling_heatpump_ground_water_electricity-households_useful_demand_for_cooling_after_insulation@cooling": 0.006</v>
      </c>
    </row>
    <row r="13" spans="1:4" x14ac:dyDescent="0.2">
      <c r="A13" s="201" t="s">
        <v>204</v>
      </c>
      <c r="B13" s="146">
        <f>Dashboard!F63</f>
        <v>0</v>
      </c>
      <c r="C13" s="146">
        <v>1</v>
      </c>
      <c r="D13" t="str">
        <f>"  " &amp;A13 &amp; B13*C13</f>
        <v xml:space="preserve">  :"households_collective_chp_biogas-households_final_demand_steam_hot_water@steam_hot_water": 0</v>
      </c>
    </row>
    <row r="14" spans="1:4" x14ac:dyDescent="0.2">
      <c r="A14" s="201" t="s">
        <v>205</v>
      </c>
      <c r="B14" s="146">
        <f>Dashboard!F64</f>
        <v>0</v>
      </c>
      <c r="C14" s="146">
        <v>1</v>
      </c>
      <c r="D14" t="str">
        <f>"  " &amp;A14 &amp; B14*C14</f>
        <v xml:space="preserve">  :"households_collective_chp_network_gas-households_final_demand_steam_hot_water@steam_hot_water": 0</v>
      </c>
    </row>
    <row r="15" spans="1:4" x14ac:dyDescent="0.2">
      <c r="A15" s="201" t="s">
        <v>206</v>
      </c>
      <c r="B15" s="146">
        <f>Dashboard!F65</f>
        <v>0</v>
      </c>
      <c r="C15" s="146">
        <v>1</v>
      </c>
      <c r="D15" t="str">
        <f>"  " &amp;A15 &amp; B15*C15</f>
        <v xml:space="preserve">  :"households_collective_chp_wood_pellets-households_final_demand_steam_hot_water@steam_hot_water": 0</v>
      </c>
    </row>
    <row r="16" spans="1:4" x14ac:dyDescent="0.2">
      <c r="A16" s="201" t="s">
        <v>207</v>
      </c>
      <c r="B16" s="146">
        <f>Dashboard!F66</f>
        <v>0</v>
      </c>
      <c r="C16" s="146">
        <v>1</v>
      </c>
      <c r="D16" t="str">
        <f>"  " &amp;A16 &amp; B16*C16</f>
        <v xml:space="preserve">  :"households_collective_geothermal-households_final_demand_steam_hot_water@steam_hot_water": 0</v>
      </c>
    </row>
    <row r="17" spans="1:8" x14ac:dyDescent="0.2">
      <c r="A17" s="201" t="s">
        <v>208</v>
      </c>
      <c r="B17" s="146">
        <f>Dashboard!F67</f>
        <v>1</v>
      </c>
      <c r="C17" s="146">
        <v>1</v>
      </c>
      <c r="D17" t="str">
        <f xml:space="preserve"> "#  " &amp;A17 &amp; B17*C17</f>
        <v>#  :"households_heat_network_connection_steam_hot_water-households_final_demand_steam_hot_water@steam_hot_water": 1</v>
      </c>
      <c r="H17" s="203" t="s">
        <v>273</v>
      </c>
    </row>
    <row r="18" spans="1:8" x14ac:dyDescent="0.2">
      <c r="A18" s="201" t="s">
        <v>250</v>
      </c>
      <c r="B18">
        <f>Analyse!M30</f>
        <v>6.4555660481329711E-5</v>
      </c>
      <c r="C18">
        <v>1</v>
      </c>
      <c r="D18" t="str">
        <f t="shared" ref="D18:D28" si="2">"  " &amp;A18 &amp; B18*C18</f>
        <v xml:space="preserve">  :"households_space_heater_coal_aggregator-households_useful_demand_for_space_heating_after_insulation_and_solar_heater@useable_heat": 6.45556604813297E-05</v>
      </c>
    </row>
    <row r="19" spans="1:8" x14ac:dyDescent="0.2">
      <c r="A19" s="201" t="s">
        <v>251</v>
      </c>
      <c r="B19">
        <f>Analyse!M20</f>
        <v>0.9040610396950105</v>
      </c>
      <c r="C19">
        <v>1</v>
      </c>
      <c r="D19" t="str">
        <f t="shared" si="2"/>
        <v xml:space="preserve">  :"households_space_heater_combined_network_gas_aggregator-households_useful_demand_for_space_heating_after_insulation_and_solar_heater@useable_heat": 0.904061039695011</v>
      </c>
    </row>
    <row r="20" spans="1:8" x14ac:dyDescent="0.2">
      <c r="A20" s="201" t="s">
        <v>252</v>
      </c>
      <c r="B20">
        <f>Analyse!M29</f>
        <v>5.377486518094764E-3</v>
      </c>
      <c r="C20">
        <v>1</v>
      </c>
      <c r="D20" t="str">
        <f t="shared" si="2"/>
        <v xml:space="preserve">  :"households_space_heater_crude_oil_aggregator-households_useful_demand_for_space_heating_after_insulation_and_solar_heater@useable_heat": 0.00537748651809476</v>
      </c>
    </row>
    <row r="21" spans="1:8" x14ac:dyDescent="0.2">
      <c r="A21" s="201" t="s">
        <v>253</v>
      </c>
      <c r="B21">
        <f>Analyse!M24</f>
        <v>0</v>
      </c>
      <c r="C21">
        <v>1</v>
      </c>
      <c r="D21" t="str">
        <f t="shared" si="2"/>
        <v xml:space="preserve">  :"households_space_heater_district_heating_steam_hot_water_aggregator-households_useful_demand_for_space_heating_after_insulation_and_solar_heater@useable_heat": 0</v>
      </c>
    </row>
    <row r="22" spans="1:8" x14ac:dyDescent="0.2">
      <c r="A22" s="201" t="s">
        <v>254</v>
      </c>
      <c r="B22">
        <f>Analyse!M27</f>
        <v>2.3394355394174934E-2</v>
      </c>
      <c r="C22">
        <v>1</v>
      </c>
      <c r="D22" t="str">
        <f t="shared" si="2"/>
        <v xml:space="preserve">  :"households_space_heater_electricity_aggregator-households_useful_demand_for_space_heating_after_insulation_and_solar_heater@useable_heat": 0.0233943553941749</v>
      </c>
    </row>
    <row r="23" spans="1:8" x14ac:dyDescent="0.2">
      <c r="A23" s="201" t="s">
        <v>255</v>
      </c>
      <c r="B23">
        <f>Analyse!M25</f>
        <v>1.959234448824021E-2</v>
      </c>
      <c r="C23">
        <v>1</v>
      </c>
      <c r="D23" t="str">
        <f t="shared" si="2"/>
        <v xml:space="preserve">  :"households_space_heater_heatpump_air_water_electricity_aggregator-households_useful_demand_for_space_heating_after_insulation_and_solar_heater@useable_heat": 0.0195923444882402</v>
      </c>
    </row>
    <row r="24" spans="1:8" x14ac:dyDescent="0.2">
      <c r="A24" s="201" t="s">
        <v>256</v>
      </c>
      <c r="B24">
        <f>Analyse!M22</f>
        <v>5.9941613381853803E-3</v>
      </c>
      <c r="C24">
        <v>1</v>
      </c>
      <c r="D24" t="str">
        <f t="shared" si="2"/>
        <v xml:space="preserve">  :"households_space_heater_heatpump_ground_water_electricity_aggregator-households_useful_demand_for_space_heating_after_insulation_and_solar_heater@useable_heat": 0.00599416133818538</v>
      </c>
    </row>
    <row r="25" spans="1:8" x14ac:dyDescent="0.2">
      <c r="A25" s="201" t="s">
        <v>257</v>
      </c>
      <c r="B25">
        <f>Analyse!M31</f>
        <v>1.6911810460932734E-3</v>
      </c>
      <c r="C25">
        <v>1</v>
      </c>
      <c r="D25" t="str">
        <f t="shared" si="2"/>
        <v xml:space="preserve">  :"households_space_heater_hybrid_heatpump_air_water_electricity_aggregator-households_useful_demand_for_space_heating_after_insulation_and_solar_heater@useable_heat": 0.00169118104609327</v>
      </c>
    </row>
    <row r="26" spans="1:8" x14ac:dyDescent="0.2">
      <c r="A26" s="201" t="s">
        <v>258</v>
      </c>
      <c r="B26">
        <f>Analyse!M23</f>
        <v>0</v>
      </c>
      <c r="C26">
        <v>1</v>
      </c>
      <c r="D26" t="str">
        <f t="shared" si="2"/>
        <v xml:space="preserve">  :"households_space_heater_micro_chp_network_gas_aggregator-households_useful_demand_for_space_heating_after_insulation_and_solar_heater@useable_heat": 0</v>
      </c>
    </row>
    <row r="27" spans="1:8" x14ac:dyDescent="0.2">
      <c r="A27" s="201" t="s">
        <v>259</v>
      </c>
      <c r="B27">
        <f>Analyse!M28</f>
        <v>2.9604285057886152E-2</v>
      </c>
      <c r="C27">
        <v>1</v>
      </c>
      <c r="D27" t="str">
        <f t="shared" si="2"/>
        <v xml:space="preserve">  :"households_space_heater_network_gas_aggregator-households_useful_demand_for_space_heating_after_insulation_and_solar_heater@useable_heat": 0.0296042850578862</v>
      </c>
    </row>
    <row r="28" spans="1:8" x14ac:dyDescent="0.2">
      <c r="A28" s="201" t="s">
        <v>260</v>
      </c>
      <c r="B28">
        <f>Analyse!M26</f>
        <v>1.0220590801833336E-2</v>
      </c>
      <c r="C28">
        <v>1</v>
      </c>
      <c r="D28" t="str">
        <f t="shared" si="2"/>
        <v xml:space="preserve">  :"households_space_heater_wood_pellets_aggregator-households_useful_demand_for_space_heating_after_insulation_and_solar_heater@useable_heat": 0.0102205908018333</v>
      </c>
    </row>
    <row r="29" spans="1:8" x14ac:dyDescent="0.2">
      <c r="A29" s="214" t="s">
        <v>261</v>
      </c>
      <c r="B29">
        <f>Analyse!M46</f>
        <v>0</v>
      </c>
      <c r="C29">
        <v>1</v>
      </c>
      <c r="D29" t="str">
        <f t="shared" ref="D29:D47" si="3">"  " &amp;A29 &amp; B29*C29</f>
        <v xml:space="preserve">  :"households_water_heater_coal_aggregator-households_useful_demand_for_hot_water_after_solar_heater_and_p2h@useable_heat": 0</v>
      </c>
    </row>
    <row r="30" spans="1:8" x14ac:dyDescent="0.2">
      <c r="A30" s="201" t="s">
        <v>262</v>
      </c>
      <c r="B30">
        <f>Analyse!M37</f>
        <v>0.85879779843795656</v>
      </c>
      <c r="C30">
        <v>1</v>
      </c>
      <c r="D30" t="str">
        <f t="shared" si="3"/>
        <v xml:space="preserve">  :"households_water_heater_combined_network_gas_aggregator-households_useful_demand_for_hot_water_after_solar_heater_and_p2h@useable_heat": 0.858797798437957</v>
      </c>
    </row>
    <row r="31" spans="1:8" x14ac:dyDescent="0.2">
      <c r="A31" s="201" t="s">
        <v>263</v>
      </c>
      <c r="B31">
        <f>Analyse!M45</f>
        <v>0</v>
      </c>
      <c r="C31">
        <v>1</v>
      </c>
      <c r="D31" t="str">
        <f t="shared" si="3"/>
        <v xml:space="preserve">  :"households_water_heater_crude_oil_aggregator-households_useful_demand_for_hot_water_after_solar_heater_and_p2h@useable_heat": 0</v>
      </c>
    </row>
    <row r="32" spans="1:8" x14ac:dyDescent="0.2">
      <c r="A32" s="201" t="s">
        <v>264</v>
      </c>
      <c r="B32">
        <f>Analyse!M40</f>
        <v>0</v>
      </c>
      <c r="C32">
        <v>1</v>
      </c>
      <c r="D32" t="str">
        <f t="shared" si="3"/>
        <v xml:space="preserve">  :"households_water_heater_district_heating_steam_hot_water_aggregator-households_useful_demand_for_hot_water_after_solar_heater_and_p2h@useable_heat": 0</v>
      </c>
    </row>
    <row r="33" spans="1:4" x14ac:dyDescent="0.2">
      <c r="A33" s="201" t="s">
        <v>265</v>
      </c>
      <c r="B33">
        <f>Analyse!M47</f>
        <v>0</v>
      </c>
      <c r="C33">
        <v>1</v>
      </c>
      <c r="D33" t="str">
        <f t="shared" si="3"/>
        <v xml:space="preserve">  :"households_water_heater_fuel_cell_chp_network_gas_aggregator-households_useful_demand_for_hot_water_after_solar_heater_and_p2h@useable_heat": 0</v>
      </c>
    </row>
    <row r="34" spans="1:4" x14ac:dyDescent="0.2">
      <c r="A34" s="201" t="s">
        <v>266</v>
      </c>
      <c r="B34">
        <f>Analyse!M41</f>
        <v>1.9067078292722018E-2</v>
      </c>
      <c r="C34">
        <v>1</v>
      </c>
      <c r="D34" t="str">
        <f t="shared" si="3"/>
        <v xml:space="preserve">  :"households_water_heater_heatpump_air_water_electricity_aggregator-households_useful_demand_for_hot_water_after_solar_heater_and_p2h@useable_heat": 0.019067078292722</v>
      </c>
    </row>
    <row r="35" spans="1:4" x14ac:dyDescent="0.2">
      <c r="A35" s="201" t="s">
        <v>267</v>
      </c>
      <c r="B35">
        <f>Analyse!M38</f>
        <v>3.9034553622332492E-3</v>
      </c>
      <c r="C35">
        <v>1</v>
      </c>
      <c r="D35" t="str">
        <f t="shared" si="3"/>
        <v xml:space="preserve">  :"households_water_heater_heatpump_ground_water_electricity_aggregator-households_useful_demand_for_hot_water_after_solar_heater_and_p2h@useable_heat": 0.00390345536223325</v>
      </c>
    </row>
    <row r="36" spans="1:4" x14ac:dyDescent="0.2">
      <c r="A36" s="201" t="s">
        <v>268</v>
      </c>
      <c r="B36">
        <f>Analyse!M48</f>
        <v>1.0386414511877736E-3</v>
      </c>
      <c r="C36">
        <v>1</v>
      </c>
      <c r="D36" t="str">
        <f t="shared" si="3"/>
        <v xml:space="preserve">  :"households_water_heater_hybrid_heatpump_air_water_electricity_aggregator-households_useful_demand_for_hot_water_after_solar_heater_and_p2h@useable_heat": 0.00103864145118777</v>
      </c>
    </row>
    <row r="37" spans="1:4" x14ac:dyDescent="0.2">
      <c r="A37" s="201" t="s">
        <v>269</v>
      </c>
      <c r="B37">
        <f>Analyse!M39</f>
        <v>0</v>
      </c>
      <c r="C37">
        <v>1</v>
      </c>
      <c r="D37" t="str">
        <f t="shared" si="3"/>
        <v xml:space="preserve">  :"households_water_heater_micro_chp_network_gas_aggregator-households_useful_demand_for_hot_water_after_solar_heater_and_p2h@useable_heat":  0</v>
      </c>
    </row>
    <row r="38" spans="1:4" x14ac:dyDescent="0.2">
      <c r="A38" s="201" t="s">
        <v>270</v>
      </c>
      <c r="B38">
        <f>Analyse!M44</f>
        <v>2.8004276036020313E-2</v>
      </c>
      <c r="C38">
        <v>1</v>
      </c>
      <c r="D38" t="str">
        <f t="shared" si="3"/>
        <v xml:space="preserve">  :"households_water_heater_network_gas_aggregator-households_useful_demand_for_hot_water_after_solar_heater_and_p2h@useable_heat": 0.0280042760360203</v>
      </c>
    </row>
    <row r="39" spans="1:4" x14ac:dyDescent="0.2">
      <c r="A39" s="201" t="s">
        <v>271</v>
      </c>
      <c r="B39">
        <f>Analyse!M43</f>
        <v>8.91887504198801E-2</v>
      </c>
      <c r="C39">
        <v>1</v>
      </c>
      <c r="D39" t="str">
        <f t="shared" si="3"/>
        <v xml:space="preserve">  :"households_water_heater_resistive_electricity_aggregator-households_useful_demand_for_hot_water_after_solar_heater_and_p2h@useable_heat": 0.0891887504198801</v>
      </c>
    </row>
    <row r="40" spans="1:4" x14ac:dyDescent="0.2">
      <c r="A40" s="201" t="s">
        <v>209</v>
      </c>
      <c r="B40" s="197">
        <f>1-B41</f>
        <v>1</v>
      </c>
      <c r="C40">
        <v>1</v>
      </c>
      <c r="D40" t="str">
        <f t="shared" si="3"/>
        <v xml:space="preserve">  :"households_useful_demand_for_hot_water_after_solar_heater-households_useful_demand_hot_water@useable_heat": 1</v>
      </c>
    </row>
    <row r="41" spans="1:4" x14ac:dyDescent="0.2">
      <c r="A41" s="201" t="s">
        <v>210</v>
      </c>
      <c r="B41" s="197">
        <f>Dashboard!F17</f>
        <v>0</v>
      </c>
      <c r="C41">
        <v>1</v>
      </c>
      <c r="D41" t="str">
        <f t="shared" si="3"/>
        <v xml:space="preserve">  :"households_useful_demand_for_hot_water_for_houses_with_solar_heater-households_useful_demand_hot_water@useable_heat": 0</v>
      </c>
    </row>
    <row r="42" spans="1:4" x14ac:dyDescent="0.2">
      <c r="A42" s="201" t="s">
        <v>245</v>
      </c>
      <c r="B42" s="197">
        <f>Dashboard!F168</f>
        <v>0.5</v>
      </c>
      <c r="C42">
        <v>1</v>
      </c>
      <c r="D42" t="str">
        <f t="shared" si="3"/>
        <v xml:space="preserve">  :"households_water_heater_solar_thermal-households_useful_demand_for_hot_water_for_houses_with_solar_heater@useable_heat": 0.5</v>
      </c>
    </row>
    <row r="43" spans="1:4" x14ac:dyDescent="0.2">
      <c r="A43" s="201" t="s">
        <v>246</v>
      </c>
      <c r="B43" s="197">
        <f>1-B42</f>
        <v>0.5</v>
      </c>
      <c r="C43">
        <v>1</v>
      </c>
      <c r="D43" t="str">
        <f t="shared" si="3"/>
        <v xml:space="preserve">  :"households_useful_demand_for_hot_water_after_solar_heater-households_useful_demand_for_hot_water_for_houses_with_solar_heater@useable_heat": 0.5</v>
      </c>
    </row>
    <row r="44" spans="1:4" x14ac:dyDescent="0.2">
      <c r="A44" s="201" t="s">
        <v>248</v>
      </c>
      <c r="B44" s="197">
        <f>1-B45</f>
        <v>1</v>
      </c>
      <c r="C44">
        <v>1</v>
      </c>
      <c r="D44" t="str">
        <f t="shared" si="3"/>
        <v xml:space="preserve">  :"households_useful_demand_for_space_heating_after_insulation_and_solar_heater-households_useful_demand_for_space_heating_after_insulation@useable_heat": 1</v>
      </c>
    </row>
    <row r="45" spans="1:4" x14ac:dyDescent="0.2">
      <c r="A45" s="201" t="s">
        <v>249</v>
      </c>
      <c r="B45" s="197">
        <f>Dashboard!F17</f>
        <v>0</v>
      </c>
      <c r="C45">
        <v>1</v>
      </c>
      <c r="D45" t="str">
        <f t="shared" si="3"/>
        <v xml:space="preserve">  :"households_useful_demand_for_space_heating_after_insulation_for_houses_with_solar_heater-households_useful_demand_for_space_heating_after_insulation@useable_heat": 0</v>
      </c>
    </row>
    <row r="46" spans="1:4" x14ac:dyDescent="0.2">
      <c r="A46" s="201" t="s">
        <v>243</v>
      </c>
      <c r="B46" s="197">
        <f>1-B47</f>
        <v>0.85</v>
      </c>
      <c r="C46">
        <v>1</v>
      </c>
      <c r="D46" t="str">
        <f t="shared" si="3"/>
        <v xml:space="preserve">  :"households_useful_demand_for_space_heating_after_insulation_and_solar_heater-households_useful_demand_for_space_heating_after_insulation_for_houses_with_solar_heater@useable_heat": 0.85</v>
      </c>
    </row>
    <row r="47" spans="1:4" x14ac:dyDescent="0.2">
      <c r="A47" s="201" t="s">
        <v>247</v>
      </c>
      <c r="B47" s="197">
        <f>Dashboard!F167</f>
        <v>0.15</v>
      </c>
      <c r="C47">
        <v>1</v>
      </c>
      <c r="D47" t="str">
        <f t="shared" si="3"/>
        <v xml:space="preserve">  :"households_water_heater_solar_thermal-households_useful_demand_for_space_heating_after_insulation_for_houses_with_solar_heater@useable_heat": 0.15</v>
      </c>
    </row>
    <row r="48" spans="1:4" x14ac:dyDescent="0.2">
      <c r="A48" s="201" t="s">
        <v>272</v>
      </c>
      <c r="B48">
        <f>Analyse!M42</f>
        <v>0</v>
      </c>
      <c r="C48">
        <v>1</v>
      </c>
      <c r="D48" t="str">
        <f>"  " &amp;A48 &amp; B48*C48</f>
        <v xml:space="preserve">  :"households_water_heater_wood_pellets_aggregator-households_useful_demand_for_hot_water_after_solar_heater_and_p2h@useable_heat": 0</v>
      </c>
    </row>
    <row r="49" spans="1:5" x14ac:dyDescent="0.2">
      <c r="A49" s="201" t="s">
        <v>215</v>
      </c>
      <c r="B49">
        <f>Analyse!M73</f>
        <v>0.48500000000000004</v>
      </c>
      <c r="C49">
        <v>1</v>
      </c>
      <c r="D49" t="str">
        <f>"  " &amp;A49 &amp; B49*C49</f>
        <v xml:space="preserve">  :"households_lighting_efficient_fluorescent_electricity-households_useful_demand_light@light": 0.485</v>
      </c>
    </row>
    <row r="50" spans="1:5" x14ac:dyDescent="0.2">
      <c r="A50" s="201" t="s">
        <v>216</v>
      </c>
      <c r="B50">
        <f>Analyse!M72</f>
        <v>0.49499999999999994</v>
      </c>
      <c r="C50">
        <v>1</v>
      </c>
      <c r="D50" t="str">
        <f>"  " &amp;A50 &amp; B50*C50</f>
        <v xml:space="preserve">  :"households_lighting_incandescent_electricity-households_useful_demand_light@light": 0.495</v>
      </c>
    </row>
    <row r="51" spans="1:5" x14ac:dyDescent="0.2">
      <c r="A51" s="201" t="s">
        <v>217</v>
      </c>
      <c r="B51">
        <f>Analyse!M74</f>
        <v>0.02</v>
      </c>
      <c r="C51">
        <v>1</v>
      </c>
      <c r="D51" t="str">
        <f>"  " &amp;A51 &amp; B51*C51</f>
        <v xml:space="preserve">  :"households_lighting_led_electricity-households_useful_demand_light@light": 0.02</v>
      </c>
    </row>
    <row r="52" spans="1:5" x14ac:dyDescent="0.2">
      <c r="A52" s="201" t="s">
        <v>218</v>
      </c>
      <c r="B52" s="210">
        <f>Analyse!E90</f>
        <v>0.59602435200000004</v>
      </c>
      <c r="C52">
        <v>1000000</v>
      </c>
      <c r="D52" t="str">
        <f>"  " &amp;A52 &amp; B52*C52</f>
        <v xml:space="preserve">  :"households_solar_pv_solar_radiation-households_locally_available_electricity@electricity": 596024.352</v>
      </c>
      <c r="E52" s="203" t="s">
        <v>242</v>
      </c>
    </row>
    <row r="54" spans="1:5" x14ac:dyDescent="0.2">
      <c r="A54" t="s">
        <v>244</v>
      </c>
    </row>
    <row r="55" spans="1:5" x14ac:dyDescent="0.2">
      <c r="A55" t="s">
        <v>5</v>
      </c>
    </row>
    <row r="56" spans="1:5" x14ac:dyDescent="0.2">
      <c r="A56" s="201" t="s">
        <v>181</v>
      </c>
      <c r="B56">
        <f>Analyse!L60</f>
        <v>1.1495882126937891</v>
      </c>
      <c r="C56">
        <v>1000000</v>
      </c>
      <c r="D56" t="str">
        <f>"  " &amp;A56 &amp; B56*C56</f>
        <v xml:space="preserve">  households_useful_demand_cooking_useable_heat: 1149588.21269379</v>
      </c>
    </row>
    <row r="57" spans="1:5" x14ac:dyDescent="0.2">
      <c r="A57" s="201" t="s">
        <v>182</v>
      </c>
      <c r="B57" s="117">
        <f>Analyse!L83</f>
        <v>0.65392672464000001</v>
      </c>
      <c r="C57">
        <v>1000000</v>
      </c>
      <c r="D57" t="str">
        <f t="shared" ref="D57:D70" si="4">"  " &amp;A57 &amp; B57*C57</f>
        <v xml:space="preserve">  households_appliances_clothes_dryer_electricity: 653926.72464</v>
      </c>
    </row>
    <row r="58" spans="1:5" x14ac:dyDescent="0.2">
      <c r="A58" s="201" t="s">
        <v>183</v>
      </c>
      <c r="B58" s="117">
        <f>Analyse!L85</f>
        <v>0.87412654008000013</v>
      </c>
      <c r="C58">
        <v>1000000</v>
      </c>
      <c r="D58" t="str">
        <f t="shared" si="4"/>
        <v xml:space="preserve">  households_appliances_computer_media_electricity: 874126.54008</v>
      </c>
    </row>
    <row r="59" spans="1:5" x14ac:dyDescent="0.2">
      <c r="A59" s="201" t="s">
        <v>184</v>
      </c>
      <c r="B59" s="117">
        <f>Analyse!L80</f>
        <v>0.54716317776000001</v>
      </c>
      <c r="C59">
        <v>1000000</v>
      </c>
      <c r="D59" t="str">
        <f t="shared" si="4"/>
        <v xml:space="preserve">  households_appliances_dishwasher_electricity: 547163.17776</v>
      </c>
    </row>
    <row r="60" spans="1:5" x14ac:dyDescent="0.2">
      <c r="A60" s="201" t="s">
        <v>185</v>
      </c>
      <c r="B60" s="117">
        <f>Analyse!L81</f>
        <v>1.9684528956</v>
      </c>
      <c r="C60">
        <v>1000000</v>
      </c>
      <c r="D60" t="str">
        <f t="shared" si="4"/>
        <v xml:space="preserve">  households_appliances_fridge_freezer_electricity: 1968452.8956</v>
      </c>
    </row>
    <row r="61" spans="1:5" x14ac:dyDescent="0.2">
      <c r="A61" s="201" t="s">
        <v>186</v>
      </c>
      <c r="B61" s="117">
        <f>Analyse!L87</f>
        <v>0.76736299320000012</v>
      </c>
      <c r="C61">
        <v>1000000</v>
      </c>
      <c r="D61" t="str">
        <f t="shared" si="4"/>
        <v xml:space="preserve">  households_appliances_other_electricity: 767362.9932</v>
      </c>
    </row>
    <row r="62" spans="1:5" x14ac:dyDescent="0.2">
      <c r="A62" s="201" t="s">
        <v>187</v>
      </c>
      <c r="B62" s="117">
        <f>Analyse!L84</f>
        <v>0.87412654008000013</v>
      </c>
      <c r="C62">
        <v>1000000</v>
      </c>
      <c r="D62" t="str">
        <f t="shared" si="4"/>
        <v xml:space="preserve">  households_appliances_television_electricity: 874126.54008</v>
      </c>
    </row>
    <row r="63" spans="1:5" x14ac:dyDescent="0.2">
      <c r="A63" s="201" t="s">
        <v>188</v>
      </c>
      <c r="B63" s="117">
        <f>Analyse!L86</f>
        <v>0.44039963088000006</v>
      </c>
      <c r="C63">
        <v>1000000</v>
      </c>
      <c r="D63" t="str">
        <f t="shared" si="4"/>
        <v xml:space="preserve">  households_appliances_vacuum_cleaner_electricity: 440399.63088</v>
      </c>
    </row>
    <row r="64" spans="1:5" x14ac:dyDescent="0.2">
      <c r="A64" s="201" t="s">
        <v>189</v>
      </c>
      <c r="B64" s="117">
        <f>Analyse!L82</f>
        <v>0.54716317776000001</v>
      </c>
      <c r="C64">
        <v>1000000</v>
      </c>
      <c r="D64" t="str">
        <f t="shared" si="4"/>
        <v xml:space="preserve">  households_appliances_washing_machine_electricity: 547163.17776</v>
      </c>
    </row>
    <row r="65" spans="1:4" x14ac:dyDescent="0.2">
      <c r="A65" s="201" t="s">
        <v>190</v>
      </c>
      <c r="B65">
        <f>Analyse!L52*Analyse!L15</f>
        <v>3.5031857836567752</v>
      </c>
      <c r="C65">
        <v>1000000</v>
      </c>
      <c r="D65" t="str">
        <f t="shared" si="4"/>
        <v xml:space="preserve">  households_new_houses_useful_demand_for_cooling: 3503185.78365678</v>
      </c>
    </row>
    <row r="66" spans="1:4" x14ac:dyDescent="0.2">
      <c r="A66" s="201" t="s">
        <v>191</v>
      </c>
      <c r="B66">
        <f>Analyse!L14*Analyse!L52</f>
        <v>0</v>
      </c>
      <c r="C66">
        <v>1000000</v>
      </c>
      <c r="D66" t="str">
        <f t="shared" si="4"/>
        <v xml:space="preserve">  households_old_houses_useful_demand_for_cooling: 0</v>
      </c>
    </row>
    <row r="67" spans="1:4" x14ac:dyDescent="0.2">
      <c r="A67" s="201" t="s">
        <v>192</v>
      </c>
      <c r="B67">
        <f>Analyse!L35</f>
        <v>5.3791694201580604</v>
      </c>
      <c r="C67">
        <v>1000000</v>
      </c>
      <c r="D67" t="str">
        <f t="shared" si="4"/>
        <v xml:space="preserve">  households_useful_demand_hot_water: 5379169.42015806</v>
      </c>
    </row>
    <row r="68" spans="1:4" x14ac:dyDescent="0.2">
      <c r="A68" s="201" t="s">
        <v>193</v>
      </c>
      <c r="B68" s="117">
        <f>Analyse!L70</f>
        <v>0.11049381818181821</v>
      </c>
      <c r="C68">
        <v>1000000</v>
      </c>
      <c r="D68" t="str">
        <f t="shared" si="4"/>
        <v xml:space="preserve">  households_useful_demand_light: 110493.818181818</v>
      </c>
    </row>
    <row r="69" spans="1:4" x14ac:dyDescent="0.2">
      <c r="A69" s="201" t="s">
        <v>194</v>
      </c>
      <c r="B69">
        <f>Analyse!L17*Analyse!L15</f>
        <v>29.988627585611674</v>
      </c>
      <c r="C69">
        <v>1000000</v>
      </c>
      <c r="D69" t="str">
        <f t="shared" si="4"/>
        <v xml:space="preserve">  households_new_houses_useful_demand_for_heating: 29988627.5856117</v>
      </c>
    </row>
    <row r="70" spans="1:4" x14ac:dyDescent="0.2">
      <c r="A70" s="201" t="s">
        <v>195</v>
      </c>
      <c r="B70">
        <f>Analyse!L17*Analyse!L14</f>
        <v>0</v>
      </c>
      <c r="C70">
        <v>1000000</v>
      </c>
      <c r="D70" t="str">
        <f t="shared" si="4"/>
        <v xml:space="preserve">  households_old_houses_useful_demand_for_heating: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Analyse</vt:lpstr>
      <vt:lpstr>.yml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2017-07-20T08:09:20Z</dcterms:created>
  <dcterms:modified xsi:type="dcterms:W3CDTF">2018-01-12T14:25:24Z</dcterms:modified>
</cp:coreProperties>
</file>