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28800" windowHeight="15960" tabRatio="835"/>
  </bookViews>
  <sheets>
    <sheet name="Cover Sheet" sheetId="34" r:id="rId1"/>
    <sheet name="Application split" sheetId="81" r:id="rId2"/>
    <sheet name="Space heating" sheetId="82" r:id="rId3"/>
    <sheet name="Hot water" sheetId="83" r:id="rId4"/>
    <sheet name="Cooking" sheetId="84" r:id="rId5"/>
    <sheet name="Lighting" sheetId="85" r:id="rId6"/>
    <sheet name="Old and new houses" sheetId="76" r:id="rId7"/>
  </sheets>
  <externalReferences>
    <externalReference r:id="rId8"/>
  </externalReferences>
  <definedNames>
    <definedName name="base_year" localSheetId="4">#REF!</definedName>
    <definedName name="base_year" localSheetId="5">#REF!</definedName>
    <definedName name="base_year">#REF!</definedName>
    <definedName name="country" localSheetId="5">#REF!</definedName>
    <definedName name="country">#REF!</definedName>
    <definedName name="Final_demand_residences">'[1]Fuel aggregation'!$L$11</definedName>
    <definedName name="GWh_to_TJ">#REF!</definedName>
    <definedName name="Mtoe_to_TJ">#REF!</definedName>
    <definedName name="TWh_to_TJ">#REF!</definedName>
    <definedName name="year">#REF!</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24" i="85" l="1"/>
  <c r="C25" i="85"/>
  <c r="D17" i="85"/>
  <c r="D18" i="85"/>
  <c r="D19" i="85"/>
  <c r="C27" i="85"/>
  <c r="G9" i="85"/>
  <c r="I12" i="85"/>
  <c r="I10" i="85"/>
  <c r="J12" i="85"/>
  <c r="G12" i="85"/>
  <c r="H12" i="85"/>
  <c r="I11" i="85"/>
  <c r="J11" i="85"/>
  <c r="G11" i="85"/>
  <c r="H11" i="85"/>
  <c r="J10" i="85"/>
  <c r="G10" i="85"/>
  <c r="H10" i="85"/>
  <c r="I9" i="85"/>
  <c r="J9" i="85"/>
  <c r="D42" i="82"/>
  <c r="D48" i="82"/>
  <c r="D59" i="82"/>
  <c r="D69" i="82"/>
  <c r="D79" i="82"/>
  <c r="C98" i="82"/>
  <c r="E98" i="82"/>
  <c r="D53" i="82"/>
  <c r="E53" i="82"/>
  <c r="D64" i="82"/>
  <c r="E64" i="82"/>
  <c r="F64" i="82"/>
  <c r="D74" i="82"/>
  <c r="D84" i="82"/>
  <c r="C94" i="82"/>
  <c r="E94" i="82"/>
  <c r="E102" i="82"/>
  <c r="F98" i="82"/>
  <c r="D57" i="84"/>
  <c r="D53" i="84"/>
  <c r="D54" i="84"/>
  <c r="D55" i="84"/>
  <c r="D56" i="84"/>
  <c r="D52" i="84"/>
  <c r="C56" i="84"/>
  <c r="C42" i="84"/>
  <c r="C53" i="84"/>
  <c r="C52" i="84"/>
  <c r="E47" i="84"/>
  <c r="D47" i="84"/>
  <c r="C47" i="84"/>
  <c r="C45" i="84"/>
  <c r="C44" i="84"/>
  <c r="D43" i="84"/>
  <c r="C43" i="84"/>
  <c r="D41" i="84"/>
  <c r="E46" i="84"/>
  <c r="D40" i="84"/>
  <c r="C40" i="84"/>
  <c r="D47" i="82"/>
  <c r="E47" i="82"/>
  <c r="F47" i="82"/>
  <c r="F58" i="82"/>
  <c r="D58" i="82"/>
  <c r="E58" i="82"/>
  <c r="F68" i="82"/>
  <c r="F78" i="82"/>
  <c r="F7" i="84"/>
  <c r="D50" i="82"/>
  <c r="E50" i="82"/>
  <c r="F50" i="82"/>
  <c r="F61" i="82"/>
  <c r="D61" i="82"/>
  <c r="E61" i="82"/>
  <c r="F71" i="82"/>
  <c r="F81" i="82"/>
  <c r="F10" i="84"/>
  <c r="C23" i="84"/>
  <c r="D52" i="82"/>
  <c r="E52" i="82"/>
  <c r="F52" i="82"/>
  <c r="F63" i="82"/>
  <c r="D63" i="82"/>
  <c r="E63" i="82"/>
  <c r="F73" i="82"/>
  <c r="F83" i="82"/>
  <c r="F12" i="84"/>
  <c r="C20" i="84"/>
  <c r="E48" i="82"/>
  <c r="F48" i="82"/>
  <c r="F59" i="82"/>
  <c r="E59" i="82"/>
  <c r="F69" i="82"/>
  <c r="F79" i="82"/>
  <c r="F8" i="84"/>
  <c r="D49" i="82"/>
  <c r="E49" i="82"/>
  <c r="F49" i="82"/>
  <c r="F60" i="82"/>
  <c r="D60" i="82"/>
  <c r="E60" i="82"/>
  <c r="F70" i="82"/>
  <c r="F80" i="82"/>
  <c r="F9" i="84"/>
  <c r="C19" i="84"/>
  <c r="E19" i="84"/>
  <c r="E20" i="84"/>
  <c r="E23" i="84"/>
  <c r="E21" i="84"/>
  <c r="E22" i="84"/>
  <c r="E24" i="84"/>
  <c r="F19" i="84"/>
  <c r="D51" i="82"/>
  <c r="E51" i="82"/>
  <c r="E62" i="82"/>
  <c r="D62" i="82"/>
  <c r="F62" i="82"/>
  <c r="E72" i="82"/>
  <c r="E82" i="82"/>
  <c r="E11" i="84"/>
  <c r="E74" i="82"/>
  <c r="E84" i="82"/>
  <c r="E13" i="84"/>
  <c r="E71" i="82"/>
  <c r="E81" i="82"/>
  <c r="E10" i="84"/>
  <c r="E73" i="82"/>
  <c r="E83" i="82"/>
  <c r="E12" i="84"/>
  <c r="E69" i="82"/>
  <c r="E79" i="82"/>
  <c r="E8" i="84"/>
  <c r="E70" i="82"/>
  <c r="E80" i="82"/>
  <c r="E9" i="84"/>
  <c r="E68" i="82"/>
  <c r="E78" i="82"/>
  <c r="E7" i="84"/>
  <c r="F20" i="84"/>
  <c r="F21" i="84"/>
  <c r="F22" i="84"/>
  <c r="F23" i="84"/>
  <c r="F24" i="84"/>
  <c r="C24" i="84"/>
  <c r="F72" i="82"/>
  <c r="F82" i="82"/>
  <c r="F11" i="84"/>
  <c r="F74" i="82"/>
  <c r="F84" i="82"/>
  <c r="F13" i="84"/>
  <c r="F14" i="84"/>
  <c r="E14" i="84"/>
  <c r="D68" i="82"/>
  <c r="D78" i="82"/>
  <c r="D7" i="84"/>
  <c r="D8" i="84"/>
  <c r="D70" i="82"/>
  <c r="D80" i="82"/>
  <c r="D9" i="84"/>
  <c r="D71" i="82"/>
  <c r="D81" i="82"/>
  <c r="D10" i="84"/>
  <c r="D72" i="82"/>
  <c r="D82" i="82"/>
  <c r="D11" i="84"/>
  <c r="D73" i="82"/>
  <c r="D83" i="82"/>
  <c r="D12" i="84"/>
  <c r="D13" i="84"/>
  <c r="D14" i="84"/>
  <c r="F19" i="83"/>
  <c r="E12" i="83"/>
  <c r="C26" i="83"/>
  <c r="E26" i="83"/>
  <c r="E13" i="83"/>
  <c r="C23" i="83"/>
  <c r="E23" i="83"/>
  <c r="E8" i="83"/>
  <c r="C27" i="83"/>
  <c r="E27" i="83"/>
  <c r="E9" i="83"/>
  <c r="C28" i="83"/>
  <c r="E28" i="83"/>
  <c r="E7" i="83"/>
  <c r="C29" i="83"/>
  <c r="E29" i="83"/>
  <c r="E10" i="83"/>
  <c r="C25" i="83"/>
  <c r="E25" i="83"/>
  <c r="E11" i="83"/>
  <c r="C20" i="83"/>
  <c r="E20" i="83"/>
  <c r="E31" i="83"/>
  <c r="F20" i="83"/>
  <c r="F21" i="83"/>
  <c r="F22" i="83"/>
  <c r="F23" i="83"/>
  <c r="F24" i="83"/>
  <c r="F25" i="83"/>
  <c r="F26" i="83"/>
  <c r="F27" i="83"/>
  <c r="F28" i="83"/>
  <c r="F29" i="83"/>
  <c r="F30" i="83"/>
  <c r="F31" i="83"/>
  <c r="E19" i="83"/>
  <c r="E21" i="83"/>
  <c r="E22" i="83"/>
  <c r="E24" i="83"/>
  <c r="E30" i="83"/>
  <c r="C31" i="83"/>
  <c r="D8" i="83"/>
  <c r="F8" i="83"/>
  <c r="D9" i="83"/>
  <c r="F9" i="83"/>
  <c r="D10" i="83"/>
  <c r="F10" i="83"/>
  <c r="D11" i="83"/>
  <c r="F11" i="83"/>
  <c r="D12" i="83"/>
  <c r="F12" i="83"/>
  <c r="D13" i="83"/>
  <c r="F13" i="83"/>
  <c r="F7" i="83"/>
  <c r="D7" i="83"/>
  <c r="F14" i="83"/>
  <c r="E14" i="83"/>
  <c r="D14" i="83"/>
  <c r="F90" i="82"/>
  <c r="C97" i="82"/>
  <c r="E97" i="82"/>
  <c r="C99" i="82"/>
  <c r="E99" i="82"/>
  <c r="C100" i="82"/>
  <c r="E100" i="82"/>
  <c r="C96" i="82"/>
  <c r="E96" i="82"/>
  <c r="C91" i="82"/>
  <c r="E91" i="82"/>
  <c r="F91" i="82"/>
  <c r="F92" i="82"/>
  <c r="F93" i="82"/>
  <c r="F94" i="82"/>
  <c r="F95" i="82"/>
  <c r="F96" i="82"/>
  <c r="F97" i="82"/>
  <c r="F99" i="82"/>
  <c r="F100" i="82"/>
  <c r="F101" i="82"/>
  <c r="F102" i="82"/>
  <c r="E92" i="82"/>
  <c r="E93" i="82"/>
  <c r="E95" i="82"/>
  <c r="E101" i="82"/>
  <c r="E90" i="82"/>
  <c r="C102" i="82"/>
  <c r="C26" i="82"/>
  <c r="D26" i="82"/>
  <c r="C27" i="82"/>
  <c r="D27" i="82"/>
  <c r="C30" i="82"/>
  <c r="D30" i="82"/>
  <c r="E26" i="82"/>
  <c r="E27" i="82"/>
  <c r="E30" i="82"/>
  <c r="D36" i="82"/>
  <c r="D37" i="82"/>
  <c r="D38" i="82"/>
  <c r="D39" i="82"/>
  <c r="F51" i="82"/>
  <c r="D40" i="82"/>
  <c r="C29" i="82"/>
  <c r="C31" i="82"/>
  <c r="D41" i="82"/>
  <c r="F53" i="82"/>
  <c r="E85" i="82"/>
  <c r="F85" i="82"/>
  <c r="D85" i="82"/>
  <c r="C53" i="82"/>
  <c r="C52" i="82"/>
  <c r="C51" i="82"/>
  <c r="C50" i="82"/>
  <c r="C49" i="82"/>
  <c r="C48" i="82"/>
  <c r="C47" i="82"/>
  <c r="C28" i="82"/>
  <c r="C13" i="76"/>
  <c r="C18" i="76"/>
  <c r="C19" i="76"/>
  <c r="C20" i="76"/>
  <c r="C12" i="81"/>
  <c r="C23" i="81"/>
  <c r="C25" i="81"/>
  <c r="C24" i="81"/>
  <c r="C21" i="81"/>
  <c r="C20" i="81"/>
</calcChain>
</file>

<file path=xl/sharedStrings.xml><?xml version="1.0" encoding="utf-8"?>
<sst xmlns="http://schemas.openxmlformats.org/spreadsheetml/2006/main" count="355" uniqueCount="165">
  <si>
    <t>Document</t>
  </si>
  <si>
    <t>Version #</t>
  </si>
  <si>
    <t>Date</t>
  </si>
  <si>
    <t>Author</t>
  </si>
  <si>
    <t>Quintel Intelligence</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</si>
  <si>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</si>
  <si>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</si>
  <si>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</si>
  <si>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</si>
  <si>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</si>
  <si>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</si>
  <si>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</si>
  <si>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</si>
  <si>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</si>
  <si>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</si>
  <si>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</si>
  <si>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</si>
  <si>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Dashboard</t>
  </si>
  <si>
    <t>Lignite</t>
  </si>
  <si>
    <t>Other</t>
  </si>
  <si>
    <t>Total</t>
  </si>
  <si>
    <t>Solar thermal</t>
  </si>
  <si>
    <t>Electricity</t>
  </si>
  <si>
    <t>Heat</t>
  </si>
  <si>
    <t>Cover Sheet</t>
  </si>
  <si>
    <t>Coal</t>
  </si>
  <si>
    <t>Natural gas</t>
  </si>
  <si>
    <t>Introductory</t>
  </si>
  <si>
    <t>Main calculations</t>
  </si>
  <si>
    <t>Wouter Terlouw</t>
  </si>
  <si>
    <t>Country</t>
  </si>
  <si>
    <t>Year data</t>
  </si>
  <si>
    <t>Sheets</t>
  </si>
  <si>
    <t>-</t>
  </si>
  <si>
    <t>Year</t>
  </si>
  <si>
    <t>Space Heating</t>
  </si>
  <si>
    <t>Hot Water</t>
  </si>
  <si>
    <t>Space Cooling</t>
  </si>
  <si>
    <t>Lighting</t>
  </si>
  <si>
    <t>Cooking</t>
  </si>
  <si>
    <t>Electrical Appliances</t>
  </si>
  <si>
    <t>District heating</t>
  </si>
  <si>
    <t>Electric heaters (resistance)</t>
  </si>
  <si>
    <t>Gas-fired heaters</t>
  </si>
  <si>
    <t>Oil-fired heaters</t>
  </si>
  <si>
    <t>Coal-fired heaters</t>
  </si>
  <si>
    <t>Residences Source Analysis</t>
  </si>
  <si>
    <t>Oil</t>
  </si>
  <si>
    <t>PL</t>
  </si>
  <si>
    <t>Specification</t>
  </si>
  <si>
    <t>Before 1946</t>
  </si>
  <si>
    <t>1946-1960</t>
  </si>
  <si>
    <t>1961-1980</t>
  </si>
  <si>
    <t>1981-1995</t>
  </si>
  <si>
    <t>1996-2006</t>
  </si>
  <si>
    <t>After 2006</t>
  </si>
  <si>
    <t>Old houses (&lt;1992)</t>
  </si>
  <si>
    <t>New houses (&gt;1991)</t>
  </si>
  <si>
    <t>Coke</t>
  </si>
  <si>
    <t>District heat</t>
  </si>
  <si>
    <t>Hot water from district heating installation</t>
  </si>
  <si>
    <t>High-methane natural gas</t>
  </si>
  <si>
    <t>Nitrified natural gas</t>
  </si>
  <si>
    <t>LPG for household purposes</t>
  </si>
  <si>
    <t>Heating oil</t>
  </si>
  <si>
    <t>Hard coal</t>
  </si>
  <si>
    <t>Fuel wood</t>
  </si>
  <si>
    <t>Solar energy</t>
  </si>
  <si>
    <t>Heat pump</t>
  </si>
  <si>
    <t>Energy commodities</t>
  </si>
  <si>
    <t>For any thermal purpose</t>
  </si>
  <si>
    <t>For space heating</t>
  </si>
  <si>
    <t>For water heating</t>
  </si>
  <si>
    <t>For cooking</t>
  </si>
  <si>
    <t>Table 5</t>
  </si>
  <si>
    <t>Devices</t>
  </si>
  <si>
    <t>Households using a device</t>
  </si>
  <si>
    <t>Electric-only cooker with oven</t>
  </si>
  <si>
    <t>Separate electric oven</t>
  </si>
  <si>
    <t>Electric-only cooker without oven</t>
  </si>
  <si>
    <t>Combined gas-electric cooker</t>
  </si>
  <si>
    <t>Gas-only cooker</t>
  </si>
  <si>
    <t>Solid fuel fired cooking stove</t>
  </si>
  <si>
    <t>Microwave oven</t>
  </si>
  <si>
    <t>Cookers</t>
  </si>
  <si>
    <t>Oven</t>
  </si>
  <si>
    <t>Gas stoves</t>
  </si>
  <si>
    <t>Electric stoves (resistance)</t>
  </si>
  <si>
    <t>Electric halogen stoves</t>
  </si>
  <si>
    <t>Electric induction stoves</t>
  </si>
  <si>
    <t>Biomass stoves</t>
  </si>
  <si>
    <t>Heating</t>
  </si>
  <si>
    <t>Water heating</t>
  </si>
  <si>
    <t>Electrical equipment</t>
  </si>
  <si>
    <t>Other types of biomass I</t>
  </si>
  <si>
    <t>Other types of biomass II</t>
  </si>
  <si>
    <t>Application split</t>
  </si>
  <si>
    <t>Application</t>
  </si>
  <si>
    <t>Percentage</t>
  </si>
  <si>
    <t>Total (check)</t>
  </si>
  <si>
    <t>Table 1: Structure of energy consumption in households by end use (%) in 2012 [1]</t>
  </si>
  <si>
    <t>References</t>
  </si>
  <si>
    <t>Final demand (TJ)</t>
  </si>
  <si>
    <t>Table 2: Calculation of final demand per application</t>
  </si>
  <si>
    <t>Final demand on energy balance (TJ)</t>
  </si>
  <si>
    <t>Old and new houses</t>
  </si>
  <si>
    <t>Table 2: Split between old and new houses</t>
  </si>
  <si>
    <t>Share (%)</t>
  </si>
  <si>
    <t>Table 1: Percentage of houses by year [1]</t>
  </si>
  <si>
    <t>ETM carrier</t>
  </si>
  <si>
    <t>Woodpellets</t>
  </si>
  <si>
    <t>Carrier</t>
  </si>
  <si>
    <t>Table 3: Final demand per energy carrier</t>
  </si>
  <si>
    <t>Final demand for thermal purposes (TJ)</t>
  </si>
  <si>
    <t>Table 4</t>
  </si>
  <si>
    <t>Table 5a</t>
  </si>
  <si>
    <t>Table 5b</t>
  </si>
  <si>
    <t>Table 5c</t>
  </si>
  <si>
    <t>Table 6</t>
  </si>
  <si>
    <t>Condensing combi boiler</t>
  </si>
  <si>
    <t>Solar thermal panels</t>
  </si>
  <si>
    <t>Gas-fired heat pump (ground)</t>
  </si>
  <si>
    <t>Gas-fired micro CHP</t>
  </si>
  <si>
    <t>Electricity-driven heat pump (air)</t>
  </si>
  <si>
    <t>Woodpellets (biomass) heaters</t>
  </si>
  <si>
    <t>Electric heat pump add-on</t>
  </si>
  <si>
    <t>Technology</t>
  </si>
  <si>
    <t>Useful demand (TJ)</t>
  </si>
  <si>
    <t>Efficiency (%)</t>
  </si>
  <si>
    <t>Hot water</t>
  </si>
  <si>
    <t>Space heating</t>
  </si>
  <si>
    <t>Table 2: Final demand per application (table 2 from 'Application split' sheet)</t>
  </si>
  <si>
    <t>Table 1 (table 5c from 'Space heating' sheet)</t>
  </si>
  <si>
    <t>Table 2</t>
  </si>
  <si>
    <t>Table 3: Use of cooking equipment in households [1]</t>
  </si>
  <si>
    <t>Percentage of households</t>
  </si>
  <si>
    <t>Table 1: Households using various energy commodities [1]</t>
  </si>
  <si>
    <t>Calculations</t>
  </si>
  <si>
    <t>Types of lamps</t>
  </si>
  <si>
    <t>Households with this type of lamps</t>
  </si>
  <si>
    <t>Average total power</t>
  </si>
  <si>
    <t>Share</t>
  </si>
  <si>
    <t>Power per lamp</t>
  </si>
  <si>
    <t>Normalized power consumption</t>
  </si>
  <si>
    <t>All lamps</t>
  </si>
  <si>
    <t>Incandescant bulbs</t>
  </si>
  <si>
    <t>Compact fluorescent lamps</t>
  </si>
  <si>
    <t>Other lamps</t>
  </si>
  <si>
    <t>Efficiency</t>
  </si>
  <si>
    <t>Compact fluorescent</t>
  </si>
  <si>
    <t>LED</t>
  </si>
  <si>
    <t>Calculated share</t>
  </si>
  <si>
    <t>Average normalized power consumption</t>
  </si>
  <si>
    <t>Not used in PL 2012 dataset yet!</t>
  </si>
  <si>
    <t>Table 1: Use of lighting equipment in households [1]</t>
  </si>
  <si>
    <t>Average number of lamps for households with this type of lamp</t>
  </si>
  <si>
    <t>Average number of lamps per household</t>
  </si>
  <si>
    <t>Table 2: Technology specifications of lamps in the ETM (only for informative purposes)</t>
  </si>
  <si>
    <t>Table 3</t>
  </si>
  <si>
    <t>Note: The efficency ratio between the consumption of incandescants lamps and compact fluorescent lamps in the ETM is much higher compared to the ration in the GUS (2014) data. The normalized power consumption for all lamps is 0.64 according to GUS (2014) and 0.70 according to the ETM using the shares calculated in this analysis.</t>
  </si>
  <si>
    <t>[1] GUS_201403_Energy consumption in households in 2012, table 5: 'Households using various energy commodities, with the specification of the purpose of use' (http://refman.et-model.com/publications/1870)</t>
  </si>
  <si>
    <t>[1] GUS_201403_Energy consumption in households in 2012, p. 100, table 9: Use of cooking equipment in households (http://refman.et-model.com/publications/1870)</t>
  </si>
  <si>
    <t>[1] GUS_201403_Energy consumption in households in 2012, Table 13: 'Use of lighting equipment in households' (http://refman.et-model.com/publications/1870)</t>
  </si>
  <si>
    <t>[1] GUS_201403_Energy consumption in households in 2012, table 3B: 'Dwellings by construction period' (http://refman.et-model.com/publications/1870)</t>
  </si>
  <si>
    <t>[1] GUS_201307_Energy efficiency in Poland 2001-2011, p. 23, table 3: 'Structure of energy consumption in households by end use (%)' (http://refman.et-model.com/publications/1872)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</si>
</sst>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mmmm\ d\,\ yyyy;@"/>
    <numFmt numFmtId="165" formatCode="0.0"/>
    <numFmt numFmtId="166" formatCode="0.0%"/>
    <numFmt numFmtId="167" formatCode="0.000"/>
  </numFmts>
  <fonts count="16" x14ac:knownFonts="1">
    <font>
      <sz val="12"/>
      <color theme="1"/>
      <name val="Calibri"/>
      <family val="2"/>
      <scheme val="minor"/>
    </font>
    <font>
      <sz val="12"/>
      <color theme="1"/>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u/>
      <sz val="12"/>
      <color theme="1"/>
      <name val="Calibri"/>
      <scheme val="minor"/>
    </font>
    <font>
      <sz val="12"/>
      <color rgb="FF000000"/>
      <name val="Calibri"/>
      <family val="2"/>
      <scheme val="minor"/>
    </font>
    <font>
      <u/>
      <sz val="12"/>
      <color theme="10"/>
      <name val="Calibri"/>
      <family val="2"/>
      <scheme val="minor"/>
    </font>
    <font>
      <u/>
      <sz val="12"/>
      <color theme="11"/>
      <name val="Calibri"/>
      <family val="2"/>
      <scheme val="minor"/>
    </font>
    <font>
      <b/>
      <sz val="12"/>
      <color rgb="FF000000"/>
      <name val="Calibri"/>
      <family val="2"/>
      <scheme val="minor"/>
    </font>
    <font>
      <sz val="11"/>
      <name val="Calibri"/>
      <family val="2"/>
      <scheme val="minor"/>
    </font>
    <font>
      <sz val="10"/>
      <name val="Arial"/>
    </font>
    <font>
      <sz val="11"/>
      <color indexed="10"/>
      <name val="Calibri"/>
      <family val="2"/>
    </font>
    <font>
      <b/>
      <sz val="16"/>
      <color theme="1"/>
      <name val="Calibri"/>
      <scheme val="minor"/>
    </font>
    <font>
      <b/>
      <sz val="12"/>
      <color rgb="FFFF0000"/>
      <name val="Calibri"/>
      <scheme val="minor"/>
    </font>
  </fonts>
  <fills count="12">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indexed="43"/>
        <bgColor indexed="64"/>
      </patternFill>
    </fill>
  </fills>
  <borders count="1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166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5" fontId="11" fillId="11" borderId="10">
      <alignment horizontal="right" vertical="center"/>
    </xf>
    <xf numFmtId="0" fontId="12" fillId="0" borderId="0" applyNumberFormat="0" applyFont="0" applyFill="0" applyBorder="0" applyAlignment="0" applyProtection="0"/>
    <xf numFmtId="0" fontId="13"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10">
    <xf numFmtId="0" fontId="0" fillId="0" borderId="0" xfId="0"/>
    <xf numFmtId="0" fontId="0" fillId="2" borderId="0" xfId="0" applyFill="1"/>
    <xf numFmtId="0" fontId="3" fillId="2" borderId="0" xfId="0" applyFont="1" applyFill="1"/>
    <xf numFmtId="0" fontId="2" fillId="2" borderId="1" xfId="0" applyFont="1" applyFill="1" applyBorder="1"/>
    <xf numFmtId="0" fontId="0" fillId="2" borderId="2" xfId="0" applyFill="1" applyBorder="1"/>
    <xf numFmtId="0" fontId="0" fillId="2" borderId="3" xfId="0" applyFill="1" applyBorder="1"/>
    <xf numFmtId="0" fontId="4" fillId="3" borderId="4" xfId="0" applyFont="1" applyFill="1" applyBorder="1" applyAlignment="1">
      <alignment vertical="center"/>
    </xf>
    <xf numFmtId="0" fontId="0" fillId="2" borderId="5" xfId="0" applyFill="1" applyBorder="1"/>
    <xf numFmtId="0" fontId="0" fillId="2" borderId="0" xfId="0" applyFill="1" applyBorder="1"/>
    <xf numFmtId="0" fontId="4" fillId="3" borderId="6" xfId="0" applyFont="1" applyFill="1" applyBorder="1" applyAlignment="1">
      <alignment vertical="center"/>
    </xf>
    <xf numFmtId="0" fontId="0" fillId="2" borderId="7" xfId="0" applyFill="1" applyBorder="1"/>
    <xf numFmtId="0" fontId="0" fillId="2" borderId="8" xfId="0" applyFill="1" applyBorder="1"/>
    <xf numFmtId="0" fontId="2" fillId="2" borderId="0" xfId="0" applyFont="1" applyFill="1" applyBorder="1"/>
    <xf numFmtId="0" fontId="0" fillId="2" borderId="4" xfId="0" applyFill="1" applyBorder="1"/>
    <xf numFmtId="0" fontId="0" fillId="2" borderId="6" xfId="0" applyFill="1" applyBorder="1"/>
    <xf numFmtId="0" fontId="2" fillId="2" borderId="4" xfId="0" applyFont="1" applyFill="1" applyBorder="1"/>
    <xf numFmtId="0" fontId="5"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0" fillId="7" borderId="0" xfId="0" applyFill="1" applyBorder="1"/>
    <xf numFmtId="0" fontId="0" fillId="9" borderId="0" xfId="0" applyFill="1" applyBorder="1"/>
    <xf numFmtId="0" fontId="0" fillId="8" borderId="0" xfId="0" applyFill="1" applyBorder="1"/>
    <xf numFmtId="0" fontId="0" fillId="6" borderId="0" xfId="0" applyFill="1" applyBorder="1"/>
    <xf numFmtId="0" fontId="0" fillId="10" borderId="0" xfId="0" applyFill="1" applyBorder="1"/>
    <xf numFmtId="164" fontId="0" fillId="2" borderId="0" xfId="0" applyNumberFormat="1" applyFill="1" applyBorder="1" applyAlignment="1">
      <alignment horizontal="left"/>
    </xf>
    <xf numFmtId="1" fontId="0" fillId="2" borderId="0" xfId="0" applyNumberFormat="1" applyFill="1" applyBorder="1" applyAlignment="1">
      <alignment horizontal="left"/>
    </xf>
    <xf numFmtId="0" fontId="2" fillId="0" borderId="0" xfId="0" applyFont="1"/>
    <xf numFmtId="165" fontId="0" fillId="0" borderId="0" xfId="0" applyNumberFormat="1"/>
    <xf numFmtId="165" fontId="2" fillId="0" borderId="0" xfId="0" applyNumberFormat="1" applyFont="1"/>
    <xf numFmtId="0" fontId="0" fillId="0" borderId="0" xfId="0" applyFont="1"/>
    <xf numFmtId="0" fontId="6" fillId="0" borderId="0" xfId="0" applyFont="1"/>
    <xf numFmtId="167" fontId="0" fillId="0" borderId="0" xfId="0" applyNumberFormat="1"/>
    <xf numFmtId="3" fontId="0" fillId="0" borderId="0" xfId="0" applyNumberFormat="1"/>
    <xf numFmtId="10" fontId="0" fillId="0" borderId="0" xfId="0" applyNumberFormat="1"/>
    <xf numFmtId="0" fontId="0" fillId="0" borderId="0" xfId="0" applyAlignment="1">
      <alignment horizontal="left"/>
    </xf>
    <xf numFmtId="0" fontId="7" fillId="0" borderId="0" xfId="0" applyFont="1"/>
    <xf numFmtId="3" fontId="0" fillId="0" borderId="0" xfId="0" applyNumberFormat="1" applyBorder="1"/>
    <xf numFmtId="3" fontId="0" fillId="0" borderId="7" xfId="0" applyNumberFormat="1" applyBorder="1"/>
    <xf numFmtId="0" fontId="14" fillId="0" borderId="0" xfId="0" applyFont="1"/>
    <xf numFmtId="0" fontId="2" fillId="0" borderId="11" xfId="0" applyFont="1" applyBorder="1"/>
    <xf numFmtId="0" fontId="0" fillId="0" borderId="11" xfId="0" applyBorder="1"/>
    <xf numFmtId="166" fontId="0" fillId="0" borderId="0" xfId="0" applyNumberFormat="1"/>
    <xf numFmtId="166" fontId="0" fillId="0" borderId="11" xfId="0" applyNumberFormat="1" applyBorder="1"/>
    <xf numFmtId="0" fontId="0" fillId="0" borderId="0" xfId="0" applyFont="1" applyAlignment="1">
      <alignment wrapText="1"/>
    </xf>
    <xf numFmtId="0" fontId="0" fillId="0" borderId="11" xfId="0" applyFont="1" applyBorder="1"/>
    <xf numFmtId="0" fontId="0" fillId="0" borderId="0" xfId="0" applyFont="1" applyAlignment="1">
      <alignment vertical="center" wrapText="1"/>
    </xf>
    <xf numFmtId="3" fontId="0" fillId="0" borderId="0" xfId="0" applyNumberFormat="1" applyAlignment="1">
      <alignment vertical="center"/>
    </xf>
    <xf numFmtId="0" fontId="2" fillId="0" borderId="11" xfId="0" applyFont="1" applyBorder="1" applyAlignment="1">
      <alignment wrapText="1"/>
    </xf>
    <xf numFmtId="0" fontId="0" fillId="0" borderId="7" xfId="0" applyBorder="1" applyAlignment="1">
      <alignment horizontal="left"/>
    </xf>
    <xf numFmtId="0" fontId="0" fillId="0" borderId="0" xfId="0" applyBorder="1"/>
    <xf numFmtId="0" fontId="0" fillId="0" borderId="7" xfId="0" applyBorder="1"/>
    <xf numFmtId="10" fontId="0" fillId="0" borderId="7" xfId="0" applyNumberFormat="1" applyBorder="1"/>
    <xf numFmtId="0" fontId="0" fillId="0" borderId="0" xfId="0" applyFill="1" applyBorder="1"/>
    <xf numFmtId="0" fontId="0" fillId="0" borderId="11" xfId="0" applyFill="1" applyBorder="1"/>
    <xf numFmtId="166" fontId="0" fillId="0" borderId="7" xfId="0" applyNumberFormat="1" applyBorder="1"/>
    <xf numFmtId="166" fontId="2" fillId="0" borderId="0" xfId="0" applyNumberFormat="1" applyFont="1"/>
    <xf numFmtId="166" fontId="0" fillId="0" borderId="0" xfId="0" applyNumberFormat="1" applyAlignment="1">
      <alignment horizontal="right"/>
    </xf>
    <xf numFmtId="0" fontId="2" fillId="0" borderId="11" xfId="0" applyFont="1" applyBorder="1" applyAlignment="1">
      <alignment vertical="center" wrapText="1"/>
    </xf>
    <xf numFmtId="166" fontId="0" fillId="0" borderId="7" xfId="0" applyNumberFormat="1" applyBorder="1" applyAlignment="1">
      <alignment horizontal="right"/>
    </xf>
    <xf numFmtId="0" fontId="2" fillId="0" borderId="11" xfId="0" applyFont="1" applyFill="1" applyBorder="1" applyAlignment="1">
      <alignment vertical="center" wrapText="1"/>
    </xf>
    <xf numFmtId="0" fontId="2" fillId="0" borderId="11" xfId="0" applyFont="1" applyBorder="1" applyAlignment="1">
      <alignment vertical="center"/>
    </xf>
    <xf numFmtId="0" fontId="0" fillId="0" borderId="0" xfId="0" applyBorder="1" applyAlignment="1">
      <alignment horizontal="left"/>
    </xf>
    <xf numFmtId="0" fontId="0" fillId="0" borderId="0" xfId="0" applyAlignment="1">
      <alignment wrapText="1"/>
    </xf>
    <xf numFmtId="0" fontId="0" fillId="0" borderId="0" xfId="0" applyAlignment="1">
      <alignment vertical="center" wrapText="1"/>
    </xf>
    <xf numFmtId="166" fontId="0" fillId="0" borderId="0" xfId="0" applyNumberFormat="1" applyBorder="1"/>
    <xf numFmtId="0" fontId="2" fillId="0" borderId="0" xfId="0" applyFont="1" applyFill="1" applyBorder="1"/>
    <xf numFmtId="0" fontId="0" fillId="0" borderId="0" xfId="0" applyAlignment="1">
      <alignment vertical="center"/>
    </xf>
    <xf numFmtId="0" fontId="0" fillId="0" borderId="11" xfId="0" applyBorder="1" applyAlignment="1">
      <alignment vertical="center"/>
    </xf>
    <xf numFmtId="9" fontId="0" fillId="0" borderId="0" xfId="0" applyNumberFormat="1"/>
    <xf numFmtId="3" fontId="0" fillId="0" borderId="11" xfId="0" applyNumberFormat="1" applyBorder="1"/>
    <xf numFmtId="3" fontId="2" fillId="0" borderId="11" xfId="0" applyNumberFormat="1" applyFont="1" applyBorder="1" applyAlignment="1">
      <alignment vertical="center" wrapText="1"/>
    </xf>
    <xf numFmtId="166" fontId="2" fillId="0" borderId="11" xfId="0" applyNumberFormat="1" applyFont="1" applyBorder="1" applyAlignment="1">
      <alignment vertical="center" wrapText="1"/>
    </xf>
    <xf numFmtId="3" fontId="0" fillId="0" borderId="0" xfId="0" applyNumberFormat="1" applyAlignment="1">
      <alignment horizontal="right"/>
    </xf>
    <xf numFmtId="0" fontId="7" fillId="0" borderId="7" xfId="0" applyFont="1" applyBorder="1"/>
    <xf numFmtId="0" fontId="10" fillId="0" borderId="11" xfId="0" applyFont="1" applyBorder="1" applyAlignment="1">
      <alignment wrapText="1"/>
    </xf>
    <xf numFmtId="166" fontId="0" fillId="0" borderId="0" xfId="0" applyNumberFormat="1" applyAlignment="1">
      <alignment vertical="center"/>
    </xf>
    <xf numFmtId="166" fontId="0" fillId="0" borderId="7" xfId="0" applyNumberFormat="1" applyBorder="1" applyAlignment="1">
      <alignment vertical="center"/>
    </xf>
    <xf numFmtId="3" fontId="0" fillId="0" borderId="7" xfId="0" applyNumberFormat="1" applyBorder="1" applyAlignment="1">
      <alignment vertical="center"/>
    </xf>
    <xf numFmtId="3" fontId="0" fillId="0" borderId="0" xfId="0" applyNumberFormat="1" applyAlignment="1">
      <alignment horizontal="right" vertical="center"/>
    </xf>
    <xf numFmtId="9" fontId="0" fillId="0" borderId="0" xfId="0" applyNumberFormat="1" applyAlignment="1">
      <alignment vertical="center"/>
    </xf>
    <xf numFmtId="166" fontId="2" fillId="0" borderId="0" xfId="0" applyNumberFormat="1" applyFont="1" applyAlignment="1">
      <alignment vertical="center"/>
    </xf>
    <xf numFmtId="3" fontId="0" fillId="0" borderId="11" xfId="0" applyNumberFormat="1" applyBorder="1" applyAlignment="1">
      <alignment vertical="center"/>
    </xf>
    <xf numFmtId="166" fontId="0" fillId="0" borderId="11" xfId="0" applyNumberFormat="1" applyBorder="1" applyAlignment="1">
      <alignment vertical="center"/>
    </xf>
    <xf numFmtId="0" fontId="10" fillId="0" borderId="11" xfId="0" applyFont="1" applyBorder="1" applyAlignment="1">
      <alignment vertical="center" wrapText="1"/>
    </xf>
    <xf numFmtId="0" fontId="7" fillId="0" borderId="0" xfId="0" applyFont="1" applyAlignment="1">
      <alignment vertical="center"/>
    </xf>
    <xf numFmtId="0" fontId="7" fillId="0" borderId="7" xfId="0" applyFont="1" applyBorder="1" applyAlignment="1">
      <alignment vertical="center"/>
    </xf>
    <xf numFmtId="10" fontId="2" fillId="0" borderId="0" xfId="0" applyNumberFormat="1" applyFont="1" applyAlignment="1">
      <alignment vertical="center"/>
    </xf>
    <xf numFmtId="10" fontId="0" fillId="0" borderId="11" xfId="0" applyNumberFormat="1" applyBorder="1" applyAlignment="1">
      <alignment vertical="center"/>
    </xf>
    <xf numFmtId="2" fontId="0" fillId="0" borderId="0" xfId="0" applyNumberFormat="1"/>
    <xf numFmtId="165" fontId="6" fillId="0" borderId="0" xfId="0" applyNumberFormat="1" applyFont="1"/>
    <xf numFmtId="0" fontId="15" fillId="0" borderId="0" xfId="0" applyFont="1"/>
    <xf numFmtId="2" fontId="0" fillId="0" borderId="0" xfId="0" applyNumberFormat="1" applyAlignment="1">
      <alignment wrapText="1"/>
    </xf>
    <xf numFmtId="0" fontId="0" fillId="0" borderId="7" xfId="0" applyFont="1" applyBorder="1" applyAlignment="1">
      <alignment wrapText="1"/>
    </xf>
    <xf numFmtId="0" fontId="0" fillId="0" borderId="7" xfId="0" applyBorder="1" applyAlignment="1">
      <alignment wrapText="1"/>
    </xf>
    <xf numFmtId="2" fontId="0" fillId="0" borderId="7" xfId="0" applyNumberFormat="1" applyBorder="1" applyAlignment="1">
      <alignment wrapText="1"/>
    </xf>
    <xf numFmtId="0" fontId="2" fillId="0" borderId="0" xfId="0" applyFont="1" applyAlignment="1">
      <alignment vertical="center" wrapText="1"/>
    </xf>
    <xf numFmtId="10" fontId="0" fillId="0" borderId="0" xfId="0" applyNumberFormat="1" applyFont="1" applyAlignment="1">
      <alignment wrapText="1"/>
    </xf>
    <xf numFmtId="10" fontId="0" fillId="0" borderId="7" xfId="0" applyNumberFormat="1" applyFont="1" applyBorder="1" applyAlignment="1">
      <alignment wrapText="1"/>
    </xf>
    <xf numFmtId="0" fontId="0" fillId="0" borderId="7" xfId="0" applyFont="1" applyBorder="1"/>
    <xf numFmtId="0" fontId="0" fillId="0" borderId="11" xfId="0" applyFont="1" applyBorder="1" applyAlignment="1">
      <alignment wrapText="1"/>
    </xf>
    <xf numFmtId="0" fontId="0" fillId="0" borderId="0" xfId="0" applyAlignment="1">
      <alignment horizontal="left" wrapText="1"/>
    </xf>
    <xf numFmtId="167" fontId="0" fillId="0" borderId="0" xfId="0" applyNumberFormat="1" applyAlignment="1">
      <alignment wrapText="1"/>
    </xf>
    <xf numFmtId="167" fontId="0" fillId="0" borderId="7" xfId="0" applyNumberFormat="1" applyBorder="1" applyAlignment="1">
      <alignment wrapText="1"/>
    </xf>
    <xf numFmtId="167" fontId="2" fillId="0" borderId="0" xfId="0" applyNumberFormat="1" applyFont="1"/>
    <xf numFmtId="167" fontId="2" fillId="0" borderId="7" xfId="0" applyNumberFormat="1" applyFont="1" applyBorder="1" applyAlignment="1">
      <alignment horizontal="right"/>
    </xf>
    <xf numFmtId="0" fontId="0" fillId="0" borderId="0" xfId="0" applyFont="1" applyBorder="1"/>
    <xf numFmtId="0" fontId="0" fillId="0" borderId="0" xfId="0" applyFont="1" applyBorder="1" applyAlignment="1">
      <alignment wrapText="1"/>
    </xf>
    <xf numFmtId="0" fontId="5" fillId="0" borderId="0" xfId="0" applyFont="1" applyAlignment="1">
      <alignment horizontal="left" vertical="top" wrapText="1"/>
    </xf>
  </cellXfs>
  <cellStyles count="16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5"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Input cel" xfId="1352"/>
    <cellStyle name="Normal" xfId="0" builtinId="0"/>
    <cellStyle name="Normal 2" xfId="1353"/>
    <cellStyle name="Percent 2" xfId="771"/>
    <cellStyle name="Warning Text 3" xfId="1354"/>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quintel/Projects/etdataset/analyses/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L11">
            <v>820410</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tabSelected="1" workbookViewId="0"/>
  </sheetViews>
  <sheetFormatPr baseColWidth="10" defaultRowHeight="15" x14ac:dyDescent="0"/>
  <cols>
    <col min="1" max="1" width="3.83203125" style="1" customWidth="1"/>
    <col min="2" max="2" width="14" style="1" customWidth="1"/>
    <col min="3" max="3" width="44" style="1" customWidth="1"/>
    <col min="4" max="4" width="9.33203125" style="1" customWidth="1"/>
    <col min="5" max="16384" width="10.83203125" style="1"/>
  </cols>
  <sheetData>
    <row r="2" spans="2:4" ht="20">
      <c r="B2" s="2" t="s">
        <v>24</v>
      </c>
    </row>
    <row r="4" spans="2:4">
      <c r="B4" s="3" t="s">
        <v>0</v>
      </c>
      <c r="C4" s="4" t="s">
        <v>46</v>
      </c>
      <c r="D4" s="5"/>
    </row>
    <row r="5" spans="2:4">
      <c r="B5" s="6" t="s">
        <v>1</v>
      </c>
      <c r="C5" s="20"/>
      <c r="D5" s="7"/>
    </row>
    <row r="6" spans="2:4">
      <c r="B6" s="6" t="s">
        <v>30</v>
      </c>
      <c r="C6" s="20" t="s">
        <v>48</v>
      </c>
      <c r="D6" s="7"/>
    </row>
    <row r="7" spans="2:4">
      <c r="B7" s="6" t="s">
        <v>31</v>
      </c>
      <c r="C7" s="27">
        <v>2012</v>
      </c>
      <c r="D7" s="7"/>
    </row>
    <row r="8" spans="2:4">
      <c r="B8" s="6" t="s">
        <v>2</v>
      </c>
      <c r="C8" s="26"/>
      <c r="D8" s="7"/>
    </row>
    <row r="9" spans="2:4">
      <c r="B9" s="6" t="s">
        <v>3</v>
      </c>
      <c r="C9" s="8" t="s">
        <v>29</v>
      </c>
      <c r="D9" s="7"/>
    </row>
    <row r="10" spans="2:4">
      <c r="B10" s="9" t="s">
        <v>16</v>
      </c>
      <c r="C10" s="10" t="s">
        <v>4</v>
      </c>
      <c r="D10" s="11"/>
    </row>
    <row r="12" spans="2:4">
      <c r="B12" s="3" t="s">
        <v>5</v>
      </c>
      <c r="C12" s="4"/>
      <c r="D12" s="5"/>
    </row>
    <row r="13" spans="2:4">
      <c r="B13" s="15"/>
      <c r="C13" s="8"/>
      <c r="D13" s="7"/>
    </row>
    <row r="14" spans="2:4">
      <c r="B14" s="15" t="s">
        <v>6</v>
      </c>
      <c r="C14" s="16" t="s">
        <v>7</v>
      </c>
      <c r="D14" s="7"/>
    </row>
    <row r="15" spans="2:4" ht="16" thickBot="1">
      <c r="B15" s="15"/>
      <c r="C15" s="12" t="s">
        <v>8</v>
      </c>
      <c r="D15" s="7"/>
    </row>
    <row r="16" spans="2:4" ht="16" thickBot="1">
      <c r="B16" s="15"/>
      <c r="C16" s="17" t="s">
        <v>9</v>
      </c>
      <c r="D16" s="7"/>
    </row>
    <row r="17" spans="2:4">
      <c r="B17" s="15"/>
      <c r="C17" s="8" t="s">
        <v>10</v>
      </c>
      <c r="D17" s="7"/>
    </row>
    <row r="18" spans="2:4">
      <c r="B18" s="15"/>
      <c r="C18" s="8"/>
      <c r="D18" s="7"/>
    </row>
    <row r="19" spans="2:4">
      <c r="B19" s="15" t="s">
        <v>32</v>
      </c>
      <c r="C19" s="18" t="s">
        <v>27</v>
      </c>
      <c r="D19" s="7"/>
    </row>
    <row r="20" spans="2:4">
      <c r="B20" s="15"/>
      <c r="C20" s="23" t="s">
        <v>17</v>
      </c>
      <c r="D20" s="7"/>
    </row>
    <row r="21" spans="2:4">
      <c r="B21" s="15"/>
      <c r="C21" s="22" t="s">
        <v>13</v>
      </c>
      <c r="D21" s="7"/>
    </row>
    <row r="22" spans="2:4">
      <c r="B22" s="13"/>
      <c r="C22" s="19" t="s">
        <v>11</v>
      </c>
      <c r="D22" s="7"/>
    </row>
    <row r="23" spans="2:4">
      <c r="B23" s="13"/>
      <c r="C23" s="24" t="s">
        <v>28</v>
      </c>
      <c r="D23" s="7"/>
    </row>
    <row r="24" spans="2:4">
      <c r="B24" s="13"/>
      <c r="C24" s="25" t="s">
        <v>12</v>
      </c>
      <c r="D24" s="7"/>
    </row>
    <row r="25" spans="2:4">
      <c r="B25" s="13"/>
      <c r="C25" s="21" t="s">
        <v>14</v>
      </c>
      <c r="D25" s="7"/>
    </row>
    <row r="26" spans="2:4">
      <c r="B26" s="14"/>
      <c r="C26" s="10"/>
      <c r="D26" s="11"/>
    </row>
    <row r="28" spans="2:4">
      <c r="B28" s="3" t="s">
        <v>15</v>
      </c>
      <c r="C28" s="4"/>
      <c r="D28" s="5"/>
    </row>
    <row r="29" spans="2:4">
      <c r="B29" s="13"/>
      <c r="C29" s="8"/>
      <c r="D29" s="7"/>
    </row>
    <row r="30" spans="2:4">
      <c r="B30" s="13"/>
      <c r="C30" s="8"/>
      <c r="D30" s="7"/>
    </row>
    <row r="31" spans="2:4">
      <c r="B31" s="13"/>
      <c r="C31" s="8"/>
      <c r="D31" s="7"/>
    </row>
    <row r="32" spans="2:4">
      <c r="B32" s="13"/>
      <c r="C32" s="8"/>
      <c r="D32" s="7"/>
    </row>
    <row r="33" spans="2:4">
      <c r="B33" s="13"/>
      <c r="C33" s="8"/>
      <c r="D33" s="7"/>
    </row>
    <row r="34" spans="2:4">
      <c r="B34" s="13"/>
      <c r="C34" s="8"/>
      <c r="D34" s="7"/>
    </row>
    <row r="35" spans="2:4">
      <c r="B35" s="13"/>
      <c r="C35" s="8"/>
      <c r="D35" s="7"/>
    </row>
    <row r="36" spans="2:4">
      <c r="B36" s="13"/>
      <c r="C36" s="8"/>
      <c r="D36" s="7"/>
    </row>
    <row r="37" spans="2:4">
      <c r="B37" s="13"/>
      <c r="C37" s="8"/>
      <c r="D37" s="7"/>
    </row>
    <row r="38" spans="2:4">
      <c r="B38" s="14"/>
      <c r="C38" s="10"/>
      <c r="D38" s="1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9"/>
  <sheetViews>
    <sheetView workbookViewId="0">
      <selection activeCell="B30" sqref="B30"/>
    </sheetView>
  </sheetViews>
  <sheetFormatPr baseColWidth="10" defaultRowHeight="15" x14ac:dyDescent="0"/>
  <cols>
    <col min="1" max="1" width="3.83203125" customWidth="1"/>
    <col min="2" max="3" width="20.83203125" customWidth="1"/>
  </cols>
  <sheetData>
    <row r="2" spans="2:3" ht="20">
      <c r="B2" s="40" t="s">
        <v>96</v>
      </c>
    </row>
    <row r="5" spans="2:3">
      <c r="B5" s="28" t="s">
        <v>100</v>
      </c>
    </row>
    <row r="6" spans="2:3">
      <c r="B6" s="41" t="s">
        <v>97</v>
      </c>
      <c r="C6" s="41" t="s">
        <v>98</v>
      </c>
    </row>
    <row r="7" spans="2:3">
      <c r="B7" t="s">
        <v>91</v>
      </c>
      <c r="C7" s="43">
        <v>0.68799999999999994</v>
      </c>
    </row>
    <row r="8" spans="2:3">
      <c r="B8" t="s">
        <v>92</v>
      </c>
      <c r="C8" s="43">
        <v>0.14799999999999999</v>
      </c>
    </row>
    <row r="9" spans="2:3">
      <c r="B9" t="s">
        <v>39</v>
      </c>
      <c r="C9" s="43">
        <v>8.3000000000000004E-2</v>
      </c>
    </row>
    <row r="10" spans="2:3">
      <c r="B10" t="s">
        <v>38</v>
      </c>
      <c r="C10" s="43">
        <v>1.4999999999999999E-2</v>
      </c>
    </row>
    <row r="11" spans="2:3">
      <c r="B11" t="s">
        <v>93</v>
      </c>
      <c r="C11" s="43">
        <v>6.6000000000000003E-2</v>
      </c>
    </row>
    <row r="12" spans="2:3">
      <c r="B12" s="42" t="s">
        <v>99</v>
      </c>
      <c r="C12" s="44">
        <f>SUM(C7:C11)</f>
        <v>1</v>
      </c>
    </row>
    <row r="14" spans="2:3">
      <c r="B14" s="28"/>
    </row>
    <row r="15" spans="2:3" ht="30">
      <c r="B15" s="47" t="s">
        <v>104</v>
      </c>
      <c r="C15" s="48">
        <v>820410</v>
      </c>
    </row>
    <row r="16" spans="2:3">
      <c r="B16" s="45"/>
      <c r="C16" s="34"/>
    </row>
    <row r="18" spans="2:3">
      <c r="B18" s="28" t="s">
        <v>103</v>
      </c>
    </row>
    <row r="19" spans="2:3">
      <c r="B19" s="41" t="s">
        <v>97</v>
      </c>
      <c r="C19" s="49" t="s">
        <v>102</v>
      </c>
    </row>
    <row r="20" spans="2:3">
      <c r="B20" s="36" t="s">
        <v>35</v>
      </c>
      <c r="C20" s="34">
        <f>C15*C7</f>
        <v>564442.07999999996</v>
      </c>
    </row>
    <row r="21" spans="2:3">
      <c r="B21" s="36" t="s">
        <v>36</v>
      </c>
      <c r="C21" s="34">
        <f>C15*C8</f>
        <v>121420.68</v>
      </c>
    </row>
    <row r="22" spans="2:3">
      <c r="B22" s="36" t="s">
        <v>37</v>
      </c>
      <c r="C22" s="34">
        <v>0</v>
      </c>
    </row>
    <row r="23" spans="2:3">
      <c r="B23" s="36" t="s">
        <v>38</v>
      </c>
      <c r="C23" s="34">
        <f>C15*C10</f>
        <v>12306.15</v>
      </c>
    </row>
    <row r="24" spans="2:3">
      <c r="B24" s="36" t="s">
        <v>39</v>
      </c>
      <c r="C24" s="34">
        <f>C15*C9</f>
        <v>68094.03</v>
      </c>
    </row>
    <row r="25" spans="2:3">
      <c r="B25" s="50" t="s">
        <v>40</v>
      </c>
      <c r="C25" s="39">
        <f>C15*C11</f>
        <v>54147.060000000005</v>
      </c>
    </row>
    <row r="28" spans="2:3">
      <c r="B28" s="28" t="s">
        <v>101</v>
      </c>
    </row>
    <row r="29" spans="2:3">
      <c r="B29" t="s">
        <v>164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06"/>
  <sheetViews>
    <sheetView workbookViewId="0"/>
  </sheetViews>
  <sheetFormatPr baseColWidth="10" defaultRowHeight="15" x14ac:dyDescent="0"/>
  <cols>
    <col min="1" max="1" width="3.83203125" customWidth="1"/>
    <col min="2" max="2" width="20.83203125" customWidth="1"/>
    <col min="3" max="6" width="15.83203125" customWidth="1"/>
    <col min="7" max="7" width="3.83203125" customWidth="1"/>
    <col min="8" max="8" width="15.83203125" customWidth="1"/>
  </cols>
  <sheetData>
    <row r="2" spans="2:8" ht="20">
      <c r="B2" s="40" t="s">
        <v>130</v>
      </c>
    </row>
    <row r="4" spans="2:8">
      <c r="B4" s="28"/>
    </row>
    <row r="5" spans="2:8">
      <c r="B5" s="28" t="s">
        <v>136</v>
      </c>
    </row>
    <row r="6" spans="2:8" ht="30">
      <c r="B6" s="59" t="s">
        <v>69</v>
      </c>
      <c r="C6" s="59" t="s">
        <v>70</v>
      </c>
      <c r="D6" s="59" t="s">
        <v>71</v>
      </c>
      <c r="E6" s="59" t="s">
        <v>72</v>
      </c>
      <c r="F6" s="59" t="s">
        <v>73</v>
      </c>
      <c r="H6" s="61" t="s">
        <v>109</v>
      </c>
    </row>
    <row r="7" spans="2:8">
      <c r="B7" t="s">
        <v>22</v>
      </c>
      <c r="C7" s="58">
        <v>0.74839999999999995</v>
      </c>
      <c r="D7" s="58">
        <v>5.3499999999999999E-2</v>
      </c>
      <c r="E7" s="58">
        <v>0.2356</v>
      </c>
      <c r="F7" s="58">
        <v>0.67130000000000001</v>
      </c>
      <c r="H7" t="s">
        <v>22</v>
      </c>
    </row>
    <row r="8" spans="2:8">
      <c r="B8" t="s">
        <v>59</v>
      </c>
      <c r="C8" s="58">
        <v>0.41539999999999999</v>
      </c>
      <c r="D8" s="58">
        <v>0.41539999999999999</v>
      </c>
      <c r="E8" s="58">
        <v>0</v>
      </c>
      <c r="F8" s="58">
        <v>0</v>
      </c>
      <c r="H8" t="s">
        <v>59</v>
      </c>
    </row>
    <row r="9" spans="2:8">
      <c r="B9" t="s">
        <v>60</v>
      </c>
      <c r="C9" s="58">
        <v>0.26850000000000002</v>
      </c>
      <c r="D9" s="58">
        <v>0</v>
      </c>
      <c r="E9" s="58">
        <v>0.26850000000000002</v>
      </c>
      <c r="F9" s="58">
        <v>0</v>
      </c>
      <c r="H9" t="s">
        <v>59</v>
      </c>
    </row>
    <row r="10" spans="2:8">
      <c r="B10" t="s">
        <v>61</v>
      </c>
      <c r="C10" s="58">
        <v>0.51219999999999999</v>
      </c>
      <c r="D10" s="58">
        <v>8.8300000000000003E-2</v>
      </c>
      <c r="E10" s="58">
        <v>0.2606</v>
      </c>
      <c r="F10" s="58">
        <v>0.4945</v>
      </c>
      <c r="H10" t="s">
        <v>26</v>
      </c>
    </row>
    <row r="11" spans="2:8">
      <c r="B11" t="s">
        <v>62</v>
      </c>
      <c r="C11" s="58">
        <v>2.2700000000000001E-2</v>
      </c>
      <c r="D11" s="58">
        <v>9.4000000000000004E-3</v>
      </c>
      <c r="E11" s="58">
        <v>1.2500000000000001E-2</v>
      </c>
      <c r="F11" s="58">
        <v>2.18E-2</v>
      </c>
      <c r="H11" t="s">
        <v>26</v>
      </c>
    </row>
    <row r="12" spans="2:8">
      <c r="B12" t="s">
        <v>63</v>
      </c>
      <c r="C12" s="58">
        <v>0.38929999999999998</v>
      </c>
      <c r="D12" s="58">
        <v>3.2000000000000002E-3</v>
      </c>
      <c r="E12" s="58">
        <v>1.6400000000000001E-2</v>
      </c>
      <c r="F12" s="58">
        <v>0.38690000000000002</v>
      </c>
      <c r="H12" t="s">
        <v>47</v>
      </c>
    </row>
    <row r="13" spans="2:8">
      <c r="B13" t="s">
        <v>64</v>
      </c>
      <c r="C13" s="58">
        <v>4.4999999999999997E-3</v>
      </c>
      <c r="D13" s="58">
        <v>4.4999999999999997E-3</v>
      </c>
      <c r="E13" s="58">
        <v>3.2000000000000002E-3</v>
      </c>
      <c r="F13" s="58">
        <v>0</v>
      </c>
      <c r="H13" t="s">
        <v>47</v>
      </c>
    </row>
    <row r="14" spans="2:8">
      <c r="B14" t="s">
        <v>65</v>
      </c>
      <c r="C14" s="58">
        <v>0.40899999999999997</v>
      </c>
      <c r="D14" s="58">
        <v>0.40839999999999999</v>
      </c>
      <c r="E14" s="58">
        <v>0.2833</v>
      </c>
      <c r="F14" s="58">
        <v>0.06</v>
      </c>
      <c r="H14" t="s">
        <v>25</v>
      </c>
    </row>
    <row r="15" spans="2:8">
      <c r="B15" t="s">
        <v>18</v>
      </c>
      <c r="C15" s="58">
        <v>1.38E-2</v>
      </c>
      <c r="D15" s="58">
        <v>1.3599999999999999E-2</v>
      </c>
      <c r="E15" s="58">
        <v>1.0500000000000001E-2</v>
      </c>
      <c r="F15" s="58">
        <v>2.5000000000000001E-3</v>
      </c>
      <c r="H15" t="s">
        <v>25</v>
      </c>
    </row>
    <row r="16" spans="2:8">
      <c r="B16" t="s">
        <v>58</v>
      </c>
      <c r="C16" s="58">
        <v>7.4000000000000003E-3</v>
      </c>
      <c r="D16" s="58">
        <v>7.4000000000000003E-3</v>
      </c>
      <c r="E16" s="58">
        <v>4.0000000000000001E-3</v>
      </c>
      <c r="F16" s="58">
        <v>0</v>
      </c>
      <c r="H16" t="s">
        <v>25</v>
      </c>
    </row>
    <row r="17" spans="2:8">
      <c r="B17" t="s">
        <v>66</v>
      </c>
      <c r="C17" s="58">
        <v>0.40129999999999999</v>
      </c>
      <c r="D17" s="58">
        <v>0.39979999999999999</v>
      </c>
      <c r="E17" s="58">
        <v>0.25380000000000003</v>
      </c>
      <c r="F17" s="58">
        <v>7.5499999999999998E-2</v>
      </c>
      <c r="H17" t="s">
        <v>110</v>
      </c>
    </row>
    <row r="18" spans="2:8">
      <c r="B18" t="s">
        <v>94</v>
      </c>
      <c r="C18" s="58">
        <v>4.4200000000000003E-2</v>
      </c>
      <c r="D18" s="58">
        <v>4.3299999999999998E-2</v>
      </c>
      <c r="E18" s="58">
        <v>2.06E-2</v>
      </c>
      <c r="F18" s="58">
        <v>4.5999999999999999E-3</v>
      </c>
      <c r="H18" t="s">
        <v>110</v>
      </c>
    </row>
    <row r="19" spans="2:8">
      <c r="B19" t="s">
        <v>95</v>
      </c>
      <c r="C19" s="58">
        <v>0</v>
      </c>
      <c r="D19" s="58">
        <v>0</v>
      </c>
      <c r="E19" s="58">
        <v>0</v>
      </c>
      <c r="F19" s="58">
        <v>0</v>
      </c>
      <c r="H19" t="s">
        <v>110</v>
      </c>
    </row>
    <row r="20" spans="2:8">
      <c r="B20" t="s">
        <v>67</v>
      </c>
      <c r="C20" s="58">
        <v>4.1000000000000003E-3</v>
      </c>
      <c r="D20" s="58">
        <v>6.9999999999999999E-4</v>
      </c>
      <c r="E20" s="58">
        <v>4.1000000000000003E-3</v>
      </c>
      <c r="F20" s="58">
        <v>0</v>
      </c>
      <c r="H20" t="s">
        <v>21</v>
      </c>
    </row>
    <row r="21" spans="2:8">
      <c r="B21" s="52" t="s">
        <v>68</v>
      </c>
      <c r="C21" s="60">
        <v>5.0000000000000001E-4</v>
      </c>
      <c r="D21" s="60">
        <v>5.0000000000000001E-4</v>
      </c>
      <c r="E21" s="60">
        <v>2.9999999999999997E-4</v>
      </c>
      <c r="F21" s="60">
        <v>0</v>
      </c>
      <c r="H21" s="52" t="s">
        <v>22</v>
      </c>
    </row>
    <row r="24" spans="2:8">
      <c r="B24" s="28" t="s">
        <v>131</v>
      </c>
    </row>
    <row r="25" spans="2:8" s="65" customFormat="1" ht="45">
      <c r="B25" s="59" t="s">
        <v>97</v>
      </c>
      <c r="C25" s="59" t="s">
        <v>102</v>
      </c>
      <c r="D25" s="59" t="s">
        <v>113</v>
      </c>
      <c r="E25" s="59" t="s">
        <v>107</v>
      </c>
    </row>
    <row r="26" spans="2:8">
      <c r="B26" s="36" t="s">
        <v>35</v>
      </c>
      <c r="C26" s="34">
        <f>'Application split'!C20</f>
        <v>564442.07999999996</v>
      </c>
      <c r="D26" s="34">
        <f>C26</f>
        <v>564442.07999999996</v>
      </c>
      <c r="E26" s="35">
        <f>D26/SUM(D$26:D$31)</f>
        <v>0.74863982589771483</v>
      </c>
    </row>
    <row r="27" spans="2:8">
      <c r="B27" s="36" t="s">
        <v>36</v>
      </c>
      <c r="C27" s="34">
        <f>'Application split'!C21</f>
        <v>121420.68</v>
      </c>
      <c r="D27" s="34">
        <f>C27</f>
        <v>121420.68</v>
      </c>
      <c r="E27" s="35">
        <f>D27/SUM(D$26:D$31)</f>
        <v>0.16104461371055492</v>
      </c>
    </row>
    <row r="28" spans="2:8">
      <c r="B28" s="36" t="s">
        <v>37</v>
      </c>
      <c r="C28" s="34">
        <f>'Application split'!C22</f>
        <v>0</v>
      </c>
      <c r="D28" t="s">
        <v>33</v>
      </c>
      <c r="E28" s="35"/>
    </row>
    <row r="29" spans="2:8">
      <c r="B29" s="36" t="s">
        <v>38</v>
      </c>
      <c r="C29" s="34">
        <f>'Application split'!C23</f>
        <v>12306.15</v>
      </c>
      <c r="D29" t="s">
        <v>33</v>
      </c>
      <c r="E29" s="35"/>
    </row>
    <row r="30" spans="2:8">
      <c r="B30" s="36" t="s">
        <v>39</v>
      </c>
      <c r="C30" s="34">
        <f>'Application split'!C24</f>
        <v>68094.03</v>
      </c>
      <c r="D30" s="34">
        <f>C30</f>
        <v>68094.03</v>
      </c>
      <c r="E30" s="35">
        <f>D30/SUM(D$26:D$31)</f>
        <v>9.0315560391730138E-2</v>
      </c>
    </row>
    <row r="31" spans="2:8">
      <c r="B31" s="50" t="s">
        <v>40</v>
      </c>
      <c r="C31" s="39">
        <f>'Application split'!C25</f>
        <v>54147.060000000005</v>
      </c>
      <c r="D31" s="52" t="s">
        <v>33</v>
      </c>
      <c r="E31" s="53"/>
    </row>
    <row r="32" spans="2:8">
      <c r="B32" s="63"/>
      <c r="C32" s="38"/>
    </row>
    <row r="33" spans="2:6">
      <c r="B33" s="63"/>
      <c r="C33" s="38"/>
    </row>
    <row r="34" spans="2:6">
      <c r="B34" s="28" t="s">
        <v>112</v>
      </c>
    </row>
    <row r="35" spans="2:6" s="65" customFormat="1" ht="45">
      <c r="B35" s="59" t="s">
        <v>111</v>
      </c>
      <c r="C35" s="59" t="s">
        <v>102</v>
      </c>
      <c r="D35" s="59" t="s">
        <v>113</v>
      </c>
    </row>
    <row r="36" spans="2:6">
      <c r="B36" t="s">
        <v>25</v>
      </c>
      <c r="C36" s="34">
        <v>252661.36</v>
      </c>
      <c r="D36" s="34">
        <f>C36</f>
        <v>252661.36</v>
      </c>
    </row>
    <row r="37" spans="2:6">
      <c r="B37" t="s">
        <v>26</v>
      </c>
      <c r="C37" s="34">
        <v>141356.88</v>
      </c>
      <c r="D37" s="34">
        <f>C37</f>
        <v>141356.88</v>
      </c>
    </row>
    <row r="38" spans="2:6">
      <c r="B38" t="s">
        <v>47</v>
      </c>
      <c r="C38" s="34">
        <v>26706.22</v>
      </c>
      <c r="D38" s="34">
        <f>C38</f>
        <v>26706.22</v>
      </c>
    </row>
    <row r="39" spans="2:6">
      <c r="B39" t="s">
        <v>110</v>
      </c>
      <c r="C39" s="34">
        <v>116827.55</v>
      </c>
      <c r="D39" s="34">
        <f>C39</f>
        <v>116827.55</v>
      </c>
    </row>
    <row r="40" spans="2:6">
      <c r="B40" t="s">
        <v>21</v>
      </c>
      <c r="C40" s="34">
        <v>379.91</v>
      </c>
      <c r="D40" s="34">
        <f>C40</f>
        <v>379.91</v>
      </c>
    </row>
    <row r="41" spans="2:6">
      <c r="B41" t="s">
        <v>22</v>
      </c>
      <c r="C41" s="34">
        <v>101963.15</v>
      </c>
      <c r="D41" s="34">
        <f>C41-C29-C31</f>
        <v>35509.939999999995</v>
      </c>
    </row>
    <row r="42" spans="2:6">
      <c r="B42" s="52" t="s">
        <v>23</v>
      </c>
      <c r="C42" s="39">
        <v>179965.41</v>
      </c>
      <c r="D42" s="39">
        <f>C42</f>
        <v>179965.41</v>
      </c>
    </row>
    <row r="45" spans="2:6">
      <c r="B45" s="28" t="s">
        <v>114</v>
      </c>
    </row>
    <row r="46" spans="2:6" ht="30">
      <c r="B46" s="62" t="s">
        <v>111</v>
      </c>
      <c r="C46" s="59" t="s">
        <v>70</v>
      </c>
      <c r="D46" s="59" t="s">
        <v>71</v>
      </c>
      <c r="E46" s="59" t="s">
        <v>72</v>
      </c>
      <c r="F46" s="59" t="s">
        <v>73</v>
      </c>
    </row>
    <row r="47" spans="2:6">
      <c r="B47" t="s">
        <v>25</v>
      </c>
      <c r="C47" s="43">
        <f>SUM(C14:C16)</f>
        <v>0.43019999999999997</v>
      </c>
      <c r="D47" s="43">
        <f>SUM(D14:D16)</f>
        <v>0.4294</v>
      </c>
      <c r="E47" s="43">
        <f>SUM(E14:E16)</f>
        <v>0.29780000000000001</v>
      </c>
      <c r="F47" s="43">
        <f>SUM(F14:F16)</f>
        <v>6.25E-2</v>
      </c>
    </row>
    <row r="48" spans="2:6">
      <c r="B48" t="s">
        <v>26</v>
      </c>
      <c r="C48" s="43">
        <f>SUM(C10:C11)</f>
        <v>0.53490000000000004</v>
      </c>
      <c r="D48" s="43">
        <f>SUM(D10:D11)</f>
        <v>9.7700000000000009E-2</v>
      </c>
      <c r="E48" s="43">
        <f t="shared" ref="E48:F48" si="0">SUM(E10:E11)</f>
        <v>0.27310000000000001</v>
      </c>
      <c r="F48" s="43">
        <f t="shared" si="0"/>
        <v>0.51629999999999998</v>
      </c>
    </row>
    <row r="49" spans="2:6">
      <c r="B49" t="s">
        <v>47</v>
      </c>
      <c r="C49" s="43">
        <f>SUM(C12:C13)</f>
        <v>0.39379999999999998</v>
      </c>
      <c r="D49" s="43">
        <f t="shared" ref="D49:F49" si="1">SUM(D12:D13)</f>
        <v>7.7000000000000002E-3</v>
      </c>
      <c r="E49" s="43">
        <f t="shared" si="1"/>
        <v>1.9600000000000003E-2</v>
      </c>
      <c r="F49" s="43">
        <f t="shared" si="1"/>
        <v>0.38690000000000002</v>
      </c>
    </row>
    <row r="50" spans="2:6">
      <c r="B50" t="s">
        <v>110</v>
      </c>
      <c r="C50" s="43">
        <f>SUM(C17:C19)</f>
        <v>0.44550000000000001</v>
      </c>
      <c r="D50" s="43">
        <f t="shared" ref="D50:F50" si="2">SUM(D17:D19)</f>
        <v>0.44309999999999999</v>
      </c>
      <c r="E50" s="43">
        <f t="shared" si="2"/>
        <v>0.27440000000000003</v>
      </c>
      <c r="F50" s="43">
        <f t="shared" si="2"/>
        <v>8.0100000000000005E-2</v>
      </c>
    </row>
    <row r="51" spans="2:6">
      <c r="B51" t="s">
        <v>21</v>
      </c>
      <c r="C51" s="43">
        <f>C20</f>
        <v>4.1000000000000003E-3</v>
      </c>
      <c r="D51" s="43">
        <f t="shared" ref="D51:F51" si="3">D20</f>
        <v>6.9999999999999999E-4</v>
      </c>
      <c r="E51" s="43">
        <f t="shared" si="3"/>
        <v>4.1000000000000003E-3</v>
      </c>
      <c r="F51" s="43">
        <f t="shared" si="3"/>
        <v>0</v>
      </c>
    </row>
    <row r="52" spans="2:6">
      <c r="B52" t="s">
        <v>22</v>
      </c>
      <c r="C52" s="43">
        <f>C7+C21</f>
        <v>0.7488999999999999</v>
      </c>
      <c r="D52" s="43">
        <f t="shared" ref="D52:F52" si="4">D7+D21</f>
        <v>5.3999999999999999E-2</v>
      </c>
      <c r="E52" s="43">
        <f t="shared" si="4"/>
        <v>0.2359</v>
      </c>
      <c r="F52" s="43">
        <f t="shared" si="4"/>
        <v>0.67130000000000001</v>
      </c>
    </row>
    <row r="53" spans="2:6">
      <c r="B53" s="52" t="s">
        <v>23</v>
      </c>
      <c r="C53" s="56">
        <f>C8+C9</f>
        <v>0.68389999999999995</v>
      </c>
      <c r="D53" s="56">
        <f t="shared" ref="D53:F53" si="5">D8+D9</f>
        <v>0.41539999999999999</v>
      </c>
      <c r="E53" s="56">
        <f t="shared" si="5"/>
        <v>0.26850000000000002</v>
      </c>
      <c r="F53" s="56">
        <f t="shared" si="5"/>
        <v>0</v>
      </c>
    </row>
    <row r="54" spans="2:6">
      <c r="B54" s="51"/>
      <c r="C54" s="66"/>
      <c r="D54" s="66"/>
      <c r="E54" s="66"/>
      <c r="F54" s="66"/>
    </row>
    <row r="55" spans="2:6">
      <c r="B55" s="51"/>
      <c r="C55" s="66"/>
      <c r="D55" s="66"/>
      <c r="E55" s="66"/>
      <c r="F55" s="66"/>
    </row>
    <row r="56" spans="2:6">
      <c r="B56" s="67" t="s">
        <v>115</v>
      </c>
    </row>
    <row r="57" spans="2:6" ht="30">
      <c r="B57" s="62" t="s">
        <v>111</v>
      </c>
      <c r="C57" s="59"/>
      <c r="D57" s="59" t="s">
        <v>71</v>
      </c>
      <c r="E57" s="59" t="s">
        <v>72</v>
      </c>
      <c r="F57" s="59" t="s">
        <v>73</v>
      </c>
    </row>
    <row r="58" spans="2:6">
      <c r="B58" t="s">
        <v>25</v>
      </c>
      <c r="C58" s="43"/>
      <c r="D58" s="43">
        <f t="shared" ref="D58:D64" si="6">D47/SUM($D47:$F47)*$E$26</f>
        <v>0.40707349783522695</v>
      </c>
      <c r="E58" s="43">
        <f t="shared" ref="E58:E64" si="7">E47/SUM($D47:$F47)*$E$27</f>
        <v>6.0730766066864957E-2</v>
      </c>
      <c r="F58" s="43">
        <f t="shared" ref="F58:F64" si="8">F47/SUM($D47:$F47)*$E$30</f>
        <v>7.1479327902787557E-3</v>
      </c>
    </row>
    <row r="59" spans="2:6">
      <c r="B59" t="s">
        <v>26</v>
      </c>
      <c r="C59" s="43"/>
      <c r="D59" s="43">
        <f>D48/SUM($D48:$F48)*$E$26</f>
        <v>8.2450807113298108E-2</v>
      </c>
      <c r="E59" s="43">
        <f t="shared" si="7"/>
        <v>4.9578721682282209E-2</v>
      </c>
      <c r="F59" s="43">
        <f t="shared" si="8"/>
        <v>5.2564450265190243E-2</v>
      </c>
    </row>
    <row r="60" spans="2:6">
      <c r="B60" t="s">
        <v>47</v>
      </c>
      <c r="C60" s="43"/>
      <c r="D60" s="43">
        <f t="shared" si="6"/>
        <v>1.3917254127021737E-2</v>
      </c>
      <c r="E60" s="43">
        <f t="shared" si="7"/>
        <v>7.6206528940774426E-3</v>
      </c>
      <c r="F60" s="43">
        <f t="shared" si="8"/>
        <v>8.4362844798552369E-2</v>
      </c>
    </row>
    <row r="61" spans="2:6">
      <c r="B61" t="s">
        <v>110</v>
      </c>
      <c r="C61" s="43"/>
      <c r="D61" s="43">
        <f t="shared" si="6"/>
        <v>0.41590058532507196</v>
      </c>
      <c r="E61" s="43">
        <f t="shared" si="7"/>
        <v>5.5404516050872959E-2</v>
      </c>
      <c r="F61" s="43">
        <f t="shared" si="8"/>
        <v>9.0700556511755064E-3</v>
      </c>
    </row>
    <row r="62" spans="2:6">
      <c r="B62" t="s">
        <v>21</v>
      </c>
      <c r="C62" s="43"/>
      <c r="D62" s="43">
        <f t="shared" si="6"/>
        <v>0.10917664127675007</v>
      </c>
      <c r="E62" s="43">
        <f t="shared" si="7"/>
        <v>0.13755894087776566</v>
      </c>
      <c r="F62" s="43">
        <f t="shared" si="8"/>
        <v>0</v>
      </c>
    </row>
    <row r="63" spans="2:6">
      <c r="B63" t="s">
        <v>22</v>
      </c>
      <c r="C63" s="43"/>
      <c r="D63" s="43">
        <f t="shared" si="6"/>
        <v>4.2058417185264874E-2</v>
      </c>
      <c r="E63" s="43">
        <f t="shared" si="7"/>
        <v>3.9523953781023621E-2</v>
      </c>
      <c r="F63" s="43">
        <f t="shared" si="8"/>
        <v>6.3076191938169407E-2</v>
      </c>
    </row>
    <row r="64" spans="2:6">
      <c r="B64" s="52" t="s">
        <v>23</v>
      </c>
      <c r="C64" s="56"/>
      <c r="D64" s="56">
        <f t="shared" si="6"/>
        <v>0.45472288884034329</v>
      </c>
      <c r="E64" s="56">
        <f t="shared" si="7"/>
        <v>6.3226317855364825E-2</v>
      </c>
      <c r="F64" s="56">
        <f t="shared" si="8"/>
        <v>0</v>
      </c>
    </row>
    <row r="65" spans="2:6">
      <c r="B65" s="51"/>
      <c r="C65" s="66"/>
      <c r="D65" s="66"/>
      <c r="E65" s="66"/>
      <c r="F65" s="66"/>
    </row>
    <row r="66" spans="2:6">
      <c r="B66" s="67" t="s">
        <v>116</v>
      </c>
    </row>
    <row r="67" spans="2:6" ht="30">
      <c r="B67" s="62" t="s">
        <v>111</v>
      </c>
      <c r="C67" s="59"/>
      <c r="D67" s="59" t="s">
        <v>71</v>
      </c>
      <c r="E67" s="59" t="s">
        <v>72</v>
      </c>
      <c r="F67" s="59" t="s">
        <v>73</v>
      </c>
    </row>
    <row r="68" spans="2:6">
      <c r="B68" t="s">
        <v>25</v>
      </c>
      <c r="C68" s="43"/>
      <c r="D68" s="43">
        <f t="shared" ref="D68:F74" si="9">D58/SUM($D58:$F58)</f>
        <v>0.85708309314103637</v>
      </c>
      <c r="E68" s="43">
        <f t="shared" si="9"/>
        <v>0.12786711271113593</v>
      </c>
      <c r="F68" s="43">
        <f t="shared" si="9"/>
        <v>1.504979414782771E-2</v>
      </c>
    </row>
    <row r="69" spans="2:6">
      <c r="B69" t="s">
        <v>26</v>
      </c>
      <c r="C69" s="43"/>
      <c r="D69" s="43">
        <f t="shared" si="9"/>
        <v>0.44666032734553224</v>
      </c>
      <c r="E69" s="43">
        <f t="shared" si="9"/>
        <v>0.26858255038730322</v>
      </c>
      <c r="F69" s="43">
        <f t="shared" si="9"/>
        <v>0.28475712226716449</v>
      </c>
    </row>
    <row r="70" spans="2:6">
      <c r="B70" t="s">
        <v>47</v>
      </c>
      <c r="C70" s="43"/>
      <c r="D70" s="43">
        <f t="shared" si="9"/>
        <v>0.13141789730372028</v>
      </c>
      <c r="E70" s="43">
        <f t="shared" si="9"/>
        <v>7.1960328544743254E-2</v>
      </c>
      <c r="F70" s="43">
        <f t="shared" si="9"/>
        <v>0.79662177415153634</v>
      </c>
    </row>
    <row r="71" spans="2:6">
      <c r="B71" t="s">
        <v>110</v>
      </c>
      <c r="C71" s="43"/>
      <c r="D71" s="43">
        <f t="shared" si="9"/>
        <v>0.8657828766561122</v>
      </c>
      <c r="E71" s="43">
        <f t="shared" si="9"/>
        <v>0.1153359311787745</v>
      </c>
      <c r="F71" s="43">
        <f t="shared" si="9"/>
        <v>1.8881192165113234E-2</v>
      </c>
    </row>
    <row r="72" spans="2:6">
      <c r="B72" t="s">
        <v>21</v>
      </c>
      <c r="C72" s="43"/>
      <c r="D72" s="43">
        <f t="shared" si="9"/>
        <v>0.44248438074237412</v>
      </c>
      <c r="E72" s="43">
        <f t="shared" si="9"/>
        <v>0.55751561925762583</v>
      </c>
      <c r="F72" s="43">
        <f t="shared" si="9"/>
        <v>0</v>
      </c>
    </row>
    <row r="73" spans="2:6">
      <c r="B73" t="s">
        <v>22</v>
      </c>
      <c r="C73" s="43"/>
      <c r="D73" s="43">
        <f t="shared" si="9"/>
        <v>0.29074267254433489</v>
      </c>
      <c r="E73" s="43">
        <f t="shared" si="9"/>
        <v>0.27322235882522811</v>
      </c>
      <c r="F73" s="43">
        <f t="shared" si="9"/>
        <v>0.43603496863043711</v>
      </c>
    </row>
    <row r="74" spans="2:6">
      <c r="B74" s="52" t="s">
        <v>23</v>
      </c>
      <c r="C74" s="56"/>
      <c r="D74" s="56">
        <f t="shared" si="9"/>
        <v>0.87792950150706595</v>
      </c>
      <c r="E74" s="56">
        <f t="shared" si="9"/>
        <v>0.12207049849293405</v>
      </c>
      <c r="F74" s="56">
        <f t="shared" si="9"/>
        <v>0</v>
      </c>
    </row>
    <row r="75" spans="2:6">
      <c r="B75" s="51"/>
      <c r="C75" s="66"/>
      <c r="D75" s="66"/>
      <c r="E75" s="66"/>
      <c r="F75" s="66"/>
    </row>
    <row r="76" spans="2:6">
      <c r="B76" s="67" t="s">
        <v>117</v>
      </c>
    </row>
    <row r="77" spans="2:6" ht="30">
      <c r="B77" s="62" t="s">
        <v>111</v>
      </c>
      <c r="C77" s="59"/>
      <c r="D77" s="59" t="s">
        <v>71</v>
      </c>
      <c r="E77" s="59" t="s">
        <v>72</v>
      </c>
      <c r="F77" s="59" t="s">
        <v>73</v>
      </c>
    </row>
    <row r="78" spans="2:6">
      <c r="B78" t="s">
        <v>25</v>
      </c>
      <c r="C78" s="43"/>
      <c r="D78" s="34">
        <f t="shared" ref="D78:F84" si="10">D68*$D36</f>
        <v>216551.77994602092</v>
      </c>
      <c r="E78" s="34">
        <f t="shared" si="10"/>
        <v>32307.078596868891</v>
      </c>
      <c r="F78" s="34">
        <f t="shared" si="10"/>
        <v>3802.5014571101901</v>
      </c>
    </row>
    <row r="79" spans="2:6">
      <c r="B79" t="s">
        <v>26</v>
      </c>
      <c r="C79" s="43"/>
      <c r="D79" s="34">
        <f>D69*$D37</f>
        <v>63138.510293343119</v>
      </c>
      <c r="E79" s="34">
        <f t="shared" si="10"/>
        <v>37965.991345191978</v>
      </c>
      <c r="F79" s="34">
        <f t="shared" si="10"/>
        <v>40252.3783614649</v>
      </c>
    </row>
    <row r="80" spans="2:6">
      <c r="B80" t="s">
        <v>47</v>
      </c>
      <c r="C80" s="43"/>
      <c r="D80" s="34">
        <f t="shared" si="10"/>
        <v>3509.6752773305607</v>
      </c>
      <c r="E80" s="34">
        <f t="shared" si="10"/>
        <v>1921.7883653881934</v>
      </c>
      <c r="F80" s="34">
        <f t="shared" si="10"/>
        <v>21274.756357281243</v>
      </c>
    </row>
    <row r="81" spans="2:6">
      <c r="B81" t="s">
        <v>110</v>
      </c>
      <c r="C81" s="43"/>
      <c r="D81" s="34">
        <f t="shared" si="10"/>
        <v>101147.29231168579</v>
      </c>
      <c r="E81" s="34">
        <f t="shared" si="10"/>
        <v>13474.414266584838</v>
      </c>
      <c r="F81" s="34">
        <f t="shared" si="10"/>
        <v>2205.8434217293748</v>
      </c>
    </row>
    <row r="82" spans="2:6">
      <c r="B82" t="s">
        <v>21</v>
      </c>
      <c r="C82" s="43"/>
      <c r="D82" s="34">
        <f t="shared" si="10"/>
        <v>168.10424108783536</v>
      </c>
      <c r="E82" s="34">
        <f t="shared" si="10"/>
        <v>211.80575891216463</v>
      </c>
      <c r="F82" s="34">
        <f t="shared" si="10"/>
        <v>0</v>
      </c>
    </row>
    <row r="83" spans="2:6">
      <c r="B83" t="s">
        <v>22</v>
      </c>
      <c r="C83" s="43"/>
      <c r="D83" s="34">
        <f t="shared" si="10"/>
        <v>10324.254857488977</v>
      </c>
      <c r="E83" s="34">
        <f t="shared" si="10"/>
        <v>9702.1095685423188</v>
      </c>
      <c r="F83" s="34">
        <f t="shared" si="10"/>
        <v>15483.575573968701</v>
      </c>
    </row>
    <row r="84" spans="2:6">
      <c r="B84" s="52" t="s">
        <v>23</v>
      </c>
      <c r="C84" s="56"/>
      <c r="D84" s="39">
        <f t="shared" si="10"/>
        <v>157996.94268981475</v>
      </c>
      <c r="E84" s="39">
        <f t="shared" si="10"/>
        <v>21968.46731018526</v>
      </c>
      <c r="F84" s="39">
        <f t="shared" si="10"/>
        <v>0</v>
      </c>
    </row>
    <row r="85" spans="2:6">
      <c r="B85" s="54" t="s">
        <v>99</v>
      </c>
      <c r="D85" s="34">
        <f>SUM(D78:D84)</f>
        <v>552836.55961677199</v>
      </c>
      <c r="E85" s="34">
        <f t="shared" ref="E85:F85" si="11">SUM(E78:E84)</f>
        <v>117551.65521167364</v>
      </c>
      <c r="F85" s="34">
        <f t="shared" si="11"/>
        <v>83019.055171554413</v>
      </c>
    </row>
    <row r="88" spans="2:6">
      <c r="B88" s="28" t="s">
        <v>118</v>
      </c>
    </row>
    <row r="89" spans="2:6" s="65" customFormat="1" ht="30">
      <c r="B89" s="59" t="s">
        <v>126</v>
      </c>
      <c r="C89" s="72" t="s">
        <v>102</v>
      </c>
      <c r="D89" s="59" t="s">
        <v>128</v>
      </c>
      <c r="E89" s="72" t="s">
        <v>127</v>
      </c>
      <c r="F89" s="73" t="s">
        <v>107</v>
      </c>
    </row>
    <row r="90" spans="2:6">
      <c r="B90" s="68" t="s">
        <v>119</v>
      </c>
      <c r="C90" s="74" t="s">
        <v>33</v>
      </c>
      <c r="D90" s="70">
        <v>1.0669999999999999</v>
      </c>
      <c r="E90" s="34" t="str">
        <f>IF(ISNUMBER(C90),C90*D90,"")</f>
        <v/>
      </c>
      <c r="F90" s="57" t="str">
        <f>IF(ISNUMBER(E90),E90/E$102,"")</f>
        <v/>
      </c>
    </row>
    <row r="91" spans="2:6">
      <c r="B91" s="68" t="s">
        <v>120</v>
      </c>
      <c r="C91" s="74">
        <f>D82</f>
        <v>168.10424108783536</v>
      </c>
      <c r="D91" s="70">
        <v>1</v>
      </c>
      <c r="E91" s="34">
        <f t="shared" ref="E91:E101" si="12">IF(ISNUMBER(C91),C91*D91,"")</f>
        <v>168.10424108783536</v>
      </c>
      <c r="F91" s="57">
        <f t="shared" ref="F91:F101" si="13">IF(ISNUMBER(E91),E91/E$102,"")</f>
        <v>3.5156076263895356E-4</v>
      </c>
    </row>
    <row r="92" spans="2:6">
      <c r="B92" s="68" t="s">
        <v>121</v>
      </c>
      <c r="C92" s="74" t="s">
        <v>33</v>
      </c>
      <c r="D92" s="70">
        <v>4.8000000000000078</v>
      </c>
      <c r="E92" s="34" t="str">
        <f t="shared" si="12"/>
        <v/>
      </c>
      <c r="F92" s="57" t="str">
        <f t="shared" si="13"/>
        <v/>
      </c>
    </row>
    <row r="93" spans="2:6">
      <c r="B93" s="68" t="s">
        <v>122</v>
      </c>
      <c r="C93" s="74" t="s">
        <v>33</v>
      </c>
      <c r="D93" s="70">
        <v>0.88</v>
      </c>
      <c r="E93" s="34" t="str">
        <f t="shared" si="12"/>
        <v/>
      </c>
      <c r="F93" s="57" t="str">
        <f t="shared" si="13"/>
        <v/>
      </c>
    </row>
    <row r="94" spans="2:6">
      <c r="B94" s="68" t="s">
        <v>41</v>
      </c>
      <c r="C94" s="74">
        <f>D84</f>
        <v>157996.94268981475</v>
      </c>
      <c r="D94" s="70">
        <v>1</v>
      </c>
      <c r="E94" s="34">
        <f t="shared" si="12"/>
        <v>157996.94268981475</v>
      </c>
      <c r="F94" s="57">
        <f t="shared" si="13"/>
        <v>0.33042310715784667</v>
      </c>
    </row>
    <row r="95" spans="2:6">
      <c r="B95" s="68" t="s">
        <v>123</v>
      </c>
      <c r="C95" s="74" t="s">
        <v>33</v>
      </c>
      <c r="D95" s="70">
        <v>4.5000000000000044</v>
      </c>
      <c r="E95" s="34" t="str">
        <f t="shared" si="12"/>
        <v/>
      </c>
      <c r="F95" s="57" t="str">
        <f t="shared" si="13"/>
        <v/>
      </c>
    </row>
    <row r="96" spans="2:6">
      <c r="B96" s="68" t="s">
        <v>124</v>
      </c>
      <c r="C96" s="74">
        <f>D81</f>
        <v>101147.29231168579</v>
      </c>
      <c r="D96" s="70">
        <v>0.82</v>
      </c>
      <c r="E96" s="34">
        <f t="shared" si="12"/>
        <v>82940.779695582343</v>
      </c>
      <c r="F96" s="57">
        <f t="shared" si="13"/>
        <v>0.17345620535779804</v>
      </c>
    </row>
    <row r="97" spans="2:6">
      <c r="B97" s="68" t="s">
        <v>42</v>
      </c>
      <c r="C97" s="74">
        <f>D83</f>
        <v>10324.254857488977</v>
      </c>
      <c r="D97" s="70">
        <v>1</v>
      </c>
      <c r="E97" s="34">
        <f t="shared" si="12"/>
        <v>10324.254857488977</v>
      </c>
      <c r="F97" s="57">
        <f t="shared" si="13"/>
        <v>2.1591382156035305E-2</v>
      </c>
    </row>
    <row r="98" spans="2:6">
      <c r="B98" s="68" t="s">
        <v>43</v>
      </c>
      <c r="C98" s="74">
        <f>D79</f>
        <v>63138.510293343119</v>
      </c>
      <c r="D98" s="70">
        <v>0.8</v>
      </c>
      <c r="E98" s="34">
        <f>IF(ISNUMBER(C98),C98*D98,"")</f>
        <v>50510.8082346745</v>
      </c>
      <c r="F98" s="57">
        <f>IF(ISNUMBER(E98),E98/E$102,"")</f>
        <v>0.10563456430116866</v>
      </c>
    </row>
    <row r="99" spans="2:6">
      <c r="B99" s="68" t="s">
        <v>44</v>
      </c>
      <c r="C99" s="74">
        <f>D80</f>
        <v>3509.6752773305607</v>
      </c>
      <c r="D99" s="70">
        <v>0.85</v>
      </c>
      <c r="E99" s="34">
        <f t="shared" si="12"/>
        <v>2983.2239857309764</v>
      </c>
      <c r="F99" s="57">
        <f t="shared" si="13"/>
        <v>6.2388937528256964E-3</v>
      </c>
    </row>
    <row r="100" spans="2:6">
      <c r="B100" s="68" t="s">
        <v>45</v>
      </c>
      <c r="C100" s="74">
        <f>D78</f>
        <v>216551.77994602092</v>
      </c>
      <c r="D100" s="70">
        <v>0.8</v>
      </c>
      <c r="E100" s="34">
        <f t="shared" si="12"/>
        <v>173241.42395681675</v>
      </c>
      <c r="F100" s="57">
        <f t="shared" si="13"/>
        <v>0.36230428651168683</v>
      </c>
    </row>
    <row r="101" spans="2:6">
      <c r="B101" s="68" t="s">
        <v>125</v>
      </c>
      <c r="C101" s="74" t="s">
        <v>33</v>
      </c>
      <c r="D101" s="70">
        <v>3.4999999999999969</v>
      </c>
      <c r="E101" s="34" t="str">
        <f t="shared" si="12"/>
        <v/>
      </c>
      <c r="F101" s="57" t="str">
        <f t="shared" si="13"/>
        <v/>
      </c>
    </row>
    <row r="102" spans="2:6">
      <c r="B102" s="69" t="s">
        <v>99</v>
      </c>
      <c r="C102" s="71">
        <f>SUM(C90:C101)</f>
        <v>552836.55961677199</v>
      </c>
      <c r="D102" s="42"/>
      <c r="E102" s="71">
        <f>SUM(E90:E101)</f>
        <v>478165.53766119608</v>
      </c>
      <c r="F102" s="44">
        <f>SUM(F90:F101)</f>
        <v>1.0000000000000002</v>
      </c>
    </row>
    <row r="105" spans="2:6">
      <c r="B105" s="28" t="s">
        <v>101</v>
      </c>
    </row>
    <row r="106" spans="2:6">
      <c r="B106" s="31" t="s">
        <v>160</v>
      </c>
    </row>
  </sheetData>
  <pageMargins left="0.75" right="0.75" top="1" bottom="1" header="0.5" footer="0.5"/>
  <pageSetup paperSize="9" orientation="portrait" horizontalDpi="4294967292" verticalDpi="4294967292"/>
  <ignoredErrors>
    <ignoredError sqref="C49:F50 C47:D47 E47:F47 C48:D48 E48:F48" formulaRange="1"/>
    <ignoredError sqref="D41" formula="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1"/>
  <sheetViews>
    <sheetView workbookViewId="0"/>
  </sheetViews>
  <sheetFormatPr baseColWidth="10" defaultRowHeight="15" x14ac:dyDescent="0"/>
  <cols>
    <col min="1" max="1" width="3.83203125" customWidth="1"/>
    <col min="2" max="2" width="20.83203125" customWidth="1"/>
  </cols>
  <sheetData>
    <row r="2" spans="2:6" ht="20">
      <c r="B2" s="40" t="s">
        <v>129</v>
      </c>
    </row>
    <row r="3" spans="2:6" ht="15" customHeight="1">
      <c r="B3" s="40"/>
    </row>
    <row r="5" spans="2:6">
      <c r="B5" s="67" t="s">
        <v>132</v>
      </c>
    </row>
    <row r="6" spans="2:6" ht="30">
      <c r="B6" s="62" t="s">
        <v>111</v>
      </c>
      <c r="C6" s="59"/>
      <c r="D6" s="59" t="s">
        <v>71</v>
      </c>
      <c r="E6" s="59" t="s">
        <v>72</v>
      </c>
      <c r="F6" s="59" t="s">
        <v>73</v>
      </c>
    </row>
    <row r="7" spans="2:6">
      <c r="B7" t="s">
        <v>25</v>
      </c>
      <c r="C7" s="43"/>
      <c r="D7" s="34">
        <f>'Space heating'!D78</f>
        <v>216551.77994602092</v>
      </c>
      <c r="E7" s="34">
        <f>'Space heating'!E78</f>
        <v>32307.078596868891</v>
      </c>
      <c r="F7" s="34">
        <f>'Space heating'!F78</f>
        <v>3802.5014571101901</v>
      </c>
    </row>
    <row r="8" spans="2:6">
      <c r="B8" t="s">
        <v>26</v>
      </c>
      <c r="C8" s="43"/>
      <c r="D8" s="34">
        <f>'Space heating'!D79</f>
        <v>63138.510293343119</v>
      </c>
      <c r="E8" s="34">
        <f>'Space heating'!E79</f>
        <v>37965.991345191978</v>
      </c>
      <c r="F8" s="34">
        <f>'Space heating'!F79</f>
        <v>40252.3783614649</v>
      </c>
    </row>
    <row r="9" spans="2:6">
      <c r="B9" t="s">
        <v>47</v>
      </c>
      <c r="C9" s="43"/>
      <c r="D9" s="34">
        <f>'Space heating'!D80</f>
        <v>3509.6752773305607</v>
      </c>
      <c r="E9" s="34">
        <f>'Space heating'!E80</f>
        <v>1921.7883653881934</v>
      </c>
      <c r="F9" s="34">
        <f>'Space heating'!F80</f>
        <v>21274.756357281243</v>
      </c>
    </row>
    <row r="10" spans="2:6">
      <c r="B10" t="s">
        <v>110</v>
      </c>
      <c r="C10" s="43"/>
      <c r="D10" s="34">
        <f>'Space heating'!D81</f>
        <v>101147.29231168579</v>
      </c>
      <c r="E10" s="34">
        <f>'Space heating'!E81</f>
        <v>13474.414266584838</v>
      </c>
      <c r="F10" s="34">
        <f>'Space heating'!F81</f>
        <v>2205.8434217293748</v>
      </c>
    </row>
    <row r="11" spans="2:6">
      <c r="B11" t="s">
        <v>21</v>
      </c>
      <c r="C11" s="43"/>
      <c r="D11" s="34">
        <f>'Space heating'!D82</f>
        <v>168.10424108783536</v>
      </c>
      <c r="E11" s="34">
        <f>'Space heating'!E82</f>
        <v>211.80575891216463</v>
      </c>
      <c r="F11" s="34">
        <f>'Space heating'!F82</f>
        <v>0</v>
      </c>
    </row>
    <row r="12" spans="2:6">
      <c r="B12" t="s">
        <v>22</v>
      </c>
      <c r="C12" s="43"/>
      <c r="D12" s="34">
        <f>'Space heating'!D83</f>
        <v>10324.254857488977</v>
      </c>
      <c r="E12" s="34">
        <f>'Space heating'!E83</f>
        <v>9702.1095685423188</v>
      </c>
      <c r="F12" s="34">
        <f>'Space heating'!F83</f>
        <v>15483.575573968701</v>
      </c>
    </row>
    <row r="13" spans="2:6">
      <c r="B13" s="52" t="s">
        <v>23</v>
      </c>
      <c r="C13" s="56"/>
      <c r="D13" s="39">
        <f>'Space heating'!D84</f>
        <v>157996.94268981475</v>
      </c>
      <c r="E13" s="39">
        <f>'Space heating'!E84</f>
        <v>21968.46731018526</v>
      </c>
      <c r="F13" s="39">
        <f>'Space heating'!F84</f>
        <v>0</v>
      </c>
    </row>
    <row r="14" spans="2:6">
      <c r="B14" s="55" t="s">
        <v>99</v>
      </c>
      <c r="C14" s="42"/>
      <c r="D14" s="71">
        <f>SUM(D7:D13)</f>
        <v>552836.55961677199</v>
      </c>
      <c r="E14" s="71">
        <f t="shared" ref="E14:F14" si="0">SUM(E7:E13)</f>
        <v>117551.65521167364</v>
      </c>
      <c r="F14" s="71">
        <f t="shared" si="0"/>
        <v>83019.055171554413</v>
      </c>
    </row>
    <row r="17" spans="2:6">
      <c r="B17" s="28" t="s">
        <v>133</v>
      </c>
    </row>
    <row r="18" spans="2:6" ht="45">
      <c r="B18" s="59" t="s">
        <v>126</v>
      </c>
      <c r="C18" s="72" t="s">
        <v>102</v>
      </c>
      <c r="D18" s="59" t="s">
        <v>128</v>
      </c>
      <c r="E18" s="72" t="s">
        <v>127</v>
      </c>
      <c r="F18" s="73" t="s">
        <v>107</v>
      </c>
    </row>
    <row r="19" spans="2:6">
      <c r="B19" s="68" t="s">
        <v>119</v>
      </c>
      <c r="C19" s="74" t="s">
        <v>33</v>
      </c>
      <c r="D19" s="70">
        <v>0.9</v>
      </c>
      <c r="E19" s="34" t="str">
        <f>IF(ISNUMBER(C19),C19*D19,"")</f>
        <v/>
      </c>
      <c r="F19" s="57" t="str">
        <f>IF(ISNUMBER(E19),E19/E$31,"")</f>
        <v/>
      </c>
    </row>
    <row r="20" spans="2:6">
      <c r="B20" s="68" t="s">
        <v>120</v>
      </c>
      <c r="C20" s="74">
        <f>E11</f>
        <v>211.80575891216463</v>
      </c>
      <c r="D20" s="70">
        <v>1</v>
      </c>
      <c r="E20" s="34">
        <f t="shared" ref="E20:E30" si="1">IF(ISNUMBER(C20),C20*D20,"")</f>
        <v>211.80575891216463</v>
      </c>
      <c r="F20" s="57">
        <f>IF(ISNUMBER(E20),E20/E$31,"")</f>
        <v>2.2210546904998995E-3</v>
      </c>
    </row>
    <row r="21" spans="2:6">
      <c r="B21" s="68" t="s">
        <v>121</v>
      </c>
      <c r="C21" s="74" t="s">
        <v>33</v>
      </c>
      <c r="D21" s="70">
        <v>3.0000000000000031</v>
      </c>
      <c r="E21" s="34" t="str">
        <f t="shared" si="1"/>
        <v/>
      </c>
      <c r="F21" s="57" t="str">
        <f t="shared" ref="F21:F30" si="2">IF(ISNUMBER(E21),E21/E$31,"")</f>
        <v/>
      </c>
    </row>
    <row r="22" spans="2:6">
      <c r="B22" s="68" t="s">
        <v>122</v>
      </c>
      <c r="C22" s="74" t="s">
        <v>33</v>
      </c>
      <c r="D22" s="70">
        <v>0.88</v>
      </c>
      <c r="E22" s="34" t="str">
        <f t="shared" si="1"/>
        <v/>
      </c>
      <c r="F22" s="57" t="str">
        <f t="shared" si="2"/>
        <v/>
      </c>
    </row>
    <row r="23" spans="2:6">
      <c r="B23" s="68" t="s">
        <v>41</v>
      </c>
      <c r="C23" s="74">
        <f>E13</f>
        <v>21968.46731018526</v>
      </c>
      <c r="D23" s="70">
        <v>1</v>
      </c>
      <c r="E23" s="34">
        <f t="shared" si="1"/>
        <v>21968.46731018526</v>
      </c>
      <c r="F23" s="57">
        <f t="shared" si="2"/>
        <v>0.23036751981146603</v>
      </c>
    </row>
    <row r="24" spans="2:6">
      <c r="B24" s="68" t="s">
        <v>123</v>
      </c>
      <c r="C24" s="74" t="s">
        <v>33</v>
      </c>
      <c r="D24" s="70">
        <v>3.0000000000000031</v>
      </c>
      <c r="E24" s="34" t="str">
        <f t="shared" si="1"/>
        <v/>
      </c>
      <c r="F24" s="57" t="str">
        <f t="shared" si="2"/>
        <v/>
      </c>
    </row>
    <row r="25" spans="2:6">
      <c r="B25" s="68" t="s">
        <v>124</v>
      </c>
      <c r="C25" s="74">
        <f>E10</f>
        <v>13474.414266584838</v>
      </c>
      <c r="D25" s="70">
        <v>0.82</v>
      </c>
      <c r="E25" s="34">
        <f t="shared" si="1"/>
        <v>11049.019698599566</v>
      </c>
      <c r="F25" s="57">
        <f t="shared" si="2"/>
        <v>0.1158631245582762</v>
      </c>
    </row>
    <row r="26" spans="2:6">
      <c r="B26" s="68" t="s">
        <v>42</v>
      </c>
      <c r="C26" s="74">
        <f>E12</f>
        <v>9702.1095685423188</v>
      </c>
      <c r="D26" s="70">
        <v>0.95</v>
      </c>
      <c r="E26" s="34">
        <f t="shared" si="1"/>
        <v>9217.0040901152024</v>
      </c>
      <c r="F26" s="57">
        <f t="shared" si="2"/>
        <v>9.6652094219952731E-2</v>
      </c>
    </row>
    <row r="27" spans="2:6">
      <c r="B27" s="68" t="s">
        <v>43</v>
      </c>
      <c r="C27" s="74">
        <f>E8</f>
        <v>37965.991345191978</v>
      </c>
      <c r="D27" s="70">
        <v>0.67</v>
      </c>
      <c r="E27" s="34">
        <f t="shared" si="1"/>
        <v>25437.214201278628</v>
      </c>
      <c r="F27" s="57">
        <f t="shared" si="2"/>
        <v>0.2667417741857997</v>
      </c>
    </row>
    <row r="28" spans="2:6">
      <c r="B28" s="68" t="s">
        <v>44</v>
      </c>
      <c r="C28" s="74">
        <f>E9</f>
        <v>1921.7883653881934</v>
      </c>
      <c r="D28" s="70">
        <v>0.85</v>
      </c>
      <c r="E28" s="34">
        <f t="shared" si="1"/>
        <v>1633.5201105799642</v>
      </c>
      <c r="F28" s="57">
        <f t="shared" si="2"/>
        <v>1.7129550783999806E-2</v>
      </c>
    </row>
    <row r="29" spans="2:6">
      <c r="B29" s="68" t="s">
        <v>45</v>
      </c>
      <c r="C29" s="74">
        <f>E7</f>
        <v>32307.078596868891</v>
      </c>
      <c r="D29" s="70">
        <v>0.8</v>
      </c>
      <c r="E29" s="34">
        <f t="shared" si="1"/>
        <v>25845.662877495113</v>
      </c>
      <c r="F29" s="57">
        <f t="shared" si="2"/>
        <v>0.27102488175000577</v>
      </c>
    </row>
    <row r="30" spans="2:6">
      <c r="B30" s="68" t="s">
        <v>125</v>
      </c>
      <c r="C30" s="74" t="s">
        <v>33</v>
      </c>
      <c r="D30" s="70">
        <v>0.2</v>
      </c>
      <c r="E30" s="34" t="str">
        <f t="shared" si="1"/>
        <v/>
      </c>
      <c r="F30" s="57" t="str">
        <f t="shared" si="2"/>
        <v/>
      </c>
    </row>
    <row r="31" spans="2:6">
      <c r="B31" s="69" t="s">
        <v>99</v>
      </c>
      <c r="C31" s="71">
        <f>SUM(C19:C30)</f>
        <v>117551.65521167364</v>
      </c>
      <c r="D31" s="42"/>
      <c r="E31" s="71">
        <f>SUM(E19:E30)</f>
        <v>95362.694047165889</v>
      </c>
      <c r="F31" s="44">
        <f>SUM(F19:F30)</f>
        <v>1.0000000000000002</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61"/>
  <sheetViews>
    <sheetView workbookViewId="0"/>
  </sheetViews>
  <sheetFormatPr baseColWidth="10" defaultRowHeight="15" x14ac:dyDescent="0"/>
  <cols>
    <col min="1" max="1" width="3.83203125" customWidth="1"/>
    <col min="2" max="2" width="20.83203125" customWidth="1"/>
    <col min="3" max="6" width="13.33203125" style="68" customWidth="1"/>
  </cols>
  <sheetData>
    <row r="2" spans="2:6" ht="20">
      <c r="B2" s="40" t="s">
        <v>39</v>
      </c>
    </row>
    <row r="5" spans="2:6">
      <c r="B5" s="67" t="s">
        <v>132</v>
      </c>
    </row>
    <row r="6" spans="2:6" ht="30">
      <c r="B6" s="62" t="s">
        <v>111</v>
      </c>
      <c r="C6" s="59"/>
      <c r="D6" s="59" t="s">
        <v>71</v>
      </c>
      <c r="E6" s="59" t="s">
        <v>72</v>
      </c>
      <c r="F6" s="59" t="s">
        <v>73</v>
      </c>
    </row>
    <row r="7" spans="2:6">
      <c r="B7" t="s">
        <v>25</v>
      </c>
      <c r="C7" s="77"/>
      <c r="D7" s="48">
        <f>'Space heating'!D78</f>
        <v>216551.77994602092</v>
      </c>
      <c r="E7" s="48">
        <f>'Space heating'!E78</f>
        <v>32307.078596868891</v>
      </c>
      <c r="F7" s="48">
        <f>'Space heating'!F78</f>
        <v>3802.5014571101901</v>
      </c>
    </row>
    <row r="8" spans="2:6">
      <c r="B8" t="s">
        <v>26</v>
      </c>
      <c r="C8" s="77"/>
      <c r="D8" s="48">
        <f>'Space heating'!D79</f>
        <v>63138.510293343119</v>
      </c>
      <c r="E8" s="48">
        <f>'Space heating'!E79</f>
        <v>37965.991345191978</v>
      </c>
      <c r="F8" s="48">
        <f>'Space heating'!F79</f>
        <v>40252.3783614649</v>
      </c>
    </row>
    <row r="9" spans="2:6">
      <c r="B9" t="s">
        <v>47</v>
      </c>
      <c r="C9" s="77"/>
      <c r="D9" s="48">
        <f>'Space heating'!D80</f>
        <v>3509.6752773305607</v>
      </c>
      <c r="E9" s="48">
        <f>'Space heating'!E80</f>
        <v>1921.7883653881934</v>
      </c>
      <c r="F9" s="48">
        <f>'Space heating'!F80</f>
        <v>21274.756357281243</v>
      </c>
    </row>
    <row r="10" spans="2:6">
      <c r="B10" t="s">
        <v>110</v>
      </c>
      <c r="C10" s="77"/>
      <c r="D10" s="48">
        <f>'Space heating'!D81</f>
        <v>101147.29231168579</v>
      </c>
      <c r="E10" s="48">
        <f>'Space heating'!E81</f>
        <v>13474.414266584838</v>
      </c>
      <c r="F10" s="48">
        <f>'Space heating'!F81</f>
        <v>2205.8434217293748</v>
      </c>
    </row>
    <row r="11" spans="2:6">
      <c r="B11" t="s">
        <v>21</v>
      </c>
      <c r="C11" s="77"/>
      <c r="D11" s="48">
        <f>'Space heating'!D82</f>
        <v>168.10424108783536</v>
      </c>
      <c r="E11" s="48">
        <f>'Space heating'!E82</f>
        <v>211.80575891216463</v>
      </c>
      <c r="F11" s="48">
        <f>'Space heating'!F82</f>
        <v>0</v>
      </c>
    </row>
    <row r="12" spans="2:6">
      <c r="B12" t="s">
        <v>22</v>
      </c>
      <c r="C12" s="77"/>
      <c r="D12" s="48">
        <f>'Space heating'!D83</f>
        <v>10324.254857488977</v>
      </c>
      <c r="E12" s="48">
        <f>'Space heating'!E83</f>
        <v>9702.1095685423188</v>
      </c>
      <c r="F12" s="48">
        <f>'Space heating'!F83</f>
        <v>15483.575573968701</v>
      </c>
    </row>
    <row r="13" spans="2:6">
      <c r="B13" s="52" t="s">
        <v>23</v>
      </c>
      <c r="C13" s="78"/>
      <c r="D13" s="79">
        <f>'Space heating'!D84</f>
        <v>157996.94268981475</v>
      </c>
      <c r="E13" s="79">
        <f>'Space heating'!E84</f>
        <v>21968.46731018526</v>
      </c>
      <c r="F13" s="79">
        <f>'Space heating'!F84</f>
        <v>0</v>
      </c>
    </row>
    <row r="14" spans="2:6">
      <c r="B14" s="55" t="s">
        <v>99</v>
      </c>
      <c r="C14" s="69"/>
      <c r="D14" s="83">
        <f>SUM(D7:D13)</f>
        <v>552836.55961677199</v>
      </c>
      <c r="E14" s="83">
        <f t="shared" ref="E14:F14" si="0">SUM(E7:E13)</f>
        <v>117551.65521167364</v>
      </c>
      <c r="F14" s="83">
        <f t="shared" si="0"/>
        <v>83019.055171554413</v>
      </c>
    </row>
    <row r="17" spans="2:18">
      <c r="B17" s="28" t="s">
        <v>133</v>
      </c>
    </row>
    <row r="18" spans="2:18" ht="30">
      <c r="B18" s="59" t="s">
        <v>126</v>
      </c>
      <c r="C18" s="72" t="s">
        <v>102</v>
      </c>
      <c r="D18" s="59" t="s">
        <v>128</v>
      </c>
      <c r="E18" s="72" t="s">
        <v>127</v>
      </c>
      <c r="F18" s="73" t="s">
        <v>107</v>
      </c>
      <c r="O18" s="28"/>
    </row>
    <row r="19" spans="2:18">
      <c r="B19" s="54" t="s">
        <v>86</v>
      </c>
      <c r="C19" s="80">
        <f>F8+F9</f>
        <v>61527.134718746143</v>
      </c>
      <c r="D19" s="81">
        <v>0.4</v>
      </c>
      <c r="E19" s="48">
        <f>IF(ISNUMBER(C19),C19*D19,"")</f>
        <v>24610.853887498459</v>
      </c>
      <c r="F19" s="82">
        <f>IF(ISNUMBER(E19),E19/E$24,"")</f>
        <v>0.7045900443448897</v>
      </c>
    </row>
    <row r="20" spans="2:18">
      <c r="B20" s="54" t="s">
        <v>87</v>
      </c>
      <c r="C20" s="80">
        <f>F12</f>
        <v>15483.575573968701</v>
      </c>
      <c r="D20" s="81">
        <v>0.55000000000000004</v>
      </c>
      <c r="E20" s="48">
        <f t="shared" ref="E20:E23" si="1">IF(ISNUMBER(C20),C20*D20,"")</f>
        <v>8515.9665656827856</v>
      </c>
      <c r="F20" s="82">
        <f>IF(ISNUMBER(E20),E20/E$24,"")</f>
        <v>0.2438056512619409</v>
      </c>
    </row>
    <row r="21" spans="2:18">
      <c r="B21" s="54" t="s">
        <v>88</v>
      </c>
      <c r="C21" s="80" t="s">
        <v>33</v>
      </c>
      <c r="D21" s="81">
        <v>0.6</v>
      </c>
      <c r="E21" s="48" t="str">
        <f t="shared" si="1"/>
        <v/>
      </c>
      <c r="F21" s="82" t="str">
        <f>IF(ISNUMBER(E21),E21/E$24,"")</f>
        <v/>
      </c>
      <c r="O21" s="28"/>
    </row>
    <row r="22" spans="2:18">
      <c r="B22" s="54" t="s">
        <v>89</v>
      </c>
      <c r="C22" s="80" t="s">
        <v>33</v>
      </c>
      <c r="D22" s="81">
        <v>0.85</v>
      </c>
      <c r="E22" s="48" t="str">
        <f t="shared" si="1"/>
        <v/>
      </c>
      <c r="F22" s="82" t="str">
        <f>IF(ISNUMBER(E22),E22/E$24,"")</f>
        <v/>
      </c>
      <c r="O22" s="32"/>
      <c r="P22" s="32"/>
    </row>
    <row r="23" spans="2:18">
      <c r="B23" s="54" t="s">
        <v>90</v>
      </c>
      <c r="C23" s="80">
        <f>F7+F10</f>
        <v>6008.3448788395654</v>
      </c>
      <c r="D23" s="81">
        <v>0.3</v>
      </c>
      <c r="E23" s="48">
        <f t="shared" si="1"/>
        <v>1802.5034636518697</v>
      </c>
      <c r="F23" s="82">
        <f>IF(ISNUMBER(E23),E23/E$24,"")</f>
        <v>5.1604304393169445E-2</v>
      </c>
      <c r="O23" s="31"/>
      <c r="P23" s="31"/>
    </row>
    <row r="24" spans="2:18">
      <c r="B24" s="69" t="s">
        <v>99</v>
      </c>
      <c r="C24" s="83">
        <f>SUM(C19:C23)</f>
        <v>83019.055171554413</v>
      </c>
      <c r="D24" s="69"/>
      <c r="E24" s="83">
        <f>SUM(E19:E23)</f>
        <v>34929.323916833113</v>
      </c>
      <c r="F24" s="84">
        <f>SUM(F19:F23)</f>
        <v>1</v>
      </c>
      <c r="O24" s="28"/>
    </row>
    <row r="25" spans="2:18">
      <c r="O25" s="32"/>
      <c r="P25" s="32"/>
      <c r="Q25" s="32"/>
      <c r="R25" s="32"/>
    </row>
    <row r="26" spans="2:18">
      <c r="O26" s="31"/>
    </row>
    <row r="27" spans="2:18">
      <c r="B27" s="28" t="s">
        <v>134</v>
      </c>
      <c r="O27" s="31"/>
    </row>
    <row r="28" spans="2:18" s="64" customFormat="1" ht="30">
      <c r="B28" s="76" t="s">
        <v>75</v>
      </c>
      <c r="C28" s="85" t="s">
        <v>76</v>
      </c>
      <c r="D28" s="65"/>
      <c r="E28" s="65"/>
      <c r="F28" s="65"/>
      <c r="O28" s="45"/>
    </row>
    <row r="29" spans="2:18">
      <c r="B29" s="37" t="s">
        <v>77</v>
      </c>
      <c r="C29" s="86">
        <v>7.25</v>
      </c>
      <c r="O29" s="31"/>
    </row>
    <row r="30" spans="2:18">
      <c r="B30" s="37" t="s">
        <v>78</v>
      </c>
      <c r="C30" s="86">
        <v>7.19</v>
      </c>
      <c r="O30" s="31"/>
    </row>
    <row r="31" spans="2:18">
      <c r="B31" s="37" t="s">
        <v>79</v>
      </c>
      <c r="C31" s="86">
        <v>3.81</v>
      </c>
      <c r="O31" s="31"/>
    </row>
    <row r="32" spans="2:18">
      <c r="B32" s="37" t="s">
        <v>80</v>
      </c>
      <c r="C32" s="86">
        <v>52.79</v>
      </c>
      <c r="O32" s="31"/>
    </row>
    <row r="33" spans="2:17">
      <c r="B33" s="37" t="s">
        <v>81</v>
      </c>
      <c r="C33" s="86">
        <v>37.76</v>
      </c>
      <c r="O33" s="31"/>
    </row>
    <row r="34" spans="2:17">
      <c r="B34" s="37" t="s">
        <v>82</v>
      </c>
      <c r="C34" s="86">
        <v>8.93</v>
      </c>
    </row>
    <row r="35" spans="2:17">
      <c r="B35" s="75" t="s">
        <v>83</v>
      </c>
      <c r="C35" s="87">
        <v>53.83</v>
      </c>
      <c r="Q35" s="33"/>
    </row>
    <row r="36" spans="2:17">
      <c r="Q36" s="33"/>
    </row>
    <row r="37" spans="2:17">
      <c r="Q37" s="33"/>
    </row>
    <row r="38" spans="2:17">
      <c r="B38" s="28" t="s">
        <v>114</v>
      </c>
    </row>
    <row r="39" spans="2:17">
      <c r="B39" s="41" t="s">
        <v>75</v>
      </c>
      <c r="C39" s="62" t="s">
        <v>84</v>
      </c>
      <c r="D39" s="62" t="s">
        <v>85</v>
      </c>
      <c r="E39" s="62" t="s">
        <v>19</v>
      </c>
    </row>
    <row r="40" spans="2:17">
      <c r="B40" s="31" t="s">
        <v>77</v>
      </c>
      <c r="C40" s="68">
        <f>C29</f>
        <v>7.25</v>
      </c>
      <c r="D40" s="68">
        <f>C29</f>
        <v>7.25</v>
      </c>
      <c r="E40" s="68" t="s">
        <v>33</v>
      </c>
    </row>
    <row r="41" spans="2:17">
      <c r="B41" s="31" t="s">
        <v>78</v>
      </c>
      <c r="C41" s="68" t="s">
        <v>33</v>
      </c>
      <c r="D41" s="68">
        <f>C30</f>
        <v>7.19</v>
      </c>
      <c r="E41" s="68" t="s">
        <v>33</v>
      </c>
    </row>
    <row r="42" spans="2:17">
      <c r="B42" s="31" t="s">
        <v>79</v>
      </c>
      <c r="C42" s="68">
        <f>C31</f>
        <v>3.81</v>
      </c>
      <c r="D42" s="68" t="s">
        <v>33</v>
      </c>
      <c r="E42" s="68" t="s">
        <v>33</v>
      </c>
    </row>
    <row r="43" spans="2:17">
      <c r="B43" s="31" t="s">
        <v>80</v>
      </c>
      <c r="C43" s="68">
        <f>C32</f>
        <v>52.79</v>
      </c>
      <c r="D43" s="68">
        <f>C32</f>
        <v>52.79</v>
      </c>
      <c r="E43" s="68" t="s">
        <v>33</v>
      </c>
    </row>
    <row r="44" spans="2:17">
      <c r="B44" s="31" t="s">
        <v>81</v>
      </c>
      <c r="C44" s="68">
        <f>C33</f>
        <v>37.76</v>
      </c>
      <c r="D44" s="68" t="s">
        <v>33</v>
      </c>
      <c r="E44" s="68" t="s">
        <v>33</v>
      </c>
    </row>
    <row r="45" spans="2:17">
      <c r="B45" s="31" t="s">
        <v>82</v>
      </c>
      <c r="C45" s="68">
        <f>C34</f>
        <v>8.93</v>
      </c>
      <c r="D45" s="68" t="s">
        <v>33</v>
      </c>
      <c r="E45" s="68" t="s">
        <v>33</v>
      </c>
    </row>
    <row r="46" spans="2:17">
      <c r="B46" s="31" t="s">
        <v>83</v>
      </c>
      <c r="C46" s="68" t="s">
        <v>33</v>
      </c>
      <c r="D46" s="68" t="s">
        <v>33</v>
      </c>
      <c r="E46" s="68">
        <f>C35</f>
        <v>53.83</v>
      </c>
    </row>
    <row r="47" spans="2:17">
      <c r="B47" s="46" t="s">
        <v>20</v>
      </c>
      <c r="C47" s="69">
        <f>SUM(C40:C46)</f>
        <v>110.53999999999999</v>
      </c>
      <c r="D47" s="69">
        <f>SUM(D40:D46)</f>
        <v>67.23</v>
      </c>
      <c r="E47" s="69">
        <f>SUM(E40:E46)</f>
        <v>53.83</v>
      </c>
    </row>
    <row r="50" spans="2:17">
      <c r="B50" s="28" t="s">
        <v>74</v>
      </c>
    </row>
    <row r="51" spans="2:17" s="64" customFormat="1" ht="30">
      <c r="B51" s="49" t="s">
        <v>126</v>
      </c>
      <c r="C51" s="59" t="s">
        <v>135</v>
      </c>
      <c r="D51" s="59" t="s">
        <v>107</v>
      </c>
      <c r="E51" s="65"/>
      <c r="F51" s="65"/>
    </row>
    <row r="52" spans="2:17">
      <c r="B52" t="s">
        <v>86</v>
      </c>
      <c r="C52" s="68">
        <f>MAX(C43:D43)+C44</f>
        <v>90.55</v>
      </c>
      <c r="D52" s="88">
        <f>IF(ISNUMBER(C52),C52/SUM($C$52:$C$56),"")</f>
        <v>0.76913276140321074</v>
      </c>
    </row>
    <row r="53" spans="2:17">
      <c r="B53" t="s">
        <v>87</v>
      </c>
      <c r="C53" s="68">
        <f>MAX(C40:D40)+D41+C42</f>
        <v>18.25</v>
      </c>
      <c r="D53" s="88">
        <f t="shared" ref="D53:D56" si="2">IF(ISNUMBER(C53),C53/SUM($C$52:$C$56),"")</f>
        <v>0.15501571392168523</v>
      </c>
    </row>
    <row r="54" spans="2:17">
      <c r="B54" t="s">
        <v>88</v>
      </c>
      <c r="C54" s="68" t="s">
        <v>33</v>
      </c>
      <c r="D54" s="88" t="str">
        <f t="shared" si="2"/>
        <v/>
      </c>
    </row>
    <row r="55" spans="2:17">
      <c r="B55" t="s">
        <v>89</v>
      </c>
      <c r="C55" s="68" t="s">
        <v>33</v>
      </c>
      <c r="D55" s="88" t="str">
        <f t="shared" si="2"/>
        <v/>
      </c>
    </row>
    <row r="56" spans="2:17">
      <c r="B56" t="s">
        <v>90</v>
      </c>
      <c r="C56" s="68">
        <f>C45</f>
        <v>8.93</v>
      </c>
      <c r="D56" s="88">
        <f t="shared" si="2"/>
        <v>7.5851524675104059E-2</v>
      </c>
    </row>
    <row r="57" spans="2:17">
      <c r="B57" s="42" t="s">
        <v>99</v>
      </c>
      <c r="C57" s="69"/>
      <c r="D57" s="89">
        <f>SUM(D52:D56)</f>
        <v>1</v>
      </c>
      <c r="Q57" s="33"/>
    </row>
    <row r="58" spans="2:17">
      <c r="Q58" s="33"/>
    </row>
    <row r="60" spans="2:17">
      <c r="B60" s="28" t="s">
        <v>101</v>
      </c>
    </row>
    <row r="61" spans="2:17">
      <c r="B61" t="s">
        <v>161</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4"/>
  <sheetViews>
    <sheetView workbookViewId="0"/>
  </sheetViews>
  <sheetFormatPr baseColWidth="10" defaultRowHeight="15" x14ac:dyDescent="0"/>
  <cols>
    <col min="1" max="1" width="3.83203125" customWidth="1"/>
    <col min="2" max="2" width="25.33203125" customWidth="1"/>
    <col min="3" max="5" width="15.83203125" customWidth="1"/>
    <col min="6" max="6" width="3.83203125" customWidth="1"/>
    <col min="7" max="10" width="15.83203125" customWidth="1"/>
  </cols>
  <sheetData>
    <row r="2" spans="2:10" ht="20">
      <c r="B2" s="40" t="s">
        <v>38</v>
      </c>
    </row>
    <row r="4" spans="2:10">
      <c r="B4" s="92" t="s">
        <v>153</v>
      </c>
    </row>
    <row r="5" spans="2:10">
      <c r="B5" s="92"/>
    </row>
    <row r="7" spans="2:10">
      <c r="B7" s="28" t="s">
        <v>154</v>
      </c>
      <c r="G7" s="28" t="s">
        <v>137</v>
      </c>
      <c r="H7" s="28"/>
      <c r="I7" s="28"/>
    </row>
    <row r="8" spans="2:10" s="68" customFormat="1" ht="60">
      <c r="B8" s="59" t="s">
        <v>138</v>
      </c>
      <c r="C8" s="59" t="s">
        <v>139</v>
      </c>
      <c r="D8" s="59" t="s">
        <v>155</v>
      </c>
      <c r="E8" s="59" t="s">
        <v>140</v>
      </c>
      <c r="F8" s="97"/>
      <c r="G8" s="59" t="s">
        <v>156</v>
      </c>
      <c r="H8" s="59" t="s">
        <v>141</v>
      </c>
      <c r="I8" s="59" t="s">
        <v>142</v>
      </c>
      <c r="J8" s="59" t="s">
        <v>143</v>
      </c>
    </row>
    <row r="9" spans="2:10">
      <c r="B9" s="45" t="s">
        <v>144</v>
      </c>
      <c r="C9" s="98">
        <v>0.99570000000000003</v>
      </c>
      <c r="D9" s="45">
        <v>14.08</v>
      </c>
      <c r="E9" s="64">
        <v>495</v>
      </c>
      <c r="F9" s="64"/>
      <c r="G9" s="93">
        <f>C9*D9</f>
        <v>14.019456</v>
      </c>
      <c r="H9" s="103"/>
      <c r="I9" s="93">
        <f>E9/D9</f>
        <v>35.15625</v>
      </c>
      <c r="J9" s="93">
        <f>I9/I$10</f>
        <v>0.64064351303317546</v>
      </c>
    </row>
    <row r="10" spans="2:10">
      <c r="B10" s="45" t="s">
        <v>145</v>
      </c>
      <c r="C10" s="98">
        <v>0.80059999999999998</v>
      </c>
      <c r="D10" s="45">
        <v>7.69</v>
      </c>
      <c r="E10" s="64">
        <v>422</v>
      </c>
      <c r="F10" s="64"/>
      <c r="G10" s="93">
        <f t="shared" ref="G10:G12" si="0">C10*D10</f>
        <v>6.1566140000000003</v>
      </c>
      <c r="H10" s="103">
        <f>G10/$G$9</f>
        <v>0.43914785281254853</v>
      </c>
      <c r="I10" s="93">
        <f>E10/D10</f>
        <v>54.876462938881659</v>
      </c>
      <c r="J10" s="93">
        <f>I10/I$10</f>
        <v>1</v>
      </c>
    </row>
    <row r="11" spans="2:10">
      <c r="B11" s="45" t="s">
        <v>146</v>
      </c>
      <c r="C11" s="98">
        <v>0.69920000000000004</v>
      </c>
      <c r="D11" s="45">
        <v>7.48</v>
      </c>
      <c r="E11" s="64">
        <v>138</v>
      </c>
      <c r="F11" s="64"/>
      <c r="G11" s="93">
        <f t="shared" si="0"/>
        <v>5.2300160000000009</v>
      </c>
      <c r="H11" s="103">
        <f t="shared" ref="H11:H12" si="1">G11/$G$9</f>
        <v>0.37305413277091498</v>
      </c>
      <c r="I11" s="93">
        <f>E11/D11</f>
        <v>18.449197860962567</v>
      </c>
      <c r="J11" s="93">
        <f>I11/I$10</f>
        <v>0.33619509846161649</v>
      </c>
    </row>
    <row r="12" spans="2:10">
      <c r="B12" s="94" t="s">
        <v>147</v>
      </c>
      <c r="C12" s="99">
        <v>0.35539999999999999</v>
      </c>
      <c r="D12" s="94">
        <v>7.41</v>
      </c>
      <c r="E12" s="95">
        <v>174</v>
      </c>
      <c r="F12" s="64"/>
      <c r="G12" s="96">
        <f t="shared" si="0"/>
        <v>2.6335139999999999</v>
      </c>
      <c r="H12" s="104">
        <f t="shared" si="1"/>
        <v>0.18784708907392697</v>
      </c>
      <c r="I12" s="96">
        <f>E12/D12</f>
        <v>23.481781376518217</v>
      </c>
      <c r="J12" s="96">
        <f>I12/I$10</f>
        <v>0.42790260375693157</v>
      </c>
    </row>
    <row r="13" spans="2:10">
      <c r="B13" s="31"/>
      <c r="C13" s="31"/>
      <c r="D13" s="31"/>
      <c r="I13" s="90"/>
      <c r="J13" s="90"/>
    </row>
    <row r="15" spans="2:10">
      <c r="B15" s="28" t="s">
        <v>157</v>
      </c>
    </row>
    <row r="16" spans="2:10">
      <c r="B16" s="41" t="s">
        <v>138</v>
      </c>
      <c r="C16" s="41" t="s">
        <v>148</v>
      </c>
      <c r="D16" s="41" t="s">
        <v>143</v>
      </c>
    </row>
    <row r="17" spans="2:10">
      <c r="B17" s="31" t="s">
        <v>145</v>
      </c>
      <c r="C17">
        <v>0.05</v>
      </c>
      <c r="D17">
        <f>(1/C17)/(1/C$17)</f>
        <v>1</v>
      </c>
    </row>
    <row r="18" spans="2:10">
      <c r="B18" s="31" t="s">
        <v>149</v>
      </c>
      <c r="C18">
        <v>0.25</v>
      </c>
      <c r="D18">
        <f>(1/C18)/(1/C$17)</f>
        <v>0.2</v>
      </c>
    </row>
    <row r="19" spans="2:10">
      <c r="B19" s="100" t="s">
        <v>150</v>
      </c>
      <c r="C19" s="52">
        <v>0.5</v>
      </c>
      <c r="D19" s="52">
        <f>(1/C19)/(1/C$17)</f>
        <v>0.1</v>
      </c>
    </row>
    <row r="20" spans="2:10">
      <c r="B20" s="107"/>
      <c r="C20" s="51"/>
      <c r="D20" s="51"/>
    </row>
    <row r="22" spans="2:10">
      <c r="B22" s="28" t="s">
        <v>158</v>
      </c>
    </row>
    <row r="23" spans="2:10">
      <c r="B23" s="41" t="s">
        <v>138</v>
      </c>
      <c r="C23" s="41" t="s">
        <v>151</v>
      </c>
      <c r="D23" s="91"/>
      <c r="E23" s="91"/>
      <c r="F23" s="91"/>
      <c r="G23" s="91"/>
      <c r="H23" s="91"/>
    </row>
    <row r="24" spans="2:10">
      <c r="B24" s="31" t="s">
        <v>145</v>
      </c>
      <c r="C24" s="105">
        <f>(C10*D10)/($C$9*$D$9)+(C12*D12)/($C$9*$D$9)</f>
        <v>0.62699494188647553</v>
      </c>
    </row>
    <row r="25" spans="2:10">
      <c r="B25" s="31" t="s">
        <v>149</v>
      </c>
      <c r="C25" s="105">
        <f>(C11*D11)/($C$9*$D$9)</f>
        <v>0.37305413277091498</v>
      </c>
    </row>
    <row r="26" spans="2:10">
      <c r="B26" s="100" t="s">
        <v>150</v>
      </c>
      <c r="C26" s="106">
        <v>0</v>
      </c>
    </row>
    <row r="27" spans="2:10" ht="30">
      <c r="B27" s="101" t="s">
        <v>152</v>
      </c>
      <c r="C27" s="42">
        <f>(C24*D17)+(C25*D18)+(C26*D19)</f>
        <v>0.70160576844065847</v>
      </c>
    </row>
    <row r="28" spans="2:10">
      <c r="B28" s="108"/>
      <c r="C28" s="51"/>
    </row>
    <row r="30" spans="2:10" ht="30" customHeight="1">
      <c r="B30" s="109" t="s">
        <v>159</v>
      </c>
      <c r="C30" s="109"/>
      <c r="D30" s="109"/>
      <c r="E30" s="109"/>
      <c r="F30" s="109"/>
      <c r="G30" s="109"/>
      <c r="H30" s="109"/>
      <c r="I30" s="109"/>
      <c r="J30" s="109"/>
    </row>
    <row r="31" spans="2:10">
      <c r="D31" s="102"/>
      <c r="E31" s="102"/>
      <c r="F31" s="102"/>
      <c r="G31" s="102"/>
      <c r="H31" s="102"/>
      <c r="I31" s="102"/>
      <c r="J31" s="102"/>
    </row>
    <row r="32" spans="2:10">
      <c r="D32" s="102"/>
      <c r="E32" s="102"/>
      <c r="F32" s="102"/>
      <c r="G32" s="102"/>
      <c r="H32" s="102"/>
      <c r="I32" s="102"/>
      <c r="J32" s="102"/>
    </row>
    <row r="33" spans="2:2">
      <c r="B33" s="28" t="s">
        <v>101</v>
      </c>
    </row>
    <row r="34" spans="2:2">
      <c r="B34" s="31" t="s">
        <v>162</v>
      </c>
    </row>
  </sheetData>
  <mergeCells count="1">
    <mergeCell ref="B30:J30"/>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4"/>
  <sheetViews>
    <sheetView workbookViewId="0"/>
  </sheetViews>
  <sheetFormatPr baseColWidth="10" defaultRowHeight="15" x14ac:dyDescent="0"/>
  <cols>
    <col min="1" max="1" width="3.83203125" customWidth="1"/>
    <col min="2" max="2" width="20.83203125" customWidth="1"/>
  </cols>
  <sheetData>
    <row r="2" spans="2:8" ht="20">
      <c r="B2" s="40" t="s">
        <v>105</v>
      </c>
    </row>
    <row r="3" spans="2:8" ht="20">
      <c r="B3" s="40"/>
    </row>
    <row r="5" spans="2:8">
      <c r="B5" s="28" t="s">
        <v>108</v>
      </c>
    </row>
    <row r="6" spans="2:8">
      <c r="B6" s="41" t="s">
        <v>34</v>
      </c>
      <c r="C6" s="41" t="s">
        <v>107</v>
      </c>
    </row>
    <row r="7" spans="2:8">
      <c r="B7" t="s">
        <v>50</v>
      </c>
      <c r="C7" s="43">
        <v>0.2142</v>
      </c>
    </row>
    <row r="8" spans="2:8">
      <c r="B8" t="s">
        <v>51</v>
      </c>
      <c r="C8" s="43">
        <v>0.15049999999999999</v>
      </c>
    </row>
    <row r="9" spans="2:8">
      <c r="B9" t="s">
        <v>52</v>
      </c>
      <c r="C9" s="43">
        <v>0.35730000000000001</v>
      </c>
      <c r="D9" s="51"/>
      <c r="E9" s="51"/>
      <c r="F9" s="51"/>
      <c r="G9" s="51"/>
      <c r="H9" s="51"/>
    </row>
    <row r="10" spans="2:8">
      <c r="B10" t="s">
        <v>53</v>
      </c>
      <c r="C10" s="43">
        <v>0.19220000000000001</v>
      </c>
      <c r="D10" s="51"/>
      <c r="E10" s="51"/>
      <c r="F10" s="51"/>
      <c r="G10" s="51"/>
      <c r="H10" s="51"/>
    </row>
    <row r="11" spans="2:8">
      <c r="B11" t="s">
        <v>54</v>
      </c>
      <c r="C11" s="43">
        <v>7.85E-2</v>
      </c>
      <c r="D11" s="51"/>
      <c r="E11" s="51"/>
      <c r="F11" s="51"/>
      <c r="G11" s="51"/>
      <c r="H11" s="51"/>
    </row>
    <row r="12" spans="2:8">
      <c r="B12" s="52" t="s">
        <v>55</v>
      </c>
      <c r="C12" s="56">
        <v>7.1999999999999998E-3</v>
      </c>
      <c r="D12" s="51"/>
      <c r="E12" s="51"/>
      <c r="F12" s="51"/>
      <c r="G12" s="51"/>
      <c r="H12" s="51"/>
    </row>
    <row r="13" spans="2:8">
      <c r="B13" s="55" t="s">
        <v>99</v>
      </c>
      <c r="C13" s="44">
        <f>SUM(C7:C12)</f>
        <v>0.99990000000000001</v>
      </c>
      <c r="D13" s="51"/>
      <c r="E13" s="51"/>
      <c r="F13" s="51"/>
      <c r="G13" s="51"/>
      <c r="H13" s="51"/>
    </row>
    <row r="14" spans="2:8">
      <c r="B14" s="51"/>
      <c r="C14" s="51"/>
      <c r="D14" s="51"/>
      <c r="E14" s="51"/>
      <c r="F14" s="51"/>
      <c r="G14" s="51"/>
      <c r="H14" s="51"/>
    </row>
    <row r="16" spans="2:8">
      <c r="B16" s="28" t="s">
        <v>106</v>
      </c>
    </row>
    <row r="17" spans="2:6">
      <c r="B17" s="41" t="s">
        <v>49</v>
      </c>
      <c r="C17" s="41" t="s">
        <v>107</v>
      </c>
    </row>
    <row r="18" spans="2:6">
      <c r="B18" t="s">
        <v>56</v>
      </c>
      <c r="C18" s="57">
        <f>C7+C8+C9+(11/15)*C10</f>
        <v>0.86294666666666664</v>
      </c>
      <c r="D18" s="30"/>
      <c r="E18" s="30"/>
      <c r="F18" s="29"/>
    </row>
    <row r="19" spans="2:6">
      <c r="B19" t="s">
        <v>57</v>
      </c>
      <c r="C19" s="57">
        <f>(4/15)*C10+C11+C12</f>
        <v>0.13695333333333334</v>
      </c>
    </row>
    <row r="20" spans="2:6">
      <c r="B20" s="42" t="s">
        <v>99</v>
      </c>
      <c r="C20" s="44">
        <f>SUM(C18:C19)</f>
        <v>0.99990000000000001</v>
      </c>
    </row>
    <row r="23" spans="2:6">
      <c r="B23" s="28" t="s">
        <v>101</v>
      </c>
    </row>
    <row r="24" spans="2:6">
      <c r="B24" s="31" t="s">
        <v>163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Application split</vt:lpstr>
      <vt:lpstr>Space heating</vt:lpstr>
      <vt:lpstr>Hot water</vt:lpstr>
      <vt:lpstr>Cooking</vt:lpstr>
      <vt:lpstr>Lighting</vt:lpstr>
      <vt:lpstr>Old and new houses</vt:lpstr>
    </vt:vector>
  </TitlesOfParts>
  <Manager/>
  <Company>Quintel Intelligence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Wouter Terlouw</cp:lastModifiedBy>
  <cp:lastPrinted>2013-07-16T13:47:53Z</cp:lastPrinted>
  <dcterms:created xsi:type="dcterms:W3CDTF">2013-06-25T11:11:29Z</dcterms:created>
  <dcterms:modified xsi:type="dcterms:W3CDTF">2014-07-11T09:18:00Z</dcterms:modified>
  <cp:category/>
</cp:coreProperties>
</file>