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815"/>
  <workbookPr showInkAnnotation="0" autoCompressPictures="0"/>
  <mc:AlternateContent xmlns:mc="http://schemas.openxmlformats.org/markup-compatibility/2006">
    <mc:Choice Requires="x15">
      <x15ac:absPath xmlns:x15ac="http://schemas.microsoft.com/office/spreadsheetml/2010/11/ac" url="/Users/berend/Dropbox (Quintel)/Quintel/Projects/201701_Ondersteuning toekomstvisie Enexis/De Biezen in Dongen/"/>
    </mc:Choice>
  </mc:AlternateContent>
  <bookViews>
    <workbookView xWindow="28800" yWindow="460" windowWidth="38340" windowHeight="22440" tabRatio="710" activeTab="3"/>
  </bookViews>
  <sheets>
    <sheet name="Cover sheet" sheetId="4" r:id="rId1"/>
    <sheet name="Changelog" sheetId="5" r:id="rId2"/>
    <sheet name="Sources and assumptions" sheetId="2" r:id="rId3"/>
    <sheet name="Final demand per energy carrier" sheetId="1" r:id="rId4"/>
    <sheet name="Houses Shares" sheetId="10" r:id="rId5"/>
    <sheet name="Electricity" sheetId="7" r:id="rId6"/>
    <sheet name="Cooking" sheetId="6" r:id="rId7"/>
    <sheet name="Heatpumps" sheetId="8" r:id="rId8"/>
    <sheet name="Cooling" sheetId="9" r:id="rId9"/>
  </sheets>
  <externalReferences>
    <externalReference r:id="rId10"/>
    <externalReference r:id="rId11"/>
    <externalReference r:id="rId12"/>
  </externalReferences>
  <definedNames>
    <definedName name="ap_subfuel_allo">'[1]CEB allocation factors'!$F$12:$BC$12</definedName>
    <definedName name="base_year">[1]Dashboard!$E$13</definedName>
    <definedName name="country">[1]Dashboard!$E$12</definedName>
    <definedName name="Eff_cooking_biomass" localSheetId="4">[2]technical_specs!$P$51</definedName>
    <definedName name="Eff_cooking_biomass">[3]technical_specs!$M$50</definedName>
    <definedName name="Eff_cooking_electric" localSheetId="4">[2]technical_specs!$P$48</definedName>
    <definedName name="Eff_cooking_electric">[3]technical_specs!$M$47</definedName>
    <definedName name="Eff_cooking_gas" localSheetId="4">[2]technical_specs!$P$47</definedName>
    <definedName name="Eff_cooking_gas">[3]technical_specs!$M$46</definedName>
    <definedName name="Eff_cooking_halogen" localSheetId="4">[2]technical_specs!$P$49</definedName>
    <definedName name="Eff_cooking_halogen">[3]technical_specs!$M$48</definedName>
    <definedName name="Eff_cooking_induction" localSheetId="4">[2]technical_specs!$P$50</definedName>
    <definedName name="Eff_cooking_induction">[3]technical_specs!$M$49</definedName>
    <definedName name="Eff_cooling_airco" localSheetId="4">[2]technical_specs!$P$44</definedName>
    <definedName name="Eff_cooling_airco">[3]technical_specs!$M$43</definedName>
    <definedName name="Eff_cooling_pump_air" localSheetId="4">[2]technical_specs!$P$43</definedName>
    <definedName name="Eff_cooling_pump_air">[3]technical_specs!$M$42</definedName>
    <definedName name="Eff_cooling_pump_ground" localSheetId="4">[2]technical_specs!$P$42</definedName>
    <definedName name="Eff_cooling_pump_ground">[3]technical_specs!$M$41</definedName>
    <definedName name="Eff_hot_water_coal" localSheetId="4">[2]technical_specs!$P$36</definedName>
    <definedName name="Eff_hot_water_coal">[3]technical_specs!$M$36</definedName>
    <definedName name="Eff_hot_water_combi_boiler" localSheetId="4">[2]technical_specs!$P$26</definedName>
    <definedName name="Eff_hot_water_combi_boiler">[3]technical_specs!$M$26</definedName>
    <definedName name="Eff_hot_water_district" localSheetId="4">[2]technical_specs!$P$30</definedName>
    <definedName name="Eff_hot_water_district">[3]technical_specs!$M$30</definedName>
    <definedName name="Eff_hot_water_electric" localSheetId="4">[2]technical_specs!$P$33</definedName>
    <definedName name="Eff_hot_water_electric">[3]technical_specs!$M$33</definedName>
    <definedName name="Eff_hot_water_fuel_cell" localSheetId="4">[2]technical_specs!$P$37</definedName>
    <definedName name="Eff_hot_water_fuel_cell">[3]technical_specs!$M$37</definedName>
    <definedName name="Eff_hot_water_gas" localSheetId="4">[2]technical_specs!$P$34</definedName>
    <definedName name="Eff_hot_water_gas">[3]technical_specs!$M$34</definedName>
    <definedName name="Eff_hot_water_hhp_gas">[2]technical_specs!$P$39</definedName>
    <definedName name="Eff_hot_water_hhp_heatpump">[2]technical_specs!$P$38</definedName>
    <definedName name="Eff_hot_water_micro_CHP" localSheetId="4">[2]technical_specs!$P$29</definedName>
    <definedName name="Eff_hot_water_micro_CHP">[3]technical_specs!$M$29</definedName>
    <definedName name="Eff_hot_water_oil" localSheetId="4">[2]technical_specs!$P$35</definedName>
    <definedName name="Eff_hot_water_oil">[3]technical_specs!$M$35</definedName>
    <definedName name="Eff_hot_water_pump_air" localSheetId="4">[2]technical_specs!$P$31</definedName>
    <definedName name="Eff_hot_water_pump_air">[3]technical_specs!$M$31</definedName>
    <definedName name="Eff_hot_water_pump_ground" localSheetId="4">[2]technical_specs!$P$28</definedName>
    <definedName name="Eff_hot_water_pump_ground">[3]technical_specs!$M$28</definedName>
    <definedName name="Eff_hot_water_solar_thermal_panel" localSheetId="4">[2]technical_specs!$P$27</definedName>
    <definedName name="Eff_hot_water_solar_thermal_panel">[3]technical_specs!$M$27</definedName>
    <definedName name="Eff_hot_water_woodpellets" localSheetId="4">[2]technical_specs!$P$32</definedName>
    <definedName name="Eff_hot_water_woodpellets">[3]technical_specs!$M$32</definedName>
    <definedName name="Eff_lighting_fluorescent" localSheetId="4">[2]technical_specs!$P$55</definedName>
    <definedName name="Eff_lighting_fluorescent">[3]technical_specs!$M$54</definedName>
    <definedName name="Eff_lighting_incandescent" localSheetId="4">[2]technical_specs!$P$54</definedName>
    <definedName name="Eff_lighting_incandescent">[3]technical_specs!$M$53</definedName>
    <definedName name="Eff_lighting_led" localSheetId="4">[2]technical_specs!$P$56</definedName>
    <definedName name="Eff_lighting_led">[3]technical_specs!$M$55</definedName>
    <definedName name="Eff_space_heating_coal" localSheetId="4">[2]technical_specs!$P$21</definedName>
    <definedName name="Eff_space_heating_coal">[3]technical_specs!$M$21</definedName>
    <definedName name="Eff_space_heating_combi_boiler" localSheetId="4">[2]technical_specs!$P$11</definedName>
    <definedName name="Eff_space_heating_combi_boiler">[3]technical_specs!$M$11</definedName>
    <definedName name="Eff_space_heating_district" localSheetId="4">[2]technical_specs!$P$15</definedName>
    <definedName name="Eff_space_heating_district">[3]technical_specs!$M$15</definedName>
    <definedName name="Eff_space_heating_electric" localSheetId="4">[2]technical_specs!$P$18</definedName>
    <definedName name="Eff_space_heating_electric">[3]technical_specs!$M$18</definedName>
    <definedName name="Eff_space_heating_gas" localSheetId="4">[2]technical_specs!$P$19</definedName>
    <definedName name="Eff_space_heating_gas">[3]technical_specs!$M$19</definedName>
    <definedName name="Eff_space_heating_hhp_gas">[2]technical_specs!$P$23</definedName>
    <definedName name="Eff_space_heating_hhp_heatpump">[2]technical_specs!$P$22</definedName>
    <definedName name="Eff_space_heating_micro_CHP" localSheetId="4">[2]technical_specs!$P$14</definedName>
    <definedName name="Eff_space_heating_micro_CHP">[3]technical_specs!$M$14</definedName>
    <definedName name="Eff_space_heating_oil" localSheetId="4">[2]technical_specs!$P$20</definedName>
    <definedName name="Eff_space_heating_oil">[3]technical_specs!$M$20</definedName>
    <definedName name="Eff_space_heating_pump_add_on">[3]technical_specs!$M$22</definedName>
    <definedName name="Eff_space_heating_pump_air" localSheetId="4">[2]technical_specs!$P$16</definedName>
    <definedName name="Eff_space_heating_pump_air">[3]technical_specs!$M$16</definedName>
    <definedName name="Eff_space_heating_pump_ground" localSheetId="4">[2]technical_specs!$P$13</definedName>
    <definedName name="Eff_space_heating_pump_ground">[3]technical_specs!$M$13</definedName>
    <definedName name="Eff_space_heating_solar_thermal" localSheetId="4">[2]technical_specs!$P$12</definedName>
    <definedName name="Eff_space_heating_solar_thermal">[3]technical_specs!$M$12</definedName>
    <definedName name="Eff_space_heating_woodpellets" localSheetId="4">[2]technical_specs!$P$17</definedName>
    <definedName name="Eff_space_heating_woodpellets">[3]technical_specs!$M$17</definedName>
    <definedName name="ei_subsector_allo">'[1]CEB allocation factors'!$D$17:$D$33</definedName>
    <definedName name="Final_demand_appliances" localSheetId="4">[2]Dashboard!$E$25</definedName>
    <definedName name="Final_demand_appliances">[3]Dashboard!$E$25</definedName>
    <definedName name="Final_demand_coal" localSheetId="4">'[2]Fuel aggregation'!$C$11</definedName>
    <definedName name="Final_demand_coal">'[3]Fuel aggregation'!$C$11</definedName>
    <definedName name="Final_demand_cooking" localSheetId="4">[2]Dashboard!$E$24</definedName>
    <definedName name="Final_demand_cooking">[3]Dashboard!$E$24</definedName>
    <definedName name="Final_demand_cooling" localSheetId="4">[2]Dashboard!$E$22</definedName>
    <definedName name="Final_demand_cooling">[3]Dashboard!$E$22</definedName>
    <definedName name="Final_demand_electricity" localSheetId="4">'[2]Fuel aggregation'!$I$11</definedName>
    <definedName name="Final_demand_electricity">'[3]Fuel aggregation'!$I$11</definedName>
    <definedName name="Final_demand_gas" localSheetId="4">'[2]Fuel aggregation'!$D$11</definedName>
    <definedName name="Final_demand_gas">'[3]Fuel aggregation'!$D$11</definedName>
    <definedName name="Final_demand_heat" localSheetId="4">'[2]Fuel aggregation'!$J$11</definedName>
    <definedName name="Final_demand_heat">'[3]Fuel aggregation'!$J$11</definedName>
    <definedName name="Final_demand_hot_water" localSheetId="4">[2]Dashboard!$E$21</definedName>
    <definedName name="Final_demand_hot_water">[3]Dashboard!$E$21</definedName>
    <definedName name="Final_demand_lighting" localSheetId="4">[2]Dashboard!$E$23</definedName>
    <definedName name="Final_demand_lighting">[3]Dashboard!$E$23</definedName>
    <definedName name="Final_demand_oil" localSheetId="4">'[2]Fuel aggregation'!$E$11</definedName>
    <definedName name="Final_demand_oil">'[3]Fuel aggregation'!$E$11</definedName>
    <definedName name="Final_demand_residences" localSheetId="4">'[2]Fuel aggregation'!$L$11</definedName>
    <definedName name="Final_demand_residences">'[3]Fuel aggregation'!$L$11</definedName>
    <definedName name="Final_demand_solar_thermal" localSheetId="4">'[2]Fuel aggregation'!$G$11</definedName>
    <definedName name="Final_demand_solar_thermal">'[3]Fuel aggregation'!$G$11</definedName>
    <definedName name="Final_demand_space_heating" localSheetId="4">[2]Dashboard!$E$20</definedName>
    <definedName name="Final_demand_space_heating">[3]Dashboard!$E$20</definedName>
    <definedName name="Final_demand_woodpellets" localSheetId="4">'[2]Fuel aggregation'!$F$11</definedName>
    <definedName name="Final_demand_woodpellets">'[3]Fuel aggregation'!$F$11</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4" i="8" l="1"/>
  <c r="C25" i="8"/>
  <c r="C26" i="8"/>
  <c r="C23" i="8"/>
  <c r="E20" i="6"/>
  <c r="E21" i="6"/>
  <c r="E22" i="6"/>
  <c r="F20" i="6"/>
  <c r="C41" i="7"/>
  <c r="D41" i="7"/>
  <c r="C2" i="7"/>
  <c r="E41" i="7"/>
  <c r="G20" i="6"/>
  <c r="H20" i="6"/>
  <c r="F53" i="1"/>
  <c r="N53" i="1"/>
  <c r="F21" i="6"/>
  <c r="H21" i="6"/>
  <c r="F54" i="1"/>
  <c r="N54" i="1"/>
  <c r="F22" i="6"/>
  <c r="H22" i="6"/>
  <c r="F55" i="1"/>
  <c r="N55" i="1"/>
  <c r="N52" i="1"/>
  <c r="E52" i="1"/>
  <c r="N56" i="1"/>
  <c r="O56" i="1"/>
  <c r="O55" i="1"/>
  <c r="O54" i="1"/>
  <c r="O53" i="1"/>
  <c r="O52" i="1"/>
  <c r="C40" i="7"/>
  <c r="D40" i="7"/>
  <c r="E40" i="7"/>
  <c r="B61" i="1"/>
  <c r="N60" i="1"/>
  <c r="N61" i="1"/>
  <c r="N62" i="1"/>
  <c r="F60" i="1"/>
  <c r="F62" i="1"/>
  <c r="L62" i="1"/>
  <c r="F61" i="1"/>
  <c r="L61" i="1"/>
  <c r="L60" i="1"/>
  <c r="D24" i="8"/>
  <c r="E24" i="8"/>
  <c r="F24" i="8"/>
  <c r="G24" i="8"/>
  <c r="I24" i="8"/>
  <c r="D26" i="8"/>
  <c r="E26" i="8"/>
  <c r="F26" i="8"/>
  <c r="I26" i="8"/>
  <c r="D23" i="8"/>
  <c r="E23" i="8"/>
  <c r="F23" i="8"/>
  <c r="I23" i="8"/>
  <c r="D25" i="8"/>
  <c r="E25" i="8"/>
  <c r="F25" i="8"/>
  <c r="I25" i="8"/>
  <c r="I28" i="8"/>
  <c r="I32" i="8"/>
  <c r="I33" i="8"/>
  <c r="I34" i="8"/>
  <c r="I35" i="8"/>
  <c r="I37" i="8"/>
  <c r="F20" i="1"/>
  <c r="J24" i="8"/>
  <c r="G26" i="8"/>
  <c r="J26" i="8"/>
  <c r="G23" i="8"/>
  <c r="J23" i="8"/>
  <c r="G25" i="8"/>
  <c r="J25" i="8"/>
  <c r="J28" i="8"/>
  <c r="F17" i="1"/>
  <c r="C38" i="7"/>
  <c r="D38" i="7"/>
  <c r="E38" i="7"/>
  <c r="F22" i="1"/>
  <c r="E13" i="1"/>
  <c r="E15" i="1"/>
  <c r="G16" i="1"/>
  <c r="K19" i="1"/>
  <c r="D17" i="1"/>
  <c r="L17" i="1"/>
  <c r="N17" i="1"/>
  <c r="N20" i="1"/>
  <c r="N22" i="1"/>
  <c r="N15" i="1"/>
  <c r="N16" i="1"/>
  <c r="N18" i="1"/>
  <c r="N19" i="1"/>
  <c r="N21" i="1"/>
  <c r="N23" i="1"/>
  <c r="N24" i="1"/>
  <c r="N25" i="1"/>
  <c r="N26" i="1"/>
  <c r="M27" i="1"/>
  <c r="N27" i="1"/>
  <c r="O17" i="1"/>
  <c r="B6" i="9"/>
  <c r="C42" i="7"/>
  <c r="D42" i="7"/>
  <c r="E42" i="7"/>
  <c r="F46" i="1"/>
  <c r="F48" i="1"/>
  <c r="L48" i="1"/>
  <c r="F32" i="1"/>
  <c r="L32" i="1"/>
  <c r="L22" i="1"/>
  <c r="L20" i="1"/>
  <c r="L52" i="1"/>
  <c r="L46" i="1"/>
  <c r="L47" i="1"/>
  <c r="C39" i="7"/>
  <c r="D39" i="7"/>
  <c r="E39" i="7"/>
  <c r="F35" i="1"/>
  <c r="F37" i="1"/>
  <c r="L37" i="1"/>
  <c r="L15" i="1"/>
  <c r="L26" i="1"/>
  <c r="L81" i="1"/>
  <c r="L80" i="1"/>
  <c r="E30" i="1"/>
  <c r="E77" i="1"/>
  <c r="E78" i="1"/>
  <c r="E79" i="1"/>
  <c r="C29" i="7"/>
  <c r="D29" i="7"/>
  <c r="E29" i="7"/>
  <c r="F66" i="1"/>
  <c r="C30" i="7"/>
  <c r="D30" i="7"/>
  <c r="E30" i="7"/>
  <c r="F67" i="1"/>
  <c r="C31" i="7"/>
  <c r="D31" i="7"/>
  <c r="E31" i="7"/>
  <c r="F68" i="1"/>
  <c r="C32" i="7"/>
  <c r="D32" i="7"/>
  <c r="E32" i="7"/>
  <c r="F69" i="1"/>
  <c r="C33" i="7"/>
  <c r="D33" i="7"/>
  <c r="E33" i="7"/>
  <c r="F70" i="1"/>
  <c r="C34" i="7"/>
  <c r="D34" i="7"/>
  <c r="E34" i="7"/>
  <c r="F71" i="1"/>
  <c r="C35" i="7"/>
  <c r="D35" i="7"/>
  <c r="E35" i="7"/>
  <c r="F72" i="1"/>
  <c r="C36" i="7"/>
  <c r="D36" i="7"/>
  <c r="E36" i="7"/>
  <c r="F73" i="1"/>
  <c r="F77" i="1"/>
  <c r="F78" i="1"/>
  <c r="F79" i="1"/>
  <c r="G31" i="1"/>
  <c r="G77" i="1"/>
  <c r="G78" i="1"/>
  <c r="G79" i="1"/>
  <c r="L79" i="1"/>
  <c r="H77" i="1"/>
  <c r="H78" i="1"/>
  <c r="I77" i="1"/>
  <c r="I78" i="1"/>
  <c r="J77" i="1"/>
  <c r="J78" i="1"/>
  <c r="K34" i="1"/>
  <c r="K77" i="1"/>
  <c r="K78" i="1"/>
  <c r="L78" i="1"/>
  <c r="L77" i="1"/>
  <c r="L76" i="1"/>
  <c r="L75" i="1"/>
  <c r="L74" i="1"/>
  <c r="L73" i="1"/>
  <c r="L72" i="1"/>
  <c r="L71" i="1"/>
  <c r="L70" i="1"/>
  <c r="L69" i="1"/>
  <c r="L68" i="1"/>
  <c r="L67" i="1"/>
  <c r="L66" i="1"/>
  <c r="L65" i="1"/>
  <c r="L64" i="1"/>
  <c r="L63" i="1"/>
  <c r="L59" i="1"/>
  <c r="L58" i="1"/>
  <c r="L57" i="1"/>
  <c r="L56" i="1"/>
  <c r="L55" i="1"/>
  <c r="L54" i="1"/>
  <c r="L53" i="1"/>
  <c r="L51" i="1"/>
  <c r="L50" i="1"/>
  <c r="L49" i="1"/>
  <c r="L43" i="1"/>
  <c r="L42" i="1"/>
  <c r="L41" i="1"/>
  <c r="L40" i="1"/>
  <c r="L39" i="1"/>
  <c r="L38" i="1"/>
  <c r="L36" i="1"/>
  <c r="L35" i="1"/>
  <c r="L34" i="1"/>
  <c r="L33" i="1"/>
  <c r="L31" i="1"/>
  <c r="L30" i="1"/>
  <c r="L27" i="1"/>
  <c r="L25" i="1"/>
  <c r="L24" i="1"/>
  <c r="L23" i="1"/>
  <c r="L21" i="1"/>
  <c r="L19" i="1"/>
  <c r="L18" i="1"/>
  <c r="L16" i="1"/>
  <c r="E24" i="10"/>
  <c r="E13" i="10"/>
  <c r="D13" i="10"/>
  <c r="E11" i="10"/>
  <c r="D11" i="10"/>
  <c r="E15" i="10"/>
  <c r="E17" i="10"/>
  <c r="D15" i="10"/>
  <c r="D17" i="10"/>
  <c r="E19" i="10"/>
  <c r="D19" i="10"/>
  <c r="D56" i="1"/>
  <c r="D42" i="1"/>
  <c r="D41" i="1"/>
  <c r="D40" i="1"/>
  <c r="D39" i="1"/>
  <c r="D36" i="1"/>
  <c r="D35" i="1"/>
  <c r="D34" i="1"/>
  <c r="D33" i="1"/>
  <c r="D32" i="1"/>
  <c r="D31" i="1"/>
  <c r="D27" i="1"/>
  <c r="D24" i="1"/>
  <c r="D25" i="1"/>
  <c r="D23" i="1"/>
  <c r="D22" i="1"/>
  <c r="D21" i="1"/>
  <c r="D20" i="1"/>
  <c r="D19" i="1"/>
  <c r="D18" i="1"/>
  <c r="D16" i="1"/>
  <c r="D15" i="1"/>
  <c r="D37" i="1"/>
  <c r="C27" i="8"/>
  <c r="D27" i="8"/>
  <c r="E27" i="8"/>
  <c r="F27" i="8"/>
  <c r="G27" i="8"/>
  <c r="J32" i="8"/>
  <c r="J33" i="8"/>
  <c r="J34" i="8"/>
  <c r="J35" i="8"/>
  <c r="J37" i="8"/>
  <c r="N37" i="1"/>
  <c r="N30" i="1"/>
  <c r="N31" i="1"/>
  <c r="N32" i="1"/>
  <c r="N33" i="1"/>
  <c r="N34" i="1"/>
  <c r="N35" i="1"/>
  <c r="N36" i="1"/>
  <c r="N38" i="1"/>
  <c r="N39" i="1"/>
  <c r="N40" i="1"/>
  <c r="N41" i="1"/>
  <c r="M43" i="1"/>
  <c r="N43" i="1"/>
  <c r="N42" i="1"/>
  <c r="O42" i="1"/>
  <c r="O41" i="1"/>
  <c r="O40" i="1"/>
  <c r="O39" i="1"/>
  <c r="O38" i="1"/>
  <c r="O37" i="1"/>
  <c r="O36" i="1"/>
  <c r="O35" i="1"/>
  <c r="O34" i="1"/>
  <c r="O33" i="1"/>
  <c r="O32" i="1"/>
  <c r="O31" i="1"/>
  <c r="O30" i="1"/>
  <c r="O43" i="1"/>
  <c r="D43" i="1"/>
  <c r="D38" i="1"/>
  <c r="D30" i="1"/>
  <c r="O27" i="1"/>
  <c r="O16" i="1"/>
  <c r="O18" i="1"/>
  <c r="O19" i="1"/>
  <c r="O20" i="1"/>
  <c r="O21" i="1"/>
  <c r="O22" i="1"/>
  <c r="O23" i="1"/>
  <c r="O24" i="1"/>
  <c r="O25" i="1"/>
  <c r="O26" i="1"/>
  <c r="O15" i="1"/>
  <c r="D26" i="1"/>
  <c r="B16" i="1"/>
  <c r="B67" i="1"/>
  <c r="B53" i="1"/>
  <c r="B47" i="1"/>
  <c r="B31" i="1"/>
  <c r="C5" i="4"/>
  <c r="N47" i="1"/>
  <c r="N46" i="1"/>
  <c r="N48" i="1"/>
  <c r="O47" i="1"/>
  <c r="O48" i="1"/>
  <c r="O46" i="1"/>
  <c r="D47" i="1"/>
  <c r="D48" i="1"/>
  <c r="D46" i="1"/>
  <c r="D61" i="1"/>
  <c r="D62" i="1"/>
  <c r="D60" i="1"/>
  <c r="D67" i="1"/>
  <c r="D68" i="1"/>
  <c r="D69" i="1"/>
  <c r="D70" i="1"/>
  <c r="D71" i="1"/>
  <c r="D72" i="1"/>
  <c r="D73" i="1"/>
  <c r="D66" i="1"/>
  <c r="K79" i="1"/>
  <c r="J79" i="1"/>
  <c r="I79" i="1"/>
  <c r="H79" i="1"/>
  <c r="D55" i="1"/>
  <c r="D54" i="1"/>
  <c r="D52" i="1"/>
  <c r="D53" i="1"/>
</calcChain>
</file>

<file path=xl/comments1.xml><?xml version="1.0" encoding="utf-8"?>
<comments xmlns="http://schemas.openxmlformats.org/spreadsheetml/2006/main">
  <authors>
    <author>Alexander Wirtz</author>
  </authors>
  <commentList>
    <comment ref="E52" authorId="0">
      <text>
        <r>
          <rPr>
            <b/>
            <sz val="10"/>
            <color indexed="81"/>
            <rFont val="Calibri"/>
          </rPr>
          <t xml:space="preserve">Nederlandse percentages zijn leidend
</t>
        </r>
      </text>
    </comment>
  </commentList>
</comments>
</file>

<file path=xl/sharedStrings.xml><?xml version="1.0" encoding="utf-8"?>
<sst xmlns="http://schemas.openxmlformats.org/spreadsheetml/2006/main" count="272" uniqueCount="225">
  <si>
    <t>Final demand per energy carrier</t>
  </si>
  <si>
    <t>Notes</t>
  </si>
  <si>
    <t>Application</t>
  </si>
  <si>
    <t>Technology used</t>
  </si>
  <si>
    <t>Percentage of final demand</t>
  </si>
  <si>
    <t>Final demand for network gas (TJ)</t>
  </si>
  <si>
    <t>Final demand for electricity (TJ)</t>
  </si>
  <si>
    <t>Final demand for solar thermal (TJ)</t>
  </si>
  <si>
    <t>Final demand for coal (TJ)</t>
  </si>
  <si>
    <t>Final demand for oil (TJ)</t>
  </si>
  <si>
    <t>Final demand for woodpellets (TJ)</t>
  </si>
  <si>
    <t>Final demand for district heat (TJ)</t>
  </si>
  <si>
    <t>Total IEA value</t>
  </si>
  <si>
    <t>All</t>
  </si>
  <si>
    <t>Electrical Appliances</t>
  </si>
  <si>
    <t>Dishwashers</t>
  </si>
  <si>
    <t>Fridges / Freezers</t>
  </si>
  <si>
    <t>Washing Machines</t>
  </si>
  <si>
    <t>Dryers</t>
  </si>
  <si>
    <t>Television</t>
  </si>
  <si>
    <t>Computers / Media</t>
  </si>
  <si>
    <t>Vacuum Cleaners</t>
  </si>
  <si>
    <t>Others</t>
  </si>
  <si>
    <t>Subtotal of defined appliances</t>
  </si>
  <si>
    <t>Network gas</t>
  </si>
  <si>
    <t>Electricity</t>
  </si>
  <si>
    <t>Solar thermal</t>
  </si>
  <si>
    <t>Coal</t>
  </si>
  <si>
    <t>Oil</t>
  </si>
  <si>
    <t>Woodpellets</t>
  </si>
  <si>
    <t>District heat</t>
  </si>
  <si>
    <t>Subtotal (TJ)</t>
  </si>
  <si>
    <t>Diiference between Carrier demand in analysis and Carrier demand in IEA data (TJ)</t>
  </si>
  <si>
    <t>Relative error</t>
  </si>
  <si>
    <t>Space Heating</t>
  </si>
  <si>
    <t>Condensing Combi Boiler (space heating)</t>
  </si>
  <si>
    <t>Solar thermal panel (space heating)</t>
  </si>
  <si>
    <t>Electric Heat Pump (ground) (space heating)</t>
  </si>
  <si>
    <t>Micro CHP (gas-fired)) (space heating)</t>
  </si>
  <si>
    <t>District Heating (space heating)</t>
  </si>
  <si>
    <t>electricity-driven Heat pump (air) (space heating)</t>
  </si>
  <si>
    <t>woodpellets (biomass) heaters (space heating)</t>
  </si>
  <si>
    <t>Electric Heaters (resistance) (space heating)</t>
  </si>
  <si>
    <t>Gas-fired Heaters (space heating)</t>
  </si>
  <si>
    <t>Oil-fired Heaters (space heating)</t>
  </si>
  <si>
    <t>Coal-fired Heaters (space heating)</t>
  </si>
  <si>
    <t>Hot Water</t>
  </si>
  <si>
    <t>Condensing Combi Boiler (hot water)</t>
  </si>
  <si>
    <t>Solar thermal panel (hot water)</t>
  </si>
  <si>
    <t>Electric Heat Pump (ground) (hot water)</t>
  </si>
  <si>
    <t>Micro CHP (gas-fired)) (hot water)</t>
  </si>
  <si>
    <t>District Heating (hot water)</t>
  </si>
  <si>
    <t>electricity-driven Heat pump (air) (hot water)</t>
  </si>
  <si>
    <t>woodpellets (biomass) heaters (hot water)</t>
  </si>
  <si>
    <t>Electric Heaters (resistance) (hot water)</t>
  </si>
  <si>
    <t>Gas-fired Heaters (hot water)</t>
  </si>
  <si>
    <t>Oil-fired Heaters (hot water)</t>
  </si>
  <si>
    <t>Coal-fired Heaters (hot water)</t>
  </si>
  <si>
    <t>Fuel Cell (hot water)</t>
  </si>
  <si>
    <t>Space Cooling</t>
  </si>
  <si>
    <t>Electric heat pump ground</t>
  </si>
  <si>
    <t>Electric heat pump air</t>
  </si>
  <si>
    <t>Conventional electric airconditioning</t>
  </si>
  <si>
    <t>Cooking</t>
  </si>
  <si>
    <t>Gas stoves</t>
  </si>
  <si>
    <t>Electric stoves (resistance)</t>
  </si>
  <si>
    <t>Electric halogen stoves</t>
  </si>
  <si>
    <t>Electric induction stoves</t>
  </si>
  <si>
    <t>Biomass stoves</t>
  </si>
  <si>
    <t>Lighting</t>
  </si>
  <si>
    <t>Incandescent lamps</t>
  </si>
  <si>
    <t>Low energy light bulbs / fluorescent lighting</t>
  </si>
  <si>
    <t>LED lamps</t>
  </si>
  <si>
    <t>Effective efficiency (heating, cooling, cooking or lighting)</t>
  </si>
  <si>
    <t>Useful demand (TJ)</t>
  </si>
  <si>
    <t>Share of useful demand within application</t>
  </si>
  <si>
    <t>Cover sheet</t>
  </si>
  <si>
    <t>Document</t>
  </si>
  <si>
    <t>Version #</t>
  </si>
  <si>
    <t>Country</t>
  </si>
  <si>
    <t>nl</t>
  </si>
  <si>
    <t>Year data</t>
  </si>
  <si>
    <t>Date</t>
  </si>
  <si>
    <t>Author</t>
  </si>
  <si>
    <t>Organisation</t>
  </si>
  <si>
    <t>Quintel Intelligence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</si>
  <si>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</si>
  <si>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</si>
  <si>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</si>
  <si>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</si>
  <si>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</si>
  <si>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</si>
  <si>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</si>
  <si>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</si>
  <si>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</si>
  <si>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</si>
  <si>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</si>
  <si>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</si>
  <si>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</si>
  <si>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</si>
  <si>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</si>
  <si>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</si>
  <si>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Residences source analysis</t>
  </si>
  <si>
    <t>Dec 31, 2015</t>
  </si>
  <si>
    <t>Joris Berkhout</t>
  </si>
  <si>
    <t>Changelog</t>
  </si>
  <si>
    <t>Changes</t>
  </si>
  <si>
    <t>Version</t>
  </si>
  <si>
    <t>First iteration of this document</t>
  </si>
  <si>
    <t>This document sums up the efforts to improve the accuracy of the residences analysis. I derived the dashboard values for the residences analysis in a bottom-up approach by combining several sources. As not all required data was available, I had to make some assumptions. Both the used sources as well as the assumptions are stated on the 'Sources and assumptions' page.</t>
  </si>
  <si>
    <t>-</t>
  </si>
  <si>
    <t>I  combined the stated categories into the technologies used in the ETM</t>
  </si>
  <si>
    <t>Combined with the final electricity demand from the IEA energy balance, this allowed me to determine the final demand for the technologies</t>
  </si>
  <si>
    <t>Sources and assumptions</t>
  </si>
  <si>
    <t>I have assumed that 'ventilatie' is the same as cooling</t>
  </si>
  <si>
    <t>Cooling</t>
  </si>
  <si>
    <t>Hot water</t>
  </si>
  <si>
    <t>Space heating</t>
  </si>
  <si>
    <t>Dishwasher</t>
  </si>
  <si>
    <t>totaal</t>
  </si>
  <si>
    <t>verlichting</t>
  </si>
  <si>
    <t>overig</t>
  </si>
  <si>
    <t>pers. verz.</t>
  </si>
  <si>
    <t>vrije tijd</t>
  </si>
  <si>
    <t>keukenapp.</t>
  </si>
  <si>
    <t>kookapp.</t>
  </si>
  <si>
    <t>ventilatie</t>
  </si>
  <si>
    <t>warmwater</t>
  </si>
  <si>
    <t>verwarming</t>
  </si>
  <si>
    <t>ict</t>
  </si>
  <si>
    <t>audio/video</t>
  </si>
  <si>
    <t>televisie</t>
  </si>
  <si>
    <t>vriezer</t>
  </si>
  <si>
    <t>koelkast</t>
  </si>
  <si>
    <t>stof. + rest</t>
  </si>
  <si>
    <t>wasdroger</t>
  </si>
  <si>
    <t>wasmachine</t>
  </si>
  <si>
    <t>vaatwasser</t>
  </si>
  <si>
    <t>Enenrgietrends 2014</t>
  </si>
  <si>
    <t>Final electricity demand</t>
  </si>
  <si>
    <t>Technology</t>
  </si>
  <si>
    <t>I used the split of electricity consumption over the various technologies/applications from 'Energietrends 2014', page 9 (http://www.energie-nederland.nl/wp-content/uploads/2013/04/EnergieTrends2014.pdf)</t>
  </si>
  <si>
    <t>I split the final demand for the electric cooking technologies by using data from 'Correctie elektriciteitsverbruik koken (ECN)', table 1 (last colum)</t>
  </si>
  <si>
    <t>Share of total</t>
  </si>
  <si>
    <t>Share of final demand</t>
  </si>
  <si>
    <t>Relative final demand</t>
  </si>
  <si>
    <t>Final electricity demand for cooking (TJ)</t>
  </si>
  <si>
    <t>Final demand (TJ)</t>
  </si>
  <si>
    <t>Assumption</t>
  </si>
  <si>
    <t>Lacking better data, I have assumed that for 'solar thermal' and 'district heating' 80% of the final demand is used for space heating and 20% for hot water</t>
  </si>
  <si>
    <t>I have assumed that oil and coal can only be used for space heating and not for hot water</t>
  </si>
  <si>
    <t>I have assumed that wood pellets are not used for cooking in 2013</t>
  </si>
  <si>
    <t>Finally, I have assumed that the share of gas-fired heaters is almost identical to the share of wood pellet heater</t>
  </si>
  <si>
    <t>I have assumed that the share of gas-fired water heaters (boilers) is almost equal to the share of electric water heaters (boilers)</t>
  </si>
  <si>
    <t>Final result</t>
  </si>
  <si>
    <t>Finally, I used the efficiencies to translate the final demand in a useful demand, using the latter to determine the technology shares for each application</t>
  </si>
  <si>
    <t>I have data to determine the final demand for space heating for heat pumps, but none for final demand for hot water; I assumed the latter to be 25% of the former (80%-20% rule, see 1)</t>
  </si>
  <si>
    <t>Source:</t>
  </si>
  <si>
    <t>Hyperlink:</t>
  </si>
  <si>
    <t>http://refman.et-model.com/publications/2027</t>
  </si>
  <si>
    <t xml:space="preserve">The numbers from Energietrends 2014 need to be recast on the ETM categories. </t>
  </si>
  <si>
    <t>As these numbers do not add up to 100%, they have to be corrected.</t>
  </si>
  <si>
    <t>Original data</t>
  </si>
  <si>
    <t>Corrected data</t>
  </si>
  <si>
    <t>Category</t>
  </si>
  <si>
    <t xml:space="preserve">Energietrends 2014, page 9 (ECN, Energie-Nederland en Netbeheer Nederland) </t>
  </si>
  <si>
    <t>http://refman.et-model.com/publications/2028</t>
  </si>
  <si>
    <t>In this sheet an overview is presented of the allocation of energy carriers over the different technologies and applications. In the next three sheets, the final demands for all electrical technologies are calculated as well as the cooking, heat pump and cooling final demands.</t>
  </si>
  <si>
    <t>The numbers in red are used to the 'Final demand per energy carrier' sheet (use Trace Dependents to find their destination)</t>
  </si>
  <si>
    <t>Correctie elektriciteitsverbruik koken, tabel 1, page 4 (ECN, 2014)</t>
  </si>
  <si>
    <t>Technology efficiency</t>
  </si>
  <si>
    <t>* The useful demand shares for lighting are based on expert data</t>
  </si>
  <si>
    <t>** These are the relative final demands</t>
  </si>
  <si>
    <t>The lighting technology splits determined in the NL/2012 dataset are re-used here as they were well-researched within the Energy Productivity project</t>
  </si>
  <si>
    <t>This is a summary of 6_residences_source_analysis.md; see that document for more details</t>
  </si>
  <si>
    <t>I have combined data from 'Hernieuwbare energie in Nederland 2014' (CBS) and 'IEA HPP Annex 42: Heat Pumps in Smart Grids, Task 1: Market Overview, The Netherlands' (Delta Energy &amp; Environment, 2014) to obtain the final demands for heat pumps</t>
  </si>
  <si>
    <t xml:space="preserve">Emptied all input cells </t>
  </si>
  <si>
    <t>Hybrid Heatpump, Heatpump part (space heating)</t>
  </si>
  <si>
    <t>Hybrid Heatpump, Gas part (space heating)</t>
  </si>
  <si>
    <t>Hybrid heatpump, heatpump part (hot water)</t>
  </si>
  <si>
    <t>Hybrid heatpump, gas part (hot water)</t>
  </si>
  <si>
    <t>IEA HPP Annex 42: Heat Pumps in Smart Grids,Task 1: Market Overview, The Netherlands, page 23 (Delta, 2014)</t>
  </si>
  <si>
    <t>http://refman.et-model.com/publications/2029</t>
  </si>
  <si>
    <t>I have put the hybrids in the heat pump (air) category</t>
  </si>
  <si>
    <t xml:space="preserve">Housingtype </t>
  </si>
  <si>
    <t xml:space="preserve">Buildingstock </t>
  </si>
  <si>
    <t xml:space="preserve">Total installed heat pumps </t>
  </si>
  <si>
    <t xml:space="preserve">Hybrids </t>
  </si>
  <si>
    <t xml:space="preserve">Electric air- water </t>
  </si>
  <si>
    <t xml:space="preserve">Electric water - water </t>
  </si>
  <si>
    <t xml:space="preserve">Final heat demand for space heating in GJ </t>
  </si>
  <si>
    <t>Total final demand for space heating heat pumps (air) (GJ)</t>
  </si>
  <si>
    <t xml:space="preserve">Free standing </t>
  </si>
  <si>
    <t xml:space="preserve">2^1 roof </t>
  </si>
  <si>
    <t xml:space="preserve">Terraced </t>
  </si>
  <si>
    <t xml:space="preserve">Multi family </t>
  </si>
  <si>
    <t xml:space="preserve">Total tm 2012 </t>
  </si>
  <si>
    <t>Total</t>
  </si>
  <si>
    <t>Hernieuwbare Energie in Nederland 2014, page 57 (CBS)</t>
  </si>
  <si>
    <t>http://refman.et-model.com/publications/2030</t>
  </si>
  <si>
    <t>Onttrekking van koude in 2013</t>
  </si>
  <si>
    <t>TJ</t>
  </si>
  <si>
    <t>Scaled on number of households</t>
  </si>
  <si>
    <t>heat</t>
  </si>
  <si>
    <t>Useful demand split for old/new houses</t>
  </si>
  <si>
    <t xml:space="preserve">It is calculated how much of the useful demand for space heating is demanded in old and new houses. </t>
  </si>
  <si>
    <t>Useful demand in old/new houses</t>
  </si>
  <si>
    <t>Old houses</t>
  </si>
  <si>
    <t>New houses</t>
  </si>
  <si>
    <t>Ratio of number of residences</t>
  </si>
  <si>
    <t>Average R-value</t>
  </si>
  <si>
    <t>Average heat loss (proporional to 1/R-value )</t>
  </si>
  <si>
    <t>Weighted Heat Loss</t>
  </si>
  <si>
    <t>Share of useful heating/cooling demand</t>
  </si>
  <si>
    <t>Old / New Houses Split</t>
  </si>
  <si>
    <t>Percentage of old houses (built before 1992)</t>
  </si>
  <si>
    <t>Percentage of new houses (built after 1991)</t>
  </si>
  <si>
    <t>Average R-value of a typical old residence (built before 1992)</t>
  </si>
  <si>
    <r>
      <t>m</t>
    </r>
    <r>
      <rPr>
        <vertAlign val="superscript"/>
        <sz val="12"/>
        <color theme="1"/>
        <rFont val="Calibri"/>
        <family val="2"/>
        <scheme val="minor"/>
      </rPr>
      <t>2</t>
    </r>
    <r>
      <rPr>
        <sz val="12"/>
        <color theme="1"/>
        <rFont val="Calibri"/>
        <family val="2"/>
        <scheme val="minor"/>
      </rPr>
      <t>K/W</t>
    </r>
  </si>
  <si>
    <t>This number depends on the insulation analysis; see https://github.com/quintel/documentation/blob/master/general/insulation.md</t>
  </si>
  <si>
    <t>Average R-value of a typical new residence (built after 1991)</t>
  </si>
  <si>
    <t>Uit ETM input analyse Paddepoel Noord v7</t>
  </si>
  <si>
    <t>Total final demand for space heating heat pumps (ground) (GJ)</t>
  </si>
  <si>
    <t># of households Biezen</t>
  </si>
  <si>
    <t>Scaled on number of households in area Biezen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</si>
</sst>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
    <numFmt numFmtId="166" formatCode="[$-409]mmmm\ d\,\ yyyy;@"/>
    <numFmt numFmtId="167" formatCode="#,##0.000"/>
    <numFmt numFmtId="168" formatCode="0.000"/>
    <numFmt numFmtId="169" formatCode="#,##0.0000"/>
    <numFmt numFmtId="170" formatCode="0.00000"/>
  </numFmts>
  <fonts count="25"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u/>
      <sz val="12"/>
      <name val="Calibri"/>
      <scheme val="minor"/>
    </font>
    <font>
      <sz val="12"/>
      <name val="Calibri"/>
      <scheme val="minor"/>
    </font>
    <font>
      <i/>
      <sz val="12"/>
      <color theme="1"/>
      <name val="Calibri"/>
      <scheme val="minor"/>
    </font>
    <font>
      <b/>
      <u/>
      <sz val="12"/>
      <color theme="1"/>
      <name val="Calibri"/>
      <scheme val="minor"/>
    </font>
    <font>
      <sz val="11"/>
      <name val="Calibri"/>
      <family val="2"/>
      <scheme val="minor"/>
    </font>
    <font>
      <sz val="10"/>
      <name val="Arial"/>
    </font>
    <font>
      <sz val="11"/>
      <color indexed="10"/>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2"/>
      <color rgb="FF006100"/>
      <name val="Calibri"/>
      <family val="2"/>
      <scheme val="minor"/>
    </font>
    <font>
      <b/>
      <sz val="11"/>
      <color rgb="FF000000"/>
      <name val="Calibri"/>
      <family val="2"/>
      <scheme val="minor"/>
    </font>
    <font>
      <sz val="12"/>
      <color theme="3" tint="0.39997558519241921"/>
      <name val="Calibri"/>
      <scheme val="minor"/>
    </font>
    <font>
      <sz val="12"/>
      <color rgb="FF3F3F76"/>
      <name val="Calibri"/>
      <family val="2"/>
      <scheme val="minor"/>
    </font>
    <font>
      <b/>
      <sz val="10"/>
      <color indexed="81"/>
      <name val="Calibri"/>
    </font>
    <font>
      <b/>
      <sz val="12"/>
      <color rgb="FF000000"/>
      <name val="Calibri"/>
      <family val="2"/>
      <scheme val="minor"/>
    </font>
    <font>
      <u/>
      <sz val="12"/>
      <color theme="1"/>
      <name val="Calibri"/>
      <scheme val="minor"/>
    </font>
    <font>
      <vertAlign val="superscript"/>
      <sz val="12"/>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rgb="FFC6EFCE"/>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CC99"/>
      </patternFill>
    </fill>
    <fill>
      <patternFill patternType="solid">
        <fgColor rgb="FFFFFFFF"/>
        <bgColor rgb="FF000000"/>
      </patternFill>
    </fill>
  </fills>
  <borders count="4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top style="thin">
        <color auto="1"/>
      </top>
      <bottom style="thin">
        <color auto="1"/>
      </bottom>
      <diagonal/>
    </border>
    <border>
      <left style="thin">
        <color auto="1"/>
      </left>
      <right/>
      <top/>
      <bottom/>
      <diagonal/>
    </border>
    <border>
      <left/>
      <right/>
      <top style="thin">
        <color indexed="8"/>
      </top>
      <bottom/>
      <diagonal/>
    </border>
    <border>
      <left/>
      <right/>
      <top/>
      <bottom style="thin">
        <color indexed="8"/>
      </bottom>
      <diagonal/>
    </border>
    <border>
      <left/>
      <right/>
      <top style="thin">
        <color indexed="8"/>
      </top>
      <bottom style="thin">
        <color auto="1"/>
      </bottom>
      <diagonal/>
    </border>
    <border>
      <left/>
      <right style="thin">
        <color auto="1"/>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theme="0"/>
      </left>
      <right/>
      <top style="thin">
        <color auto="1"/>
      </top>
      <bottom/>
      <diagonal/>
    </border>
    <border>
      <left style="thin">
        <color theme="0"/>
      </left>
      <right style="thin">
        <color theme="0"/>
      </right>
      <top style="thin">
        <color auto="1"/>
      </top>
      <bottom/>
      <diagonal/>
    </border>
    <border>
      <left style="thin">
        <color theme="0"/>
      </left>
      <right/>
      <top/>
      <bottom/>
      <diagonal/>
    </border>
    <border>
      <left style="thin">
        <color theme="0"/>
      </left>
      <right style="thin">
        <color theme="0"/>
      </right>
      <top/>
      <bottom/>
      <diagonal/>
    </border>
    <border>
      <left style="medium">
        <color auto="1"/>
      </left>
      <right style="medium">
        <color auto="1"/>
      </right>
      <top/>
      <bottom style="medium">
        <color auto="1"/>
      </bottom>
      <diagonal/>
    </border>
    <border>
      <left style="thin">
        <color theme="0"/>
      </left>
      <right style="thin">
        <color theme="0"/>
      </right>
      <top/>
      <bottom style="medium">
        <color auto="1"/>
      </bottom>
      <diagonal/>
    </border>
    <border>
      <left style="thin">
        <color auto="1"/>
      </left>
      <right style="thin">
        <color auto="1"/>
      </right>
      <top/>
      <bottom style="medium">
        <color auto="1"/>
      </bottom>
      <diagonal/>
    </border>
  </borders>
  <cellStyleXfs count="134">
    <xf numFmtId="0" fontId="0" fillId="0" borderId="0"/>
    <xf numFmtId="9" fontId="3" fillId="0" borderId="0" applyFont="0" applyFill="0" applyBorder="0" applyAlignment="0" applyProtection="0"/>
    <xf numFmtId="164" fontId="11" fillId="3" borderId="23">
      <alignment horizontal="right" vertical="center"/>
    </xf>
    <xf numFmtId="0" fontId="12" fillId="0" borderId="0" applyNumberFormat="0" applyFont="0" applyFill="0" applyBorder="0" applyAlignment="0" applyProtection="0"/>
    <xf numFmtId="9" fontId="12" fillId="0" borderId="0" applyNumberFormat="0" applyFont="0" applyFill="0" applyBorder="0" applyAlignment="0" applyProtection="0"/>
    <xf numFmtId="9" fontId="3"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7" fillId="4" borderId="0" applyNumberFormat="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2" fillId="0" borderId="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20" fillId="14" borderId="29"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9" fontId="1"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285">
    <xf numFmtId="0" fontId="0" fillId="0" borderId="0" xfId="0"/>
    <xf numFmtId="0" fontId="6" fillId="2" borderId="0" xfId="0" applyFont="1" applyFill="1" applyBorder="1"/>
    <xf numFmtId="0" fontId="0" fillId="2" borderId="0" xfId="0" applyFill="1" applyBorder="1"/>
    <xf numFmtId="0" fontId="0" fillId="2" borderId="0" xfId="0" applyFill="1"/>
    <xf numFmtId="0" fontId="5" fillId="2" borderId="1" xfId="0" applyFont="1" applyFill="1" applyBorder="1"/>
    <xf numFmtId="0" fontId="0" fillId="2" borderId="2" xfId="0" applyFill="1" applyBorder="1"/>
    <xf numFmtId="0" fontId="0" fillId="2" borderId="3" xfId="0" applyFill="1" applyBorder="1"/>
    <xf numFmtId="0" fontId="5" fillId="2" borderId="7" xfId="0"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5" fillId="2" borderId="12" xfId="0" applyFont="1" applyFill="1" applyBorder="1" applyAlignment="1">
      <alignment vertical="top" wrapText="1"/>
    </xf>
    <xf numFmtId="0" fontId="5" fillId="2" borderId="5" xfId="0" applyFont="1" applyFill="1" applyBorder="1" applyAlignment="1">
      <alignment vertical="top" wrapText="1"/>
    </xf>
    <xf numFmtId="0" fontId="5" fillId="0" borderId="5" xfId="0" applyFont="1" applyFill="1" applyBorder="1" applyAlignment="1">
      <alignment wrapText="1"/>
    </xf>
    <xf numFmtId="0" fontId="5" fillId="0" borderId="5" xfId="0" applyFont="1" applyFill="1" applyBorder="1" applyAlignment="1">
      <alignment vertical="top" wrapText="1"/>
    </xf>
    <xf numFmtId="0" fontId="5" fillId="0" borderId="13" xfId="0" applyFont="1" applyFill="1" applyBorder="1" applyAlignment="1">
      <alignment vertical="top" wrapText="1"/>
    </xf>
    <xf numFmtId="0" fontId="7" fillId="2" borderId="10" xfId="0" applyFont="1" applyFill="1" applyBorder="1"/>
    <xf numFmtId="0" fontId="5" fillId="2" borderId="2" xfId="0" applyFont="1" applyFill="1" applyBorder="1" applyAlignment="1">
      <alignment vertical="top" wrapText="1"/>
    </xf>
    <xf numFmtId="3" fontId="5" fillId="2" borderId="2" xfId="0" applyNumberFormat="1" applyFont="1" applyFill="1" applyBorder="1" applyAlignment="1">
      <alignment vertical="top" wrapText="1"/>
    </xf>
    <xf numFmtId="3" fontId="5" fillId="2" borderId="14" xfId="0" applyNumberFormat="1" applyFont="1" applyFill="1" applyBorder="1" applyAlignment="1">
      <alignment vertical="top" wrapText="1"/>
    </xf>
    <xf numFmtId="0" fontId="0" fillId="2" borderId="10" xfId="0" applyFont="1" applyFill="1" applyBorder="1"/>
    <xf numFmtId="0" fontId="0" fillId="2" borderId="15" xfId="0" applyFont="1" applyFill="1" applyBorder="1"/>
    <xf numFmtId="0" fontId="0" fillId="2" borderId="0" xfId="0" applyFont="1" applyFill="1"/>
    <xf numFmtId="0" fontId="4" fillId="2" borderId="10" xfId="0" applyFont="1" applyFill="1" applyBorder="1"/>
    <xf numFmtId="0" fontId="5" fillId="2" borderId="0" xfId="0" applyFont="1" applyFill="1" applyBorder="1" applyAlignment="1">
      <alignment vertical="top" wrapText="1"/>
    </xf>
    <xf numFmtId="0" fontId="0" fillId="2" borderId="5" xfId="0" applyFill="1" applyBorder="1"/>
    <xf numFmtId="0" fontId="7" fillId="2" borderId="5" xfId="0" applyFont="1" applyFill="1" applyBorder="1"/>
    <xf numFmtId="0" fontId="8" fillId="0" borderId="0" xfId="0" applyFont="1" applyFill="1" applyBorder="1"/>
    <xf numFmtId="0" fontId="8" fillId="0" borderId="5" xfId="0" applyFont="1" applyFill="1" applyBorder="1"/>
    <xf numFmtId="0" fontId="8" fillId="2" borderId="0" xfId="0" applyFont="1" applyFill="1" applyBorder="1"/>
    <xf numFmtId="0" fontId="7" fillId="2" borderId="0" xfId="0" applyFont="1" applyFill="1" applyBorder="1"/>
    <xf numFmtId="0" fontId="7" fillId="2" borderId="12" xfId="0" applyFont="1" applyFill="1" applyBorder="1"/>
    <xf numFmtId="0" fontId="8" fillId="2" borderId="5" xfId="0" applyFont="1" applyFill="1" applyBorder="1"/>
    <xf numFmtId="4" fontId="5" fillId="2" borderId="5" xfId="0" applyNumberFormat="1" applyFont="1" applyFill="1" applyBorder="1"/>
    <xf numFmtId="4" fontId="5" fillId="2" borderId="13" xfId="0" applyNumberFormat="1" applyFont="1" applyFill="1" applyBorder="1"/>
    <xf numFmtId="4" fontId="0" fillId="2" borderId="5" xfId="0" applyNumberFormat="1" applyFill="1" applyBorder="1"/>
    <xf numFmtId="0" fontId="0" fillId="0" borderId="0" xfId="0" applyFont="1" applyFill="1"/>
    <xf numFmtId="0" fontId="0" fillId="0" borderId="5" xfId="0" applyFont="1" applyFill="1" applyBorder="1"/>
    <xf numFmtId="4" fontId="0" fillId="2" borderId="18" xfId="0" applyNumberFormat="1" applyFill="1" applyBorder="1"/>
    <xf numFmtId="0" fontId="10" fillId="2" borderId="10" xfId="0" applyFont="1" applyFill="1" applyBorder="1"/>
    <xf numFmtId="0" fontId="5" fillId="2" borderId="5" xfId="0" applyFont="1" applyFill="1" applyBorder="1"/>
    <xf numFmtId="4" fontId="5" fillId="2" borderId="19" xfId="0" applyNumberFormat="1" applyFont="1" applyFill="1" applyBorder="1"/>
    <xf numFmtId="0" fontId="5" fillId="2" borderId="10" xfId="0" applyFont="1" applyFill="1" applyBorder="1"/>
    <xf numFmtId="0" fontId="5" fillId="2" borderId="2" xfId="0" applyFont="1" applyFill="1" applyBorder="1" applyAlignment="1"/>
    <xf numFmtId="0" fontId="5" fillId="2" borderId="3" xfId="0" applyFont="1" applyFill="1" applyBorder="1" applyAlignment="1"/>
    <xf numFmtId="4" fontId="5" fillId="0" borderId="16" xfId="0" applyNumberFormat="1" applyFont="1" applyFill="1" applyBorder="1"/>
    <xf numFmtId="4" fontId="5" fillId="0" borderId="0" xfId="0" applyNumberFormat="1" applyFont="1" applyFill="1" applyBorder="1"/>
    <xf numFmtId="0" fontId="5" fillId="2" borderId="0" xfId="0" applyFont="1" applyFill="1" applyBorder="1" applyAlignment="1"/>
    <xf numFmtId="0" fontId="5" fillId="2" borderId="20" xfId="0" applyFont="1" applyFill="1" applyBorder="1" applyAlignment="1">
      <alignment wrapText="1"/>
    </xf>
    <xf numFmtId="0" fontId="5" fillId="2" borderId="5" xfId="0" applyFont="1" applyFill="1" applyBorder="1" applyAlignment="1"/>
    <xf numFmtId="0" fontId="5" fillId="2" borderId="6" xfId="0" applyFont="1" applyFill="1" applyBorder="1" applyAlignment="1"/>
    <xf numFmtId="9" fontId="5" fillId="0" borderId="0" xfId="1" applyNumberFormat="1" applyFont="1" applyFill="1" applyBorder="1"/>
    <xf numFmtId="0" fontId="0" fillId="2" borderId="21" xfId="0" applyFill="1" applyBorder="1"/>
    <xf numFmtId="0" fontId="0" fillId="2" borderId="22" xfId="0" applyFill="1" applyBorder="1"/>
    <xf numFmtId="4" fontId="5" fillId="2" borderId="0" xfId="0" applyNumberFormat="1" applyFont="1" applyFill="1" applyBorder="1" applyAlignment="1">
      <alignment vertical="top" wrapText="1"/>
    </xf>
    <xf numFmtId="4" fontId="5" fillId="2" borderId="11" xfId="0" applyNumberFormat="1" applyFont="1" applyFill="1" applyBorder="1" applyAlignment="1">
      <alignment vertical="top" wrapText="1"/>
    </xf>
    <xf numFmtId="4" fontId="0" fillId="2" borderId="5" xfId="0" applyNumberFormat="1" applyFont="1" applyFill="1" applyBorder="1"/>
    <xf numFmtId="4" fontId="0" fillId="2" borderId="13" xfId="0" applyNumberFormat="1" applyFont="1" applyFill="1" applyBorder="1"/>
    <xf numFmtId="4" fontId="0" fillId="2" borderId="17" xfId="0" applyNumberFormat="1" applyFont="1" applyFill="1" applyBorder="1"/>
    <xf numFmtId="4" fontId="0" fillId="2" borderId="2" xfId="0" applyNumberFormat="1" applyFont="1" applyFill="1" applyBorder="1"/>
    <xf numFmtId="4" fontId="0" fillId="2" borderId="14" xfId="0" applyNumberFormat="1" applyFont="1" applyFill="1" applyBorder="1"/>
    <xf numFmtId="4" fontId="0" fillId="2" borderId="18" xfId="0" applyNumberFormat="1" applyFont="1" applyFill="1" applyBorder="1"/>
    <xf numFmtId="4" fontId="0" fillId="2" borderId="0" xfId="0" applyNumberFormat="1" applyFont="1" applyFill="1" applyBorder="1"/>
    <xf numFmtId="4" fontId="0" fillId="2" borderId="11" xfId="0" applyNumberFormat="1" applyFont="1" applyFill="1" applyBorder="1"/>
    <xf numFmtId="4" fontId="7" fillId="2" borderId="0" xfId="0" applyNumberFormat="1" applyFont="1" applyFill="1" applyBorder="1"/>
    <xf numFmtId="4" fontId="7" fillId="2" borderId="5" xfId="0" applyNumberFormat="1" applyFont="1" applyFill="1" applyBorder="1"/>
    <xf numFmtId="10" fontId="5" fillId="0" borderId="4" xfId="1" applyNumberFormat="1" applyFont="1" applyFill="1" applyBorder="1"/>
    <xf numFmtId="10" fontId="5" fillId="0" borderId="5" xfId="1" applyNumberFormat="1" applyFont="1" applyFill="1" applyBorder="1"/>
    <xf numFmtId="10" fontId="7" fillId="2" borderId="0" xfId="0" applyNumberFormat="1" applyFont="1" applyFill="1" applyBorder="1"/>
    <xf numFmtId="10" fontId="7" fillId="2" borderId="5" xfId="0" applyNumberFormat="1" applyFont="1" applyFill="1" applyBorder="1"/>
    <xf numFmtId="4" fontId="17" fillId="4" borderId="0" xfId="13" applyNumberFormat="1"/>
    <xf numFmtId="4" fontId="17" fillId="4" borderId="5" xfId="13" applyNumberFormat="1" applyBorder="1"/>
    <xf numFmtId="4" fontId="17" fillId="4" borderId="16" xfId="13" applyNumberFormat="1" applyBorder="1"/>
    <xf numFmtId="4" fontId="17" fillId="4" borderId="0" xfId="13" applyNumberFormat="1" applyBorder="1"/>
    <xf numFmtId="10" fontId="17" fillId="4" borderId="0" xfId="13" applyNumberFormat="1"/>
    <xf numFmtId="10" fontId="17" fillId="4" borderId="5" xfId="13" applyNumberFormat="1" applyBorder="1"/>
    <xf numFmtId="4" fontId="17" fillId="4" borderId="2" xfId="13" applyNumberFormat="1" applyBorder="1"/>
    <xf numFmtId="4" fontId="17" fillId="4" borderId="4" xfId="13" applyNumberFormat="1" applyBorder="1"/>
    <xf numFmtId="10" fontId="17" fillId="4" borderId="6" xfId="13" applyNumberFormat="1" applyBorder="1"/>
    <xf numFmtId="4" fontId="17" fillId="4" borderId="11" xfId="13" applyNumberFormat="1" applyBorder="1"/>
    <xf numFmtId="4" fontId="17" fillId="4" borderId="13" xfId="13" applyNumberFormat="1" applyBorder="1"/>
    <xf numFmtId="10" fontId="17" fillId="4" borderId="3" xfId="13" applyNumberFormat="1" applyBorder="1"/>
    <xf numFmtId="10" fontId="17" fillId="4" borderId="20" xfId="13" applyNumberFormat="1" applyBorder="1"/>
    <xf numFmtId="4" fontId="17" fillId="4" borderId="14" xfId="13" applyNumberFormat="1" applyBorder="1"/>
    <xf numFmtId="4" fontId="17" fillId="4" borderId="1" xfId="13" applyNumberFormat="1" applyBorder="1"/>
    <xf numFmtId="0" fontId="5" fillId="2" borderId="0" xfId="0" applyFont="1" applyFill="1"/>
    <xf numFmtId="3" fontId="5" fillId="2" borderId="0" xfId="0" applyNumberFormat="1" applyFont="1" applyFill="1" applyBorder="1" applyAlignment="1">
      <alignment vertical="top" wrapText="1"/>
    </xf>
    <xf numFmtId="4" fontId="5" fillId="2" borderId="0" xfId="0" applyNumberFormat="1" applyFont="1" applyFill="1" applyBorder="1"/>
    <xf numFmtId="4" fontId="0" fillId="2" borderId="0" xfId="0" applyNumberFormat="1" applyFont="1" applyFill="1" applyBorder="1" applyAlignment="1">
      <alignment vertical="top" wrapText="1"/>
    </xf>
    <xf numFmtId="0" fontId="0" fillId="2" borderId="7" xfId="0" applyFill="1" applyBorder="1"/>
    <xf numFmtId="0" fontId="5" fillId="2" borderId="10" xfId="0" applyFont="1" applyFill="1" applyBorder="1" applyAlignment="1">
      <alignment vertical="top" wrapText="1"/>
    </xf>
    <xf numFmtId="0" fontId="5" fillId="2" borderId="0" xfId="0" applyFont="1" applyFill="1" applyBorder="1" applyAlignment="1">
      <alignment vertical="top"/>
    </xf>
    <xf numFmtId="0" fontId="5" fillId="2" borderId="11" xfId="0" applyFont="1" applyFill="1" applyBorder="1" applyAlignment="1">
      <alignment vertical="top" wrapText="1"/>
    </xf>
    <xf numFmtId="0" fontId="0" fillId="2" borderId="0" xfId="0" applyFont="1" applyFill="1" applyBorder="1"/>
    <xf numFmtId="0" fontId="0" fillId="2" borderId="11" xfId="0" applyFont="1" applyFill="1" applyBorder="1"/>
    <xf numFmtId="10" fontId="0" fillId="2" borderId="0" xfId="0" applyNumberFormat="1" applyFill="1" applyBorder="1"/>
    <xf numFmtId="0" fontId="0" fillId="2" borderId="24" xfId="0" applyFill="1" applyBorder="1"/>
    <xf numFmtId="165" fontId="4" fillId="2" borderId="11" xfId="1" applyNumberFormat="1" applyFont="1" applyFill="1" applyBorder="1"/>
    <xf numFmtId="0" fontId="4" fillId="2" borderId="11" xfId="0" applyFont="1" applyFill="1" applyBorder="1"/>
    <xf numFmtId="0" fontId="6" fillId="2" borderId="0" xfId="44" applyFont="1" applyFill="1"/>
    <xf numFmtId="0" fontId="2" fillId="2" borderId="0" xfId="44" applyFill="1"/>
    <xf numFmtId="0" fontId="5" fillId="2" borderId="1" xfId="44" applyFont="1" applyFill="1" applyBorder="1"/>
    <xf numFmtId="0" fontId="2" fillId="2" borderId="3" xfId="44" applyFill="1" applyBorder="1"/>
    <xf numFmtId="0" fontId="5" fillId="2" borderId="0" xfId="44" applyFont="1" applyFill="1" applyBorder="1"/>
    <xf numFmtId="0" fontId="2" fillId="2" borderId="0" xfId="44" applyFill="1" applyBorder="1"/>
    <xf numFmtId="0" fontId="18" fillId="5" borderId="16" xfId="44" applyFont="1" applyFill="1" applyBorder="1" applyAlignment="1">
      <alignment vertical="center"/>
    </xf>
    <xf numFmtId="0" fontId="2" fillId="2" borderId="0" xfId="44" applyFill="1" applyBorder="1" applyAlignment="1">
      <alignment horizontal="left"/>
    </xf>
    <xf numFmtId="0" fontId="2" fillId="2" borderId="20" xfId="44" applyFill="1" applyBorder="1"/>
    <xf numFmtId="0" fontId="2" fillId="2" borderId="0" xfId="44" applyFont="1" applyFill="1" applyBorder="1" applyAlignment="1">
      <alignment horizontal="left"/>
    </xf>
    <xf numFmtId="0" fontId="18" fillId="5" borderId="4" xfId="44" applyFont="1" applyFill="1" applyBorder="1" applyAlignment="1">
      <alignment vertical="center"/>
    </xf>
    <xf numFmtId="0" fontId="2" fillId="2" borderId="5" xfId="44" applyFont="1" applyFill="1" applyBorder="1"/>
    <xf numFmtId="0" fontId="2" fillId="2" borderId="6" xfId="44" applyFill="1" applyBorder="1"/>
    <xf numFmtId="0" fontId="2" fillId="2" borderId="2" xfId="44" applyFill="1" applyBorder="1"/>
    <xf numFmtId="0" fontId="5" fillId="2" borderId="16" xfId="44" applyFont="1" applyFill="1" applyBorder="1"/>
    <xf numFmtId="0" fontId="9" fillId="2" borderId="0" xfId="44" applyFont="1" applyFill="1" applyBorder="1"/>
    <xf numFmtId="0" fontId="2" fillId="2" borderId="25" xfId="44" applyFill="1" applyBorder="1"/>
    <xf numFmtId="0" fontId="2" fillId="6" borderId="0" xfId="44" applyFill="1" applyBorder="1"/>
    <xf numFmtId="0" fontId="2" fillId="7" borderId="0" xfId="44" applyFill="1" applyBorder="1"/>
    <xf numFmtId="0" fontId="2" fillId="8" borderId="0" xfId="44" applyFill="1" applyBorder="1"/>
    <xf numFmtId="0" fontId="2" fillId="9" borderId="0" xfId="44" applyFill="1" applyBorder="1"/>
    <xf numFmtId="0" fontId="2" fillId="2" borderId="16" xfId="44" applyFill="1" applyBorder="1"/>
    <xf numFmtId="0" fontId="2" fillId="10" borderId="0" xfId="44" applyFill="1" applyBorder="1"/>
    <xf numFmtId="0" fontId="2" fillId="11" borderId="0" xfId="44" applyFill="1" applyBorder="1"/>
    <xf numFmtId="0" fontId="2" fillId="12" borderId="0" xfId="44" applyFill="1" applyBorder="1"/>
    <xf numFmtId="0" fontId="2" fillId="13" borderId="0" xfId="44" applyFill="1" applyBorder="1"/>
    <xf numFmtId="0" fontId="2" fillId="2" borderId="4" xfId="44" applyFill="1" applyBorder="1"/>
    <xf numFmtId="0" fontId="2" fillId="2" borderId="5" xfId="44" applyFill="1" applyBorder="1"/>
    <xf numFmtId="0" fontId="0" fillId="2" borderId="2" xfId="44" applyFont="1" applyFill="1" applyBorder="1"/>
    <xf numFmtId="166" fontId="0" fillId="2" borderId="0" xfId="44" applyNumberFormat="1" applyFont="1" applyFill="1" applyBorder="1" applyAlignment="1">
      <alignment horizontal="left"/>
    </xf>
    <xf numFmtId="0" fontId="0" fillId="2" borderId="0" xfId="44" applyFont="1" applyFill="1" applyBorder="1"/>
    <xf numFmtId="0" fontId="2" fillId="2" borderId="0" xfId="44" applyFill="1" applyAlignment="1">
      <alignment wrapText="1"/>
    </xf>
    <xf numFmtId="0" fontId="18" fillId="5" borderId="1" xfId="44" applyFont="1" applyFill="1" applyBorder="1" applyAlignment="1">
      <alignment vertical="top"/>
    </xf>
    <xf numFmtId="0" fontId="5" fillId="2" borderId="2" xfId="44" applyFont="1" applyFill="1" applyBorder="1" applyAlignment="1">
      <alignment wrapText="1"/>
    </xf>
    <xf numFmtId="0" fontId="5" fillId="2" borderId="3" xfId="44" applyFont="1" applyFill="1" applyBorder="1" applyAlignment="1">
      <alignment vertical="top"/>
    </xf>
    <xf numFmtId="0" fontId="18" fillId="5" borderId="16" xfId="44" applyFont="1" applyFill="1" applyBorder="1" applyAlignment="1">
      <alignment vertical="top"/>
    </xf>
    <xf numFmtId="0" fontId="5" fillId="2" borderId="0" xfId="44" applyFont="1" applyFill="1" applyBorder="1" applyAlignment="1">
      <alignment wrapText="1"/>
    </xf>
    <xf numFmtId="0" fontId="5" fillId="2" borderId="20" xfId="44" applyFont="1" applyFill="1" applyBorder="1" applyAlignment="1">
      <alignment vertical="top"/>
    </xf>
    <xf numFmtId="166" fontId="16" fillId="0" borderId="16" xfId="44" applyNumberFormat="1" applyFont="1" applyFill="1" applyBorder="1" applyAlignment="1">
      <alignment horizontal="left" vertical="top"/>
    </xf>
    <xf numFmtId="0" fontId="2" fillId="0" borderId="0" xfId="44" applyFont="1" applyFill="1" applyBorder="1" applyAlignment="1">
      <alignment wrapText="1"/>
    </xf>
    <xf numFmtId="2" fontId="2" fillId="0" borderId="20" xfId="44" applyNumberFormat="1" applyFill="1" applyBorder="1" applyAlignment="1">
      <alignment vertical="top"/>
    </xf>
    <xf numFmtId="166" fontId="2" fillId="0" borderId="16" xfId="44" applyNumberFormat="1" applyFont="1" applyFill="1" applyBorder="1" applyAlignment="1">
      <alignment horizontal="left" vertical="top"/>
    </xf>
    <xf numFmtId="166" fontId="2" fillId="0" borderId="16" xfId="44" applyNumberFormat="1" applyFill="1" applyBorder="1" applyAlignment="1">
      <alignment horizontal="left" vertical="top"/>
    </xf>
    <xf numFmtId="0" fontId="2" fillId="0" borderId="0" xfId="44" applyFill="1" applyBorder="1" applyAlignment="1">
      <alignment wrapText="1"/>
    </xf>
    <xf numFmtId="0" fontId="2" fillId="0" borderId="16" xfId="44" applyFill="1" applyBorder="1" applyAlignment="1">
      <alignment vertical="top"/>
    </xf>
    <xf numFmtId="166" fontId="16" fillId="0" borderId="16" xfId="44" applyNumberFormat="1" applyFont="1" applyBorder="1" applyAlignment="1">
      <alignment horizontal="left" vertical="top"/>
    </xf>
    <xf numFmtId="0" fontId="16" fillId="0" borderId="0" xfId="44" applyFont="1" applyAlignment="1">
      <alignment wrapText="1"/>
    </xf>
    <xf numFmtId="2" fontId="16" fillId="0" borderId="20" xfId="44" applyNumberFormat="1" applyFont="1" applyBorder="1" applyAlignment="1">
      <alignment vertical="top"/>
    </xf>
    <xf numFmtId="166" fontId="2" fillId="0" borderId="4" xfId="44" applyNumberFormat="1" applyFill="1" applyBorder="1" applyAlignment="1">
      <alignment horizontal="left" vertical="top"/>
    </xf>
    <xf numFmtId="0" fontId="2" fillId="0" borderId="5" xfId="44" applyFill="1" applyBorder="1" applyAlignment="1">
      <alignment wrapText="1"/>
    </xf>
    <xf numFmtId="2" fontId="2" fillId="0" borderId="6" xfId="44" applyNumberFormat="1" applyFill="1" applyBorder="1" applyAlignment="1">
      <alignment vertical="top"/>
    </xf>
    <xf numFmtId="0" fontId="2" fillId="2" borderId="0" xfId="44" applyFill="1" applyAlignment="1">
      <alignment vertical="top"/>
    </xf>
    <xf numFmtId="2" fontId="2" fillId="2" borderId="0" xfId="44" applyNumberFormat="1" applyFill="1" applyAlignment="1">
      <alignment vertical="top"/>
    </xf>
    <xf numFmtId="0" fontId="0" fillId="0" borderId="0" xfId="44" applyFont="1" applyFill="1" applyBorder="1" applyAlignment="1">
      <alignment wrapText="1"/>
    </xf>
    <xf numFmtId="164" fontId="2" fillId="2" borderId="0" xfId="44" applyNumberFormat="1" applyFill="1" applyBorder="1" applyAlignment="1">
      <alignment horizontal="left"/>
    </xf>
    <xf numFmtId="0" fontId="9" fillId="2" borderId="0" xfId="0" applyFont="1" applyFill="1"/>
    <xf numFmtId="10" fontId="0" fillId="0" borderId="0" xfId="45" applyNumberFormat="1" applyFont="1"/>
    <xf numFmtId="10" fontId="0" fillId="0" borderId="0" xfId="0" applyNumberFormat="1"/>
    <xf numFmtId="0" fontId="5" fillId="0" borderId="0" xfId="0" applyFont="1"/>
    <xf numFmtId="0" fontId="9" fillId="0" borderId="0" xfId="0" applyFont="1"/>
    <xf numFmtId="0" fontId="0" fillId="0" borderId="0" xfId="0" applyBorder="1"/>
    <xf numFmtId="3" fontId="0" fillId="0" borderId="0" xfId="0" applyNumberFormat="1" applyFont="1" applyFill="1" applyBorder="1" applyAlignment="1">
      <alignment vertical="top" wrapText="1"/>
    </xf>
    <xf numFmtId="2" fontId="4" fillId="0" borderId="0" xfId="0" applyNumberFormat="1" applyFont="1"/>
    <xf numFmtId="0" fontId="5" fillId="2" borderId="23" xfId="0" applyFont="1" applyFill="1" applyBorder="1"/>
    <xf numFmtId="0" fontId="5" fillId="2" borderId="23" xfId="0" applyFont="1" applyFill="1" applyBorder="1" applyAlignment="1">
      <alignment wrapText="1"/>
    </xf>
    <xf numFmtId="2" fontId="16" fillId="2" borderId="2" xfId="0" applyNumberFormat="1" applyFont="1" applyFill="1" applyBorder="1"/>
    <xf numFmtId="4" fontId="9" fillId="2" borderId="2" xfId="0" applyNumberFormat="1" applyFont="1" applyFill="1" applyBorder="1"/>
    <xf numFmtId="2" fontId="4" fillId="2" borderId="3" xfId="0" applyNumberFormat="1" applyFont="1" applyFill="1" applyBorder="1"/>
    <xf numFmtId="2" fontId="16" fillId="2" borderId="0" xfId="0" applyNumberFormat="1" applyFont="1" applyFill="1" applyBorder="1"/>
    <xf numFmtId="2" fontId="4" fillId="2" borderId="20" xfId="0" applyNumberFormat="1" applyFont="1" applyFill="1" applyBorder="1"/>
    <xf numFmtId="2" fontId="16" fillId="2" borderId="5" xfId="0" applyNumberFormat="1" applyFont="1" applyFill="1" applyBorder="1"/>
    <xf numFmtId="2" fontId="4" fillId="2" borderId="6" xfId="0" applyNumberFormat="1" applyFont="1" applyFill="1" applyBorder="1"/>
    <xf numFmtId="0" fontId="8" fillId="2" borderId="26" xfId="0" applyFont="1" applyFill="1" applyBorder="1"/>
    <xf numFmtId="0" fontId="8" fillId="2" borderId="27" xfId="0" applyFont="1" applyFill="1" applyBorder="1"/>
    <xf numFmtId="0" fontId="8" fillId="2" borderId="28" xfId="0" applyFont="1" applyFill="1" applyBorder="1"/>
    <xf numFmtId="4" fontId="4" fillId="2" borderId="10" xfId="0" applyNumberFormat="1" applyFont="1" applyFill="1" applyBorder="1" applyAlignment="1">
      <alignment horizontal="left"/>
    </xf>
    <xf numFmtId="0" fontId="0" fillId="0" borderId="0" xfId="0" applyFill="1"/>
    <xf numFmtId="0" fontId="19" fillId="2" borderId="0" xfId="0" applyFont="1" applyFill="1"/>
    <xf numFmtId="0" fontId="19" fillId="2" borderId="0" xfId="0" applyFont="1" applyFill="1" applyBorder="1"/>
    <xf numFmtId="4" fontId="20" fillId="14" borderId="29" xfId="120" applyNumberFormat="1" applyAlignment="1">
      <alignment vertical="top" wrapText="1"/>
    </xf>
    <xf numFmtId="4" fontId="20" fillId="14" borderId="29" xfId="120" applyNumberFormat="1"/>
    <xf numFmtId="4" fontId="9" fillId="2" borderId="0" xfId="0" applyNumberFormat="1" applyFont="1" applyFill="1"/>
    <xf numFmtId="0" fontId="5" fillId="2" borderId="26" xfId="0" applyFont="1" applyFill="1" applyBorder="1"/>
    <xf numFmtId="0" fontId="5" fillId="2" borderId="2" xfId="0" applyFont="1" applyFill="1" applyBorder="1"/>
    <xf numFmtId="0" fontId="5" fillId="2" borderId="2" xfId="0" applyFont="1" applyFill="1" applyBorder="1" applyAlignment="1">
      <alignment wrapText="1"/>
    </xf>
    <xf numFmtId="0" fontId="5" fillId="2" borderId="15" xfId="0" applyFont="1" applyFill="1" applyBorder="1" applyAlignment="1">
      <alignment wrapText="1"/>
    </xf>
    <xf numFmtId="0" fontId="5" fillId="2" borderId="3" xfId="0" applyFont="1" applyFill="1" applyBorder="1" applyAlignment="1">
      <alignment wrapText="1"/>
    </xf>
    <xf numFmtId="0" fontId="0" fillId="2" borderId="26" xfId="0" applyFill="1" applyBorder="1"/>
    <xf numFmtId="0" fontId="0" fillId="2" borderId="27" xfId="0" applyFill="1" applyBorder="1"/>
    <xf numFmtId="0" fontId="0" fillId="2" borderId="20" xfId="0" applyFill="1" applyBorder="1"/>
    <xf numFmtId="0" fontId="0" fillId="2" borderId="28" xfId="0" applyFill="1" applyBorder="1"/>
    <xf numFmtId="0" fontId="0" fillId="2" borderId="6" xfId="0" applyFill="1" applyBorder="1"/>
    <xf numFmtId="0" fontId="5" fillId="2" borderId="30" xfId="0" applyFont="1" applyFill="1" applyBorder="1"/>
    <xf numFmtId="0" fontId="4" fillId="2" borderId="15" xfId="0" applyFont="1" applyFill="1" applyBorder="1"/>
    <xf numFmtId="0" fontId="4" fillId="2" borderId="31" xfId="0" applyFont="1" applyFill="1" applyBorder="1"/>
    <xf numFmtId="0" fontId="0" fillId="7" borderId="5" xfId="0" applyFill="1" applyBorder="1"/>
    <xf numFmtId="167" fontId="4" fillId="2" borderId="10" xfId="0" applyNumberFormat="1" applyFont="1" applyFill="1" applyBorder="1" applyAlignment="1">
      <alignment horizontal="left"/>
    </xf>
    <xf numFmtId="0" fontId="0" fillId="0" borderId="0" xfId="0" applyFont="1"/>
    <xf numFmtId="0" fontId="5" fillId="2" borderId="0" xfId="0" applyFont="1" applyFill="1" applyBorder="1" applyAlignment="1">
      <alignment wrapText="1"/>
    </xf>
    <xf numFmtId="0" fontId="6" fillId="2" borderId="0" xfId="0" applyFont="1" applyFill="1"/>
    <xf numFmtId="0" fontId="0" fillId="2" borderId="16" xfId="0" applyFill="1" applyBorder="1"/>
    <xf numFmtId="0" fontId="16" fillId="15" borderId="0" xfId="0" applyFont="1" applyFill="1"/>
    <xf numFmtId="0" fontId="16" fillId="15" borderId="0" xfId="0" applyFont="1" applyFill="1" applyBorder="1"/>
    <xf numFmtId="0" fontId="22" fillId="15" borderId="7" xfId="0" applyFont="1" applyFill="1" applyBorder="1"/>
    <xf numFmtId="0" fontId="16" fillId="15" borderId="8" xfId="0" applyFont="1" applyFill="1" applyBorder="1"/>
    <xf numFmtId="0" fontId="22" fillId="15" borderId="8" xfId="0" applyFont="1" applyFill="1" applyBorder="1"/>
    <xf numFmtId="0" fontId="22" fillId="15" borderId="9" xfId="0" applyFont="1" applyFill="1" applyBorder="1"/>
    <xf numFmtId="0" fontId="22" fillId="15" borderId="10" xfId="0" applyFont="1" applyFill="1" applyBorder="1"/>
    <xf numFmtId="0" fontId="22" fillId="15" borderId="0" xfId="0" applyFont="1" applyFill="1" applyBorder="1"/>
    <xf numFmtId="0" fontId="22" fillId="15" borderId="11" xfId="0" applyFont="1" applyFill="1" applyBorder="1"/>
    <xf numFmtId="0" fontId="16" fillId="15" borderId="12" xfId="0" applyFont="1" applyFill="1" applyBorder="1"/>
    <xf numFmtId="0" fontId="16" fillId="15" borderId="5" xfId="0" applyFont="1" applyFill="1" applyBorder="1"/>
    <xf numFmtId="0" fontId="16" fillId="15" borderId="13" xfId="0" applyFont="1" applyFill="1" applyBorder="1"/>
    <xf numFmtId="0" fontId="5" fillId="0" borderId="0" xfId="0" applyFont="1" applyFill="1" applyBorder="1" applyAlignment="1">
      <alignment wrapText="1"/>
    </xf>
    <xf numFmtId="0" fontId="16" fillId="0" borderId="10" xfId="0" applyFont="1" applyFill="1" applyBorder="1"/>
    <xf numFmtId="0" fontId="16" fillId="0" borderId="0" xfId="0" applyFont="1" applyFill="1" applyBorder="1"/>
    <xf numFmtId="9" fontId="16" fillId="15" borderId="0" xfId="0" applyNumberFormat="1" applyFont="1" applyFill="1"/>
    <xf numFmtId="0" fontId="16" fillId="15" borderId="11" xfId="0" applyFont="1" applyFill="1" applyBorder="1"/>
    <xf numFmtId="2" fontId="16" fillId="15" borderId="0" xfId="0" applyNumberFormat="1" applyFont="1" applyFill="1" applyBorder="1"/>
    <xf numFmtId="2" fontId="16" fillId="15" borderId="11" xfId="0" applyNumberFormat="1" applyFont="1" applyFill="1" applyBorder="1"/>
    <xf numFmtId="168" fontId="16" fillId="15" borderId="0" xfId="0" applyNumberFormat="1" applyFont="1" applyFill="1"/>
    <xf numFmtId="0" fontId="16" fillId="15" borderId="22" xfId="0" applyFont="1" applyFill="1" applyBorder="1"/>
    <xf numFmtId="0" fontId="16" fillId="15" borderId="24" xfId="0" applyFont="1" applyFill="1" applyBorder="1"/>
    <xf numFmtId="0" fontId="23" fillId="2" borderId="32" xfId="0" applyFont="1" applyFill="1" applyBorder="1"/>
    <xf numFmtId="0" fontId="0" fillId="2" borderId="2" xfId="0" applyFont="1" applyFill="1" applyBorder="1"/>
    <xf numFmtId="0" fontId="0" fillId="2" borderId="33" xfId="0" applyFont="1" applyFill="1" applyBorder="1" applyAlignment="1">
      <alignment horizontal="center"/>
    </xf>
    <xf numFmtId="10" fontId="0" fillId="2" borderId="2" xfId="127" applyNumberFormat="1" applyFont="1" applyFill="1" applyBorder="1" applyAlignment="1">
      <alignment horizontal="right"/>
    </xf>
    <xf numFmtId="0" fontId="0" fillId="2" borderId="34" xfId="0" applyFill="1" applyBorder="1" applyAlignment="1">
      <alignment horizontal="left"/>
    </xf>
    <xf numFmtId="0" fontId="0" fillId="2" borderId="2" xfId="0" applyFill="1" applyBorder="1" applyAlignment="1">
      <alignment horizontal="left"/>
    </xf>
    <xf numFmtId="0" fontId="0" fillId="2" borderId="26" xfId="0" applyFill="1" applyBorder="1" applyAlignment="1">
      <alignment wrapText="1"/>
    </xf>
    <xf numFmtId="0" fontId="23" fillId="2" borderId="10" xfId="0" applyFont="1" applyFill="1" applyBorder="1"/>
    <xf numFmtId="0" fontId="0" fillId="0" borderId="0" xfId="0" applyFont="1" applyFill="1" applyBorder="1"/>
    <xf numFmtId="0" fontId="0" fillId="0" borderId="35" xfId="0" applyFont="1" applyFill="1" applyBorder="1" applyAlignment="1">
      <alignment horizontal="center"/>
    </xf>
    <xf numFmtId="10" fontId="0" fillId="0" borderId="25" xfId="127" applyNumberFormat="1" applyFont="1" applyFill="1" applyBorder="1" applyAlignment="1">
      <alignment horizontal="right"/>
    </xf>
    <xf numFmtId="10" fontId="0" fillId="0" borderId="0" xfId="127" applyNumberFormat="1" applyFont="1" applyFill="1" applyBorder="1" applyAlignment="1">
      <alignment horizontal="right"/>
    </xf>
    <xf numFmtId="0" fontId="0" fillId="0" borderId="36" xfId="0" applyFill="1" applyBorder="1" applyAlignment="1">
      <alignment horizontal="left"/>
    </xf>
    <xf numFmtId="0" fontId="0" fillId="0" borderId="0" xfId="0" applyFill="1" applyBorder="1" applyAlignment="1">
      <alignment horizontal="left"/>
    </xf>
    <xf numFmtId="0" fontId="5" fillId="2" borderId="27" xfId="0" applyFont="1" applyFill="1" applyBorder="1" applyAlignment="1">
      <alignment wrapText="1"/>
    </xf>
    <xf numFmtId="0" fontId="0" fillId="0" borderId="25" xfId="0" applyFill="1" applyBorder="1"/>
    <xf numFmtId="0" fontId="0" fillId="2" borderId="27" xfId="0" applyFill="1" applyBorder="1" applyAlignment="1">
      <alignment wrapText="1"/>
    </xf>
    <xf numFmtId="0" fontId="0" fillId="2" borderId="0" xfId="0" applyFont="1" applyFill="1" applyBorder="1" applyAlignment="1">
      <alignment horizontal="center"/>
    </xf>
    <xf numFmtId="0" fontId="0" fillId="2" borderId="0" xfId="0" applyFont="1" applyFill="1" applyBorder="1" applyAlignment="1">
      <alignment horizontal="right"/>
    </xf>
    <xf numFmtId="0" fontId="0" fillId="2" borderId="36" xfId="0" applyFill="1" applyBorder="1" applyAlignment="1">
      <alignment horizontal="left"/>
    </xf>
    <xf numFmtId="0" fontId="0" fillId="2" borderId="0" xfId="0" applyFill="1" applyBorder="1" applyAlignment="1">
      <alignment horizontal="left"/>
    </xf>
    <xf numFmtId="0" fontId="0" fillId="0" borderId="0" xfId="0" applyFill="1" applyBorder="1"/>
    <xf numFmtId="164" fontId="0" fillId="0" borderId="25" xfId="127" applyNumberFormat="1" applyFont="1" applyFill="1" applyBorder="1" applyAlignment="1">
      <alignment horizontal="right"/>
    </xf>
    <xf numFmtId="0" fontId="0" fillId="0" borderId="37" xfId="0" applyFill="1" applyBorder="1"/>
    <xf numFmtId="0" fontId="0" fillId="2" borderId="21" xfId="0" applyFont="1" applyFill="1" applyBorder="1"/>
    <xf numFmtId="0" fontId="0" fillId="2" borderId="22" xfId="0" applyFont="1" applyFill="1" applyBorder="1"/>
    <xf numFmtId="0" fontId="0" fillId="2" borderId="22" xfId="0" applyFont="1" applyFill="1" applyBorder="1" applyAlignment="1">
      <alignment horizontal="center"/>
    </xf>
    <xf numFmtId="0" fontId="0" fillId="2" borderId="22" xfId="0" applyFont="1" applyFill="1" applyBorder="1" applyAlignment="1">
      <alignment horizontal="right"/>
    </xf>
    <xf numFmtId="0" fontId="0" fillId="2" borderId="38" xfId="0" applyFill="1" applyBorder="1" applyAlignment="1">
      <alignment horizontal="left"/>
    </xf>
    <xf numFmtId="0" fontId="0" fillId="2" borderId="22" xfId="0" applyFill="1" applyBorder="1" applyAlignment="1">
      <alignment horizontal="left"/>
    </xf>
    <xf numFmtId="0" fontId="0" fillId="2" borderId="39" xfId="0" applyFill="1" applyBorder="1"/>
    <xf numFmtId="10" fontId="0" fillId="0" borderId="0" xfId="127" applyNumberFormat="1" applyFont="1" applyFill="1" applyBorder="1"/>
    <xf numFmtId="10" fontId="0" fillId="0" borderId="11" xfId="127" applyNumberFormat="1" applyFont="1" applyFill="1" applyBorder="1"/>
    <xf numFmtId="10" fontId="5" fillId="0" borderId="0" xfId="127" applyNumberFormat="1" applyFont="1" applyFill="1" applyBorder="1"/>
    <xf numFmtId="10" fontId="5" fillId="0" borderId="11" xfId="127" applyNumberFormat="1" applyFont="1" applyFill="1" applyBorder="1"/>
    <xf numFmtId="169" fontId="5" fillId="2" borderId="0" xfId="0" applyNumberFormat="1" applyFont="1" applyFill="1" applyBorder="1"/>
    <xf numFmtId="169" fontId="17" fillId="2" borderId="0" xfId="13" applyNumberFormat="1" applyFill="1" applyBorder="1"/>
    <xf numFmtId="169" fontId="0" fillId="2" borderId="0" xfId="0" applyNumberFormat="1" applyFont="1" applyFill="1" applyBorder="1"/>
    <xf numFmtId="2" fontId="0" fillId="2" borderId="5" xfId="0" applyNumberFormat="1" applyFill="1" applyBorder="1"/>
    <xf numFmtId="0" fontId="20" fillId="14" borderId="29" xfId="120"/>
    <xf numFmtId="170" fontId="0" fillId="2" borderId="6" xfId="0" applyNumberFormat="1" applyFill="1" applyBorder="1"/>
    <xf numFmtId="164" fontId="20" fillId="14" borderId="29" xfId="120" applyNumberFormat="1"/>
    <xf numFmtId="164" fontId="20" fillId="14" borderId="29" xfId="120" applyNumberFormat="1" applyAlignment="1">
      <alignment vertical="top" wrapText="1"/>
    </xf>
    <xf numFmtId="2" fontId="0" fillId="2" borderId="3" xfId="0" applyNumberFormat="1" applyFill="1" applyBorder="1"/>
    <xf numFmtId="2" fontId="0" fillId="2" borderId="20" xfId="0" applyNumberFormat="1" applyFill="1" applyBorder="1"/>
    <xf numFmtId="168" fontId="0" fillId="2" borderId="2" xfId="0" applyNumberFormat="1" applyFill="1" applyBorder="1"/>
    <xf numFmtId="168" fontId="0" fillId="2" borderId="0" xfId="0" applyNumberFormat="1" applyFill="1" applyBorder="1"/>
    <xf numFmtId="164" fontId="0" fillId="2" borderId="2" xfId="0" applyNumberFormat="1" applyFill="1" applyBorder="1"/>
    <xf numFmtId="164" fontId="0" fillId="2" borderId="0" xfId="0" applyNumberFormat="1" applyFill="1" applyBorder="1"/>
    <xf numFmtId="164" fontId="0" fillId="2" borderId="5" xfId="0" applyNumberFormat="1" applyFill="1" applyBorder="1"/>
    <xf numFmtId="168" fontId="0" fillId="7" borderId="5" xfId="0" applyNumberFormat="1" applyFill="1" applyBorder="1"/>
    <xf numFmtId="2" fontId="4" fillId="2" borderId="15" xfId="0" applyNumberFormat="1" applyFont="1" applyFill="1" applyBorder="1"/>
    <xf numFmtId="2" fontId="4" fillId="2" borderId="31" xfId="0" applyNumberFormat="1" applyFont="1" applyFill="1" applyBorder="1"/>
    <xf numFmtId="0" fontId="0" fillId="2" borderId="16" xfId="44" applyFont="1" applyFill="1" applyBorder="1" applyAlignment="1">
      <alignment horizontal="left" vertical="top" wrapText="1"/>
    </xf>
    <xf numFmtId="0" fontId="0" fillId="2" borderId="0" xfId="44" applyFont="1" applyFill="1" applyBorder="1" applyAlignment="1">
      <alignment horizontal="left" vertical="top" wrapText="1"/>
    </xf>
    <xf numFmtId="0" fontId="0" fillId="2" borderId="20" xfId="44" applyFont="1" applyFill="1" applyBorder="1" applyAlignment="1">
      <alignment horizontal="left" vertical="top" wrapText="1"/>
    </xf>
    <xf numFmtId="0" fontId="0" fillId="2" borderId="4" xfId="44" applyFont="1" applyFill="1" applyBorder="1" applyAlignment="1">
      <alignment horizontal="left" vertical="top" wrapText="1"/>
    </xf>
    <xf numFmtId="0" fontId="0" fillId="2" borderId="5" xfId="44" applyFont="1" applyFill="1" applyBorder="1" applyAlignment="1">
      <alignment horizontal="left" vertical="top" wrapText="1"/>
    </xf>
    <xf numFmtId="0" fontId="0" fillId="2" borderId="6" xfId="44" applyFont="1"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cellXfs>
  <cellStyles count="134">
    <cellStyle name="Followed Hyperlink" xfId="8" builtinId="9" hidden="1"/>
    <cellStyle name="Followed Hyperlink" xfId="10" builtinId="9" hidden="1"/>
    <cellStyle name="Followed Hyperlink" xfId="12"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2" builtinId="9" hidden="1"/>
    <cellStyle name="Followed Hyperlink" xfId="124" builtinId="9" hidden="1"/>
    <cellStyle name="Followed Hyperlink" xfId="126" builtinId="9" hidden="1"/>
    <cellStyle name="Followed Hyperlink" xfId="129" builtinId="9" hidden="1"/>
    <cellStyle name="Followed Hyperlink" xfId="131" builtinId="9" hidden="1"/>
    <cellStyle name="Followed Hyperlink" xfId="133" builtinId="9" hidden="1"/>
    <cellStyle name="Good" xfId="13" builtinId="26"/>
    <cellStyle name="Hyperlink" xfId="7" builtinId="8" hidden="1"/>
    <cellStyle name="Hyperlink" xfId="9" builtinId="8" hidden="1"/>
    <cellStyle name="Hyperlink" xfId="11"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1" builtinId="8" hidden="1"/>
    <cellStyle name="Hyperlink" xfId="123" builtinId="8" hidden="1"/>
    <cellStyle name="Hyperlink" xfId="125" builtinId="8" hidden="1"/>
    <cellStyle name="Hyperlink" xfId="128" builtinId="8" hidden="1"/>
    <cellStyle name="Hyperlink" xfId="130" builtinId="8" hidden="1"/>
    <cellStyle name="Hyperlink" xfId="132" builtinId="8" hidden="1"/>
    <cellStyle name="Input" xfId="120" builtinId="20"/>
    <cellStyle name="Input cel" xfId="2"/>
    <cellStyle name="Normal" xfId="0" builtinId="0"/>
    <cellStyle name="Normal 2" xfId="3"/>
    <cellStyle name="Normal 2 2" xfId="44"/>
    <cellStyle name="Percent" xfId="1" builtinId="5"/>
    <cellStyle name="Percent 2" xfId="4"/>
    <cellStyle name="Percent 3" xfId="5"/>
    <cellStyle name="Percent 4" xfId="45"/>
    <cellStyle name="Percent 5" xfId="127"/>
    <cellStyle name="Warning Text 3" xfId="6"/>
  </cellStyles>
  <dxfs count="1">
    <dxf>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externalLink" Target="externalLinks/externalLink3.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19694</xdr:colOff>
      <xdr:row>3</xdr:row>
      <xdr:rowOff>152400</xdr:rowOff>
    </xdr:from>
    <xdr:to>
      <xdr:col>10</xdr:col>
      <xdr:colOff>812800</xdr:colOff>
      <xdr:row>20</xdr:row>
      <xdr:rowOff>177898</xdr:rowOff>
    </xdr:to>
    <xdr:pic>
      <xdr:nvPicPr>
        <xdr:cNvPr id="2" name="Picture 1"/>
        <xdr:cNvPicPr>
          <a:picLocks noChangeAspect="1"/>
        </xdr:cNvPicPr>
      </xdr:nvPicPr>
      <xdr:blipFill>
        <a:blip xmlns:r="http://schemas.openxmlformats.org/officeDocument/2006/relationships" r:embed="rId1"/>
        <a:stretch>
          <a:fillRect/>
        </a:stretch>
      </xdr:blipFill>
      <xdr:spPr>
        <a:xfrm>
          <a:off x="4782194" y="723900"/>
          <a:ext cx="6520806" cy="32639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3</xdr:row>
      <xdr:rowOff>63500</xdr:rowOff>
    </xdr:from>
    <xdr:to>
      <xdr:col>8</xdr:col>
      <xdr:colOff>0</xdr:colOff>
      <xdr:row>17</xdr:row>
      <xdr:rowOff>38100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90500" y="635000"/>
          <a:ext cx="8420100" cy="2641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63500</xdr:colOff>
      <xdr:row>3</xdr:row>
      <xdr:rowOff>165100</xdr:rowOff>
    </xdr:from>
    <xdr:to>
      <xdr:col>7</xdr:col>
      <xdr:colOff>825500</xdr:colOff>
      <xdr:row>17</xdr:row>
      <xdr:rowOff>165100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304800" y="774700"/>
          <a:ext cx="8013700" cy="2844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analyses/6_residences_analysi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orisberkhout/Projects/etdataset/analyse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solar_heater_and_p2h_parent"/>
      <sheetName val="csv_hot_water_p2h_child"/>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ow r="20">
          <cell r="E20">
            <v>292481.03262334003</v>
          </cell>
        </row>
        <row r="21">
          <cell r="E21">
            <v>71970.539521814397</v>
          </cell>
        </row>
        <row r="22">
          <cell r="E22">
            <v>6530.3137113401999</v>
          </cell>
        </row>
        <row r="23">
          <cell r="E23">
            <v>12127.725463917501</v>
          </cell>
        </row>
        <row r="24">
          <cell r="E24">
            <v>9890.7872362886592</v>
          </cell>
        </row>
        <row r="25">
          <cell r="E25">
            <v>57833.111258999998</v>
          </cell>
        </row>
      </sheetData>
      <sheetData sheetId="7" refreshError="1"/>
      <sheetData sheetId="8">
        <row r="11">
          <cell r="P11">
            <v>1.0669999999999999</v>
          </cell>
        </row>
        <row r="12">
          <cell r="P12">
            <v>1</v>
          </cell>
        </row>
        <row r="13">
          <cell r="P13">
            <v>4.8000000000000078</v>
          </cell>
        </row>
        <row r="14">
          <cell r="P14">
            <v>0.88</v>
          </cell>
        </row>
        <row r="15">
          <cell r="P15">
            <v>1</v>
          </cell>
        </row>
        <row r="16">
          <cell r="P16">
            <v>4.5000000000000044</v>
          </cell>
        </row>
        <row r="17">
          <cell r="P17">
            <v>0.82</v>
          </cell>
        </row>
        <row r="18">
          <cell r="P18">
            <v>1</v>
          </cell>
        </row>
        <row r="19">
          <cell r="P19">
            <v>0.8</v>
          </cell>
        </row>
        <row r="20">
          <cell r="P20">
            <v>0.85</v>
          </cell>
        </row>
        <row r="21">
          <cell r="P21">
            <v>0.8</v>
          </cell>
        </row>
        <row r="22">
          <cell r="P22">
            <v>4.4999999999999885</v>
          </cell>
        </row>
        <row r="23">
          <cell r="P23">
            <v>1.0669999999999999</v>
          </cell>
        </row>
        <row r="26">
          <cell r="P26">
            <v>0.9</v>
          </cell>
        </row>
        <row r="27">
          <cell r="P27">
            <v>1</v>
          </cell>
        </row>
        <row r="28">
          <cell r="P28">
            <v>3.0000000000000031</v>
          </cell>
        </row>
        <row r="29">
          <cell r="P29">
            <v>0.88</v>
          </cell>
        </row>
        <row r="30">
          <cell r="P30">
            <v>1</v>
          </cell>
        </row>
        <row r="31">
          <cell r="P31">
            <v>3.0000000000000031</v>
          </cell>
        </row>
        <row r="32">
          <cell r="P32">
            <v>0.82</v>
          </cell>
        </row>
        <row r="33">
          <cell r="P33">
            <v>0.95</v>
          </cell>
        </row>
        <row r="34">
          <cell r="P34">
            <v>0.67</v>
          </cell>
        </row>
        <row r="35">
          <cell r="P35">
            <v>0.85</v>
          </cell>
        </row>
        <row r="36">
          <cell r="P36">
            <v>0.8</v>
          </cell>
        </row>
        <row r="37">
          <cell r="P37">
            <v>0.2</v>
          </cell>
        </row>
        <row r="38">
          <cell r="P38">
            <v>3.0000000000000044</v>
          </cell>
        </row>
        <row r="39">
          <cell r="P39">
            <v>0.9</v>
          </cell>
        </row>
        <row r="42">
          <cell r="P42">
            <v>18.999999999050001</v>
          </cell>
        </row>
        <row r="43">
          <cell r="P43">
            <v>4.5000000000000044</v>
          </cell>
        </row>
        <row r="44">
          <cell r="P44">
            <v>4</v>
          </cell>
        </row>
        <row r="47">
          <cell r="P47">
            <v>0.4</v>
          </cell>
        </row>
        <row r="48">
          <cell r="P48">
            <v>0.55000000000000004</v>
          </cell>
        </row>
        <row r="49">
          <cell r="P49">
            <v>0.6</v>
          </cell>
        </row>
        <row r="50">
          <cell r="P50">
            <v>0.85</v>
          </cell>
        </row>
        <row r="51">
          <cell r="P51">
            <v>0.3</v>
          </cell>
        </row>
        <row r="54">
          <cell r="P54">
            <v>0.05</v>
          </cell>
        </row>
        <row r="55">
          <cell r="P55">
            <v>0.25</v>
          </cell>
        </row>
        <row r="56">
          <cell r="P56">
            <v>0.5</v>
          </cell>
        </row>
      </sheetData>
      <sheetData sheetId="9" refreshError="1"/>
      <sheetData sheetId="10" refreshError="1"/>
      <sheetData sheetId="11" refreshError="1"/>
      <sheetData sheetId="12" refreshError="1"/>
      <sheetData sheetId="13" refreshError="1"/>
      <sheetData sheetId="14" refreshError="1"/>
      <sheetData sheetId="15">
        <row r="11">
          <cell r="C11">
            <v>205.11</v>
          </cell>
          <cell r="D11">
            <v>331545.53000000003</v>
          </cell>
          <cell r="E11">
            <v>3700.96</v>
          </cell>
          <cell r="F11">
            <v>12820.53</v>
          </cell>
          <cell r="G11">
            <v>934.83</v>
          </cell>
          <cell r="I11">
            <v>90491.49</v>
          </cell>
          <cell r="J11">
            <v>11141.87</v>
          </cell>
          <cell r="L11">
            <v>451110.33</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solar_heater_and_p2h_parent"/>
      <sheetName val="csv_hot_water_p2h_child"/>
      <sheetName val="csv_export_to_area_analysis"/>
      <sheetName val="csv_heating_heat_pump"/>
      <sheetName val="csv_add_on_space_heating_child"/>
      <sheetName val="csv_add_on_hot water_child"/>
      <sheetName val="csv_hot_water_from_el_add_on"/>
    </sheetNames>
    <sheetDataSet>
      <sheetData sheetId="0"/>
      <sheetData sheetId="1"/>
      <sheetData sheetId="2"/>
      <sheetData sheetId="3"/>
      <sheetData sheetId="4"/>
      <sheetData sheetId="5"/>
      <sheetData sheetId="6"/>
      <sheetData sheetId="7"/>
      <sheetData sheetId="8">
        <row r="14">
          <cell r="M14">
            <v>0</v>
          </cell>
        </row>
        <row r="29">
          <cell r="M29">
            <v>0</v>
          </cell>
        </row>
        <row r="37">
          <cell r="M37">
            <v>0</v>
          </cell>
        </row>
      </sheetData>
      <sheetData sheetId="9"/>
      <sheetData sheetId="10"/>
      <sheetData sheetId="11"/>
      <sheetData sheetId="12"/>
      <sheetData sheetId="13"/>
      <sheetData sheetId="14"/>
      <sheetData sheetId="15">
        <row r="11">
          <cell r="C11">
            <v>0</v>
          </cell>
          <cell r="D11">
            <v>0</v>
          </cell>
          <cell r="E11">
            <v>0</v>
          </cell>
          <cell r="F11">
            <v>0</v>
          </cell>
          <cell r="G11">
            <v>0</v>
          </cell>
          <cell r="I11">
            <v>0</v>
          </cell>
          <cell r="J11">
            <v>0</v>
          </cell>
          <cell r="L11">
            <v>0</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H39"/>
  <sheetViews>
    <sheetView workbookViewId="0">
      <selection activeCell="B17" sqref="B17"/>
    </sheetView>
  </sheetViews>
  <sheetFormatPr baseColWidth="10" defaultRowHeight="16" x14ac:dyDescent="0.2"/>
  <cols>
    <col min="1" max="1" width="2.83203125" style="101" customWidth="1"/>
    <col min="2" max="2" width="14" style="101" customWidth="1"/>
    <col min="3" max="3" width="44" style="101" customWidth="1"/>
    <col min="4" max="4" width="9.33203125" style="101" customWidth="1"/>
    <col min="5" max="5" width="10.83203125" style="101"/>
    <col min="6" max="6" width="34.6640625" style="101" customWidth="1"/>
    <col min="7" max="7" width="4.5" style="101" customWidth="1"/>
    <col min="8" max="8" width="20.83203125" style="101" customWidth="1"/>
    <col min="9" max="16384" width="10.83203125" style="101"/>
  </cols>
  <sheetData>
    <row r="2" spans="2:8" ht="21" x14ac:dyDescent="0.25">
      <c r="B2" s="100" t="s">
        <v>76</v>
      </c>
    </row>
    <row r="4" spans="2:8" x14ac:dyDescent="0.2">
      <c r="B4" s="102" t="s">
        <v>77</v>
      </c>
      <c r="C4" s="128" t="s">
        <v>102</v>
      </c>
      <c r="D4" s="103"/>
      <c r="F4" s="104"/>
      <c r="G4" s="105"/>
      <c r="H4" s="104"/>
    </row>
    <row r="5" spans="2:8" x14ac:dyDescent="0.2">
      <c r="B5" s="106" t="s">
        <v>78</v>
      </c>
      <c r="C5" s="154">
        <f>MAX(Changelog!D:D)</f>
        <v>2</v>
      </c>
      <c r="D5" s="108"/>
      <c r="F5" s="105"/>
      <c r="G5" s="105"/>
      <c r="H5" s="105"/>
    </row>
    <row r="6" spans="2:8" x14ac:dyDescent="0.2">
      <c r="B6" s="106" t="s">
        <v>79</v>
      </c>
      <c r="C6" s="109" t="s">
        <v>80</v>
      </c>
      <c r="D6" s="108"/>
      <c r="F6" s="105"/>
      <c r="G6" s="105"/>
      <c r="H6" s="105"/>
    </row>
    <row r="7" spans="2:8" x14ac:dyDescent="0.2">
      <c r="B7" s="106" t="s">
        <v>81</v>
      </c>
      <c r="C7" s="107">
        <v>2013</v>
      </c>
      <c r="D7" s="108"/>
      <c r="F7" s="105"/>
      <c r="G7" s="105"/>
      <c r="H7" s="105"/>
    </row>
    <row r="8" spans="2:8" x14ac:dyDescent="0.2">
      <c r="B8" s="106" t="s">
        <v>82</v>
      </c>
      <c r="C8" s="129" t="s">
        <v>103</v>
      </c>
      <c r="D8" s="108"/>
      <c r="F8" s="105"/>
      <c r="G8" s="105"/>
      <c r="H8" s="105"/>
    </row>
    <row r="9" spans="2:8" x14ac:dyDescent="0.2">
      <c r="B9" s="106" t="s">
        <v>83</v>
      </c>
      <c r="C9" s="130" t="s">
        <v>104</v>
      </c>
      <c r="D9" s="108"/>
      <c r="F9" s="105"/>
      <c r="G9" s="105"/>
      <c r="H9" s="105"/>
    </row>
    <row r="10" spans="2:8" x14ac:dyDescent="0.2">
      <c r="B10" s="110" t="s">
        <v>84</v>
      </c>
      <c r="C10" s="111" t="s">
        <v>85</v>
      </c>
      <c r="D10" s="112"/>
      <c r="F10" s="105"/>
      <c r="G10" s="105"/>
      <c r="H10" s="105"/>
    </row>
    <row r="12" spans="2:8" x14ac:dyDescent="0.2">
      <c r="B12" s="102" t="s">
        <v>86</v>
      </c>
      <c r="C12" s="113"/>
      <c r="D12" s="103"/>
    </row>
    <row r="13" spans="2:8" x14ac:dyDescent="0.2">
      <c r="B13" s="114"/>
      <c r="C13" s="105"/>
      <c r="D13" s="108"/>
    </row>
    <row r="14" spans="2:8" x14ac:dyDescent="0.2">
      <c r="B14" s="114" t="s">
        <v>87</v>
      </c>
      <c r="C14" s="115" t="s">
        <v>88</v>
      </c>
      <c r="D14" s="108"/>
    </row>
    <row r="15" spans="2:8" ht="17" thickBot="1" x14ac:dyDescent="0.25">
      <c r="B15" s="114"/>
      <c r="C15" s="104" t="s">
        <v>89</v>
      </c>
      <c r="D15" s="108"/>
    </row>
    <row r="16" spans="2:8" ht="17" thickBot="1" x14ac:dyDescent="0.25">
      <c r="B16" s="114"/>
      <c r="C16" s="116" t="s">
        <v>90</v>
      </c>
      <c r="D16" s="108"/>
    </row>
    <row r="17" spans="2:4" x14ac:dyDescent="0.2">
      <c r="B17" s="114"/>
      <c r="C17" s="105" t="s">
        <v>91</v>
      </c>
      <c r="D17" s="108"/>
    </row>
    <row r="18" spans="2:4" x14ac:dyDescent="0.2">
      <c r="B18" s="114"/>
      <c r="C18" s="105"/>
      <c r="D18" s="108"/>
    </row>
    <row r="19" spans="2:4" x14ac:dyDescent="0.2">
      <c r="B19" s="114" t="s">
        <v>92</v>
      </c>
      <c r="C19" s="117" t="s">
        <v>93</v>
      </c>
      <c r="D19" s="108"/>
    </row>
    <row r="20" spans="2:4" x14ac:dyDescent="0.2">
      <c r="B20" s="114"/>
      <c r="C20" s="118" t="s">
        <v>94</v>
      </c>
      <c r="D20" s="108"/>
    </row>
    <row r="21" spans="2:4" x14ac:dyDescent="0.2">
      <c r="B21" s="114"/>
      <c r="C21" s="119" t="s">
        <v>95</v>
      </c>
      <c r="D21" s="108"/>
    </row>
    <row r="22" spans="2:4" x14ac:dyDescent="0.2">
      <c r="B22" s="114"/>
      <c r="C22" s="120" t="s">
        <v>96</v>
      </c>
      <c r="D22" s="108"/>
    </row>
    <row r="23" spans="2:4" x14ac:dyDescent="0.2">
      <c r="B23" s="121"/>
      <c r="C23" s="122" t="s">
        <v>97</v>
      </c>
      <c r="D23" s="108"/>
    </row>
    <row r="24" spans="2:4" x14ac:dyDescent="0.2">
      <c r="B24" s="121"/>
      <c r="C24" s="123" t="s">
        <v>98</v>
      </c>
      <c r="D24" s="108"/>
    </row>
    <row r="25" spans="2:4" x14ac:dyDescent="0.2">
      <c r="B25" s="121"/>
      <c r="C25" s="124" t="s">
        <v>99</v>
      </c>
      <c r="D25" s="108"/>
    </row>
    <row r="26" spans="2:4" x14ac:dyDescent="0.2">
      <c r="B26" s="121"/>
      <c r="C26" s="125" t="s">
        <v>100</v>
      </c>
      <c r="D26" s="108"/>
    </row>
    <row r="27" spans="2:4" x14ac:dyDescent="0.2">
      <c r="B27" s="126"/>
      <c r="C27" s="127"/>
      <c r="D27" s="112"/>
    </row>
    <row r="29" spans="2:4" x14ac:dyDescent="0.2">
      <c r="B29" s="102" t="s">
        <v>101</v>
      </c>
      <c r="C29" s="113"/>
      <c r="D29" s="103"/>
    </row>
    <row r="30" spans="2:4" x14ac:dyDescent="0.2">
      <c r="B30" s="276" t="s">
        <v>109</v>
      </c>
      <c r="C30" s="277"/>
      <c r="D30" s="278"/>
    </row>
    <row r="31" spans="2:4" x14ac:dyDescent="0.2">
      <c r="B31" s="276"/>
      <c r="C31" s="277"/>
      <c r="D31" s="278"/>
    </row>
    <row r="32" spans="2:4" x14ac:dyDescent="0.2">
      <c r="B32" s="276"/>
      <c r="C32" s="277"/>
      <c r="D32" s="278"/>
    </row>
    <row r="33" spans="2:4" x14ac:dyDescent="0.2">
      <c r="B33" s="276"/>
      <c r="C33" s="277"/>
      <c r="D33" s="278"/>
    </row>
    <row r="34" spans="2:4" x14ac:dyDescent="0.2">
      <c r="B34" s="276"/>
      <c r="C34" s="277"/>
      <c r="D34" s="278"/>
    </row>
    <row r="35" spans="2:4" x14ac:dyDescent="0.2">
      <c r="B35" s="276"/>
      <c r="C35" s="277"/>
      <c r="D35" s="278"/>
    </row>
    <row r="36" spans="2:4" x14ac:dyDescent="0.2">
      <c r="B36" s="276"/>
      <c r="C36" s="277"/>
      <c r="D36" s="278"/>
    </row>
    <row r="37" spans="2:4" x14ac:dyDescent="0.2">
      <c r="B37" s="276"/>
      <c r="C37" s="277"/>
      <c r="D37" s="278"/>
    </row>
    <row r="38" spans="2:4" x14ac:dyDescent="0.2">
      <c r="B38" s="276"/>
      <c r="C38" s="277"/>
      <c r="D38" s="278"/>
    </row>
    <row r="39" spans="2:4" x14ac:dyDescent="0.2">
      <c r="B39" s="279"/>
      <c r="C39" s="280"/>
      <c r="D39" s="281"/>
    </row>
  </sheetData>
  <mergeCells count="1">
    <mergeCell ref="B30:D39"/>
  </mergeCells>
  <pageMargins left="0.75" right="0.75" top="1" bottom="1" header="0.5" footer="0.5"/>
  <pageSetup paperSize="9" orientation="portrait" horizontalDpi="4294967292" verticalDpi="4294967292"/>
  <ignoredErrors>
    <ignoredError sqref="C5" emptyCellReferenc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113"/>
  <sheetViews>
    <sheetView workbookViewId="0">
      <selection activeCell="G20" sqref="G20"/>
    </sheetView>
  </sheetViews>
  <sheetFormatPr baseColWidth="10" defaultRowHeight="16" x14ac:dyDescent="0.2"/>
  <cols>
    <col min="1" max="1" width="10.83203125" style="101"/>
    <col min="2" max="2" width="18.6640625" style="101" customWidth="1"/>
    <col min="3" max="3" width="59.5" style="131" customWidth="1"/>
    <col min="4" max="16384" width="10.83203125" style="101"/>
  </cols>
  <sheetData>
    <row r="2" spans="2:4" ht="21" x14ac:dyDescent="0.25">
      <c r="B2" s="100" t="s">
        <v>105</v>
      </c>
    </row>
    <row r="4" spans="2:4" x14ac:dyDescent="0.2">
      <c r="B4" s="132" t="s">
        <v>82</v>
      </c>
      <c r="C4" s="133" t="s">
        <v>106</v>
      </c>
      <c r="D4" s="134" t="s">
        <v>107</v>
      </c>
    </row>
    <row r="5" spans="2:4" x14ac:dyDescent="0.2">
      <c r="B5" s="135"/>
      <c r="C5" s="136"/>
      <c r="D5" s="137"/>
    </row>
    <row r="6" spans="2:4" x14ac:dyDescent="0.2">
      <c r="B6" s="138">
        <v>42627</v>
      </c>
      <c r="C6" s="153" t="s">
        <v>108</v>
      </c>
      <c r="D6" s="140">
        <v>1</v>
      </c>
    </row>
    <row r="7" spans="2:4" x14ac:dyDescent="0.2">
      <c r="B7" s="138">
        <v>42627</v>
      </c>
      <c r="C7" s="153" t="s">
        <v>176</v>
      </c>
      <c r="D7" s="140">
        <v>2</v>
      </c>
    </row>
    <row r="8" spans="2:4" x14ac:dyDescent="0.2">
      <c r="B8" s="141"/>
      <c r="C8" s="139"/>
      <c r="D8" s="140"/>
    </row>
    <row r="9" spans="2:4" x14ac:dyDescent="0.2">
      <c r="B9" s="141"/>
      <c r="C9" s="139"/>
      <c r="D9" s="140"/>
    </row>
    <row r="10" spans="2:4" x14ac:dyDescent="0.2">
      <c r="B10" s="142"/>
      <c r="C10" s="143"/>
      <c r="D10" s="140"/>
    </row>
    <row r="11" spans="2:4" x14ac:dyDescent="0.2">
      <c r="B11" s="142"/>
      <c r="C11" s="143"/>
      <c r="D11" s="140"/>
    </row>
    <row r="12" spans="2:4" x14ac:dyDescent="0.2">
      <c r="B12" s="142"/>
      <c r="C12" s="143"/>
      <c r="D12" s="140"/>
    </row>
    <row r="13" spans="2:4" x14ac:dyDescent="0.2">
      <c r="B13" s="142"/>
      <c r="C13" s="143"/>
      <c r="D13" s="140"/>
    </row>
    <row r="14" spans="2:4" x14ac:dyDescent="0.2">
      <c r="B14" s="142"/>
      <c r="C14" s="143"/>
      <c r="D14" s="140"/>
    </row>
    <row r="15" spans="2:4" x14ac:dyDescent="0.2">
      <c r="B15" s="142"/>
      <c r="C15" s="143"/>
      <c r="D15" s="140"/>
    </row>
    <row r="16" spans="2:4" x14ac:dyDescent="0.2">
      <c r="B16" s="142"/>
      <c r="C16" s="143"/>
      <c r="D16" s="140"/>
    </row>
    <row r="17" spans="2:4" x14ac:dyDescent="0.2">
      <c r="B17" s="142"/>
      <c r="C17" s="143"/>
      <c r="D17" s="140"/>
    </row>
    <row r="18" spans="2:4" x14ac:dyDescent="0.2">
      <c r="B18" s="142"/>
      <c r="C18" s="143"/>
      <c r="D18" s="140"/>
    </row>
    <row r="19" spans="2:4" x14ac:dyDescent="0.2">
      <c r="B19" s="142"/>
      <c r="C19" s="143"/>
      <c r="D19" s="140"/>
    </row>
    <row r="20" spans="2:4" x14ac:dyDescent="0.2">
      <c r="B20" s="142"/>
      <c r="C20" s="143"/>
      <c r="D20" s="140"/>
    </row>
    <row r="21" spans="2:4" x14ac:dyDescent="0.2">
      <c r="B21" s="142"/>
      <c r="C21" s="143"/>
      <c r="D21" s="140"/>
    </row>
    <row r="22" spans="2:4" x14ac:dyDescent="0.2">
      <c r="B22" s="142"/>
      <c r="C22" s="143"/>
      <c r="D22" s="140"/>
    </row>
    <row r="23" spans="2:4" x14ac:dyDescent="0.2">
      <c r="B23" s="142"/>
      <c r="C23" s="143"/>
      <c r="D23" s="140"/>
    </row>
    <row r="24" spans="2:4" x14ac:dyDescent="0.2">
      <c r="B24" s="142"/>
      <c r="C24" s="143"/>
      <c r="D24" s="140"/>
    </row>
    <row r="25" spans="2:4" x14ac:dyDescent="0.2">
      <c r="B25" s="142"/>
      <c r="C25" s="143"/>
      <c r="D25" s="140"/>
    </row>
    <row r="26" spans="2:4" x14ac:dyDescent="0.2">
      <c r="B26" s="142"/>
      <c r="C26" s="143"/>
      <c r="D26" s="140"/>
    </row>
    <row r="27" spans="2:4" x14ac:dyDescent="0.2">
      <c r="B27" s="142"/>
      <c r="C27" s="143"/>
      <c r="D27" s="140"/>
    </row>
    <row r="28" spans="2:4" x14ac:dyDescent="0.2">
      <c r="B28" s="142"/>
      <c r="C28" s="143"/>
      <c r="D28" s="140"/>
    </row>
    <row r="29" spans="2:4" x14ac:dyDescent="0.2">
      <c r="B29" s="142"/>
      <c r="C29" s="143"/>
      <c r="D29" s="140"/>
    </row>
    <row r="30" spans="2:4" x14ac:dyDescent="0.2">
      <c r="B30" s="142"/>
      <c r="C30" s="143"/>
      <c r="D30" s="140"/>
    </row>
    <row r="31" spans="2:4" x14ac:dyDescent="0.2">
      <c r="B31" s="142"/>
      <c r="C31" s="143"/>
      <c r="D31" s="140"/>
    </row>
    <row r="32" spans="2:4" x14ac:dyDescent="0.2">
      <c r="B32" s="144"/>
      <c r="C32" s="143"/>
      <c r="D32" s="140"/>
    </row>
    <row r="33" spans="2:4" x14ac:dyDescent="0.2">
      <c r="B33" s="142"/>
      <c r="C33" s="143"/>
      <c r="D33" s="140"/>
    </row>
    <row r="34" spans="2:4" x14ac:dyDescent="0.2">
      <c r="B34" s="142"/>
      <c r="C34" s="143"/>
      <c r="D34" s="140"/>
    </row>
    <row r="35" spans="2:4" x14ac:dyDescent="0.2">
      <c r="B35" s="142"/>
      <c r="C35" s="143"/>
      <c r="D35" s="140"/>
    </row>
    <row r="36" spans="2:4" x14ac:dyDescent="0.2">
      <c r="B36" s="142"/>
      <c r="C36" s="143"/>
      <c r="D36" s="140"/>
    </row>
    <row r="37" spans="2:4" x14ac:dyDescent="0.2">
      <c r="B37" s="142"/>
      <c r="C37" s="143"/>
      <c r="D37" s="140"/>
    </row>
    <row r="38" spans="2:4" x14ac:dyDescent="0.2">
      <c r="B38" s="142"/>
      <c r="C38" s="143"/>
      <c r="D38" s="140"/>
    </row>
    <row r="39" spans="2:4" x14ac:dyDescent="0.2">
      <c r="B39" s="142"/>
      <c r="C39" s="143"/>
      <c r="D39" s="140"/>
    </row>
    <row r="40" spans="2:4" x14ac:dyDescent="0.2">
      <c r="B40" s="145"/>
      <c r="C40" s="143"/>
      <c r="D40" s="140"/>
    </row>
    <row r="41" spans="2:4" x14ac:dyDescent="0.2">
      <c r="B41" s="142"/>
      <c r="C41" s="143"/>
      <c r="D41" s="140"/>
    </row>
    <row r="42" spans="2:4" x14ac:dyDescent="0.2">
      <c r="B42" s="145"/>
      <c r="C42" s="143"/>
      <c r="D42" s="140"/>
    </row>
    <row r="43" spans="2:4" x14ac:dyDescent="0.2">
      <c r="B43" s="145"/>
      <c r="C43" s="146"/>
      <c r="D43" s="147"/>
    </row>
    <row r="44" spans="2:4" x14ac:dyDescent="0.2">
      <c r="B44" s="145"/>
      <c r="C44" s="143"/>
      <c r="D44" s="140"/>
    </row>
    <row r="45" spans="2:4" x14ac:dyDescent="0.2">
      <c r="B45" s="142"/>
      <c r="C45" s="143"/>
      <c r="D45" s="140"/>
    </row>
    <row r="46" spans="2:4" x14ac:dyDescent="0.2">
      <c r="B46" s="142"/>
      <c r="C46" s="143"/>
      <c r="D46" s="140"/>
    </row>
    <row r="47" spans="2:4" x14ac:dyDescent="0.2">
      <c r="B47" s="142"/>
      <c r="C47" s="143"/>
      <c r="D47" s="140"/>
    </row>
    <row r="48" spans="2:4" x14ac:dyDescent="0.2">
      <c r="B48" s="148"/>
      <c r="C48" s="149"/>
      <c r="D48" s="150"/>
    </row>
    <row r="49" spans="2:4" x14ac:dyDescent="0.2">
      <c r="B49" s="151"/>
      <c r="D49" s="152"/>
    </row>
    <row r="50" spans="2:4" x14ac:dyDescent="0.2">
      <c r="B50" s="151"/>
      <c r="D50" s="152"/>
    </row>
    <row r="51" spans="2:4" x14ac:dyDescent="0.2">
      <c r="B51" s="151"/>
      <c r="D51" s="152"/>
    </row>
    <row r="52" spans="2:4" x14ac:dyDescent="0.2">
      <c r="B52" s="151"/>
      <c r="D52" s="152"/>
    </row>
    <row r="53" spans="2:4" x14ac:dyDescent="0.2">
      <c r="B53" s="151"/>
      <c r="D53" s="152"/>
    </row>
    <row r="54" spans="2:4" x14ac:dyDescent="0.2">
      <c r="B54" s="151"/>
      <c r="D54" s="152"/>
    </row>
    <row r="55" spans="2:4" x14ac:dyDescent="0.2">
      <c r="B55" s="151"/>
      <c r="D55" s="152"/>
    </row>
    <row r="56" spans="2:4" x14ac:dyDescent="0.2">
      <c r="B56" s="151"/>
      <c r="D56" s="151"/>
    </row>
    <row r="57" spans="2:4" x14ac:dyDescent="0.2">
      <c r="B57" s="151"/>
      <c r="D57" s="151"/>
    </row>
    <row r="58" spans="2:4" x14ac:dyDescent="0.2">
      <c r="B58" s="151"/>
      <c r="D58" s="151"/>
    </row>
    <row r="59" spans="2:4" x14ac:dyDescent="0.2">
      <c r="B59" s="151"/>
      <c r="D59" s="151"/>
    </row>
    <row r="60" spans="2:4" x14ac:dyDescent="0.2">
      <c r="B60" s="151"/>
      <c r="D60" s="151"/>
    </row>
    <row r="61" spans="2:4" x14ac:dyDescent="0.2">
      <c r="B61" s="151"/>
      <c r="D61" s="151"/>
    </row>
    <row r="62" spans="2:4" x14ac:dyDescent="0.2">
      <c r="B62" s="151"/>
      <c r="D62" s="151"/>
    </row>
    <row r="63" spans="2:4" x14ac:dyDescent="0.2">
      <c r="B63" s="151"/>
      <c r="D63" s="151"/>
    </row>
    <row r="64" spans="2:4" x14ac:dyDescent="0.2">
      <c r="B64" s="151"/>
      <c r="D64" s="151"/>
    </row>
    <row r="65" spans="2:4" x14ac:dyDescent="0.2">
      <c r="B65" s="151"/>
      <c r="D65" s="151"/>
    </row>
    <row r="66" spans="2:4" x14ac:dyDescent="0.2">
      <c r="B66" s="151"/>
      <c r="D66" s="151"/>
    </row>
    <row r="67" spans="2:4" x14ac:dyDescent="0.2">
      <c r="B67" s="151"/>
      <c r="D67" s="151"/>
    </row>
    <row r="68" spans="2:4" x14ac:dyDescent="0.2">
      <c r="B68" s="151"/>
      <c r="D68" s="151"/>
    </row>
    <row r="69" spans="2:4" x14ac:dyDescent="0.2">
      <c r="B69" s="151"/>
      <c r="D69" s="151"/>
    </row>
    <row r="70" spans="2:4" x14ac:dyDescent="0.2">
      <c r="B70" s="151"/>
      <c r="D70" s="151"/>
    </row>
    <row r="71" spans="2:4" x14ac:dyDescent="0.2">
      <c r="B71" s="151"/>
      <c r="D71" s="151"/>
    </row>
    <row r="72" spans="2:4" x14ac:dyDescent="0.2">
      <c r="B72" s="151"/>
      <c r="D72" s="151"/>
    </row>
    <row r="73" spans="2:4" x14ac:dyDescent="0.2">
      <c r="B73" s="151"/>
      <c r="D73" s="151"/>
    </row>
    <row r="74" spans="2:4" x14ac:dyDescent="0.2">
      <c r="B74" s="151"/>
      <c r="D74" s="151"/>
    </row>
    <row r="75" spans="2:4" x14ac:dyDescent="0.2">
      <c r="B75" s="151"/>
      <c r="D75" s="151"/>
    </row>
    <row r="76" spans="2:4" x14ac:dyDescent="0.2">
      <c r="B76" s="151"/>
      <c r="D76" s="151"/>
    </row>
    <row r="77" spans="2:4" x14ac:dyDescent="0.2">
      <c r="B77" s="151"/>
      <c r="D77" s="151"/>
    </row>
    <row r="78" spans="2:4" x14ac:dyDescent="0.2">
      <c r="B78" s="151"/>
      <c r="D78" s="151"/>
    </row>
    <row r="79" spans="2:4" x14ac:dyDescent="0.2">
      <c r="B79" s="151"/>
      <c r="D79" s="151"/>
    </row>
    <row r="80" spans="2:4" x14ac:dyDescent="0.2">
      <c r="B80" s="151"/>
      <c r="D80" s="151"/>
    </row>
    <row r="81" spans="2:4" x14ac:dyDescent="0.2">
      <c r="B81" s="151"/>
      <c r="D81" s="151"/>
    </row>
    <row r="82" spans="2:4" x14ac:dyDescent="0.2">
      <c r="B82" s="151"/>
      <c r="D82" s="151"/>
    </row>
    <row r="83" spans="2:4" x14ac:dyDescent="0.2">
      <c r="B83" s="151"/>
      <c r="D83" s="151"/>
    </row>
    <row r="84" spans="2:4" x14ac:dyDescent="0.2">
      <c r="B84" s="151"/>
      <c r="D84" s="151"/>
    </row>
    <row r="85" spans="2:4" x14ac:dyDescent="0.2">
      <c r="B85" s="151"/>
      <c r="D85" s="151"/>
    </row>
    <row r="86" spans="2:4" x14ac:dyDescent="0.2">
      <c r="B86" s="151"/>
      <c r="D86" s="151"/>
    </row>
    <row r="87" spans="2:4" x14ac:dyDescent="0.2">
      <c r="D87" s="151"/>
    </row>
    <row r="88" spans="2:4" x14ac:dyDescent="0.2">
      <c r="D88" s="151"/>
    </row>
    <row r="89" spans="2:4" x14ac:dyDescent="0.2">
      <c r="D89" s="151"/>
    </row>
    <row r="90" spans="2:4" x14ac:dyDescent="0.2">
      <c r="D90" s="151"/>
    </row>
    <row r="91" spans="2:4" x14ac:dyDescent="0.2">
      <c r="D91" s="151"/>
    </row>
    <row r="92" spans="2:4" x14ac:dyDescent="0.2">
      <c r="D92" s="151"/>
    </row>
    <row r="93" spans="2:4" x14ac:dyDescent="0.2">
      <c r="D93" s="151"/>
    </row>
    <row r="94" spans="2:4" x14ac:dyDescent="0.2">
      <c r="D94" s="151"/>
    </row>
    <row r="95" spans="2:4" x14ac:dyDescent="0.2">
      <c r="D95" s="151"/>
    </row>
    <row r="96" spans="2:4" x14ac:dyDescent="0.2">
      <c r="D96" s="151"/>
    </row>
    <row r="97" spans="4:4" x14ac:dyDescent="0.2">
      <c r="D97" s="151"/>
    </row>
    <row r="98" spans="4:4" x14ac:dyDescent="0.2">
      <c r="D98" s="151"/>
    </row>
    <row r="99" spans="4:4" x14ac:dyDescent="0.2">
      <c r="D99" s="151"/>
    </row>
    <row r="100" spans="4:4" x14ac:dyDescent="0.2">
      <c r="D100" s="151"/>
    </row>
    <row r="101" spans="4:4" x14ac:dyDescent="0.2">
      <c r="D101" s="151"/>
    </row>
    <row r="102" spans="4:4" x14ac:dyDescent="0.2">
      <c r="D102" s="151"/>
    </row>
    <row r="103" spans="4:4" x14ac:dyDescent="0.2">
      <c r="D103" s="151"/>
    </row>
    <row r="104" spans="4:4" x14ac:dyDescent="0.2">
      <c r="D104" s="151"/>
    </row>
    <row r="105" spans="4:4" x14ac:dyDescent="0.2">
      <c r="D105" s="151"/>
    </row>
    <row r="106" spans="4:4" x14ac:dyDescent="0.2">
      <c r="D106" s="151"/>
    </row>
    <row r="107" spans="4:4" x14ac:dyDescent="0.2">
      <c r="D107" s="151"/>
    </row>
    <row r="108" spans="4:4" x14ac:dyDescent="0.2">
      <c r="D108" s="151"/>
    </row>
    <row r="109" spans="4:4" x14ac:dyDescent="0.2">
      <c r="D109" s="151"/>
    </row>
    <row r="110" spans="4:4" x14ac:dyDescent="0.2">
      <c r="D110" s="151"/>
    </row>
    <row r="111" spans="4:4" x14ac:dyDescent="0.2">
      <c r="D111" s="151"/>
    </row>
    <row r="112" spans="4:4" x14ac:dyDescent="0.2">
      <c r="D112" s="151"/>
    </row>
    <row r="113" spans="4:4" x14ac:dyDescent="0.2">
      <c r="D113" s="151"/>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5"/>
  <sheetViews>
    <sheetView topLeftCell="A2" workbookViewId="0">
      <selection activeCell="C20" sqref="C20"/>
    </sheetView>
  </sheetViews>
  <sheetFormatPr baseColWidth="10" defaultRowHeight="16" x14ac:dyDescent="0.2"/>
  <cols>
    <col min="1" max="1" width="2.6640625" style="3" customWidth="1"/>
    <col min="2" max="2" width="3.1640625" style="155" customWidth="1"/>
    <col min="3" max="3" width="2.33203125" style="3" customWidth="1"/>
    <col min="4" max="16384" width="10.83203125" style="3"/>
  </cols>
  <sheetData>
    <row r="2" spans="2:4" x14ac:dyDescent="0.2">
      <c r="B2" s="155" t="s">
        <v>174</v>
      </c>
    </row>
    <row r="4" spans="2:4" x14ac:dyDescent="0.2">
      <c r="B4" s="86" t="s">
        <v>113</v>
      </c>
    </row>
    <row r="6" spans="2:4" x14ac:dyDescent="0.2">
      <c r="B6" s="155">
        <v>1</v>
      </c>
      <c r="C6" s="3" t="s">
        <v>141</v>
      </c>
    </row>
    <row r="7" spans="2:4" x14ac:dyDescent="0.2">
      <c r="C7" s="3" t="s">
        <v>110</v>
      </c>
      <c r="D7" s="3" t="s">
        <v>111</v>
      </c>
    </row>
    <row r="8" spans="2:4" x14ac:dyDescent="0.2">
      <c r="C8" s="3" t="s">
        <v>110</v>
      </c>
      <c r="D8" s="3" t="s">
        <v>112</v>
      </c>
    </row>
    <row r="9" spans="2:4" x14ac:dyDescent="0.2">
      <c r="C9" s="3" t="s">
        <v>110</v>
      </c>
      <c r="D9" s="3" t="s">
        <v>114</v>
      </c>
    </row>
    <row r="10" spans="2:4" x14ac:dyDescent="0.2">
      <c r="B10" s="155">
        <v>2</v>
      </c>
      <c r="C10" s="3" t="s">
        <v>142</v>
      </c>
    </row>
    <row r="11" spans="2:4" x14ac:dyDescent="0.2">
      <c r="B11" s="155">
        <v>3</v>
      </c>
      <c r="C11" s="3" t="s">
        <v>173</v>
      </c>
    </row>
    <row r="12" spans="2:4" x14ac:dyDescent="0.2">
      <c r="B12" s="155">
        <v>4</v>
      </c>
      <c r="C12" s="3" t="s">
        <v>175</v>
      </c>
    </row>
    <row r="14" spans="2:4" x14ac:dyDescent="0.2">
      <c r="B14" s="86" t="s">
        <v>148</v>
      </c>
    </row>
    <row r="16" spans="2:4" x14ac:dyDescent="0.2">
      <c r="B16" s="155">
        <v>1</v>
      </c>
      <c r="C16" s="3" t="s">
        <v>149</v>
      </c>
    </row>
    <row r="17" spans="2:3" x14ac:dyDescent="0.2">
      <c r="B17" s="155">
        <v>2</v>
      </c>
      <c r="C17" s="3" t="s">
        <v>156</v>
      </c>
    </row>
    <row r="18" spans="2:3" x14ac:dyDescent="0.2">
      <c r="B18" s="155">
        <v>3</v>
      </c>
      <c r="C18" s="3" t="s">
        <v>150</v>
      </c>
    </row>
    <row r="19" spans="2:3" x14ac:dyDescent="0.2">
      <c r="B19" s="155">
        <v>4</v>
      </c>
      <c r="C19" s="3" t="s">
        <v>151</v>
      </c>
    </row>
    <row r="20" spans="2:3" x14ac:dyDescent="0.2">
      <c r="B20" s="155">
        <v>5</v>
      </c>
      <c r="C20" s="3" t="s">
        <v>153</v>
      </c>
    </row>
    <row r="21" spans="2:3" x14ac:dyDescent="0.2">
      <c r="B21" s="155">
        <v>6</v>
      </c>
      <c r="C21" s="3" t="s">
        <v>152</v>
      </c>
    </row>
    <row r="23" spans="2:3" x14ac:dyDescent="0.2">
      <c r="B23" s="86" t="s">
        <v>154</v>
      </c>
    </row>
    <row r="25" spans="2:3" x14ac:dyDescent="0.2">
      <c r="C25" s="3" t="s">
        <v>155</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8" tint="0.39997558519241921"/>
  </sheetPr>
  <dimension ref="B2:P81"/>
  <sheetViews>
    <sheetView tabSelected="1" workbookViewId="0">
      <pane xSplit="3" ySplit="5" topLeftCell="D33" activePane="bottomRight" state="frozen"/>
      <selection pane="topRight" activeCell="D1" sqref="D1"/>
      <selection pane="bottomLeft" activeCell="A6" sqref="A6"/>
      <selection pane="bottomRight" activeCell="L46" sqref="L46:L48"/>
    </sheetView>
  </sheetViews>
  <sheetFormatPr baseColWidth="10" defaultRowHeight="16" x14ac:dyDescent="0.2"/>
  <cols>
    <col min="1" max="1" width="10.83203125" style="3"/>
    <col min="2" max="2" width="31" style="3" customWidth="1"/>
    <col min="3" max="3" width="41.5" style="3" bestFit="1" customWidth="1"/>
    <col min="4" max="4" width="16.83203125" style="3" customWidth="1"/>
    <col min="5" max="11" width="21.6640625" style="3" customWidth="1"/>
    <col min="12" max="12" width="16.6640625" style="3" customWidth="1"/>
    <col min="13" max="13" width="19.83203125" style="3" customWidth="1"/>
    <col min="14" max="14" width="22.6640625" style="3" customWidth="1"/>
    <col min="15" max="16384" width="10.83203125" style="3"/>
  </cols>
  <sheetData>
    <row r="2" spans="2:15" ht="21" x14ac:dyDescent="0.25">
      <c r="B2" s="1" t="s">
        <v>0</v>
      </c>
      <c r="C2" s="2"/>
      <c r="D2" s="2"/>
      <c r="E2" s="2"/>
      <c r="F2" s="2"/>
      <c r="G2" s="2"/>
      <c r="H2" s="2"/>
      <c r="I2" s="2"/>
      <c r="J2" s="2"/>
      <c r="K2" s="2"/>
      <c r="L2" s="2"/>
    </row>
    <row r="3" spans="2:15" x14ac:dyDescent="0.2">
      <c r="E3" s="2"/>
      <c r="F3" s="2"/>
      <c r="G3" s="2"/>
      <c r="H3" s="2"/>
      <c r="I3" s="2"/>
      <c r="J3" s="2"/>
      <c r="K3" s="2"/>
      <c r="L3" s="2"/>
    </row>
    <row r="4" spans="2:15" x14ac:dyDescent="0.2">
      <c r="B4" s="4" t="s">
        <v>1</v>
      </c>
      <c r="C4" s="5"/>
      <c r="D4" s="5"/>
      <c r="E4" s="5"/>
      <c r="F4" s="5"/>
      <c r="G4" s="6"/>
      <c r="H4" s="2"/>
      <c r="I4" s="2"/>
      <c r="J4" s="2"/>
      <c r="K4" s="2"/>
      <c r="L4" s="2"/>
    </row>
    <row r="5" spans="2:15" ht="30" customHeight="1" x14ac:dyDescent="0.2">
      <c r="B5" s="282" t="s">
        <v>167</v>
      </c>
      <c r="C5" s="283"/>
      <c r="D5" s="283"/>
      <c r="E5" s="283"/>
      <c r="F5" s="283"/>
      <c r="G5" s="284"/>
      <c r="H5" s="2"/>
      <c r="I5" s="2"/>
      <c r="J5" s="2"/>
      <c r="K5" s="2"/>
      <c r="L5" s="2"/>
    </row>
    <row r="6" spans="2:15" ht="17" thickBot="1" x14ac:dyDescent="0.25">
      <c r="B6" s="2"/>
      <c r="C6" s="2"/>
      <c r="D6" s="2"/>
      <c r="E6" s="2"/>
      <c r="F6" s="2"/>
      <c r="G6" s="2"/>
      <c r="H6" s="2"/>
      <c r="I6" s="2"/>
      <c r="J6" s="2"/>
      <c r="K6" s="2"/>
      <c r="L6" s="2"/>
    </row>
    <row r="7" spans="2:15" x14ac:dyDescent="0.2">
      <c r="B7" s="7" t="s">
        <v>0</v>
      </c>
      <c r="C7" s="8"/>
      <c r="D7" s="8"/>
      <c r="E7" s="8"/>
      <c r="F7" s="8"/>
      <c r="G7" s="8"/>
      <c r="H7" s="8"/>
      <c r="I7" s="8"/>
      <c r="J7" s="8"/>
      <c r="K7" s="9"/>
      <c r="L7" s="2"/>
      <c r="M7" s="90"/>
      <c r="N7" s="8"/>
      <c r="O7" s="9"/>
    </row>
    <row r="8" spans="2:15" x14ac:dyDescent="0.2">
      <c r="B8" s="10"/>
      <c r="C8" s="2"/>
      <c r="D8" s="2"/>
      <c r="E8" s="2"/>
      <c r="F8" s="2"/>
      <c r="G8" s="2"/>
      <c r="H8" s="2"/>
      <c r="I8" s="2"/>
      <c r="J8" s="2"/>
      <c r="K8" s="11"/>
      <c r="L8" s="2"/>
      <c r="M8" s="10"/>
      <c r="N8" s="2"/>
      <c r="O8" s="11"/>
    </row>
    <row r="9" spans="2:15" ht="80" x14ac:dyDescent="0.2">
      <c r="B9" s="12" t="s">
        <v>2</v>
      </c>
      <c r="C9" s="13" t="s">
        <v>3</v>
      </c>
      <c r="D9" s="14" t="s">
        <v>4</v>
      </c>
      <c r="E9" s="15" t="s">
        <v>5</v>
      </c>
      <c r="F9" s="15" t="s">
        <v>6</v>
      </c>
      <c r="G9" s="15" t="s">
        <v>7</v>
      </c>
      <c r="H9" s="15" t="s">
        <v>8</v>
      </c>
      <c r="I9" s="15" t="s">
        <v>9</v>
      </c>
      <c r="J9" s="15" t="s">
        <v>10</v>
      </c>
      <c r="K9" s="16" t="s">
        <v>11</v>
      </c>
      <c r="L9" s="25"/>
      <c r="M9" s="91" t="s">
        <v>73</v>
      </c>
      <c r="N9" s="92" t="s">
        <v>74</v>
      </c>
      <c r="O9" s="93" t="s">
        <v>75</v>
      </c>
    </row>
    <row r="10" spans="2:15" x14ac:dyDescent="0.2">
      <c r="B10" s="17" t="s">
        <v>12</v>
      </c>
      <c r="C10" s="18"/>
      <c r="D10" s="18"/>
      <c r="E10" s="19"/>
      <c r="F10" s="19"/>
      <c r="G10" s="19"/>
      <c r="H10" s="19"/>
      <c r="I10" s="19"/>
      <c r="J10" s="19"/>
      <c r="K10" s="20"/>
      <c r="L10" s="87"/>
      <c r="M10" s="10"/>
      <c r="N10" s="2"/>
      <c r="O10" s="11"/>
    </row>
    <row r="11" spans="2:15" s="23" customFormat="1" x14ac:dyDescent="0.2">
      <c r="B11" s="21"/>
      <c r="C11" s="22" t="s">
        <v>13</v>
      </c>
      <c r="D11" s="22"/>
      <c r="E11" s="264">
        <v>68.760000000000005</v>
      </c>
      <c r="F11" s="265">
        <v>17</v>
      </c>
      <c r="G11" s="179">
        <v>0</v>
      </c>
      <c r="H11" s="179">
        <v>0</v>
      </c>
      <c r="I11" s="179">
        <v>0</v>
      </c>
      <c r="J11" s="179">
        <v>0</v>
      </c>
      <c r="K11" s="179">
        <v>0</v>
      </c>
      <c r="L11" s="89"/>
      <c r="M11" s="21"/>
      <c r="N11" s="94"/>
      <c r="O11" s="95"/>
    </row>
    <row r="12" spans="2:15" x14ac:dyDescent="0.2">
      <c r="B12" s="24"/>
      <c r="C12" s="25"/>
      <c r="D12" s="25"/>
      <c r="E12" s="55"/>
      <c r="F12" s="55"/>
      <c r="G12" s="55"/>
      <c r="H12" s="55"/>
      <c r="I12" s="55"/>
      <c r="J12" s="55"/>
      <c r="K12" s="56"/>
      <c r="L12" s="55"/>
      <c r="M12" s="10"/>
      <c r="N12" s="2"/>
      <c r="O12" s="11"/>
    </row>
    <row r="13" spans="2:15" x14ac:dyDescent="0.2">
      <c r="B13" s="12"/>
      <c r="C13" s="26"/>
      <c r="D13" s="26" t="s">
        <v>203</v>
      </c>
      <c r="E13" s="34">
        <f>E11-E52</f>
        <v>67.427660537803064</v>
      </c>
      <c r="F13" s="34"/>
      <c r="G13" s="34"/>
      <c r="H13" s="34"/>
      <c r="I13" s="34"/>
      <c r="J13" s="34"/>
      <c r="K13" s="35"/>
      <c r="L13" s="88"/>
      <c r="M13" s="10"/>
      <c r="N13" s="2"/>
      <c r="O13" s="11"/>
    </row>
    <row r="14" spans="2:15" x14ac:dyDescent="0.2">
      <c r="B14" s="17" t="s">
        <v>34</v>
      </c>
      <c r="C14" s="27"/>
      <c r="D14" s="26"/>
      <c r="E14" s="34"/>
      <c r="F14" s="34"/>
      <c r="G14" s="34"/>
      <c r="H14" s="34"/>
      <c r="I14" s="34"/>
      <c r="J14" s="34"/>
      <c r="K14" s="35"/>
      <c r="L14" s="258"/>
      <c r="M14" s="10"/>
      <c r="N14" s="2"/>
      <c r="O14" s="11"/>
    </row>
    <row r="15" spans="2:15" x14ac:dyDescent="0.2">
      <c r="B15" s="24" t="s">
        <v>147</v>
      </c>
      <c r="C15" s="28" t="s">
        <v>35</v>
      </c>
      <c r="D15" s="75">
        <f>E15/SUM($E$15:$K$27)</f>
        <v>0.97776277214514606</v>
      </c>
      <c r="E15" s="85">
        <f>(E13-E23-E38)*4/5</f>
        <v>53.942128430242448</v>
      </c>
      <c r="F15" s="77"/>
      <c r="G15" s="77"/>
      <c r="H15" s="77"/>
      <c r="I15" s="77"/>
      <c r="J15" s="77"/>
      <c r="K15" s="84"/>
      <c r="L15" s="259">
        <f t="shared" ref="L15:L27" si="0">SUM(E15:K15)</f>
        <v>53.942128430242448</v>
      </c>
      <c r="M15" s="10">
        <v>1.0669999999999999</v>
      </c>
      <c r="N15" s="2">
        <f>M15*SUM(E15:K15)</f>
        <v>57.556251035068691</v>
      </c>
      <c r="O15" s="98">
        <f>N15/SUM($N$15:$N$27)</f>
        <v>0.94670424020367716</v>
      </c>
    </row>
    <row r="16" spans="2:15" x14ac:dyDescent="0.2">
      <c r="B16" s="196">
        <f>SUM(E15:K26)</f>
        <v>55.168932553953788</v>
      </c>
      <c r="C16" s="28" t="s">
        <v>36</v>
      </c>
      <c r="D16" s="75">
        <f>G16/SUM($E$15:$K$27)</f>
        <v>0</v>
      </c>
      <c r="E16" s="73"/>
      <c r="F16" s="74"/>
      <c r="G16" s="74">
        <f>0.8*G11</f>
        <v>0</v>
      </c>
      <c r="H16" s="74"/>
      <c r="I16" s="74"/>
      <c r="J16" s="74"/>
      <c r="K16" s="80"/>
      <c r="L16" s="259">
        <f t="shared" si="0"/>
        <v>0</v>
      </c>
      <c r="M16" s="10">
        <v>1</v>
      </c>
      <c r="N16" s="2">
        <f t="shared" ref="N16:N48" si="1">M16*SUM(E16:K16)</f>
        <v>0</v>
      </c>
      <c r="O16" s="98">
        <f t="shared" ref="O16:O27" si="2">N16/SUM($N$15:$N$27)</f>
        <v>0</v>
      </c>
    </row>
    <row r="17" spans="2:15" x14ac:dyDescent="0.2">
      <c r="B17" s="17"/>
      <c r="C17" s="28" t="s">
        <v>37</v>
      </c>
      <c r="D17" s="75">
        <f>F17/SUM($E$15:$K$27)</f>
        <v>7.9815369365275023E-3</v>
      </c>
      <c r="E17" s="73"/>
      <c r="F17" s="74">
        <f>Heatpumps!J28/1000</f>
        <v>0.44033287292817674</v>
      </c>
      <c r="G17" s="74"/>
      <c r="H17" s="74"/>
      <c r="I17" s="74"/>
      <c r="J17" s="74"/>
      <c r="K17" s="80"/>
      <c r="L17" s="259">
        <f>SUM(E17:K17)</f>
        <v>0.44033287292817674</v>
      </c>
      <c r="M17" s="10">
        <v>4.8000000000000078</v>
      </c>
      <c r="N17" s="2">
        <f>M17*SUM(E17:K17)</f>
        <v>2.1135977900552518</v>
      </c>
      <c r="O17" s="98">
        <f>N17/SUM($N$15:$N$27)</f>
        <v>3.4765155025668022E-2</v>
      </c>
    </row>
    <row r="18" spans="2:15" x14ac:dyDescent="0.2">
      <c r="B18" s="17"/>
      <c r="C18" s="28" t="s">
        <v>38</v>
      </c>
      <c r="D18" s="75">
        <f>E18/SUM($E$15:$K$27)</f>
        <v>0</v>
      </c>
      <c r="E18" s="73"/>
      <c r="F18" s="74"/>
      <c r="G18" s="74"/>
      <c r="H18" s="74"/>
      <c r="I18" s="74"/>
      <c r="J18" s="74"/>
      <c r="K18" s="80"/>
      <c r="L18" s="259">
        <f t="shared" si="0"/>
        <v>0</v>
      </c>
      <c r="M18" s="10">
        <v>0.88</v>
      </c>
      <c r="N18" s="2">
        <f t="shared" si="1"/>
        <v>0</v>
      </c>
      <c r="O18" s="98">
        <f t="shared" si="2"/>
        <v>0</v>
      </c>
    </row>
    <row r="19" spans="2:15" x14ac:dyDescent="0.2">
      <c r="B19" s="17"/>
      <c r="C19" s="28" t="s">
        <v>39</v>
      </c>
      <c r="D19" s="75">
        <f>K19/SUM($E$15:$K$27)</f>
        <v>0</v>
      </c>
      <c r="E19" s="73"/>
      <c r="F19" s="74"/>
      <c r="G19" s="74"/>
      <c r="H19" s="74"/>
      <c r="I19" s="74"/>
      <c r="J19" s="74"/>
      <c r="K19" s="80">
        <f>K11*0.8</f>
        <v>0</v>
      </c>
      <c r="L19" s="259">
        <f t="shared" si="0"/>
        <v>0</v>
      </c>
      <c r="M19" s="10">
        <v>1</v>
      </c>
      <c r="N19" s="2">
        <f t="shared" si="1"/>
        <v>0</v>
      </c>
      <c r="O19" s="98">
        <f t="shared" si="2"/>
        <v>0</v>
      </c>
    </row>
    <row r="20" spans="2:15" x14ac:dyDescent="0.2">
      <c r="B20" s="17"/>
      <c r="C20" s="28" t="s">
        <v>40</v>
      </c>
      <c r="D20" s="75">
        <f>F20/SUM($E$15:$K$27)</f>
        <v>1.7614655984243013E-3</v>
      </c>
      <c r="E20" s="73"/>
      <c r="F20" s="74">
        <f>Heatpumps!I28/1000</f>
        <v>9.7178176795580121E-2</v>
      </c>
      <c r="G20" s="74"/>
      <c r="H20" s="74"/>
      <c r="I20" s="74"/>
      <c r="J20" s="74"/>
      <c r="K20" s="80"/>
      <c r="L20" s="259">
        <f>SUM(E20:K20)</f>
        <v>9.7178176795580121E-2</v>
      </c>
      <c r="M20" s="10">
        <v>4.5000000000000044</v>
      </c>
      <c r="N20" s="2">
        <f t="shared" si="1"/>
        <v>0.43730179558011095</v>
      </c>
      <c r="O20" s="98">
        <f t="shared" si="2"/>
        <v>7.192884468311316E-3</v>
      </c>
    </row>
    <row r="21" spans="2:15" x14ac:dyDescent="0.2">
      <c r="B21" s="17"/>
      <c r="C21" s="28" t="s">
        <v>41</v>
      </c>
      <c r="D21" s="75">
        <f>J22/SUM($E$15:$K$27)</f>
        <v>0</v>
      </c>
      <c r="E21" s="73"/>
      <c r="F21" s="74"/>
      <c r="G21" s="74"/>
      <c r="H21" s="74"/>
      <c r="I21" s="74"/>
      <c r="J21" s="74">
        <v>0</v>
      </c>
      <c r="K21" s="80"/>
      <c r="L21" s="259">
        <f t="shared" si="0"/>
        <v>0</v>
      </c>
      <c r="M21" s="10">
        <v>0.82</v>
      </c>
      <c r="N21" s="2">
        <f t="shared" si="1"/>
        <v>0</v>
      </c>
      <c r="O21" s="98">
        <f t="shared" si="2"/>
        <v>0</v>
      </c>
    </row>
    <row r="22" spans="2:15" x14ac:dyDescent="0.2">
      <c r="B22" s="17"/>
      <c r="C22" s="28" t="s">
        <v>42</v>
      </c>
      <c r="D22" s="75">
        <f>F22/SUM($E$15:$K$27)</f>
        <v>1.2494225319902141E-2</v>
      </c>
      <c r="E22" s="73"/>
      <c r="F22" s="74">
        <f>Electricity!E38-F20-F17-F26</f>
        <v>0.68929307398758288</v>
      </c>
      <c r="G22" s="74"/>
      <c r="H22" s="74"/>
      <c r="I22" s="74"/>
      <c r="J22" s="74"/>
      <c r="K22" s="80"/>
      <c r="L22" s="259">
        <f>SUM(E22:K22)</f>
        <v>0.68929307398758288</v>
      </c>
      <c r="M22" s="10">
        <v>1</v>
      </c>
      <c r="N22" s="2">
        <f t="shared" si="1"/>
        <v>0.68929307398758288</v>
      </c>
      <c r="O22" s="98">
        <f t="shared" si="2"/>
        <v>1.1337720302343401E-2</v>
      </c>
    </row>
    <row r="23" spans="2:15" x14ac:dyDescent="0.2">
      <c r="B23" s="17"/>
      <c r="C23" s="28" t="s">
        <v>43</v>
      </c>
      <c r="D23" s="75">
        <f>E23/SUM($E$15:$K$27)</f>
        <v>0</v>
      </c>
      <c r="E23" s="73">
        <v>0</v>
      </c>
      <c r="F23" s="74"/>
      <c r="G23" s="74"/>
      <c r="H23" s="74"/>
      <c r="I23" s="74"/>
      <c r="J23" s="74"/>
      <c r="K23" s="80"/>
      <c r="L23" s="259">
        <f t="shared" si="0"/>
        <v>0</v>
      </c>
      <c r="M23" s="10">
        <v>0.8</v>
      </c>
      <c r="N23" s="2">
        <f t="shared" si="1"/>
        <v>0</v>
      </c>
      <c r="O23" s="98">
        <f t="shared" si="2"/>
        <v>0</v>
      </c>
    </row>
    <row r="24" spans="2:15" x14ac:dyDescent="0.2">
      <c r="B24" s="17"/>
      <c r="C24" s="28" t="s">
        <v>44</v>
      </c>
      <c r="D24" s="75">
        <f>I24/SUM($E$15:$K$27)</f>
        <v>0</v>
      </c>
      <c r="E24" s="73"/>
      <c r="F24" s="74"/>
      <c r="G24" s="74"/>
      <c r="H24" s="74"/>
      <c r="I24" s="74">
        <v>0</v>
      </c>
      <c r="J24" s="74"/>
      <c r="K24" s="80"/>
      <c r="L24" s="259">
        <f t="shared" si="0"/>
        <v>0</v>
      </c>
      <c r="M24" s="10">
        <v>0.85</v>
      </c>
      <c r="N24" s="2">
        <f t="shared" si="1"/>
        <v>0</v>
      </c>
      <c r="O24" s="98">
        <f t="shared" si="2"/>
        <v>0</v>
      </c>
    </row>
    <row r="25" spans="2:15" x14ac:dyDescent="0.2">
      <c r="B25" s="17"/>
      <c r="C25" s="28" t="s">
        <v>45</v>
      </c>
      <c r="D25" s="75">
        <f>H25/SUM($E$15:$K$27)</f>
        <v>0</v>
      </c>
      <c r="E25" s="73"/>
      <c r="F25" s="74"/>
      <c r="G25" s="74"/>
      <c r="H25" s="74">
        <v>0</v>
      </c>
      <c r="I25" s="74"/>
      <c r="J25" s="74"/>
      <c r="K25" s="80"/>
      <c r="L25" s="259">
        <f t="shared" si="0"/>
        <v>0</v>
      </c>
      <c r="M25" s="10">
        <v>0.8</v>
      </c>
      <c r="N25" s="2">
        <f t="shared" si="1"/>
        <v>0</v>
      </c>
      <c r="O25" s="98">
        <f t="shared" si="2"/>
        <v>0</v>
      </c>
    </row>
    <row r="26" spans="2:15" x14ac:dyDescent="0.2">
      <c r="B26" s="17"/>
      <c r="C26" s="28" t="s">
        <v>177</v>
      </c>
      <c r="D26" s="75">
        <f>F26/SUM($E$15:$K$27)</f>
        <v>0</v>
      </c>
      <c r="E26" s="73"/>
      <c r="F26" s="74">
        <v>0</v>
      </c>
      <c r="G26" s="74"/>
      <c r="H26" s="74"/>
      <c r="I26" s="74"/>
      <c r="J26" s="74"/>
      <c r="K26" s="80"/>
      <c r="L26" s="259">
        <f t="shared" si="0"/>
        <v>0</v>
      </c>
      <c r="M26" s="10">
        <v>4.4999999999999947</v>
      </c>
      <c r="N26" s="2">
        <f t="shared" si="1"/>
        <v>0</v>
      </c>
      <c r="O26" s="98">
        <f t="shared" si="2"/>
        <v>0</v>
      </c>
    </row>
    <row r="27" spans="2:15" x14ac:dyDescent="0.2">
      <c r="B27" s="17"/>
      <c r="C27" s="29" t="s">
        <v>178</v>
      </c>
      <c r="D27" s="79">
        <f>E27/SUM($E$15:$K$27)</f>
        <v>0</v>
      </c>
      <c r="E27" s="78">
        <v>0</v>
      </c>
      <c r="F27" s="72"/>
      <c r="G27" s="72"/>
      <c r="H27" s="72"/>
      <c r="I27" s="72"/>
      <c r="J27" s="72"/>
      <c r="K27" s="81"/>
      <c r="L27" s="259">
        <f t="shared" si="0"/>
        <v>0</v>
      </c>
      <c r="M27" s="10">
        <f>M15</f>
        <v>1.0669999999999999</v>
      </c>
      <c r="N27" s="2">
        <f t="shared" si="1"/>
        <v>0</v>
      </c>
      <c r="O27" s="98">
        <f t="shared" si="2"/>
        <v>0</v>
      </c>
    </row>
    <row r="28" spans="2:15" x14ac:dyDescent="0.2">
      <c r="B28" s="32"/>
      <c r="C28" s="33"/>
      <c r="D28" s="70"/>
      <c r="E28" s="34"/>
      <c r="F28" s="34"/>
      <c r="G28" s="34"/>
      <c r="H28" s="34"/>
      <c r="I28" s="34"/>
      <c r="J28" s="34"/>
      <c r="K28" s="35"/>
      <c r="L28" s="258"/>
      <c r="M28" s="10"/>
      <c r="N28" s="2"/>
      <c r="O28" s="99"/>
    </row>
    <row r="29" spans="2:15" x14ac:dyDescent="0.2">
      <c r="B29" s="17" t="s">
        <v>46</v>
      </c>
      <c r="C29" s="33"/>
      <c r="D29" s="70"/>
      <c r="E29" s="57"/>
      <c r="F29" s="57"/>
      <c r="G29" s="57"/>
      <c r="H29" s="57"/>
      <c r="I29" s="57"/>
      <c r="J29" s="57"/>
      <c r="K29" s="58"/>
      <c r="L29" s="260"/>
      <c r="M29" s="10"/>
      <c r="N29" s="2"/>
      <c r="O29" s="99"/>
    </row>
    <row r="30" spans="2:15" x14ac:dyDescent="0.2">
      <c r="B30" s="24" t="s">
        <v>147</v>
      </c>
      <c r="C30" s="28" t="s">
        <v>47</v>
      </c>
      <c r="D30" s="75">
        <f>E30/SUM($E$30:$K$43)</f>
        <v>0.9389848492061893</v>
      </c>
      <c r="E30" s="73">
        <f>E15*1/4</f>
        <v>13.485532107560612</v>
      </c>
      <c r="F30" s="74"/>
      <c r="G30" s="74"/>
      <c r="H30" s="74"/>
      <c r="I30" s="74"/>
      <c r="J30" s="74"/>
      <c r="K30" s="80"/>
      <c r="L30" s="259">
        <f t="shared" ref="L30:L43" si="3">SUM(E30:K30)</f>
        <v>13.485532107560612</v>
      </c>
      <c r="M30" s="10">
        <v>0.9</v>
      </c>
      <c r="N30" s="2">
        <f t="shared" si="1"/>
        <v>12.136978896804552</v>
      </c>
      <c r="O30" s="99">
        <f t="shared" ref="O30:O42" si="4">N30/SUM($N$30:$N$43)</f>
        <v>0.91634921091666288</v>
      </c>
    </row>
    <row r="31" spans="2:15" x14ac:dyDescent="0.2">
      <c r="B31" s="196">
        <f>SUM(E30:K41)</f>
        <v>14.361820767354425</v>
      </c>
      <c r="C31" s="28" t="s">
        <v>48</v>
      </c>
      <c r="D31" s="75">
        <f>G31/SUM($E$30:$K$43)</f>
        <v>0</v>
      </c>
      <c r="E31" s="73"/>
      <c r="F31" s="74"/>
      <c r="G31" s="74">
        <f>0.2*G11</f>
        <v>0</v>
      </c>
      <c r="H31" s="74"/>
      <c r="I31" s="74"/>
      <c r="J31" s="74"/>
      <c r="K31" s="80"/>
      <c r="L31" s="259">
        <f t="shared" si="3"/>
        <v>0</v>
      </c>
      <c r="M31" s="10">
        <v>1</v>
      </c>
      <c r="N31" s="2">
        <f t="shared" si="1"/>
        <v>0</v>
      </c>
      <c r="O31" s="99">
        <f t="shared" si="4"/>
        <v>0</v>
      </c>
    </row>
    <row r="32" spans="2:15" x14ac:dyDescent="0.2">
      <c r="B32" s="17"/>
      <c r="C32" s="28" t="s">
        <v>49</v>
      </c>
      <c r="D32" s="75">
        <f>F32/SUM($E$30:$K$43)</f>
        <v>7.6649903946909154E-3</v>
      </c>
      <c r="E32" s="73"/>
      <c r="F32" s="74">
        <f>F17/4</f>
        <v>0.11008321823204419</v>
      </c>
      <c r="G32" s="74"/>
      <c r="H32" s="74"/>
      <c r="I32" s="74"/>
      <c r="J32" s="74"/>
      <c r="K32" s="80"/>
      <c r="L32" s="259">
        <f>SUM(E32:K32)</f>
        <v>0.11008321823204419</v>
      </c>
      <c r="M32" s="10">
        <v>3.0000000000000031</v>
      </c>
      <c r="N32" s="2">
        <f t="shared" si="1"/>
        <v>0.33024965469613288</v>
      </c>
      <c r="O32" s="99">
        <f t="shared" si="4"/>
        <v>2.4934047678535326E-2</v>
      </c>
    </row>
    <row r="33" spans="2:15" x14ac:dyDescent="0.2">
      <c r="B33" s="17"/>
      <c r="C33" s="28" t="s">
        <v>50</v>
      </c>
      <c r="D33" s="75">
        <f>E33/SUM($E$30:$K$43)</f>
        <v>0</v>
      </c>
      <c r="E33" s="73">
        <v>0</v>
      </c>
      <c r="F33" s="74"/>
      <c r="G33" s="74"/>
      <c r="H33" s="74"/>
      <c r="I33" s="74"/>
      <c r="J33" s="74"/>
      <c r="K33" s="80"/>
      <c r="L33" s="259">
        <f t="shared" si="3"/>
        <v>0</v>
      </c>
      <c r="M33" s="10">
        <v>0.88</v>
      </c>
      <c r="N33" s="2">
        <f t="shared" si="1"/>
        <v>0</v>
      </c>
      <c r="O33" s="99">
        <f t="shared" si="4"/>
        <v>0</v>
      </c>
    </row>
    <row r="34" spans="2:15" x14ac:dyDescent="0.2">
      <c r="B34" s="17"/>
      <c r="C34" s="28" t="s">
        <v>51</v>
      </c>
      <c r="D34" s="75">
        <f>K34/SUM($E$30:$K$43)</f>
        <v>0</v>
      </c>
      <c r="E34" s="73"/>
      <c r="F34" s="74"/>
      <c r="G34" s="74"/>
      <c r="H34" s="74"/>
      <c r="I34" s="74"/>
      <c r="J34" s="74"/>
      <c r="K34" s="80">
        <f>K11*0.2</f>
        <v>0</v>
      </c>
      <c r="L34" s="259">
        <f t="shared" si="3"/>
        <v>0</v>
      </c>
      <c r="M34" s="10">
        <v>1</v>
      </c>
      <c r="N34" s="2">
        <f t="shared" si="1"/>
        <v>0</v>
      </c>
      <c r="O34" s="99">
        <f t="shared" si="4"/>
        <v>0</v>
      </c>
    </row>
    <row r="35" spans="2:15" x14ac:dyDescent="0.2">
      <c r="B35" s="17"/>
      <c r="C35" s="28" t="s">
        <v>52</v>
      </c>
      <c r="D35" s="75">
        <f>F35/SUM($E$30:$K$43)</f>
        <v>1.6916061405054215E-3</v>
      </c>
      <c r="E35" s="73"/>
      <c r="F35" s="74">
        <f>F20/4</f>
        <v>2.429454419889503E-2</v>
      </c>
      <c r="G35" s="74"/>
      <c r="H35" s="74"/>
      <c r="I35" s="74"/>
      <c r="J35" s="74"/>
      <c r="K35" s="80"/>
      <c r="L35" s="259">
        <f t="shared" si="3"/>
        <v>2.429454419889503E-2</v>
      </c>
      <c r="M35" s="10">
        <v>3.0000000000000031</v>
      </c>
      <c r="N35" s="2">
        <f t="shared" si="1"/>
        <v>7.2883632596685163E-2</v>
      </c>
      <c r="O35" s="99">
        <f t="shared" si="4"/>
        <v>5.5027581234648269E-3</v>
      </c>
    </row>
    <row r="36" spans="2:15" x14ac:dyDescent="0.2">
      <c r="B36" s="17"/>
      <c r="C36" s="28" t="s">
        <v>53</v>
      </c>
      <c r="D36" s="75">
        <f>J36/SUM($E$30:$K$43)</f>
        <v>0</v>
      </c>
      <c r="E36" s="73"/>
      <c r="F36" s="74"/>
      <c r="G36" s="74"/>
      <c r="H36" s="74"/>
      <c r="I36" s="74"/>
      <c r="J36" s="74"/>
      <c r="K36" s="80"/>
      <c r="L36" s="259">
        <f t="shared" si="3"/>
        <v>0</v>
      </c>
      <c r="M36" s="10">
        <v>0.82</v>
      </c>
      <c r="N36" s="2">
        <f t="shared" si="1"/>
        <v>0</v>
      </c>
      <c r="O36" s="99">
        <f t="shared" si="4"/>
        <v>0</v>
      </c>
    </row>
    <row r="37" spans="2:15" x14ac:dyDescent="0.2">
      <c r="B37" s="17"/>
      <c r="C37" s="28" t="s">
        <v>54</v>
      </c>
      <c r="D37" s="75">
        <f>F37/SUM($E$30:$K$43)</f>
        <v>5.16585542586145E-2</v>
      </c>
      <c r="E37" s="73"/>
      <c r="F37" s="74">
        <f>Electricity!E39-F35-F32-F41</f>
        <v>0.74191089736287508</v>
      </c>
      <c r="G37" s="74"/>
      <c r="H37" s="74"/>
      <c r="I37" s="74"/>
      <c r="J37" s="74"/>
      <c r="K37" s="80"/>
      <c r="L37" s="259">
        <f t="shared" si="3"/>
        <v>0.74191089736287508</v>
      </c>
      <c r="M37" s="10">
        <v>0.95</v>
      </c>
      <c r="N37" s="2">
        <f t="shared" si="1"/>
        <v>0.70481535249473126</v>
      </c>
      <c r="O37" s="99">
        <f t="shared" si="4"/>
        <v>5.3213983281336932E-2</v>
      </c>
    </row>
    <row r="38" spans="2:15" x14ac:dyDescent="0.2">
      <c r="B38" s="17"/>
      <c r="C38" s="28" t="s">
        <v>55</v>
      </c>
      <c r="D38" s="75">
        <f t="shared" ref="D38:D43" si="5">E38/SUM($E$30:$K$43)</f>
        <v>0</v>
      </c>
      <c r="E38" s="73">
        <v>0</v>
      </c>
      <c r="F38" s="74"/>
      <c r="G38" s="74"/>
      <c r="H38" s="74"/>
      <c r="I38" s="74"/>
      <c r="J38" s="74"/>
      <c r="K38" s="80"/>
      <c r="L38" s="259">
        <f t="shared" si="3"/>
        <v>0</v>
      </c>
      <c r="M38" s="10">
        <v>0.67</v>
      </c>
      <c r="N38" s="2">
        <f t="shared" si="1"/>
        <v>0</v>
      </c>
      <c r="O38" s="99">
        <f t="shared" si="4"/>
        <v>0</v>
      </c>
    </row>
    <row r="39" spans="2:15" x14ac:dyDescent="0.2">
      <c r="B39" s="17"/>
      <c r="C39" s="28" t="s">
        <v>56</v>
      </c>
      <c r="D39" s="75">
        <f>I39/SUM($E$30:$K$43)</f>
        <v>0</v>
      </c>
      <c r="E39" s="73"/>
      <c r="F39" s="74"/>
      <c r="G39" s="74"/>
      <c r="H39" s="74"/>
      <c r="I39" s="74"/>
      <c r="J39" s="74"/>
      <c r="K39" s="80"/>
      <c r="L39" s="259">
        <f t="shared" si="3"/>
        <v>0</v>
      </c>
      <c r="M39" s="10">
        <v>0.85</v>
      </c>
      <c r="N39" s="2">
        <f t="shared" si="1"/>
        <v>0</v>
      </c>
      <c r="O39" s="99">
        <f t="shared" si="4"/>
        <v>0</v>
      </c>
    </row>
    <row r="40" spans="2:15" x14ac:dyDescent="0.2">
      <c r="B40" s="17"/>
      <c r="C40" s="28" t="s">
        <v>57</v>
      </c>
      <c r="D40" s="75">
        <f>H40/SUM($E$30:$K$43)</f>
        <v>0</v>
      </c>
      <c r="E40" s="73"/>
      <c r="F40" s="74"/>
      <c r="G40" s="74"/>
      <c r="H40" s="74"/>
      <c r="I40" s="74"/>
      <c r="J40" s="74"/>
      <c r="K40" s="80"/>
      <c r="L40" s="259">
        <f t="shared" si="3"/>
        <v>0</v>
      </c>
      <c r="M40" s="10">
        <v>0.8</v>
      </c>
      <c r="N40" s="2">
        <f t="shared" si="1"/>
        <v>0</v>
      </c>
      <c r="O40" s="99">
        <f t="shared" si="4"/>
        <v>0</v>
      </c>
    </row>
    <row r="41" spans="2:15" x14ac:dyDescent="0.2">
      <c r="B41" s="17"/>
      <c r="C41" s="28" t="s">
        <v>58</v>
      </c>
      <c r="D41" s="75">
        <f>E41/SUM($E$30:$K$43)</f>
        <v>0</v>
      </c>
      <c r="E41" s="73"/>
      <c r="F41" s="74">
        <v>0</v>
      </c>
      <c r="G41" s="74"/>
      <c r="H41" s="74"/>
      <c r="I41" s="74"/>
      <c r="J41" s="74"/>
      <c r="K41" s="80"/>
      <c r="L41" s="259">
        <f t="shared" si="3"/>
        <v>0</v>
      </c>
      <c r="M41" s="10">
        <v>0.2</v>
      </c>
      <c r="N41" s="2">
        <f t="shared" si="1"/>
        <v>0</v>
      </c>
      <c r="O41" s="99">
        <f t="shared" si="4"/>
        <v>0</v>
      </c>
    </row>
    <row r="42" spans="2:15" x14ac:dyDescent="0.2">
      <c r="B42" s="17"/>
      <c r="C42" s="28" t="s">
        <v>179</v>
      </c>
      <c r="D42" s="75">
        <f>F42/SUM($E$30:$K$43)</f>
        <v>0</v>
      </c>
      <c r="E42" s="73"/>
      <c r="F42" s="74">
        <v>0</v>
      </c>
      <c r="G42" s="74"/>
      <c r="H42" s="74"/>
      <c r="I42" s="74"/>
      <c r="J42" s="74"/>
      <c r="K42" s="80"/>
      <c r="L42" s="259">
        <f t="shared" si="3"/>
        <v>0</v>
      </c>
      <c r="M42" s="10">
        <v>3</v>
      </c>
      <c r="N42" s="2">
        <f t="shared" si="1"/>
        <v>0</v>
      </c>
      <c r="O42" s="99">
        <f t="shared" si="4"/>
        <v>0</v>
      </c>
    </row>
    <row r="43" spans="2:15" x14ac:dyDescent="0.2">
      <c r="B43" s="17"/>
      <c r="C43" s="29" t="s">
        <v>180</v>
      </c>
      <c r="D43" s="79">
        <f t="shared" si="5"/>
        <v>0</v>
      </c>
      <c r="E43" s="78">
        <v>0</v>
      </c>
      <c r="F43" s="72"/>
      <c r="G43" s="72"/>
      <c r="H43" s="72"/>
      <c r="I43" s="72"/>
      <c r="J43" s="72"/>
      <c r="K43" s="81"/>
      <c r="L43" s="259">
        <f t="shared" si="3"/>
        <v>0</v>
      </c>
      <c r="M43" s="10">
        <f>M30</f>
        <v>0.9</v>
      </c>
      <c r="N43" s="2">
        <f t="shared" si="1"/>
        <v>0</v>
      </c>
      <c r="O43" s="99">
        <f>N43/SUM($N$30:$N$43)</f>
        <v>0</v>
      </c>
    </row>
    <row r="44" spans="2:15" x14ac:dyDescent="0.2">
      <c r="B44" s="32"/>
      <c r="C44" s="33"/>
      <c r="D44" s="70"/>
      <c r="E44" s="57"/>
      <c r="F44" s="57"/>
      <c r="G44" s="57"/>
      <c r="H44" s="57"/>
      <c r="I44" s="57"/>
      <c r="J44" s="57"/>
      <c r="K44" s="58"/>
      <c r="L44" s="259"/>
      <c r="M44" s="10"/>
      <c r="N44" s="2"/>
      <c r="O44" s="99"/>
    </row>
    <row r="45" spans="2:15" x14ac:dyDescent="0.2">
      <c r="B45" s="17" t="s">
        <v>59</v>
      </c>
      <c r="C45" s="33"/>
      <c r="D45" s="70"/>
      <c r="E45" s="62"/>
      <c r="F45" s="57"/>
      <c r="G45" s="57"/>
      <c r="H45" s="57"/>
      <c r="I45" s="57"/>
      <c r="J45" s="57"/>
      <c r="K45" s="58"/>
      <c r="L45" s="259"/>
      <c r="M45" s="10"/>
      <c r="N45" s="2"/>
      <c r="O45" s="99"/>
    </row>
    <row r="46" spans="2:15" x14ac:dyDescent="0.2">
      <c r="B46" s="24" t="s">
        <v>147</v>
      </c>
      <c r="C46" s="28" t="s">
        <v>60</v>
      </c>
      <c r="D46" s="75">
        <f>F46/SUM($E$46:$K$48)</f>
        <v>7.9403797891163821E-2</v>
      </c>
      <c r="E46" s="73"/>
      <c r="F46" s="74">
        <f>Cooling!B6/(M46-1)</f>
        <v>9.741290669122156E-2</v>
      </c>
      <c r="G46" s="74"/>
      <c r="H46" s="74"/>
      <c r="I46" s="74"/>
      <c r="J46" s="74"/>
      <c r="K46" s="80"/>
      <c r="L46" s="259">
        <f t="shared" ref="L46:L81" si="6">SUM(E46:K46)</f>
        <v>9.741290669122156E-2</v>
      </c>
      <c r="M46" s="10">
        <v>4.6000000000000023</v>
      </c>
      <c r="N46" s="2">
        <f t="shared" si="1"/>
        <v>0.44809937077961942</v>
      </c>
      <c r="O46" s="98">
        <f>N46/SUM($N$46:$N$48)</f>
        <v>9.0239562971838008E-2</v>
      </c>
    </row>
    <row r="47" spans="2:15" x14ac:dyDescent="0.2">
      <c r="B47" s="175">
        <f>SUM(E46:K48)</f>
        <v>1.2268041237113398</v>
      </c>
      <c r="C47" s="28" t="s">
        <v>61</v>
      </c>
      <c r="D47" s="75">
        <f t="shared" ref="D47:D48" si="7">F47/SUM($E$46:$K$48)</f>
        <v>0</v>
      </c>
      <c r="E47" s="73"/>
      <c r="F47" s="74">
        <v>0</v>
      </c>
      <c r="G47" s="74"/>
      <c r="H47" s="74"/>
      <c r="I47" s="74"/>
      <c r="J47" s="74"/>
      <c r="K47" s="80"/>
      <c r="L47" s="259">
        <f t="shared" si="6"/>
        <v>0</v>
      </c>
      <c r="M47" s="10">
        <v>4.5000000000000044</v>
      </c>
      <c r="N47" s="2">
        <f t="shared" si="1"/>
        <v>0</v>
      </c>
      <c r="O47" s="98">
        <f t="shared" ref="O47:O48" si="8">N47/SUM($N$46:$N$48)</f>
        <v>0</v>
      </c>
    </row>
    <row r="48" spans="2:15" x14ac:dyDescent="0.2">
      <c r="B48" s="17"/>
      <c r="C48" s="29" t="s">
        <v>62</v>
      </c>
      <c r="D48" s="79">
        <f t="shared" si="7"/>
        <v>0.92059620210883619</v>
      </c>
      <c r="E48" s="73"/>
      <c r="F48" s="72">
        <f>Electricity!E42-F46-F47</f>
        <v>1.1293912170201184</v>
      </c>
      <c r="G48" s="72"/>
      <c r="H48" s="72"/>
      <c r="I48" s="72"/>
      <c r="J48" s="72"/>
      <c r="K48" s="81"/>
      <c r="L48" s="259">
        <f>SUM(E48:K48)</f>
        <v>1.1293912170201184</v>
      </c>
      <c r="M48" s="10">
        <v>4</v>
      </c>
      <c r="N48" s="2">
        <f t="shared" si="1"/>
        <v>4.5175648680804734</v>
      </c>
      <c r="O48" s="98">
        <f t="shared" si="8"/>
        <v>0.90976043702816201</v>
      </c>
    </row>
    <row r="49" spans="2:16" x14ac:dyDescent="0.2">
      <c r="B49" s="17"/>
      <c r="C49" s="30"/>
      <c r="D49" s="69"/>
      <c r="E49" s="59"/>
      <c r="F49" s="63"/>
      <c r="G49" s="63"/>
      <c r="H49" s="63"/>
      <c r="I49" s="63"/>
      <c r="J49" s="63"/>
      <c r="K49" s="64"/>
      <c r="L49" s="259">
        <f t="shared" si="6"/>
        <v>0</v>
      </c>
      <c r="M49" s="10"/>
      <c r="N49" s="2"/>
      <c r="O49" s="99"/>
    </row>
    <row r="50" spans="2:16" x14ac:dyDescent="0.2">
      <c r="B50" s="32"/>
      <c r="C50" s="33"/>
      <c r="D50" s="70"/>
      <c r="E50" s="57"/>
      <c r="F50" s="57"/>
      <c r="G50" s="57"/>
      <c r="H50" s="57"/>
      <c r="I50" s="57"/>
      <c r="J50" s="57"/>
      <c r="K50" s="58"/>
      <c r="L50" s="259">
        <f t="shared" si="6"/>
        <v>0</v>
      </c>
      <c r="M50" s="10"/>
      <c r="N50" s="2"/>
      <c r="O50" s="99"/>
    </row>
    <row r="51" spans="2:16" x14ac:dyDescent="0.2">
      <c r="B51" s="17" t="s">
        <v>63</v>
      </c>
      <c r="C51" s="33"/>
      <c r="D51" s="70"/>
      <c r="E51" s="62"/>
      <c r="F51" s="57"/>
      <c r="G51" s="57"/>
      <c r="H51" s="57"/>
      <c r="I51" s="57"/>
      <c r="J51" s="57"/>
      <c r="K51" s="58"/>
      <c r="L51" s="259">
        <f t="shared" si="6"/>
        <v>0</v>
      </c>
      <c r="M51" s="10"/>
      <c r="N51" s="2"/>
      <c r="O51" s="99"/>
    </row>
    <row r="52" spans="2:16" x14ac:dyDescent="0.2">
      <c r="B52" s="24" t="s">
        <v>147</v>
      </c>
      <c r="C52" s="28" t="s">
        <v>64</v>
      </c>
      <c r="D52" s="82">
        <f>E52/SUM($E$52:$K$56)</f>
        <v>0.71703911838075052</v>
      </c>
      <c r="E52" s="180">
        <f>N52/M52</f>
        <v>1.3323394621969422</v>
      </c>
      <c r="F52" s="74"/>
      <c r="G52" s="74"/>
      <c r="H52" s="74"/>
      <c r="I52" s="74"/>
      <c r="J52" s="74"/>
      <c r="K52" s="80"/>
      <c r="L52" s="259">
        <f t="shared" si="6"/>
        <v>1.3323394621969422</v>
      </c>
      <c r="M52" s="10">
        <v>0.4</v>
      </c>
      <c r="N52" s="2">
        <f>P52*(N53/P53+N54/P54+N55/P55)/3</f>
        <v>0.53293578487877691</v>
      </c>
      <c r="O52" s="98">
        <f>N52/SUM($N$51:$N$55)</f>
        <v>0.61209508848637761</v>
      </c>
      <c r="P52" s="3">
        <v>0.61209508848637761</v>
      </c>
    </row>
    <row r="53" spans="2:16" x14ac:dyDescent="0.2">
      <c r="B53" s="175">
        <f>SUM(E52:K56)</f>
        <v>1.8581126580732306</v>
      </c>
      <c r="C53" s="28" t="s">
        <v>65</v>
      </c>
      <c r="D53" s="83">
        <f>F53/SUM($E$52:$K$56)</f>
        <v>2.754008580645367E-2</v>
      </c>
      <c r="E53" s="73"/>
      <c r="F53" s="71">
        <f>Cooking!H20</f>
        <v>5.1172582041394479E-2</v>
      </c>
      <c r="G53" s="74"/>
      <c r="H53" s="74"/>
      <c r="I53" s="74"/>
      <c r="J53" s="74"/>
      <c r="K53" s="80"/>
      <c r="L53" s="259">
        <f t="shared" si="6"/>
        <v>5.1172582041394479E-2</v>
      </c>
      <c r="M53" s="10">
        <v>0.55000000000000004</v>
      </c>
      <c r="N53" s="2">
        <f t="shared" ref="N53:N56" si="9">M53*SUM(E53:K53)</f>
        <v>2.8144920122766967E-2</v>
      </c>
      <c r="O53" s="98">
        <f t="shared" ref="O53:O56" si="10">N53/SUM($N$51:$N$55)</f>
        <v>3.2325409292801872E-2</v>
      </c>
      <c r="P53" s="3">
        <v>3.2325409292801872E-2</v>
      </c>
    </row>
    <row r="54" spans="2:16" x14ac:dyDescent="0.2">
      <c r="B54" s="17"/>
      <c r="C54" s="28" t="s">
        <v>66</v>
      </c>
      <c r="D54" s="83">
        <f>F54/SUM($E$52:$K$56)</f>
        <v>0.20196062924732694</v>
      </c>
      <c r="E54" s="73"/>
      <c r="F54" s="71">
        <f>Cooking!H21</f>
        <v>0.37526560163689288</v>
      </c>
      <c r="G54" s="74"/>
      <c r="H54" s="74"/>
      <c r="I54" s="74"/>
      <c r="J54" s="74"/>
      <c r="K54" s="80"/>
      <c r="L54" s="259">
        <f t="shared" si="6"/>
        <v>0.37526560163689288</v>
      </c>
      <c r="M54" s="10">
        <v>0.6</v>
      </c>
      <c r="N54" s="2">
        <f t="shared" si="9"/>
        <v>0.22515936098213571</v>
      </c>
      <c r="O54" s="98">
        <f t="shared" si="10"/>
        <v>0.25860327434241498</v>
      </c>
      <c r="P54" s="3">
        <v>0.25860327434241498</v>
      </c>
    </row>
    <row r="55" spans="2:16" x14ac:dyDescent="0.2">
      <c r="B55" s="17"/>
      <c r="C55" s="28" t="s">
        <v>67</v>
      </c>
      <c r="D55" s="83">
        <f>F55/SUM($E$52:$K$56)</f>
        <v>5.3460166565468897E-2</v>
      </c>
      <c r="E55" s="73"/>
      <c r="F55" s="71">
        <f>Cooking!H22</f>
        <v>9.933501219800106E-2</v>
      </c>
      <c r="G55" s="74"/>
      <c r="H55" s="74"/>
      <c r="I55" s="74"/>
      <c r="J55" s="74"/>
      <c r="K55" s="80"/>
      <c r="L55" s="259">
        <f t="shared" si="6"/>
        <v>9.933501219800106E-2</v>
      </c>
      <c r="M55" s="10">
        <v>0.85</v>
      </c>
      <c r="N55" s="2">
        <f t="shared" si="9"/>
        <v>8.4434760368300901E-2</v>
      </c>
      <c r="O55" s="98">
        <f t="shared" si="10"/>
        <v>9.6976227878405624E-2</v>
      </c>
      <c r="P55" s="3">
        <v>9.6976227878405596E-2</v>
      </c>
    </row>
    <row r="56" spans="2:16" x14ac:dyDescent="0.2">
      <c r="B56" s="17"/>
      <c r="C56" s="29" t="s">
        <v>68</v>
      </c>
      <c r="D56" s="79">
        <f>J56/SUM($E$52:$K$56)</f>
        <v>0</v>
      </c>
      <c r="E56" s="73"/>
      <c r="F56" s="72"/>
      <c r="G56" s="72"/>
      <c r="H56" s="72"/>
      <c r="I56" s="72"/>
      <c r="J56" s="71">
        <v>0</v>
      </c>
      <c r="K56" s="81"/>
      <c r="L56" s="259">
        <f t="shared" si="6"/>
        <v>0</v>
      </c>
      <c r="M56" s="10">
        <v>0.3</v>
      </c>
      <c r="N56" s="2">
        <f t="shared" si="9"/>
        <v>0</v>
      </c>
      <c r="O56" s="98">
        <f t="shared" si="10"/>
        <v>0</v>
      </c>
      <c r="P56" s="3">
        <v>0</v>
      </c>
    </row>
    <row r="57" spans="2:16" x14ac:dyDescent="0.2">
      <c r="B57" s="17"/>
      <c r="C57" s="30"/>
      <c r="D57" s="69"/>
      <c r="E57" s="59"/>
      <c r="F57" s="60"/>
      <c r="G57" s="60"/>
      <c r="H57" s="60"/>
      <c r="I57" s="60"/>
      <c r="J57" s="60"/>
      <c r="K57" s="61"/>
      <c r="L57" s="259">
        <f t="shared" si="6"/>
        <v>0</v>
      </c>
      <c r="M57" s="10"/>
      <c r="N57" s="2"/>
      <c r="O57" s="99"/>
    </row>
    <row r="58" spans="2:16" x14ac:dyDescent="0.2">
      <c r="B58" s="32"/>
      <c r="C58" s="33"/>
      <c r="D58" s="70"/>
      <c r="E58" s="57"/>
      <c r="F58" s="57"/>
      <c r="G58" s="57"/>
      <c r="H58" s="57"/>
      <c r="I58" s="57"/>
      <c r="J58" s="57"/>
      <c r="K58" s="58"/>
      <c r="L58" s="259">
        <f t="shared" si="6"/>
        <v>0</v>
      </c>
      <c r="M58" s="10"/>
      <c r="N58" s="2"/>
      <c r="O58" s="99"/>
    </row>
    <row r="59" spans="2:16" x14ac:dyDescent="0.2">
      <c r="B59" s="17" t="s">
        <v>69</v>
      </c>
      <c r="C59" s="33"/>
      <c r="D59" s="70"/>
      <c r="E59" s="62"/>
      <c r="F59" s="57"/>
      <c r="G59" s="57"/>
      <c r="H59" s="57"/>
      <c r="I59" s="57"/>
      <c r="J59" s="57"/>
      <c r="K59" s="57"/>
      <c r="L59" s="259">
        <f t="shared" si="6"/>
        <v>0</v>
      </c>
      <c r="M59" s="10"/>
      <c r="N59" s="2"/>
      <c r="O59" s="99"/>
    </row>
    <row r="60" spans="2:16" x14ac:dyDescent="0.2">
      <c r="B60" s="24" t="s">
        <v>147</v>
      </c>
      <c r="C60" s="28" t="s">
        <v>70</v>
      </c>
      <c r="D60" s="75">
        <f>F60/SUM($E$60:$K$62)</f>
        <v>0.83333333333333337</v>
      </c>
      <c r="E60" s="73"/>
      <c r="F60" s="74">
        <f>$B$61*N60/SUM($N$60:$N$62)</f>
        <v>1.8986254295532645</v>
      </c>
      <c r="G60" s="74"/>
      <c r="H60" s="74"/>
      <c r="I60" s="74"/>
      <c r="J60" s="74"/>
      <c r="K60" s="74"/>
      <c r="L60" s="259">
        <f>SUM(E60:K60)</f>
        <v>1.8986254295532645</v>
      </c>
      <c r="M60" s="10">
        <v>0.05</v>
      </c>
      <c r="N60" s="178">
        <f>O60/M60</f>
        <v>9.8999999999999986</v>
      </c>
      <c r="O60" s="98">
        <v>0.495</v>
      </c>
      <c r="P60" s="23" t="s">
        <v>171</v>
      </c>
    </row>
    <row r="61" spans="2:16" x14ac:dyDescent="0.2">
      <c r="B61" s="175">
        <f>Electricity!E40</f>
        <v>2.278350515463917</v>
      </c>
      <c r="C61" s="28" t="s">
        <v>71</v>
      </c>
      <c r="D61" s="75">
        <f t="shared" ref="D61:D62" si="11">F61/SUM($E$60:$K$62)</f>
        <v>0.16329966329966331</v>
      </c>
      <c r="E61" s="73"/>
      <c r="F61" s="74">
        <f>$B$61*N61/SUM($N$60:$N$62)</f>
        <v>0.37205387205387208</v>
      </c>
      <c r="G61" s="74"/>
      <c r="H61" s="74"/>
      <c r="I61" s="74"/>
      <c r="J61" s="74"/>
      <c r="K61" s="74"/>
      <c r="L61" s="259">
        <f>SUM(E61:K61)</f>
        <v>0.37205387205387208</v>
      </c>
      <c r="M61" s="10">
        <v>0.25</v>
      </c>
      <c r="N61" s="178">
        <f>O61/M61</f>
        <v>1.94</v>
      </c>
      <c r="O61" s="98">
        <v>0.48499999999999999</v>
      </c>
      <c r="P61" s="177" t="s">
        <v>172</v>
      </c>
    </row>
    <row r="62" spans="2:16" x14ac:dyDescent="0.2">
      <c r="B62" s="17"/>
      <c r="C62" s="29" t="s">
        <v>72</v>
      </c>
      <c r="D62" s="79">
        <f t="shared" si="11"/>
        <v>3.3670033670033669E-3</v>
      </c>
      <c r="E62" s="78"/>
      <c r="F62" s="72">
        <f>$B$61*N62/SUM($N$60:$N$62)</f>
        <v>7.6712138567808664E-3</v>
      </c>
      <c r="G62" s="72"/>
      <c r="H62" s="72"/>
      <c r="I62" s="72"/>
      <c r="J62" s="72"/>
      <c r="K62" s="72"/>
      <c r="L62" s="259">
        <f>SUM(E62:K62)</f>
        <v>7.6712138567808664E-3</v>
      </c>
      <c r="M62" s="10">
        <v>0.5</v>
      </c>
      <c r="N62" s="178">
        <f>O62/M62</f>
        <v>0.04</v>
      </c>
      <c r="O62" s="98">
        <v>0.02</v>
      </c>
    </row>
    <row r="63" spans="2:16" x14ac:dyDescent="0.2">
      <c r="B63" s="17"/>
      <c r="C63" s="31"/>
      <c r="D63" s="69"/>
      <c r="E63" s="65"/>
      <c r="F63" s="65"/>
      <c r="G63" s="65"/>
      <c r="H63" s="65"/>
      <c r="I63" s="65"/>
      <c r="J63" s="65"/>
      <c r="K63" s="65"/>
      <c r="L63" s="259">
        <f t="shared" si="6"/>
        <v>0</v>
      </c>
      <c r="M63" s="10"/>
      <c r="N63" s="2"/>
      <c r="O63" s="11"/>
    </row>
    <row r="64" spans="2:16" x14ac:dyDescent="0.2">
      <c r="B64" s="32"/>
      <c r="C64" s="27"/>
      <c r="D64" s="70"/>
      <c r="E64" s="66"/>
      <c r="F64" s="66"/>
      <c r="G64" s="66"/>
      <c r="H64" s="66"/>
      <c r="I64" s="66"/>
      <c r="J64" s="66"/>
      <c r="K64" s="66"/>
      <c r="L64" s="259">
        <f t="shared" si="6"/>
        <v>0</v>
      </c>
      <c r="M64" s="10"/>
      <c r="N64" s="2"/>
      <c r="O64" s="11"/>
    </row>
    <row r="65" spans="2:15" x14ac:dyDescent="0.2">
      <c r="B65" s="17" t="s">
        <v>14</v>
      </c>
      <c r="C65" s="27"/>
      <c r="D65" s="70"/>
      <c r="E65" s="66"/>
      <c r="F65" s="66"/>
      <c r="G65" s="66"/>
      <c r="H65" s="66"/>
      <c r="I65" s="66"/>
      <c r="J65" s="66"/>
      <c r="K65" s="66"/>
      <c r="L65" s="259">
        <f t="shared" si="6"/>
        <v>0</v>
      </c>
      <c r="M65" s="10"/>
      <c r="N65" s="2"/>
      <c r="O65" s="11"/>
    </row>
    <row r="66" spans="2:15" x14ac:dyDescent="0.2">
      <c r="B66" s="24" t="s">
        <v>147</v>
      </c>
      <c r="C66" s="37" t="s">
        <v>15</v>
      </c>
      <c r="D66" s="75">
        <f>F66/SUM($E$66:$K$73)</f>
        <v>8.0645161290322578E-2</v>
      </c>
      <c r="E66" s="73"/>
      <c r="F66" s="71">
        <f>Electricity!E29</f>
        <v>0.87628865979381421</v>
      </c>
      <c r="G66" s="71"/>
      <c r="H66" s="71"/>
      <c r="I66" s="71"/>
      <c r="J66" s="71"/>
      <c r="K66" s="77"/>
      <c r="L66" s="259">
        <f t="shared" si="6"/>
        <v>0.87628865979381421</v>
      </c>
      <c r="M66" s="10"/>
      <c r="N66" s="96"/>
      <c r="O66" s="11"/>
    </row>
    <row r="67" spans="2:15" x14ac:dyDescent="0.2">
      <c r="B67" s="175">
        <f>SUM(E66:K73)</f>
        <v>10.865979381443296</v>
      </c>
      <c r="C67" s="37" t="s">
        <v>16</v>
      </c>
      <c r="D67" s="75">
        <f t="shared" ref="D67:D73" si="12">F67/SUM($E$66:$K$73)</f>
        <v>0.22580645161290322</v>
      </c>
      <c r="E67" s="73"/>
      <c r="F67" s="71">
        <f>Electricity!E30</f>
        <v>2.4536082474226797</v>
      </c>
      <c r="G67" s="71"/>
      <c r="H67" s="71"/>
      <c r="I67" s="71"/>
      <c r="J67" s="71"/>
      <c r="K67" s="74"/>
      <c r="L67" s="259">
        <f t="shared" si="6"/>
        <v>2.4536082474226797</v>
      </c>
      <c r="M67" s="10"/>
      <c r="N67" s="96"/>
      <c r="O67" s="11"/>
    </row>
    <row r="68" spans="2:15" x14ac:dyDescent="0.2">
      <c r="B68" s="21"/>
      <c r="C68" s="37" t="s">
        <v>17</v>
      </c>
      <c r="D68" s="75">
        <f t="shared" si="12"/>
        <v>8.0645161290322578E-2</v>
      </c>
      <c r="E68" s="73"/>
      <c r="F68" s="71">
        <f>Electricity!E31</f>
        <v>0.87628865979381421</v>
      </c>
      <c r="G68" s="71"/>
      <c r="H68" s="71"/>
      <c r="I68" s="71"/>
      <c r="J68" s="71"/>
      <c r="K68" s="74"/>
      <c r="L68" s="259">
        <f t="shared" si="6"/>
        <v>0.87628865979381421</v>
      </c>
      <c r="M68" s="10"/>
      <c r="N68" s="96"/>
      <c r="O68" s="11"/>
    </row>
    <row r="69" spans="2:15" x14ac:dyDescent="0.2">
      <c r="B69" s="21"/>
      <c r="C69" s="37" t="s">
        <v>18</v>
      </c>
      <c r="D69" s="75">
        <f t="shared" si="12"/>
        <v>0.11290322580645161</v>
      </c>
      <c r="E69" s="73"/>
      <c r="F69" s="71">
        <f>Electricity!E32</f>
        <v>1.2268041237113398</v>
      </c>
      <c r="G69" s="71"/>
      <c r="H69" s="71"/>
      <c r="I69" s="71"/>
      <c r="J69" s="71"/>
      <c r="K69" s="74"/>
      <c r="L69" s="259">
        <f t="shared" si="6"/>
        <v>1.2268041237113398</v>
      </c>
      <c r="M69" s="10"/>
      <c r="N69" s="96"/>
      <c r="O69" s="11"/>
    </row>
    <row r="70" spans="2:15" x14ac:dyDescent="0.2">
      <c r="B70" s="21"/>
      <c r="C70" s="37" t="s">
        <v>19</v>
      </c>
      <c r="D70" s="75">
        <f t="shared" si="12"/>
        <v>0.14516129032258063</v>
      </c>
      <c r="E70" s="73"/>
      <c r="F70" s="71">
        <f>Electricity!E33</f>
        <v>1.5773195876288653</v>
      </c>
      <c r="G70" s="71"/>
      <c r="H70" s="71"/>
      <c r="I70" s="71"/>
      <c r="J70" s="71"/>
      <c r="K70" s="74"/>
      <c r="L70" s="259">
        <f t="shared" si="6"/>
        <v>1.5773195876288653</v>
      </c>
      <c r="M70" s="10"/>
      <c r="N70" s="96"/>
      <c r="O70" s="11"/>
    </row>
    <row r="71" spans="2:15" x14ac:dyDescent="0.2">
      <c r="B71" s="21"/>
      <c r="C71" s="37" t="s">
        <v>20</v>
      </c>
      <c r="D71" s="75">
        <f t="shared" si="12"/>
        <v>0.19354838709677416</v>
      </c>
      <c r="E71" s="73"/>
      <c r="F71" s="71">
        <f>Electricity!E34</f>
        <v>2.1030927835051538</v>
      </c>
      <c r="G71" s="71"/>
      <c r="H71" s="71"/>
      <c r="I71" s="71"/>
      <c r="J71" s="71"/>
      <c r="K71" s="74"/>
      <c r="L71" s="259">
        <f t="shared" si="6"/>
        <v>2.1030927835051538</v>
      </c>
      <c r="M71" s="10"/>
      <c r="N71" s="96"/>
      <c r="O71" s="11"/>
    </row>
    <row r="72" spans="2:15" x14ac:dyDescent="0.2">
      <c r="B72" s="21"/>
      <c r="C72" s="37" t="s">
        <v>21</v>
      </c>
      <c r="D72" s="75">
        <f t="shared" si="12"/>
        <v>4.838709677419354E-2</v>
      </c>
      <c r="E72" s="73"/>
      <c r="F72" s="71">
        <f>Electricity!E35</f>
        <v>0.52577319587628846</v>
      </c>
      <c r="G72" s="71"/>
      <c r="H72" s="71"/>
      <c r="I72" s="71"/>
      <c r="J72" s="71"/>
      <c r="K72" s="74"/>
      <c r="L72" s="259">
        <f t="shared" si="6"/>
        <v>0.52577319587628846</v>
      </c>
      <c r="M72" s="10"/>
      <c r="N72" s="96"/>
      <c r="O72" s="11"/>
    </row>
    <row r="73" spans="2:15" x14ac:dyDescent="0.2">
      <c r="B73" s="21"/>
      <c r="C73" s="38" t="s">
        <v>22</v>
      </c>
      <c r="D73" s="76">
        <f t="shared" si="12"/>
        <v>0.11290322580645161</v>
      </c>
      <c r="E73" s="78"/>
      <c r="F73" s="72">
        <f>Electricity!E36</f>
        <v>1.2268041237113398</v>
      </c>
      <c r="G73" s="72"/>
      <c r="H73" s="72"/>
      <c r="I73" s="72"/>
      <c r="J73" s="72"/>
      <c r="K73" s="72"/>
      <c r="L73" s="259">
        <f t="shared" si="6"/>
        <v>1.2268041237113398</v>
      </c>
      <c r="M73" s="10"/>
      <c r="N73" s="96"/>
      <c r="O73" s="11"/>
    </row>
    <row r="74" spans="2:15" x14ac:dyDescent="0.2">
      <c r="B74" s="17"/>
      <c r="C74" s="31"/>
      <c r="D74" s="31"/>
      <c r="E74" s="31"/>
      <c r="F74" s="31"/>
      <c r="G74" s="31"/>
      <c r="H74" s="31"/>
      <c r="I74" s="31"/>
      <c r="J74" s="31"/>
      <c r="K74" s="31"/>
      <c r="L74" s="259">
        <f t="shared" si="6"/>
        <v>0</v>
      </c>
      <c r="M74" s="10"/>
      <c r="N74" s="2"/>
      <c r="O74" s="11"/>
    </row>
    <row r="75" spans="2:15" x14ac:dyDescent="0.2">
      <c r="B75" s="32"/>
      <c r="C75" s="26"/>
      <c r="D75" s="26"/>
      <c r="E75" s="39"/>
      <c r="F75" s="36"/>
      <c r="G75" s="36"/>
      <c r="H75" s="36"/>
      <c r="I75" s="36"/>
      <c r="J75" s="36"/>
      <c r="K75" s="36"/>
      <c r="L75" s="259">
        <f t="shared" si="6"/>
        <v>0</v>
      </c>
      <c r="M75" s="10"/>
      <c r="N75" s="2"/>
      <c r="O75" s="11"/>
    </row>
    <row r="76" spans="2:15" x14ac:dyDescent="0.2">
      <c r="B76" s="40" t="s">
        <v>23</v>
      </c>
      <c r="C76" s="41"/>
      <c r="D76" s="41"/>
      <c r="E76" s="42" t="s">
        <v>24</v>
      </c>
      <c r="F76" s="34" t="s">
        <v>25</v>
      </c>
      <c r="G76" s="34" t="s">
        <v>26</v>
      </c>
      <c r="H76" s="34" t="s">
        <v>27</v>
      </c>
      <c r="I76" s="34" t="s">
        <v>28</v>
      </c>
      <c r="J76" s="34" t="s">
        <v>29</v>
      </c>
      <c r="K76" s="34" t="s">
        <v>30</v>
      </c>
      <c r="L76" s="259">
        <f t="shared" si="6"/>
        <v>0</v>
      </c>
      <c r="M76" s="10"/>
      <c r="N76" s="2"/>
      <c r="O76" s="11"/>
    </row>
    <row r="77" spans="2:15" x14ac:dyDescent="0.2">
      <c r="B77" s="43"/>
      <c r="C77" s="44" t="s">
        <v>31</v>
      </c>
      <c r="D77" s="45"/>
      <c r="E77" s="46">
        <f t="shared" ref="E77:K77" si="13">SUM(E15:E74)</f>
        <v>68.760000000000005</v>
      </c>
      <c r="F77" s="47">
        <f t="shared" si="13"/>
        <v>16.999999999999996</v>
      </c>
      <c r="G77" s="47">
        <f t="shared" si="13"/>
        <v>0</v>
      </c>
      <c r="H77" s="47">
        <f t="shared" si="13"/>
        <v>0</v>
      </c>
      <c r="I77" s="47">
        <f t="shared" si="13"/>
        <v>0</v>
      </c>
      <c r="J77" s="47">
        <f t="shared" si="13"/>
        <v>0</v>
      </c>
      <c r="K77" s="47">
        <f t="shared" si="13"/>
        <v>0</v>
      </c>
      <c r="L77" s="259">
        <f t="shared" si="6"/>
        <v>85.76</v>
      </c>
      <c r="M77" s="10"/>
      <c r="N77" s="2"/>
      <c r="O77" s="11"/>
    </row>
    <row r="78" spans="2:15" x14ac:dyDescent="0.2">
      <c r="B78" s="43"/>
      <c r="C78" s="48" t="s">
        <v>32</v>
      </c>
      <c r="D78" s="49"/>
      <c r="E78" s="46">
        <f t="shared" ref="E78:K78" si="14">E11-E77</f>
        <v>0</v>
      </c>
      <c r="F78" s="47">
        <f t="shared" si="14"/>
        <v>0</v>
      </c>
      <c r="G78" s="47">
        <f t="shared" si="14"/>
        <v>0</v>
      </c>
      <c r="H78" s="47">
        <f t="shared" si="14"/>
        <v>0</v>
      </c>
      <c r="I78" s="47">
        <f t="shared" si="14"/>
        <v>0</v>
      </c>
      <c r="J78" s="47">
        <f t="shared" si="14"/>
        <v>0</v>
      </c>
      <c r="K78" s="47">
        <f t="shared" si="14"/>
        <v>0</v>
      </c>
      <c r="L78" s="259">
        <f t="shared" si="6"/>
        <v>0</v>
      </c>
      <c r="M78" s="10"/>
      <c r="N78" s="2"/>
      <c r="O78" s="11"/>
    </row>
    <row r="79" spans="2:15" x14ac:dyDescent="0.2">
      <c r="B79" s="43"/>
      <c r="C79" s="50" t="s">
        <v>33</v>
      </c>
      <c r="D79" s="51"/>
      <c r="E79" s="67">
        <f t="shared" ref="E79:K79" si="15">E78/E11</f>
        <v>0</v>
      </c>
      <c r="F79" s="68">
        <f t="shared" si="15"/>
        <v>0</v>
      </c>
      <c r="G79" s="68" t="e">
        <f t="shared" si="15"/>
        <v>#DIV/0!</v>
      </c>
      <c r="H79" s="68" t="e">
        <f t="shared" si="15"/>
        <v>#DIV/0!</v>
      </c>
      <c r="I79" s="68" t="e">
        <f t="shared" si="15"/>
        <v>#DIV/0!</v>
      </c>
      <c r="J79" s="68" t="e">
        <f t="shared" si="15"/>
        <v>#DIV/0!</v>
      </c>
      <c r="K79" s="68" t="e">
        <f t="shared" si="15"/>
        <v>#DIV/0!</v>
      </c>
      <c r="L79" s="259" t="e">
        <f t="shared" si="6"/>
        <v>#DIV/0!</v>
      </c>
      <c r="M79" s="10"/>
      <c r="N79" s="2"/>
      <c r="O79" s="11"/>
    </row>
    <row r="80" spans="2:15" x14ac:dyDescent="0.2">
      <c r="B80" s="43"/>
      <c r="C80" s="48"/>
      <c r="D80" s="48"/>
      <c r="E80" s="52"/>
      <c r="F80" s="52"/>
      <c r="G80" s="52"/>
      <c r="H80" s="52"/>
      <c r="I80" s="52"/>
      <c r="J80" s="52"/>
      <c r="K80" s="52"/>
      <c r="L80" s="259">
        <f t="shared" si="6"/>
        <v>0</v>
      </c>
      <c r="M80" s="10"/>
      <c r="N80" s="2"/>
      <c r="O80" s="11"/>
    </row>
    <row r="81" spans="2:15" ht="17" thickBot="1" x14ac:dyDescent="0.25">
      <c r="B81" s="53"/>
      <c r="C81" s="54"/>
      <c r="D81" s="54"/>
      <c r="E81" s="54"/>
      <c r="F81" s="54"/>
      <c r="G81" s="54"/>
      <c r="H81" s="54"/>
      <c r="I81" s="54"/>
      <c r="J81" s="54"/>
      <c r="K81" s="54"/>
      <c r="L81" s="259">
        <f t="shared" si="6"/>
        <v>0</v>
      </c>
      <c r="M81" s="53"/>
      <c r="N81" s="54"/>
      <c r="O81" s="97"/>
    </row>
  </sheetData>
  <mergeCells count="1">
    <mergeCell ref="B5:G5"/>
  </mergeCells>
  <conditionalFormatting sqref="J76">
    <cfRule type="cellIs" dxfId="0" priority="1" operator="lessThan">
      <formula>0</formula>
    </cfRule>
  </conditionalFormatting>
  <pageMargins left="0.75" right="0.75" top="1" bottom="1" header="0.5" footer="0.5"/>
  <pageSetup paperSize="9" orientation="portrait" horizontalDpi="4294967292" verticalDpi="4294967292"/>
  <ignoredErrors>
    <ignoredError sqref="D66:D73 D52:D55 D60:D62 D46:D48 B31 B47 B53 B67" emptyCellReference="1"/>
  </ignoredErrors>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2:K34"/>
  <sheetViews>
    <sheetView workbookViewId="0">
      <selection activeCell="I26" sqref="I26"/>
    </sheetView>
  </sheetViews>
  <sheetFormatPr baseColWidth="10" defaultRowHeight="16" x14ac:dyDescent="0.2"/>
  <cols>
    <col min="1" max="1" width="10.83203125" style="3"/>
    <col min="2" max="2" width="26.1640625" style="3" customWidth="1"/>
    <col min="3" max="3" width="54.6640625" style="3" bestFit="1" customWidth="1"/>
    <col min="4" max="6" width="22" style="3" customWidth="1"/>
    <col min="7" max="7" width="21.33203125" style="3" customWidth="1"/>
    <col min="8" max="8" width="20.6640625" style="3" customWidth="1"/>
    <col min="9" max="16384" width="10.83203125" style="3"/>
  </cols>
  <sheetData>
    <row r="2" spans="1:10" ht="21" x14ac:dyDescent="0.25">
      <c r="B2" s="199" t="s">
        <v>204</v>
      </c>
    </row>
    <row r="4" spans="1:10" x14ac:dyDescent="0.2">
      <c r="B4" s="4" t="s">
        <v>1</v>
      </c>
      <c r="C4" s="5"/>
      <c r="D4" s="200"/>
      <c r="E4" s="2"/>
    </row>
    <row r="5" spans="1:10" x14ac:dyDescent="0.2">
      <c r="B5" s="282" t="s">
        <v>205</v>
      </c>
      <c r="C5" s="283"/>
      <c r="D5" s="200"/>
      <c r="E5" s="2"/>
    </row>
    <row r="6" spans="1:10" ht="17" thickBot="1" x14ac:dyDescent="0.25">
      <c r="A6" s="201"/>
      <c r="B6" s="201"/>
      <c r="C6" s="201"/>
      <c r="D6" s="201"/>
      <c r="E6" s="201"/>
      <c r="F6" s="202"/>
      <c r="G6" s="202"/>
      <c r="H6" s="2"/>
      <c r="I6" s="2"/>
      <c r="J6" s="2"/>
    </row>
    <row r="7" spans="1:10" x14ac:dyDescent="0.2">
      <c r="A7" s="201"/>
      <c r="B7" s="203" t="s">
        <v>206</v>
      </c>
      <c r="C7" s="204"/>
      <c r="D7" s="205"/>
      <c r="E7" s="206"/>
      <c r="F7" s="202"/>
      <c r="G7" s="202"/>
      <c r="H7" s="94"/>
      <c r="I7" s="2"/>
      <c r="J7" s="2"/>
    </row>
    <row r="8" spans="1:10" x14ac:dyDescent="0.2">
      <c r="A8" s="201"/>
      <c r="B8" s="207"/>
      <c r="C8" s="202"/>
      <c r="D8" s="208"/>
      <c r="E8" s="209"/>
      <c r="F8" s="202"/>
      <c r="G8" s="202"/>
      <c r="H8" s="94"/>
      <c r="I8" s="2"/>
      <c r="J8" s="2"/>
    </row>
    <row r="9" spans="1:10" x14ac:dyDescent="0.2">
      <c r="A9" s="201"/>
      <c r="B9" s="207"/>
      <c r="C9" s="202"/>
      <c r="D9" s="208"/>
      <c r="E9" s="209"/>
      <c r="F9" s="202"/>
      <c r="G9" s="202"/>
      <c r="H9" s="94"/>
      <c r="I9" s="2"/>
      <c r="J9" s="2"/>
    </row>
    <row r="10" spans="1:10" x14ac:dyDescent="0.2">
      <c r="A10" s="201"/>
      <c r="B10" s="210"/>
      <c r="C10" s="211"/>
      <c r="D10" s="211" t="s">
        <v>207</v>
      </c>
      <c r="E10" s="212" t="s">
        <v>208</v>
      </c>
      <c r="F10" s="213"/>
      <c r="G10" s="213"/>
      <c r="H10" s="213"/>
      <c r="I10" s="2"/>
      <c r="J10" s="2"/>
    </row>
    <row r="11" spans="1:10" x14ac:dyDescent="0.2">
      <c r="A11" s="201"/>
      <c r="B11" s="214" t="s">
        <v>209</v>
      </c>
      <c r="C11" s="215"/>
      <c r="D11" s="254">
        <f>E24</f>
        <v>1</v>
      </c>
      <c r="E11" s="255">
        <f>E25</f>
        <v>0</v>
      </c>
      <c r="F11" s="216"/>
      <c r="G11" s="201"/>
    </row>
    <row r="12" spans="1:10" x14ac:dyDescent="0.2">
      <c r="B12" s="10"/>
      <c r="C12" s="202"/>
      <c r="D12" s="202"/>
      <c r="E12" s="217"/>
      <c r="F12" s="201"/>
      <c r="G12" s="201"/>
    </row>
    <row r="13" spans="1:10" x14ac:dyDescent="0.2">
      <c r="B13" s="10" t="s">
        <v>210</v>
      </c>
      <c r="C13" s="202"/>
      <c r="D13" s="218">
        <f>E27</f>
        <v>0.5</v>
      </c>
      <c r="E13" s="219">
        <f>E28</f>
        <v>1.8</v>
      </c>
      <c r="F13" s="220"/>
      <c r="G13" s="201"/>
    </row>
    <row r="14" spans="1:10" x14ac:dyDescent="0.2">
      <c r="B14" s="10"/>
      <c r="C14" s="202"/>
      <c r="D14" s="2"/>
      <c r="E14" s="217"/>
      <c r="F14" s="201"/>
      <c r="G14" s="201"/>
    </row>
    <row r="15" spans="1:10" x14ac:dyDescent="0.2">
      <c r="B15" s="10" t="s">
        <v>211</v>
      </c>
      <c r="C15" s="2"/>
      <c r="D15" s="218">
        <f>1/D13</f>
        <v>2</v>
      </c>
      <c r="E15" s="219">
        <f>1/E13</f>
        <v>0.55555555555555558</v>
      </c>
      <c r="F15" s="220"/>
      <c r="G15" s="201"/>
    </row>
    <row r="16" spans="1:10" x14ac:dyDescent="0.2">
      <c r="B16" s="10"/>
      <c r="C16" s="2"/>
      <c r="D16" s="2"/>
      <c r="E16" s="11"/>
      <c r="G16" s="201"/>
    </row>
    <row r="17" spans="2:11" x14ac:dyDescent="0.2">
      <c r="B17" s="10" t="s">
        <v>212</v>
      </c>
      <c r="C17" s="202"/>
      <c r="D17" s="218">
        <f>D11*D15</f>
        <v>2</v>
      </c>
      <c r="E17" s="219">
        <f>E11*E15</f>
        <v>0</v>
      </c>
      <c r="F17" s="216"/>
      <c r="G17" s="201"/>
    </row>
    <row r="18" spans="2:11" x14ac:dyDescent="0.2">
      <c r="B18" s="10"/>
      <c r="C18" s="202"/>
      <c r="D18" s="202"/>
      <c r="E18" s="217"/>
      <c r="F18" s="201"/>
      <c r="G18" s="201"/>
    </row>
    <row r="19" spans="2:11" x14ac:dyDescent="0.2">
      <c r="B19" s="10" t="s">
        <v>213</v>
      </c>
      <c r="C19" s="202"/>
      <c r="D19" s="256">
        <f>D17/SUM($D$17:$E$17)</f>
        <v>1</v>
      </c>
      <c r="E19" s="257">
        <f>E17/SUM($D$17:$E$17)</f>
        <v>0</v>
      </c>
      <c r="F19" s="201"/>
      <c r="G19" s="201"/>
    </row>
    <row r="20" spans="2:11" ht="17" thickBot="1" x14ac:dyDescent="0.25">
      <c r="B20" s="53"/>
      <c r="C20" s="221"/>
      <c r="D20" s="221"/>
      <c r="E20" s="222"/>
      <c r="F20" s="201"/>
      <c r="G20" s="201"/>
    </row>
    <row r="21" spans="2:11" x14ac:dyDescent="0.2">
      <c r="C21" s="201"/>
      <c r="D21" s="201"/>
      <c r="E21" s="201"/>
      <c r="F21" s="201"/>
      <c r="G21" s="201"/>
    </row>
    <row r="22" spans="2:11" x14ac:dyDescent="0.2">
      <c r="C22" s="201"/>
      <c r="D22" s="201"/>
      <c r="E22" s="201"/>
      <c r="F22" s="201"/>
      <c r="G22" s="201"/>
    </row>
    <row r="23" spans="2:11" ht="17" thickBot="1" x14ac:dyDescent="0.25">
      <c r="B23" s="223" t="s">
        <v>214</v>
      </c>
      <c r="C23" s="224"/>
      <c r="D23" s="225"/>
      <c r="E23" s="226"/>
      <c r="F23" s="226"/>
      <c r="G23" s="227"/>
      <c r="H23" s="228"/>
      <c r="I23" s="5"/>
      <c r="J23" s="5"/>
      <c r="K23" s="229"/>
    </row>
    <row r="24" spans="2:11" ht="17" thickBot="1" x14ac:dyDescent="0.25">
      <c r="B24" s="230"/>
      <c r="C24" s="231" t="s">
        <v>215</v>
      </c>
      <c r="D24" s="232"/>
      <c r="E24" s="233">
        <f>1-E25</f>
        <v>1</v>
      </c>
      <c r="F24" s="234"/>
      <c r="G24" s="235"/>
      <c r="H24" s="236"/>
      <c r="I24" s="238"/>
      <c r="J24" s="2"/>
      <c r="K24" s="237"/>
    </row>
    <row r="25" spans="2:11" ht="17" thickBot="1" x14ac:dyDescent="0.25">
      <c r="B25" s="230"/>
      <c r="C25" s="231" t="s">
        <v>216</v>
      </c>
      <c r="D25" s="232"/>
      <c r="E25" s="233">
        <v>0</v>
      </c>
      <c r="F25" s="234"/>
      <c r="G25" s="235"/>
      <c r="H25" s="236"/>
      <c r="I25" s="246"/>
      <c r="J25" s="2"/>
      <c r="K25" s="239"/>
    </row>
    <row r="26" spans="2:11" ht="17" thickBot="1" x14ac:dyDescent="0.25">
      <c r="B26" s="21"/>
      <c r="C26" s="94"/>
      <c r="D26" s="240"/>
      <c r="E26" s="241"/>
      <c r="F26" s="241"/>
      <c r="G26" s="242"/>
      <c r="H26" s="243"/>
      <c r="I26" s="2"/>
      <c r="J26" s="2"/>
      <c r="K26" s="188"/>
    </row>
    <row r="27" spans="2:11" ht="20" thickBot="1" x14ac:dyDescent="0.25">
      <c r="B27" s="21"/>
      <c r="C27" s="244" t="s">
        <v>217</v>
      </c>
      <c r="D27" s="232" t="s">
        <v>218</v>
      </c>
      <c r="E27" s="245">
        <v>0.5</v>
      </c>
      <c r="F27" s="234"/>
      <c r="G27" s="235"/>
      <c r="H27" s="236"/>
      <c r="I27" s="238" t="s">
        <v>219</v>
      </c>
      <c r="J27" s="2"/>
      <c r="K27" s="188"/>
    </row>
    <row r="28" spans="2:11" ht="20" thickBot="1" x14ac:dyDescent="0.25">
      <c r="B28" s="21"/>
      <c r="C28" s="244" t="s">
        <v>220</v>
      </c>
      <c r="D28" s="232" t="s">
        <v>218</v>
      </c>
      <c r="E28" s="245">
        <v>1.8</v>
      </c>
      <c r="F28" s="234"/>
      <c r="G28" s="235"/>
      <c r="H28" s="236"/>
      <c r="I28" s="246" t="s">
        <v>219</v>
      </c>
      <c r="J28" s="2"/>
      <c r="K28" s="188"/>
    </row>
    <row r="29" spans="2:11" ht="17" thickBot="1" x14ac:dyDescent="0.25">
      <c r="B29" s="247"/>
      <c r="C29" s="248"/>
      <c r="D29" s="249"/>
      <c r="E29" s="250"/>
      <c r="F29" s="250"/>
      <c r="G29" s="251"/>
      <c r="H29" s="252"/>
      <c r="I29" s="54"/>
      <c r="J29" s="54"/>
      <c r="K29" s="253"/>
    </row>
    <row r="30" spans="2:11" x14ac:dyDescent="0.2">
      <c r="C30" s="201"/>
      <c r="D30" s="201"/>
      <c r="E30" s="201"/>
      <c r="F30" s="201"/>
      <c r="G30" s="201"/>
    </row>
    <row r="31" spans="2:11" x14ac:dyDescent="0.2">
      <c r="C31" s="201"/>
      <c r="D31" s="201"/>
      <c r="E31" s="201"/>
      <c r="F31" s="201"/>
      <c r="G31" s="201"/>
    </row>
    <row r="32" spans="2:11" x14ac:dyDescent="0.2">
      <c r="C32" s="201"/>
      <c r="D32" s="201"/>
      <c r="E32" s="201"/>
      <c r="F32" s="201"/>
      <c r="G32" s="201"/>
    </row>
    <row r="33" spans="3:7" x14ac:dyDescent="0.2">
      <c r="C33" s="201"/>
      <c r="D33" s="201"/>
      <c r="E33" s="201"/>
      <c r="F33" s="201"/>
      <c r="G33" s="201"/>
    </row>
    <row r="34" spans="3:7" x14ac:dyDescent="0.2">
      <c r="C34" s="201"/>
      <c r="D34" s="201"/>
      <c r="E34" s="201"/>
      <c r="F34" s="201"/>
      <c r="G34" s="201"/>
    </row>
  </sheetData>
  <mergeCells count="1">
    <mergeCell ref="B5:C5"/>
  </mergeCells>
  <dataValidations count="1">
    <dataValidation type="decimal" operator="greaterThanOrEqual" showInputMessage="1" showErrorMessage="1" errorTitle="Number Range" error="You may only add positive numbers. _x000d_" sqref="E23:E25">
      <formula1>0</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44"/>
  <sheetViews>
    <sheetView workbookViewId="0">
      <selection activeCell="E38" sqref="E38"/>
    </sheetView>
  </sheetViews>
  <sheetFormatPr baseColWidth="10" defaultRowHeight="16" x14ac:dyDescent="0.2"/>
  <cols>
    <col min="1" max="1" width="3.33203125" customWidth="1"/>
    <col min="2" max="2" width="20.6640625" bestFit="1" customWidth="1"/>
    <col min="3" max="3" width="18.1640625" bestFit="1" customWidth="1"/>
    <col min="4" max="4" width="20.33203125" bestFit="1" customWidth="1"/>
    <col min="5" max="5" width="21" customWidth="1"/>
  </cols>
  <sheetData>
    <row r="2" spans="2:4" x14ac:dyDescent="0.2">
      <c r="B2" s="158" t="s">
        <v>139</v>
      </c>
      <c r="C2" s="180">
        <f>'Final demand per energy carrier'!F11</f>
        <v>17</v>
      </c>
      <c r="D2" s="159" t="s">
        <v>221</v>
      </c>
    </row>
    <row r="4" spans="2:4" x14ac:dyDescent="0.2">
      <c r="C4" t="s">
        <v>138</v>
      </c>
    </row>
    <row r="5" spans="2:4" x14ac:dyDescent="0.2">
      <c r="B5" t="s">
        <v>137</v>
      </c>
      <c r="C5" s="156">
        <v>0.05</v>
      </c>
    </row>
    <row r="6" spans="2:4" x14ac:dyDescent="0.2">
      <c r="B6" t="s">
        <v>136</v>
      </c>
      <c r="C6" s="156">
        <v>0.05</v>
      </c>
    </row>
    <row r="7" spans="2:4" x14ac:dyDescent="0.2">
      <c r="B7" t="s">
        <v>135</v>
      </c>
      <c r="C7" s="156">
        <v>7.0000000000000007E-2</v>
      </c>
    </row>
    <row r="8" spans="2:4" x14ac:dyDescent="0.2">
      <c r="B8" t="s">
        <v>134</v>
      </c>
      <c r="C8" s="156">
        <v>0.03</v>
      </c>
    </row>
    <row r="9" spans="2:4" x14ac:dyDescent="0.2">
      <c r="B9" t="s">
        <v>133</v>
      </c>
      <c r="C9" s="156">
        <v>0.09</v>
      </c>
    </row>
    <row r="10" spans="2:4" x14ac:dyDescent="0.2">
      <c r="B10" t="s">
        <v>132</v>
      </c>
      <c r="C10" s="156">
        <v>0.05</v>
      </c>
    </row>
    <row r="11" spans="2:4" x14ac:dyDescent="0.2">
      <c r="B11" t="s">
        <v>131</v>
      </c>
      <c r="C11" s="156">
        <v>0.09</v>
      </c>
    </row>
    <row r="12" spans="2:4" x14ac:dyDescent="0.2">
      <c r="B12" t="s">
        <v>130</v>
      </c>
      <c r="C12" s="156">
        <v>0.06</v>
      </c>
    </row>
    <row r="13" spans="2:4" x14ac:dyDescent="0.2">
      <c r="B13" t="s">
        <v>129</v>
      </c>
      <c r="C13" s="156">
        <v>0.06</v>
      </c>
    </row>
    <row r="14" spans="2:4" x14ac:dyDescent="0.2">
      <c r="B14" t="s">
        <v>128</v>
      </c>
      <c r="C14" s="156">
        <v>7.0000000000000007E-2</v>
      </c>
    </row>
    <row r="15" spans="2:4" x14ac:dyDescent="0.2">
      <c r="B15" t="s">
        <v>127</v>
      </c>
      <c r="C15" s="156">
        <v>0.05</v>
      </c>
    </row>
    <row r="16" spans="2:4" x14ac:dyDescent="0.2">
      <c r="B16" t="s">
        <v>126</v>
      </c>
      <c r="C16" s="156">
        <v>7.0000000000000007E-2</v>
      </c>
    </row>
    <row r="17" spans="2:7" x14ac:dyDescent="0.2">
      <c r="B17" t="s">
        <v>125</v>
      </c>
      <c r="C17" s="156">
        <v>0.03</v>
      </c>
    </row>
    <row r="18" spans="2:7" x14ac:dyDescent="0.2">
      <c r="B18" t="s">
        <v>124</v>
      </c>
      <c r="C18" s="156">
        <v>0.04</v>
      </c>
    </row>
    <row r="19" spans="2:7" x14ac:dyDescent="0.2">
      <c r="B19" t="s">
        <v>123</v>
      </c>
      <c r="C19" s="156">
        <v>0.01</v>
      </c>
    </row>
    <row r="20" spans="2:7" x14ac:dyDescent="0.2">
      <c r="B20" t="s">
        <v>122</v>
      </c>
      <c r="C20" s="156">
        <v>0.01</v>
      </c>
    </row>
    <row r="21" spans="2:7" x14ac:dyDescent="0.2">
      <c r="B21" t="s">
        <v>121</v>
      </c>
      <c r="C21" s="156">
        <v>0.01</v>
      </c>
    </row>
    <row r="22" spans="2:7" x14ac:dyDescent="0.2">
      <c r="B22" t="s">
        <v>120</v>
      </c>
      <c r="C22" s="156">
        <v>0.13</v>
      </c>
      <c r="E22" t="s">
        <v>157</v>
      </c>
      <c r="F22" t="s">
        <v>165</v>
      </c>
      <c r="G22" s="160"/>
    </row>
    <row r="23" spans="2:7" x14ac:dyDescent="0.2">
      <c r="B23" t="s">
        <v>119</v>
      </c>
      <c r="E23" t="s">
        <v>158</v>
      </c>
      <c r="F23" t="s">
        <v>159</v>
      </c>
      <c r="G23" s="161"/>
    </row>
    <row r="24" spans="2:7" x14ac:dyDescent="0.2">
      <c r="G24" s="161"/>
    </row>
    <row r="25" spans="2:7" x14ac:dyDescent="0.2">
      <c r="B25" t="s">
        <v>160</v>
      </c>
      <c r="G25" s="161"/>
    </row>
    <row r="26" spans="2:7" x14ac:dyDescent="0.2">
      <c r="B26" t="s">
        <v>161</v>
      </c>
      <c r="G26" s="161"/>
    </row>
    <row r="27" spans="2:7" x14ac:dyDescent="0.2">
      <c r="G27" s="160"/>
    </row>
    <row r="28" spans="2:7" s="158" customFormat="1" x14ac:dyDescent="0.2">
      <c r="B28" s="158" t="s">
        <v>164</v>
      </c>
      <c r="C28" s="158" t="s">
        <v>162</v>
      </c>
      <c r="D28" s="158" t="s">
        <v>163</v>
      </c>
      <c r="E28" s="158" t="s">
        <v>139</v>
      </c>
    </row>
    <row r="29" spans="2:7" x14ac:dyDescent="0.2">
      <c r="B29" t="s">
        <v>118</v>
      </c>
      <c r="C29" s="157">
        <f>C5</f>
        <v>0.05</v>
      </c>
      <c r="D29" s="156">
        <f t="shared" ref="D29:D36" si="0">C29/SUM($C$5:$C$22)</f>
        <v>5.1546391752577303E-2</v>
      </c>
      <c r="E29" s="162">
        <f t="shared" ref="E29:E36" si="1">D29*$C$2</f>
        <v>0.87628865979381421</v>
      </c>
    </row>
    <row r="30" spans="2:7" x14ac:dyDescent="0.2">
      <c r="B30" t="s">
        <v>16</v>
      </c>
      <c r="C30" s="157">
        <f>C9+C10</f>
        <v>0.14000000000000001</v>
      </c>
      <c r="D30" s="156">
        <f t="shared" si="0"/>
        <v>0.14432989690721645</v>
      </c>
      <c r="E30" s="162">
        <f t="shared" si="1"/>
        <v>2.4536082474226797</v>
      </c>
    </row>
    <row r="31" spans="2:7" x14ac:dyDescent="0.2">
      <c r="B31" t="s">
        <v>17</v>
      </c>
      <c r="C31" s="157">
        <f>C6</f>
        <v>0.05</v>
      </c>
      <c r="D31" s="156">
        <f t="shared" si="0"/>
        <v>5.1546391752577303E-2</v>
      </c>
      <c r="E31" s="162">
        <f t="shared" si="1"/>
        <v>0.87628865979381421</v>
      </c>
    </row>
    <row r="32" spans="2:7" x14ac:dyDescent="0.2">
      <c r="B32" t="s">
        <v>18</v>
      </c>
      <c r="C32" s="157">
        <f>C7</f>
        <v>7.0000000000000007E-2</v>
      </c>
      <c r="D32" s="156">
        <f t="shared" si="0"/>
        <v>7.2164948453608227E-2</v>
      </c>
      <c r="E32" s="162">
        <f t="shared" si="1"/>
        <v>1.2268041237113398</v>
      </c>
    </row>
    <row r="33" spans="2:5" x14ac:dyDescent="0.2">
      <c r="B33" t="s">
        <v>19</v>
      </c>
      <c r="C33" s="157">
        <f>C11</f>
        <v>0.09</v>
      </c>
      <c r="D33" s="156">
        <f t="shared" si="0"/>
        <v>9.2783505154639137E-2</v>
      </c>
      <c r="E33" s="162">
        <f t="shared" si="1"/>
        <v>1.5773195876288653</v>
      </c>
    </row>
    <row r="34" spans="2:5" x14ac:dyDescent="0.2">
      <c r="B34" t="s">
        <v>20</v>
      </c>
      <c r="C34" s="157">
        <f>C12+C13</f>
        <v>0.12</v>
      </c>
      <c r="D34" s="156">
        <f t="shared" si="0"/>
        <v>0.12371134020618553</v>
      </c>
      <c r="E34" s="162">
        <f t="shared" si="1"/>
        <v>2.1030927835051538</v>
      </c>
    </row>
    <row r="35" spans="2:5" x14ac:dyDescent="0.2">
      <c r="B35" t="s">
        <v>21</v>
      </c>
      <c r="C35" s="157">
        <f>C8</f>
        <v>0.03</v>
      </c>
      <c r="D35" s="156">
        <f t="shared" si="0"/>
        <v>3.0927835051546382E-2</v>
      </c>
      <c r="E35" s="162">
        <f t="shared" si="1"/>
        <v>0.52577319587628846</v>
      </c>
    </row>
    <row r="36" spans="2:5" x14ac:dyDescent="0.2">
      <c r="B36" t="s">
        <v>22</v>
      </c>
      <c r="C36" s="157">
        <f>C18+C19+C20+C21</f>
        <v>7.0000000000000007E-2</v>
      </c>
      <c r="D36" s="156">
        <f t="shared" si="0"/>
        <v>7.2164948453608227E-2</v>
      </c>
      <c r="E36" s="162">
        <f t="shared" si="1"/>
        <v>1.2268041237113398</v>
      </c>
    </row>
    <row r="37" spans="2:5" x14ac:dyDescent="0.2">
      <c r="D37" s="156"/>
      <c r="E37" s="162"/>
    </row>
    <row r="38" spans="2:5" x14ac:dyDescent="0.2">
      <c r="B38" t="s">
        <v>117</v>
      </c>
      <c r="C38" s="157">
        <f>C14</f>
        <v>7.0000000000000007E-2</v>
      </c>
      <c r="D38" s="156">
        <f>C38/SUM($C$5:$C$22)</f>
        <v>7.2164948453608227E-2</v>
      </c>
      <c r="E38" s="162">
        <f>D38*$C$2</f>
        <v>1.2268041237113398</v>
      </c>
    </row>
    <row r="39" spans="2:5" x14ac:dyDescent="0.2">
      <c r="B39" t="s">
        <v>116</v>
      </c>
      <c r="C39" s="157">
        <f>C15</f>
        <v>0.05</v>
      </c>
      <c r="D39" s="156">
        <f>C39/SUM($C$5:$C$22)</f>
        <v>5.1546391752577303E-2</v>
      </c>
      <c r="E39" s="162">
        <f>D39*$C$2</f>
        <v>0.87628865979381421</v>
      </c>
    </row>
    <row r="40" spans="2:5" x14ac:dyDescent="0.2">
      <c r="B40" t="s">
        <v>69</v>
      </c>
      <c r="C40" s="157">
        <f>C22</f>
        <v>0.13</v>
      </c>
      <c r="D40" s="156">
        <f>C40/SUM($C$5:$C$22)</f>
        <v>0.134020618556701</v>
      </c>
      <c r="E40" s="162">
        <f>D40*$C$2</f>
        <v>2.278350515463917</v>
      </c>
    </row>
    <row r="41" spans="2:5" x14ac:dyDescent="0.2">
      <c r="B41" t="s">
        <v>63</v>
      </c>
      <c r="C41" s="157">
        <f>C17</f>
        <v>0.03</v>
      </c>
      <c r="D41" s="156">
        <f>C41/SUM($C$5:$C$22)</f>
        <v>3.0927835051546382E-2</v>
      </c>
      <c r="E41" s="162">
        <f>D41*$C$2</f>
        <v>0.52577319587628846</v>
      </c>
    </row>
    <row r="42" spans="2:5" x14ac:dyDescent="0.2">
      <c r="B42" t="s">
        <v>115</v>
      </c>
      <c r="C42" s="157">
        <f>C16</f>
        <v>7.0000000000000007E-2</v>
      </c>
      <c r="D42" s="156">
        <f>C42/SUM($C$5:$C$22)</f>
        <v>7.2164948453608227E-2</v>
      </c>
      <c r="E42" s="162">
        <f>D42*$C$2</f>
        <v>1.2268041237113398</v>
      </c>
    </row>
    <row r="44" spans="2:5" x14ac:dyDescent="0.2">
      <c r="B44" s="159" t="s">
        <v>168</v>
      </c>
    </row>
  </sheetData>
  <pageMargins left="0.75" right="0.75" top="1" bottom="1" header="0.5" footer="0.5"/>
  <pageSetup paperSize="9" orientation="portrait" horizontalDpi="4294967292" verticalDpi="4294967292"/>
  <ignoredErrors>
    <ignoredError sqref="C40" formula="1"/>
  </ignoredError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H22" sqref="H22"/>
    </sheetView>
  </sheetViews>
  <sheetFormatPr baseColWidth="10" defaultRowHeight="16" x14ac:dyDescent="0.2"/>
  <cols>
    <col min="1" max="1" width="2.6640625" customWidth="1"/>
    <col min="2" max="2" width="22.6640625" bestFit="1" customWidth="1"/>
    <col min="3" max="3" width="14.5" customWidth="1"/>
    <col min="4" max="4" width="15.33203125" customWidth="1"/>
    <col min="5" max="5" width="14.83203125" customWidth="1"/>
    <col min="6" max="6" width="12.5" customWidth="1"/>
    <col min="7" max="7" width="14.5" customWidth="1"/>
    <col min="8" max="8" width="16" customWidth="1"/>
  </cols>
  <sheetData>
    <row r="1" spans="1:5" x14ac:dyDescent="0.2">
      <c r="A1" s="176"/>
      <c r="B1" s="176"/>
      <c r="C1" s="176"/>
      <c r="D1" s="176"/>
      <c r="E1" s="176"/>
    </row>
    <row r="2" spans="1:5" x14ac:dyDescent="0.2">
      <c r="A2" s="176"/>
      <c r="B2" s="176" t="s">
        <v>157</v>
      </c>
      <c r="C2" s="176" t="s">
        <v>169</v>
      </c>
      <c r="D2" s="176"/>
      <c r="E2" s="176"/>
    </row>
    <row r="3" spans="1:5" x14ac:dyDescent="0.2">
      <c r="A3" s="176"/>
      <c r="B3" s="176" t="s">
        <v>158</v>
      </c>
      <c r="C3" s="176" t="s">
        <v>166</v>
      </c>
      <c r="D3" s="176"/>
      <c r="E3" s="176"/>
    </row>
    <row r="4" spans="1:5" x14ac:dyDescent="0.2">
      <c r="A4" s="176"/>
      <c r="B4" s="176"/>
      <c r="C4" s="176"/>
      <c r="D4" s="176"/>
      <c r="E4" s="176"/>
    </row>
    <row r="5" spans="1:5" x14ac:dyDescent="0.2">
      <c r="A5" s="176"/>
      <c r="B5" s="176"/>
      <c r="C5" s="176"/>
      <c r="D5" s="176"/>
      <c r="E5" s="176"/>
    </row>
    <row r="6" spans="1:5" x14ac:dyDescent="0.2">
      <c r="A6" s="176"/>
      <c r="B6" s="176"/>
      <c r="C6" s="176"/>
      <c r="D6" s="176"/>
      <c r="E6" s="176"/>
    </row>
    <row r="7" spans="1:5" x14ac:dyDescent="0.2">
      <c r="A7" s="176"/>
      <c r="B7" s="176"/>
      <c r="C7" s="176"/>
      <c r="D7" s="176"/>
      <c r="E7" s="176"/>
    </row>
    <row r="8" spans="1:5" x14ac:dyDescent="0.2">
      <c r="A8" s="176"/>
      <c r="B8" s="176"/>
      <c r="C8" s="176"/>
      <c r="D8" s="176"/>
      <c r="E8" s="176"/>
    </row>
    <row r="9" spans="1:5" x14ac:dyDescent="0.2">
      <c r="A9" s="176"/>
      <c r="B9" s="176"/>
      <c r="C9" s="176"/>
      <c r="D9" s="176"/>
      <c r="E9" s="176"/>
    </row>
    <row r="10" spans="1:5" x14ac:dyDescent="0.2">
      <c r="A10" s="176"/>
      <c r="B10" s="176"/>
      <c r="C10" s="176"/>
      <c r="D10" s="176"/>
      <c r="E10" s="176"/>
    </row>
    <row r="11" spans="1:5" x14ac:dyDescent="0.2">
      <c r="A11" s="176"/>
      <c r="B11" s="176"/>
      <c r="C11" s="176"/>
      <c r="D11" s="176"/>
      <c r="E11" s="176"/>
    </row>
    <row r="12" spans="1:5" x14ac:dyDescent="0.2">
      <c r="A12" s="176"/>
      <c r="B12" s="176"/>
      <c r="C12" s="176"/>
      <c r="D12" s="176"/>
      <c r="E12" s="176"/>
    </row>
    <row r="18" spans="1:9" x14ac:dyDescent="0.2">
      <c r="A18" s="3"/>
      <c r="B18" s="3"/>
      <c r="C18" s="3"/>
      <c r="D18" s="3"/>
      <c r="E18" s="3"/>
      <c r="F18" s="3"/>
      <c r="G18" s="3"/>
      <c r="H18" s="3"/>
      <c r="I18" s="3"/>
    </row>
    <row r="19" spans="1:9" ht="48" x14ac:dyDescent="0.2">
      <c r="A19" s="3"/>
      <c r="B19" s="163" t="s">
        <v>140</v>
      </c>
      <c r="C19" s="163" t="s">
        <v>143</v>
      </c>
      <c r="D19" s="164" t="s">
        <v>170</v>
      </c>
      <c r="E19" s="164" t="s">
        <v>145</v>
      </c>
      <c r="F19" s="164" t="s">
        <v>144</v>
      </c>
      <c r="G19" s="164" t="s">
        <v>146</v>
      </c>
      <c r="H19" s="163" t="s">
        <v>147</v>
      </c>
      <c r="I19" s="3"/>
    </row>
    <row r="20" spans="1:9" x14ac:dyDescent="0.2">
      <c r="A20" s="3"/>
      <c r="B20" s="172" t="s">
        <v>65</v>
      </c>
      <c r="C20" s="5">
        <v>0.02</v>
      </c>
      <c r="D20" s="165">
        <v>0.55000000000000004</v>
      </c>
      <c r="E20" s="5">
        <f>C20/D20</f>
        <v>3.6363636363636362E-2</v>
      </c>
      <c r="F20" s="5">
        <f>E20/SUM($E$20:$E$22)</f>
        <v>9.7328244274809142E-2</v>
      </c>
      <c r="G20" s="166">
        <f>Electricity!E41</f>
        <v>0.52577319587628846</v>
      </c>
      <c r="H20" s="167">
        <f>F20*$G$20</f>
        <v>5.1172582041394479E-2</v>
      </c>
      <c r="I20" s="3"/>
    </row>
    <row r="21" spans="1:9" x14ac:dyDescent="0.2">
      <c r="A21" s="3"/>
      <c r="B21" s="173" t="s">
        <v>66</v>
      </c>
      <c r="C21" s="2">
        <v>0.16</v>
      </c>
      <c r="D21" s="168">
        <v>0.6</v>
      </c>
      <c r="E21" s="2">
        <f>C21/D21</f>
        <v>0.26666666666666666</v>
      </c>
      <c r="F21" s="2">
        <f>E21/SUM($E$20:$E$22)</f>
        <v>0.71374045801526709</v>
      </c>
      <c r="G21" s="2"/>
      <c r="H21" s="169">
        <f>F21*$G$20</f>
        <v>0.37526560163689288</v>
      </c>
      <c r="I21" s="3"/>
    </row>
    <row r="22" spans="1:9" x14ac:dyDescent="0.2">
      <c r="A22" s="3"/>
      <c r="B22" s="174" t="s">
        <v>67</v>
      </c>
      <c r="C22" s="261">
        <v>0.06</v>
      </c>
      <c r="D22" s="170">
        <v>0.85</v>
      </c>
      <c r="E22" s="26">
        <f>C22/D22</f>
        <v>7.0588235294117646E-2</v>
      </c>
      <c r="F22" s="26">
        <f>E22/SUM($E$20:$E$22)</f>
        <v>0.18893129770992365</v>
      </c>
      <c r="G22" s="26"/>
      <c r="H22" s="171">
        <f>F22*$G$20</f>
        <v>9.933501219800106E-2</v>
      </c>
      <c r="I22" s="3"/>
    </row>
    <row r="23" spans="1:9" x14ac:dyDescent="0.2">
      <c r="A23" s="3"/>
      <c r="B23" s="3"/>
      <c r="C23" s="3"/>
      <c r="D23" s="3"/>
      <c r="E23" s="3"/>
      <c r="F23" s="3"/>
      <c r="G23" s="3"/>
      <c r="H23" s="3"/>
      <c r="I23" s="3"/>
    </row>
    <row r="24" spans="1:9" x14ac:dyDescent="0.2">
      <c r="A24" s="3"/>
      <c r="C24" s="3"/>
      <c r="D24" s="3"/>
      <c r="E24" s="3"/>
      <c r="F24" s="3"/>
      <c r="G24" s="3"/>
      <c r="H24" s="3"/>
      <c r="I24" s="3"/>
    </row>
  </sheetData>
  <pageMargins left="0.75" right="0.75" top="1" bottom="1" header="0.5" footer="0.5"/>
  <pageSetup paperSize="9" orientation="portrait" horizontalDpi="4294967292" verticalDpi="429496729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7"/>
  <sheetViews>
    <sheetView workbookViewId="0">
      <selection activeCell="C23" sqref="C23:C26"/>
    </sheetView>
  </sheetViews>
  <sheetFormatPr baseColWidth="10" defaultRowHeight="16" x14ac:dyDescent="0.2"/>
  <cols>
    <col min="1" max="1" width="3.1640625" customWidth="1"/>
    <col min="2" max="2" width="13.33203125" customWidth="1"/>
    <col min="3" max="3" width="12.5" bestFit="1" customWidth="1"/>
    <col min="4" max="4" width="23.1640625" customWidth="1"/>
    <col min="5" max="5" width="10.6640625" bestFit="1" customWidth="1"/>
    <col min="6" max="6" width="16.1640625" bestFit="1" customWidth="1"/>
    <col min="7" max="7" width="19.33203125" bestFit="1" customWidth="1"/>
    <col min="8" max="8" width="19.1640625" customWidth="1"/>
    <col min="9" max="9" width="19.6640625" customWidth="1"/>
    <col min="10" max="10" width="18.5" customWidth="1"/>
  </cols>
  <sheetData>
    <row r="2" spans="2:3" x14ac:dyDescent="0.2">
      <c r="B2" t="s">
        <v>157</v>
      </c>
      <c r="C2" t="s">
        <v>181</v>
      </c>
    </row>
    <row r="3" spans="2:3" x14ac:dyDescent="0.2">
      <c r="B3" t="s">
        <v>158</v>
      </c>
      <c r="C3" t="s">
        <v>182</v>
      </c>
    </row>
    <row r="17" spans="1:15" x14ac:dyDescent="0.2">
      <c r="I17" t="s">
        <v>224</v>
      </c>
    </row>
    <row r="19" spans="1:15" x14ac:dyDescent="0.2">
      <c r="A19" s="3"/>
      <c r="B19" s="3"/>
      <c r="C19" s="3"/>
      <c r="D19" s="3"/>
      <c r="E19" s="3"/>
      <c r="F19" s="3"/>
      <c r="G19" s="3"/>
      <c r="H19" s="3"/>
      <c r="I19" s="3" t="s">
        <v>223</v>
      </c>
      <c r="J19" s="262">
        <v>1330</v>
      </c>
      <c r="K19" s="3"/>
    </row>
    <row r="20" spans="1:15" x14ac:dyDescent="0.2">
      <c r="A20" s="3"/>
      <c r="B20" s="181" t="s">
        <v>183</v>
      </c>
      <c r="C20" s="3"/>
      <c r="D20" s="3"/>
      <c r="E20" s="3"/>
      <c r="F20" s="3"/>
      <c r="G20" s="3"/>
      <c r="H20" s="3"/>
      <c r="I20" s="3"/>
      <c r="J20" s="3"/>
      <c r="K20" s="3"/>
    </row>
    <row r="21" spans="1:15" x14ac:dyDescent="0.2">
      <c r="A21" s="3"/>
      <c r="B21" s="3"/>
      <c r="C21" s="3"/>
      <c r="D21" s="3"/>
      <c r="E21" s="3"/>
      <c r="F21" s="3"/>
      <c r="G21" s="3"/>
      <c r="H21" s="3"/>
      <c r="I21" s="3"/>
      <c r="J21" s="3"/>
      <c r="K21" s="3"/>
    </row>
    <row r="22" spans="1:15" ht="64" x14ac:dyDescent="0.2">
      <c r="A22" s="3"/>
      <c r="B22" s="182" t="s">
        <v>184</v>
      </c>
      <c r="C22" s="183" t="s">
        <v>185</v>
      </c>
      <c r="D22" s="183" t="s">
        <v>186</v>
      </c>
      <c r="E22" s="183" t="s">
        <v>187</v>
      </c>
      <c r="F22" s="183" t="s">
        <v>188</v>
      </c>
      <c r="G22" s="183" t="s">
        <v>189</v>
      </c>
      <c r="H22" s="184" t="s">
        <v>190</v>
      </c>
      <c r="I22" s="185" t="s">
        <v>191</v>
      </c>
      <c r="J22" s="186" t="s">
        <v>222</v>
      </c>
      <c r="K22" s="3"/>
      <c r="L22" s="198"/>
      <c r="M22" s="198"/>
      <c r="N22" s="198"/>
      <c r="O22" s="197"/>
    </row>
    <row r="23" spans="1:15" x14ac:dyDescent="0.2">
      <c r="A23" s="3"/>
      <c r="B23" s="187" t="s">
        <v>192</v>
      </c>
      <c r="C23" s="262">
        <f>C32/$C$36*$J$19</f>
        <v>187.05439640883978</v>
      </c>
      <c r="D23" s="268">
        <f t="shared" ref="D23:G24" si="0">D32*(C23/C32)</f>
        <v>3.1229281767955803</v>
      </c>
      <c r="E23" s="268">
        <f t="shared" si="0"/>
        <v>9.1850828729281769E-2</v>
      </c>
      <c r="F23" s="268">
        <f t="shared" si="0"/>
        <v>0.27555248618784528</v>
      </c>
      <c r="G23" s="268">
        <f t="shared" si="0"/>
        <v>2.7555248618784525</v>
      </c>
      <c r="H23" s="5">
        <v>61</v>
      </c>
      <c r="I23" s="270">
        <f>(E23+F23)*H23</f>
        <v>22.411602209944753</v>
      </c>
      <c r="J23" s="266">
        <f>G23*H23</f>
        <v>168.08701657458559</v>
      </c>
      <c r="K23" s="3"/>
      <c r="L23" s="197"/>
      <c r="M23" s="197"/>
      <c r="N23" s="197"/>
      <c r="O23" s="197"/>
    </row>
    <row r="24" spans="1:15" x14ac:dyDescent="0.2">
      <c r="A24" s="3"/>
      <c r="B24" s="188" t="s">
        <v>193</v>
      </c>
      <c r="C24" s="262">
        <f t="shared" ref="C24:C26" si="1">C33/$C$36*$J$19</f>
        <v>158.26265193370165</v>
      </c>
      <c r="D24" s="269">
        <f t="shared" si="0"/>
        <v>4.776243093922651</v>
      </c>
      <c r="E24" s="269">
        <f t="shared" si="0"/>
        <v>0.45925414364640876</v>
      </c>
      <c r="F24" s="269">
        <f t="shared" si="0"/>
        <v>0.45925414364640876</v>
      </c>
      <c r="G24" s="269">
        <f t="shared" si="0"/>
        <v>3.8577348066298338</v>
      </c>
      <c r="H24" s="2">
        <v>39</v>
      </c>
      <c r="I24" s="271">
        <f>(E24+F24)*H24</f>
        <v>35.821823204419886</v>
      </c>
      <c r="J24" s="267">
        <f t="shared" ref="J24:J26" si="2">G24*H24</f>
        <v>150.45165745856352</v>
      </c>
      <c r="K24" s="3"/>
      <c r="L24" s="197"/>
      <c r="M24" s="197"/>
      <c r="N24" s="197"/>
      <c r="O24" s="197"/>
    </row>
    <row r="25" spans="1:15" x14ac:dyDescent="0.2">
      <c r="A25" s="3"/>
      <c r="B25" s="188" t="s">
        <v>194</v>
      </c>
      <c r="C25" s="262">
        <f t="shared" si="1"/>
        <v>558.00554143646411</v>
      </c>
      <c r="D25" s="269">
        <f t="shared" ref="D25:E27" si="3">D34*(C25/C34)</f>
        <v>3.8577348066298343</v>
      </c>
      <c r="E25" s="269">
        <f t="shared" si="3"/>
        <v>0.27555248618784528</v>
      </c>
      <c r="F25" s="269">
        <f t="shared" ref="F25:G25" si="4">F34*(E25/E34)</f>
        <v>0.45925414364640876</v>
      </c>
      <c r="G25" s="269">
        <f t="shared" si="4"/>
        <v>3.1229281767955799</v>
      </c>
      <c r="H25" s="2">
        <v>31</v>
      </c>
      <c r="I25" s="271">
        <f>(E25+F25)*H25</f>
        <v>22.779005524861876</v>
      </c>
      <c r="J25" s="267">
        <f t="shared" si="2"/>
        <v>96.810773480662974</v>
      </c>
      <c r="K25" s="3"/>
      <c r="L25" s="197"/>
      <c r="M25" s="197"/>
      <c r="N25" s="197"/>
      <c r="O25" s="197"/>
    </row>
    <row r="26" spans="1:15" x14ac:dyDescent="0.2">
      <c r="A26" s="3"/>
      <c r="B26" s="188" t="s">
        <v>195</v>
      </c>
      <c r="C26" s="262">
        <f t="shared" si="1"/>
        <v>426.67741022099449</v>
      </c>
      <c r="D26" s="269">
        <f t="shared" si="3"/>
        <v>2.5718232044198897</v>
      </c>
      <c r="E26" s="269">
        <f t="shared" si="3"/>
        <v>9.1850828729281769E-2</v>
      </c>
      <c r="F26" s="269">
        <f t="shared" ref="F26:G26" si="5">F35*(E26/E35)</f>
        <v>0.91850828729281764</v>
      </c>
      <c r="G26" s="269">
        <f t="shared" si="5"/>
        <v>1.5614640883977902</v>
      </c>
      <c r="H26" s="2">
        <v>16</v>
      </c>
      <c r="I26" s="271">
        <f>(E26+F26)*H26</f>
        <v>16.165745856353592</v>
      </c>
      <c r="J26" s="267">
        <f t="shared" si="2"/>
        <v>24.983425414364643</v>
      </c>
      <c r="K26" s="3"/>
      <c r="L26" s="197"/>
      <c r="M26" s="197"/>
      <c r="N26" s="197"/>
      <c r="O26" s="197"/>
    </row>
    <row r="27" spans="1:15" x14ac:dyDescent="0.2">
      <c r="A27" s="3"/>
      <c r="B27" s="190" t="s">
        <v>196</v>
      </c>
      <c r="C27" s="195">
        <f t="shared" ref="C27" si="6">C36*($J$19/$C$36)</f>
        <v>1330</v>
      </c>
      <c r="D27" s="273">
        <f t="shared" si="3"/>
        <v>14.328729281767956</v>
      </c>
      <c r="E27" s="273">
        <f t="shared" si="3"/>
        <v>0.91850828729281764</v>
      </c>
      <c r="F27" s="273">
        <f t="shared" ref="F27:G27" si="7">F36*(E27/E36)</f>
        <v>2.1125690607734806</v>
      </c>
      <c r="G27" s="273">
        <f t="shared" si="7"/>
        <v>11.297651933701658</v>
      </c>
      <c r="H27" s="26">
        <v>38</v>
      </c>
      <c r="I27" s="272"/>
      <c r="J27" s="263"/>
      <c r="K27" s="3"/>
      <c r="L27" s="197"/>
      <c r="M27" s="197"/>
      <c r="N27" s="197"/>
      <c r="O27" s="197"/>
    </row>
    <row r="28" spans="1:15" x14ac:dyDescent="0.2">
      <c r="A28" s="3"/>
      <c r="B28" s="3"/>
      <c r="C28" s="3"/>
      <c r="D28" s="3"/>
      <c r="E28" s="3"/>
      <c r="F28" s="3"/>
      <c r="G28" s="3"/>
      <c r="H28" s="192" t="s">
        <v>197</v>
      </c>
      <c r="I28" s="274">
        <f>SUM(I23:I27)</f>
        <v>97.178176795580114</v>
      </c>
      <c r="J28" s="275">
        <f>SUM(J23:J26)</f>
        <v>440.33287292817676</v>
      </c>
      <c r="K28" s="3"/>
      <c r="L28" s="197"/>
      <c r="M28" s="197"/>
      <c r="N28" s="197"/>
      <c r="O28" s="197"/>
    </row>
    <row r="29" spans="1:15" x14ac:dyDescent="0.2">
      <c r="A29" s="3"/>
      <c r="B29" s="3"/>
      <c r="C29" s="3"/>
      <c r="D29" s="3"/>
      <c r="E29" s="3"/>
      <c r="F29" s="3"/>
      <c r="G29" s="3"/>
      <c r="H29" s="3"/>
      <c r="I29" s="3"/>
      <c r="J29" s="3"/>
      <c r="K29" s="3"/>
      <c r="L29" s="197"/>
      <c r="M29" s="197"/>
      <c r="N29" s="197"/>
      <c r="O29" s="197"/>
    </row>
    <row r="30" spans="1:15" x14ac:dyDescent="0.2">
      <c r="A30" s="3"/>
      <c r="B30" s="3"/>
      <c r="C30" s="3"/>
      <c r="D30" s="3"/>
      <c r="E30" s="3"/>
      <c r="F30" s="3"/>
      <c r="G30" s="3"/>
      <c r="H30" s="3"/>
      <c r="I30" s="3"/>
      <c r="J30" s="3"/>
      <c r="K30" s="3"/>
      <c r="L30" s="197"/>
      <c r="M30" s="197"/>
      <c r="N30" s="197"/>
      <c r="O30" s="197"/>
    </row>
    <row r="31" spans="1:15" ht="64" x14ac:dyDescent="0.2">
      <c r="B31" s="182" t="s">
        <v>184</v>
      </c>
      <c r="C31" s="183" t="s">
        <v>185</v>
      </c>
      <c r="D31" s="183" t="s">
        <v>186</v>
      </c>
      <c r="E31" s="183" t="s">
        <v>187</v>
      </c>
      <c r="F31" s="183" t="s">
        <v>188</v>
      </c>
      <c r="G31" s="183" t="s">
        <v>189</v>
      </c>
      <c r="H31" s="184" t="s">
        <v>190</v>
      </c>
      <c r="I31" s="185" t="s">
        <v>191</v>
      </c>
      <c r="J31" s="186" t="s">
        <v>222</v>
      </c>
      <c r="L31" s="197"/>
      <c r="M31" s="197"/>
      <c r="N31" s="197"/>
      <c r="O31" s="197"/>
    </row>
    <row r="32" spans="1:15" x14ac:dyDescent="0.2">
      <c r="B32" s="187" t="s">
        <v>192</v>
      </c>
      <c r="C32" s="5">
        <v>1018251</v>
      </c>
      <c r="D32" s="5">
        <v>17000</v>
      </c>
      <c r="E32" s="5">
        <v>500</v>
      </c>
      <c r="F32" s="5">
        <v>1500</v>
      </c>
      <c r="G32" s="5">
        <v>15000</v>
      </c>
      <c r="H32" s="5">
        <v>61</v>
      </c>
      <c r="I32" s="5">
        <f>(E32+F32)*H32</f>
        <v>122000</v>
      </c>
      <c r="J32" s="6">
        <f>G32*H32</f>
        <v>915000</v>
      </c>
      <c r="L32" s="197"/>
      <c r="M32" s="197"/>
      <c r="N32" s="197"/>
      <c r="O32" s="197"/>
    </row>
    <row r="33" spans="2:15" x14ac:dyDescent="0.2">
      <c r="B33" s="188" t="s">
        <v>193</v>
      </c>
      <c r="C33" s="2">
        <v>861520</v>
      </c>
      <c r="D33" s="2">
        <v>26000</v>
      </c>
      <c r="E33" s="2">
        <v>2500</v>
      </c>
      <c r="F33" s="2">
        <v>2500</v>
      </c>
      <c r="G33" s="2">
        <v>21000</v>
      </c>
      <c r="H33" s="2">
        <v>39</v>
      </c>
      <c r="I33" s="2">
        <f>(E33+F33)*H33</f>
        <v>195000</v>
      </c>
      <c r="J33" s="189">
        <f t="shared" ref="J33:J35" si="8">G33*H33</f>
        <v>819000</v>
      </c>
      <c r="L33" s="197"/>
      <c r="M33" s="197"/>
      <c r="N33" s="197"/>
      <c r="O33" s="197"/>
    </row>
    <row r="34" spans="2:15" x14ac:dyDescent="0.2">
      <c r="B34" s="188" t="s">
        <v>194</v>
      </c>
      <c r="C34" s="2">
        <v>3037564</v>
      </c>
      <c r="D34" s="2">
        <v>21000</v>
      </c>
      <c r="E34" s="2">
        <v>1500</v>
      </c>
      <c r="F34" s="2">
        <v>2500</v>
      </c>
      <c r="G34" s="2">
        <v>17000</v>
      </c>
      <c r="H34" s="2">
        <v>31</v>
      </c>
      <c r="I34" s="2">
        <f>(E34+F34)*H34</f>
        <v>124000</v>
      </c>
      <c r="J34" s="189">
        <f t="shared" si="8"/>
        <v>527000</v>
      </c>
      <c r="L34" s="197"/>
      <c r="M34" s="197"/>
      <c r="N34" s="197"/>
      <c r="O34" s="197"/>
    </row>
    <row r="35" spans="2:15" x14ac:dyDescent="0.2">
      <c r="B35" s="188" t="s">
        <v>195</v>
      </c>
      <c r="C35" s="2">
        <v>2322665</v>
      </c>
      <c r="D35" s="2">
        <v>14000</v>
      </c>
      <c r="E35" s="2">
        <v>500</v>
      </c>
      <c r="F35" s="2">
        <v>5000</v>
      </c>
      <c r="G35" s="2">
        <v>8500</v>
      </c>
      <c r="H35" s="2">
        <v>16</v>
      </c>
      <c r="I35" s="2">
        <f>(E35+F35)*H35</f>
        <v>88000</v>
      </c>
      <c r="J35" s="189">
        <f t="shared" si="8"/>
        <v>136000</v>
      </c>
      <c r="L35" s="197"/>
      <c r="M35" s="197"/>
      <c r="N35" s="197"/>
      <c r="O35" s="197"/>
    </row>
    <row r="36" spans="2:15" x14ac:dyDescent="0.2">
      <c r="B36" s="190" t="s">
        <v>196</v>
      </c>
      <c r="C36" s="26">
        <v>7240000</v>
      </c>
      <c r="D36" s="26">
        <v>78000</v>
      </c>
      <c r="E36" s="26">
        <v>5000</v>
      </c>
      <c r="F36" s="26">
        <v>11500</v>
      </c>
      <c r="G36" s="26">
        <v>61500</v>
      </c>
      <c r="H36" s="26">
        <v>38</v>
      </c>
      <c r="I36" s="26"/>
      <c r="J36" s="191"/>
      <c r="L36" s="197"/>
      <c r="M36" s="197"/>
      <c r="N36" s="197"/>
      <c r="O36" s="197"/>
    </row>
    <row r="37" spans="2:15" x14ac:dyDescent="0.2">
      <c r="B37" s="3"/>
      <c r="C37" s="3"/>
      <c r="D37" s="3"/>
      <c r="E37" s="3"/>
      <c r="F37" s="3"/>
      <c r="G37" s="3"/>
      <c r="H37" s="192" t="s">
        <v>197</v>
      </c>
      <c r="I37" s="193">
        <f>SUM(I32:I35)</f>
        <v>529000</v>
      </c>
      <c r="J37" s="194">
        <f>SUM(J32:J35)</f>
        <v>2397000</v>
      </c>
      <c r="L37" s="197"/>
      <c r="M37" s="197"/>
      <c r="N37" s="197"/>
      <c r="O37" s="197"/>
    </row>
  </sheetData>
  <pageMargins left="0.75" right="0.75" top="1" bottom="1" header="0.5" footer="0.5"/>
  <pageSetup paperSize="9" orientation="portrait" horizontalDpi="4294967292" verticalDpi="429496729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workbookViewId="0">
      <selection activeCell="B6" sqref="B6"/>
    </sheetView>
  </sheetViews>
  <sheetFormatPr baseColWidth="10" defaultRowHeight="16" x14ac:dyDescent="0.2"/>
  <cols>
    <col min="1" max="1" width="3.5" customWidth="1"/>
  </cols>
  <sheetData>
    <row r="2" spans="2:4" x14ac:dyDescent="0.2">
      <c r="B2" t="s">
        <v>157</v>
      </c>
      <c r="C2" t="s">
        <v>198</v>
      </c>
    </row>
    <row r="3" spans="2:4" x14ac:dyDescent="0.2">
      <c r="B3" t="s">
        <v>158</v>
      </c>
      <c r="C3" t="s">
        <v>199</v>
      </c>
    </row>
    <row r="5" spans="2:4" x14ac:dyDescent="0.2">
      <c r="B5" t="s">
        <v>200</v>
      </c>
    </row>
    <row r="6" spans="2:4" x14ac:dyDescent="0.2">
      <c r="B6">
        <f>1909*(Heatpumps!$J$19/Heatpumps!$C$36)</f>
        <v>0.35068646408839782</v>
      </c>
      <c r="C6" t="s">
        <v>201</v>
      </c>
      <c r="D6" t="s">
        <v>202</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Changelog</vt:lpstr>
      <vt:lpstr>Sources and assumptions</vt:lpstr>
      <vt:lpstr>Final demand per energy carrier</vt:lpstr>
      <vt:lpstr>Houses Shares</vt:lpstr>
      <vt:lpstr>Electricity</vt:lpstr>
      <vt:lpstr>Cooking</vt:lpstr>
      <vt:lpstr>Heatpumps</vt:lpstr>
      <vt:lpstr>Cooling</vt:lpstr>
    </vt:vector>
  </TitlesOfParts>
  <Company>Quintel Intelligence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Joris Berkhout</dc:creator>
  <cp:lastModifiedBy>Microsoft Office User</cp:lastModifiedBy>
  <dcterms:created xsi:type="dcterms:W3CDTF">2015-12-01T15:18:13Z</dcterms:created>
  <dcterms:modified xsi:type="dcterms:W3CDTF">2017-02-28T16:43:30Z</dcterms:modified>
</cp:coreProperties>
</file>