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815"/>
  <workbookPr showInkAnnotation="0" autoCompressPictures="0"/>
  <mc:AlternateContent xmlns:mc="http://schemas.openxmlformats.org/markup-compatibility/2006">
    <mc:Choice Requires="x15">
      <x15ac:absPath xmlns:x15ac="http://schemas.microsoft.com/office/spreadsheetml/2010/11/ac" url="/Users/berend/Dropbox (Quintel)/Quintel/Projects/201701_Provincie Drenthe/Data/"/>
    </mc:Choice>
  </mc:AlternateContent>
  <bookViews>
    <workbookView xWindow="28820" yWindow="460" windowWidth="34040" windowHeight="22240" tabRatio="710" activeTab="3"/>
  </bookViews>
  <sheets>
    <sheet name="Cover sheet" sheetId="4" r:id="rId1"/>
    <sheet name="Changelog" sheetId="5" r:id="rId2"/>
    <sheet name="Sources and assumptions" sheetId="2" r:id="rId3"/>
    <sheet name="Final demand per energy carrier" sheetId="1" r:id="rId4"/>
    <sheet name="Electricity" sheetId="7" r:id="rId5"/>
    <sheet name="Cooking" sheetId="6" r:id="rId6"/>
    <sheet name="Heatpumps" sheetId="8" r:id="rId7"/>
    <sheet name="Cooling" sheetId="9" r:id="rId8"/>
  </sheets>
  <externalReferences>
    <externalReference r:id="rId9"/>
    <externalReference r:id="rId10"/>
  </externalReferences>
  <definedNames>
    <definedName name="ap_subfuel_allo">'[1]CEB allocation factors'!$F$12:$BC$12</definedName>
    <definedName name="base_year">[1]Dashboard!$E$13</definedName>
    <definedName name="country">[1]Dashboard!$E$12</definedName>
    <definedName name="Eff_cooking_biomass">[2]technical_specs!$M$50</definedName>
    <definedName name="Eff_cooking_electric">[2]technical_specs!$M$47</definedName>
    <definedName name="Eff_cooking_gas">[2]technical_specs!$M$46</definedName>
    <definedName name="Eff_cooking_halogen">[2]technical_specs!$M$48</definedName>
    <definedName name="Eff_cooking_induction">[2]technical_specs!$M$49</definedName>
    <definedName name="Eff_cooling_airco">[2]technical_specs!$M$43</definedName>
    <definedName name="Eff_cooling_pump_air">[2]technical_specs!$M$42</definedName>
    <definedName name="Eff_cooling_pump_ground">[2]technical_specs!$M$41</definedName>
    <definedName name="Eff_hot_water_coal">[2]technical_specs!$M$36</definedName>
    <definedName name="Eff_hot_water_combi_boiler">[2]technical_specs!$M$26</definedName>
    <definedName name="Eff_hot_water_district">[2]technical_specs!$M$30</definedName>
    <definedName name="Eff_hot_water_electric">[2]technical_specs!$M$33</definedName>
    <definedName name="Eff_hot_water_fuel_cell">[2]technical_specs!$M$37</definedName>
    <definedName name="Eff_hot_water_gas">[2]technical_specs!$M$34</definedName>
    <definedName name="Eff_hot_water_micro_CHP">[2]technical_specs!$M$29</definedName>
    <definedName name="Eff_hot_water_oil">[2]technical_specs!$M$35</definedName>
    <definedName name="Eff_hot_water_pump_air">[2]technical_specs!$M$31</definedName>
    <definedName name="Eff_hot_water_pump_ground">[2]technical_specs!$M$28</definedName>
    <definedName name="Eff_hot_water_solar_thermal_panel">[2]technical_specs!$M$27</definedName>
    <definedName name="Eff_hot_water_woodpellets">[2]technical_specs!$M$32</definedName>
    <definedName name="Eff_lighting_fluorescent">[2]technical_specs!$M$54</definedName>
    <definedName name="Eff_lighting_incandescent">[2]technical_specs!$M$53</definedName>
    <definedName name="Eff_lighting_led">[2]technical_specs!$M$55</definedName>
    <definedName name="Eff_space_heating_coal">[2]technical_specs!$M$21</definedName>
    <definedName name="Eff_space_heating_combi_boiler">[2]technical_specs!$M$11</definedName>
    <definedName name="Eff_space_heating_district">[2]technical_specs!$M$15</definedName>
    <definedName name="Eff_space_heating_electric">[2]technical_specs!$M$18</definedName>
    <definedName name="Eff_space_heating_gas">[2]technical_specs!$M$19</definedName>
    <definedName name="Eff_space_heating_micro_CHP">[2]technical_specs!$M$14</definedName>
    <definedName name="Eff_space_heating_oil">[2]technical_specs!$M$20</definedName>
    <definedName name="Eff_space_heating_pump_add_on">[2]technical_specs!$M$22</definedName>
    <definedName name="Eff_space_heating_pump_air">[2]technical_specs!$M$16</definedName>
    <definedName name="Eff_space_heating_pump_ground">[2]technical_specs!$M$13</definedName>
    <definedName name="Eff_space_heating_solar_thermal">[2]technical_specs!$M$12</definedName>
    <definedName name="Eff_space_heating_woodpellets">[2]technical_specs!$M$17</definedName>
    <definedName name="ei_subsector_allo">'[1]CEB allocation factors'!$D$17:$D$33</definedName>
    <definedName name="Final_demand_appliances">[2]Dashboard!$E$25</definedName>
    <definedName name="Final_demand_coal">'[2]Fuel aggregation'!$C$11</definedName>
    <definedName name="Final_demand_cooking">[2]Dashboard!$E$24</definedName>
    <definedName name="Final_demand_cooling">[2]Dashboard!$E$22</definedName>
    <definedName name="Final_demand_electricity">'[2]Fuel aggregation'!$I$11</definedName>
    <definedName name="Final_demand_gas">'[2]Fuel aggregation'!$D$11</definedName>
    <definedName name="Final_demand_heat">'[2]Fuel aggregation'!$J$11</definedName>
    <definedName name="Final_demand_hot_water">[2]Dashboard!$E$21</definedName>
    <definedName name="Final_demand_lighting">[2]Dashboard!$E$23</definedName>
    <definedName name="Final_demand_oil">'[2]Fuel aggregation'!$E$11</definedName>
    <definedName name="Final_demand_residences">'[2]Fuel aggregation'!$L$11</definedName>
    <definedName name="Final_demand_solar_thermal">'[2]Fuel aggregation'!$G$11</definedName>
    <definedName name="Final_demand_space_heating">[2]Dashboard!$E$20</definedName>
    <definedName name="Final_demand_woodpellets">'[2]Fuel aggregation'!$F$11</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6" i="1" l="1"/>
  <c r="L16" i="1"/>
  <c r="E23" i="8"/>
  <c r="F23" i="8"/>
  <c r="I23" i="8"/>
  <c r="E24" i="8"/>
  <c r="F24" i="8"/>
  <c r="I24" i="8"/>
  <c r="E25" i="8"/>
  <c r="F25" i="8"/>
  <c r="I25" i="8"/>
  <c r="E26" i="8"/>
  <c r="F26" i="8"/>
  <c r="I26" i="8"/>
  <c r="I28" i="8"/>
  <c r="F17" i="1"/>
  <c r="L17" i="1"/>
  <c r="L18" i="1"/>
  <c r="K19" i="1"/>
  <c r="L19" i="1"/>
  <c r="G23" i="8"/>
  <c r="J23" i="8"/>
  <c r="G24" i="8"/>
  <c r="J24" i="8"/>
  <c r="G25" i="8"/>
  <c r="J25" i="8"/>
  <c r="G26" i="8"/>
  <c r="J26" i="8"/>
  <c r="J28" i="8"/>
  <c r="F20" i="1"/>
  <c r="L20" i="1"/>
  <c r="J21" i="1"/>
  <c r="L21" i="1"/>
  <c r="C38" i="7"/>
  <c r="D38" i="7"/>
  <c r="C2" i="7"/>
  <c r="E38" i="7"/>
  <c r="F22" i="1"/>
  <c r="L22" i="1"/>
  <c r="E23" i="1"/>
  <c r="L23" i="1"/>
  <c r="I24" i="1"/>
  <c r="L24" i="1"/>
  <c r="H25" i="1"/>
  <c r="L25" i="1"/>
  <c r="L26" i="1"/>
  <c r="E20" i="6"/>
  <c r="E21" i="6"/>
  <c r="E22" i="6"/>
  <c r="F20" i="6"/>
  <c r="C41" i="7"/>
  <c r="D41" i="7"/>
  <c r="E41" i="7"/>
  <c r="G20" i="6"/>
  <c r="H20" i="6"/>
  <c r="F52" i="1"/>
  <c r="N52" i="1"/>
  <c r="F21" i="6"/>
  <c r="H21" i="6"/>
  <c r="F53" i="1"/>
  <c r="N53" i="1"/>
  <c r="F22" i="6"/>
  <c r="H22" i="6"/>
  <c r="F54" i="1"/>
  <c r="N54" i="1"/>
  <c r="N51" i="1"/>
  <c r="E51" i="1"/>
  <c r="E13" i="1"/>
  <c r="E38" i="1"/>
  <c r="E15" i="1"/>
  <c r="E30" i="1"/>
  <c r="L30" i="1"/>
  <c r="G31" i="1"/>
  <c r="L31" i="1"/>
  <c r="F32" i="1"/>
  <c r="L32" i="1"/>
  <c r="L33" i="1"/>
  <c r="K34" i="1"/>
  <c r="L34" i="1"/>
  <c r="F35" i="1"/>
  <c r="L35" i="1"/>
  <c r="L36" i="1"/>
  <c r="C39" i="7"/>
  <c r="D39" i="7"/>
  <c r="E39" i="7"/>
  <c r="F37" i="1"/>
  <c r="L37" i="1"/>
  <c r="L38" i="1"/>
  <c r="L39" i="1"/>
  <c r="L40" i="1"/>
  <c r="L41" i="1"/>
  <c r="B6" i="9"/>
  <c r="F45" i="1"/>
  <c r="L45" i="1"/>
  <c r="L46" i="1"/>
  <c r="C42" i="7"/>
  <c r="D42" i="7"/>
  <c r="E42" i="7"/>
  <c r="F47" i="1"/>
  <c r="L47" i="1"/>
  <c r="L48" i="1"/>
  <c r="L49" i="1"/>
  <c r="L50" i="1"/>
  <c r="L51" i="1"/>
  <c r="L52" i="1"/>
  <c r="L53" i="1"/>
  <c r="L54" i="1"/>
  <c r="L55" i="1"/>
  <c r="C40" i="7"/>
  <c r="D40" i="7"/>
  <c r="E40" i="7"/>
  <c r="B60" i="1"/>
  <c r="N59" i="1"/>
  <c r="N60" i="1"/>
  <c r="N61" i="1"/>
  <c r="F59" i="1"/>
  <c r="L59" i="1"/>
  <c r="F60" i="1"/>
  <c r="L60" i="1"/>
  <c r="F61" i="1"/>
  <c r="L61" i="1"/>
  <c r="C29" i="7"/>
  <c r="D29" i="7"/>
  <c r="E29" i="7"/>
  <c r="F65" i="1"/>
  <c r="L65" i="1"/>
  <c r="C30" i="7"/>
  <c r="D30" i="7"/>
  <c r="E30" i="7"/>
  <c r="F66" i="1"/>
  <c r="L66" i="1"/>
  <c r="C31" i="7"/>
  <c r="D31" i="7"/>
  <c r="E31" i="7"/>
  <c r="F67" i="1"/>
  <c r="L67" i="1"/>
  <c r="C32" i="7"/>
  <c r="D32" i="7"/>
  <c r="E32" i="7"/>
  <c r="F68" i="1"/>
  <c r="L68" i="1"/>
  <c r="C33" i="7"/>
  <c r="D33" i="7"/>
  <c r="E33" i="7"/>
  <c r="F69" i="1"/>
  <c r="L69" i="1"/>
  <c r="C34" i="7"/>
  <c r="D34" i="7"/>
  <c r="E34" i="7"/>
  <c r="F70" i="1"/>
  <c r="L70" i="1"/>
  <c r="C35" i="7"/>
  <c r="D35" i="7"/>
  <c r="E35" i="7"/>
  <c r="F71" i="1"/>
  <c r="L71" i="1"/>
  <c r="C36" i="7"/>
  <c r="D36" i="7"/>
  <c r="E36" i="7"/>
  <c r="F72" i="1"/>
  <c r="L72" i="1"/>
  <c r="L15" i="1"/>
  <c r="G27" i="8"/>
  <c r="F27" i="8"/>
  <c r="E27" i="8"/>
  <c r="D27" i="8"/>
  <c r="D26" i="8"/>
  <c r="D25" i="8"/>
  <c r="D24" i="8"/>
  <c r="D23" i="8"/>
  <c r="C23" i="8"/>
  <c r="C24" i="8"/>
  <c r="C25" i="8"/>
  <c r="C26" i="8"/>
  <c r="C27" i="8"/>
  <c r="J32" i="8"/>
  <c r="J33" i="8"/>
  <c r="J34" i="8"/>
  <c r="J35" i="8"/>
  <c r="J37" i="8"/>
  <c r="I32" i="8"/>
  <c r="I33" i="8"/>
  <c r="I34" i="8"/>
  <c r="I35" i="8"/>
  <c r="I37" i="8"/>
  <c r="B66" i="1"/>
  <c r="B52" i="1"/>
  <c r="B46" i="1"/>
  <c r="C5" i="4"/>
  <c r="N55" i="1"/>
  <c r="O52" i="1"/>
  <c r="O53" i="1"/>
  <c r="O54" i="1"/>
  <c r="O55" i="1"/>
  <c r="O51" i="1"/>
  <c r="N46" i="1"/>
  <c r="N45" i="1"/>
  <c r="N47" i="1"/>
  <c r="O46" i="1"/>
  <c r="O47" i="1"/>
  <c r="O45" i="1"/>
  <c r="N31" i="1"/>
  <c r="N32" i="1"/>
  <c r="N33" i="1"/>
  <c r="N34" i="1"/>
  <c r="N35" i="1"/>
  <c r="N36" i="1"/>
  <c r="N37" i="1"/>
  <c r="N39" i="1"/>
  <c r="N40" i="1"/>
  <c r="N41" i="1"/>
  <c r="N26" i="1"/>
  <c r="N16" i="1"/>
  <c r="N17" i="1"/>
  <c r="N18" i="1"/>
  <c r="N19" i="1"/>
  <c r="N20" i="1"/>
  <c r="N21" i="1"/>
  <c r="N22" i="1"/>
  <c r="N24" i="1"/>
  <c r="N25" i="1"/>
  <c r="D46" i="1"/>
  <c r="D47" i="1"/>
  <c r="D45" i="1"/>
  <c r="D60" i="1"/>
  <c r="D61" i="1"/>
  <c r="D59" i="1"/>
  <c r="D66" i="1"/>
  <c r="D67" i="1"/>
  <c r="D68" i="1"/>
  <c r="D69" i="1"/>
  <c r="D70" i="1"/>
  <c r="D71" i="1"/>
  <c r="D72" i="1"/>
  <c r="D65" i="1"/>
  <c r="K76" i="1"/>
  <c r="K77" i="1"/>
  <c r="K78" i="1"/>
  <c r="J76" i="1"/>
  <c r="J77" i="1"/>
  <c r="J78" i="1"/>
  <c r="I76" i="1"/>
  <c r="I77" i="1"/>
  <c r="I78" i="1"/>
  <c r="H76" i="1"/>
  <c r="H77" i="1"/>
  <c r="H78" i="1"/>
  <c r="G76" i="1"/>
  <c r="G77" i="1"/>
  <c r="G78" i="1"/>
  <c r="D54" i="1"/>
  <c r="D53" i="1"/>
  <c r="D51" i="1"/>
  <c r="D55" i="1"/>
  <c r="D52" i="1"/>
  <c r="F76" i="1"/>
  <c r="F77" i="1"/>
  <c r="F78" i="1"/>
  <c r="N15" i="1"/>
  <c r="E76" i="1"/>
  <c r="E77" i="1"/>
  <c r="E78" i="1"/>
  <c r="D15" i="1"/>
  <c r="D16" i="1"/>
  <c r="D17" i="1"/>
  <c r="D18" i="1"/>
  <c r="D19" i="1"/>
  <c r="D20" i="1"/>
  <c r="D21" i="1"/>
  <c r="D22" i="1"/>
  <c r="D23" i="1"/>
  <c r="D24" i="1"/>
  <c r="D25" i="1"/>
  <c r="D26" i="1"/>
  <c r="D30" i="1"/>
  <c r="D31" i="1"/>
  <c r="D32" i="1"/>
  <c r="D33" i="1"/>
  <c r="D34" i="1"/>
  <c r="D35" i="1"/>
  <c r="D36" i="1"/>
  <c r="D37" i="1"/>
  <c r="D38" i="1"/>
  <c r="D39" i="1"/>
  <c r="D40" i="1"/>
  <c r="D41" i="1"/>
  <c r="N23" i="1"/>
  <c r="O15" i="1"/>
  <c r="O26" i="1"/>
  <c r="O25" i="1"/>
  <c r="O24" i="1"/>
  <c r="O23" i="1"/>
  <c r="O22" i="1"/>
  <c r="O21" i="1"/>
  <c r="O20" i="1"/>
  <c r="O19" i="1"/>
  <c r="O18" i="1"/>
  <c r="O17" i="1"/>
  <c r="O16" i="1"/>
  <c r="N30" i="1"/>
  <c r="N38" i="1"/>
  <c r="O30" i="1"/>
  <c r="O41" i="1"/>
  <c r="O40" i="1"/>
  <c r="O39" i="1"/>
  <c r="O38" i="1"/>
  <c r="O37" i="1"/>
  <c r="O36" i="1"/>
  <c r="O35" i="1"/>
  <c r="O34" i="1"/>
  <c r="O33" i="1"/>
  <c r="O32" i="1"/>
  <c r="O31" i="1"/>
  <c r="B16" i="1"/>
  <c r="B31" i="1"/>
</calcChain>
</file>

<file path=xl/comments1.xml><?xml version="1.0" encoding="utf-8"?>
<comments xmlns="http://schemas.openxmlformats.org/spreadsheetml/2006/main">
  <authors>
    <author>Microsoft Office User</author>
  </authors>
  <commentList>
    <comment ref="E51" authorId="0">
      <text>
        <r>
          <rPr>
            <b/>
            <sz val="10"/>
            <color indexed="81"/>
            <rFont val="Calibri"/>
          </rPr>
          <t>We gaan uit van de nationale verhoudingen voor  energieverbuik bij koken</t>
        </r>
      </text>
    </comment>
  </commentList>
</comments>
</file>

<file path=xl/sharedStrings.xml><?xml version="1.0" encoding="utf-8"?>
<sst xmlns="http://schemas.openxmlformats.org/spreadsheetml/2006/main" count="249" uniqueCount="204">
  <si>
    <t>Final demand per energy carrier</t>
  </si>
  <si>
    <t>Notes</t>
  </si>
  <si>
    <t>Application</t>
  </si>
  <si>
    <t>Technology used</t>
  </si>
  <si>
    <t>Percentage of final demand</t>
  </si>
  <si>
    <t>Final demand for network gas (TJ)</t>
  </si>
  <si>
    <t>Final demand for electricity (TJ)</t>
  </si>
  <si>
    <t>Final demand for solar thermal (TJ)</t>
  </si>
  <si>
    <t>Final demand for coal (TJ)</t>
  </si>
  <si>
    <t>Final demand for oil (TJ)</t>
  </si>
  <si>
    <t>Final demand for woodpellets (TJ)</t>
  </si>
  <si>
    <t>Final demand for district heat (TJ)</t>
  </si>
  <si>
    <t>Total IEA value</t>
  </si>
  <si>
    <t>All</t>
  </si>
  <si>
    <t>Electrical Appliances</t>
  </si>
  <si>
    <t>Dishwashers</t>
  </si>
  <si>
    <t>Fridges / Freezers</t>
  </si>
  <si>
    <t>Washing Machines</t>
  </si>
  <si>
    <t>Dryers</t>
  </si>
  <si>
    <t>Television</t>
  </si>
  <si>
    <t>Computers / Media</t>
  </si>
  <si>
    <t>Vacuum Cleaners</t>
  </si>
  <si>
    <t>Others</t>
  </si>
  <si>
    <t>Subtotal of defined appliances</t>
  </si>
  <si>
    <t>Network gas</t>
  </si>
  <si>
    <t>Electricity</t>
  </si>
  <si>
    <t>Solar thermal</t>
  </si>
  <si>
    <t>Coal</t>
  </si>
  <si>
    <t>Oil</t>
  </si>
  <si>
    <t>Woodpellets</t>
  </si>
  <si>
    <t>District heat</t>
  </si>
  <si>
    <t>Subtotal (TJ)</t>
  </si>
  <si>
    <t>Diiference between Carrier demand in analysis and Carrier demand in IEA data (TJ)</t>
  </si>
  <si>
    <t>Relative error</t>
  </si>
  <si>
    <t>Space Heating</t>
  </si>
  <si>
    <t>Condensing Combi Boiler (space heating)</t>
  </si>
  <si>
    <t>Solar thermal panel (space heating)</t>
  </si>
  <si>
    <t>Electric Heat Pump (ground) (space heating)</t>
  </si>
  <si>
    <t>Micro CHP (gas-fired)) (space heating)</t>
  </si>
  <si>
    <t>District Heating (space heating)</t>
  </si>
  <si>
    <t>electricity-driven Heat pump (air) (space heating)</t>
  </si>
  <si>
    <t>woodpellets (biomass) heaters (space heating)</t>
  </si>
  <si>
    <t>Electric Heaters (resistance) (space heating)</t>
  </si>
  <si>
    <t>Gas-fired Heaters (space heating)</t>
  </si>
  <si>
    <t>Oil-fired Heaters (space heating)</t>
  </si>
  <si>
    <t>Coal-fired Heaters (space heating)</t>
  </si>
  <si>
    <t>electric heat pump add-on</t>
  </si>
  <si>
    <t>Hot Water</t>
  </si>
  <si>
    <t>Condensing Combi Boiler (hot water)</t>
  </si>
  <si>
    <t>Solar thermal panel (hot water)</t>
  </si>
  <si>
    <t>Electric Heat Pump (ground) (hot water)</t>
  </si>
  <si>
    <t>Micro CHP (gas-fired)) (hot water)</t>
  </si>
  <si>
    <t>District Heating (hot water)</t>
  </si>
  <si>
    <t>electricity-driven Heat pump (air) (hot water)</t>
  </si>
  <si>
    <t>woodpellets (biomass) heaters (hot water)</t>
  </si>
  <si>
    <t>Electric Heaters (resistance) (hot water)</t>
  </si>
  <si>
    <t>Gas-fired Heaters (hot water)</t>
  </si>
  <si>
    <t>Oil-fired Heaters (hot water)</t>
  </si>
  <si>
    <t>Coal-fired Heaters (hot water)</t>
  </si>
  <si>
    <t>Fuel Cell (hot water)</t>
  </si>
  <si>
    <t>Space Cooling</t>
  </si>
  <si>
    <t>Electric heat pump ground</t>
  </si>
  <si>
    <t>Electric heat pump air</t>
  </si>
  <si>
    <t>Conventional electric airconditioning</t>
  </si>
  <si>
    <t>Cooking</t>
  </si>
  <si>
    <t>Gas stoves</t>
  </si>
  <si>
    <t>Electric stoves (resistance)</t>
  </si>
  <si>
    <t>Electric halogen stoves</t>
  </si>
  <si>
    <t>Electric induction stoves</t>
  </si>
  <si>
    <t>Biomass stoves</t>
  </si>
  <si>
    <t>Lighting</t>
  </si>
  <si>
    <t>Incandescent lamps</t>
  </si>
  <si>
    <t>Low energy light bulbs / fluorescent lighting</t>
  </si>
  <si>
    <t>LED lamps</t>
  </si>
  <si>
    <t xml:space="preserve">Housingtype </t>
  </si>
  <si>
    <t xml:space="preserve">Buildingstock </t>
  </si>
  <si>
    <t xml:space="preserve">Total installed heat pumps </t>
  </si>
  <si>
    <t xml:space="preserve">Hybrids </t>
  </si>
  <si>
    <t xml:space="preserve">Electric air- water </t>
  </si>
  <si>
    <t xml:space="preserve">Electric water - water </t>
  </si>
  <si>
    <t xml:space="preserve">Final heat demand for space heating in GJ </t>
  </si>
  <si>
    <t xml:space="preserve">Free standing </t>
  </si>
  <si>
    <t xml:space="preserve">2^1 roof </t>
  </si>
  <si>
    <t xml:space="preserve">Terraced </t>
  </si>
  <si>
    <t xml:space="preserve">Multi family </t>
  </si>
  <si>
    <t xml:space="preserve">Total tm 2012 </t>
  </si>
  <si>
    <t>Effective efficiency (heating, cooling, cooking or lighting)</t>
  </si>
  <si>
    <t>Useful demand (TJ)</t>
  </si>
  <si>
    <t>Share of useful demand within application</t>
  </si>
  <si>
    <t>Cover sheet</t>
  </si>
  <si>
    <t>Document</t>
  </si>
  <si>
    <t>Version #</t>
  </si>
  <si>
    <t>Country</t>
  </si>
  <si>
    <t>nl</t>
  </si>
  <si>
    <t>Year data</t>
  </si>
  <si>
    <t>Date</t>
  </si>
  <si>
    <t>Author</t>
  </si>
  <si>
    <t>Organisation</t>
  </si>
  <si>
    <t>Quintel Intelligence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</si>
  <si>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</si>
  <si>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</si>
  <si>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</si>
  <si>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</si>
  <si>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</si>
  <si>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</si>
  <si>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</si>
  <si>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</si>
  <si>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</si>
  <si>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</si>
  <si>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</si>
  <si>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</si>
  <si>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</si>
  <si>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</si>
  <si>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</si>
  <si>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</si>
  <si>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Residences source analysis</t>
  </si>
  <si>
    <t>Dec 31, 2015</t>
  </si>
  <si>
    <t>Joris Berkhout</t>
  </si>
  <si>
    <t>Changelog</t>
  </si>
  <si>
    <t>Changes</t>
  </si>
  <si>
    <t>Version</t>
  </si>
  <si>
    <t>First iteration of this document</t>
  </si>
  <si>
    <t>This document sums up the efforts to improve the accuracy of the residences analysis. I derived the dashboard values for the residences analysis in a bottom-up approach by combining several sources. As not all required data was available, I had to make some assumptions. Both the used sources as well as the assumptions are stated on the 'Sources and assumptions' page.</t>
  </si>
  <si>
    <t>-</t>
  </si>
  <si>
    <t>I  combined the stated categories into the technologies used in the ETM</t>
  </si>
  <si>
    <t>Combined with the final electricity demand from the IEA energy balance, this allowed me to determine the final demand for the technologies</t>
  </si>
  <si>
    <t>Sources and assumptions</t>
  </si>
  <si>
    <t>I have assumed that 'ventilatie' is the same as cooling</t>
  </si>
  <si>
    <t>Cooling</t>
  </si>
  <si>
    <t>Hot water</t>
  </si>
  <si>
    <t>Space heating</t>
  </si>
  <si>
    <t>Dishwasher</t>
  </si>
  <si>
    <t>totaal</t>
  </si>
  <si>
    <t>verlichting</t>
  </si>
  <si>
    <t>overig</t>
  </si>
  <si>
    <t>pers. verz.</t>
  </si>
  <si>
    <t>vrije tijd</t>
  </si>
  <si>
    <t>keukenapp.</t>
  </si>
  <si>
    <t>kookapp.</t>
  </si>
  <si>
    <t>ventilatie</t>
  </si>
  <si>
    <t>warmwater</t>
  </si>
  <si>
    <t>verwarming</t>
  </si>
  <si>
    <t>ict</t>
  </si>
  <si>
    <t>audio/video</t>
  </si>
  <si>
    <t>televisie</t>
  </si>
  <si>
    <t>vriezer</t>
  </si>
  <si>
    <t>koelkast</t>
  </si>
  <si>
    <t>stof. + rest</t>
  </si>
  <si>
    <t>wasdroger</t>
  </si>
  <si>
    <t>wasmachine</t>
  </si>
  <si>
    <t>vaatwasser</t>
  </si>
  <si>
    <t>Enenrgietrends 2014</t>
  </si>
  <si>
    <t>Final electricity demand</t>
  </si>
  <si>
    <t>Technology</t>
  </si>
  <si>
    <t>I used the split of electricity consumption over the various technologies/applications from 'Energietrends 2014', page 9 (http://www.energie-nederland.nl/wp-content/uploads/2013/04/EnergieTrends2014.pdf)</t>
  </si>
  <si>
    <t>I split the final demand for the electric cooking technologies by using data from 'Correctie elektriciteitsverbruik koken (ECN)', table 1 (last colum)</t>
  </si>
  <si>
    <t>Share of total</t>
  </si>
  <si>
    <t>Share of final demand</t>
  </si>
  <si>
    <t>Relative final demand</t>
  </si>
  <si>
    <t>Final electricity demand for cooking (TJ)</t>
  </si>
  <si>
    <t>Final demand (TJ)</t>
  </si>
  <si>
    <t>Assumption</t>
  </si>
  <si>
    <t>Lacking better data, I have assumed that for 'solar thermal' and 'district heating' 80% of the final demand is used for space heating and 20% for hot water</t>
  </si>
  <si>
    <t>I have assumed that oil and coal can only be used for space heating and not for hot water</t>
  </si>
  <si>
    <t>I have assumed that wood pellets are not used for cooking in 2013</t>
  </si>
  <si>
    <t>Finally, I have assumed that the share of gas-fired heaters is almost identical to the share of wood pellet heater</t>
  </si>
  <si>
    <t>I have assumed that the share of gas-fired water heaters (boilers) is almost equal to the share of electric water heaters (boilers)</t>
  </si>
  <si>
    <t>Final result</t>
  </si>
  <si>
    <t>Finally, I used the efficiencies to translate the final demand in a useful demand, using the latter to determine the technology shares for each application</t>
  </si>
  <si>
    <t>Total</t>
  </si>
  <si>
    <t>Total final demand for space heating heat pumps (air) (GJ)</t>
  </si>
  <si>
    <t>I have put the hybrids in the heat pump (air) category</t>
  </si>
  <si>
    <t>I have data to determine the final demand for space heating for heat pumps, but none for final demand for hot water; I assumed the latter to be 25% of the former (80%-20% rule, see 1)</t>
  </si>
  <si>
    <t>Source:</t>
  </si>
  <si>
    <t>Hyperlink:</t>
  </si>
  <si>
    <t>http://refman.et-model.com/publications/2027</t>
  </si>
  <si>
    <t xml:space="preserve">The numbers from Energietrends 2014 need to be recast on the ETM categories. </t>
  </si>
  <si>
    <t>As these numbers do not add up to 100%, they have to be corrected.</t>
  </si>
  <si>
    <t>Original data</t>
  </si>
  <si>
    <t>Corrected data</t>
  </si>
  <si>
    <t>Category</t>
  </si>
  <si>
    <t xml:space="preserve">Energietrends 2014, page 9 (ECN, Energie-Nederland en Netbeheer Nederland) </t>
  </si>
  <si>
    <t>http://refman.et-model.com/publications/2028</t>
  </si>
  <si>
    <t>http://refman.et-model.com/publications/2029</t>
  </si>
  <si>
    <t>In this sheet an overview is presented of the allocation of energy carriers over the different technologies and applications. In the next three sheets, the final demands for all electrical technologies are calculated as well as the cooking, heat pump and cooling final demands.</t>
  </si>
  <si>
    <t>Improved documentation and traceability of numbers</t>
  </si>
  <si>
    <t>http://refman.et-model.com/publications/2030</t>
  </si>
  <si>
    <t>The numbers in red are used to the 'Final demand per energy carrier' sheet (use Trace Dependents to find their destination)</t>
  </si>
  <si>
    <t>Correctie elektriciteitsverbruik koken, tabel 1, page 4 (ECN, 2014)</t>
  </si>
  <si>
    <t>Technology efficiency</t>
  </si>
  <si>
    <t>IEA HPP Annex 42: Heat Pumps in Smart Grids,Task 1: Market Overview, The Netherlands, page 23 (Delta, 2014)</t>
  </si>
  <si>
    <t>Hernieuwbare Energie in Nederland 2014, page 57 (CBS)</t>
  </si>
  <si>
    <t>Onttrekking van koude in 2013</t>
  </si>
  <si>
    <t>TJ</t>
  </si>
  <si>
    <t>* The useful demand shares for lighting are based on expert data</t>
  </si>
  <si>
    <t>** These are the relative final demands</t>
  </si>
  <si>
    <t>The lighting technology splits determined in the NL/2012 dataset are re-used here as they were well-researched within the Energy Productivity project</t>
  </si>
  <si>
    <t>This is a summary of 6_residences_source_analysis.md; see that document for more details</t>
  </si>
  <si>
    <t>I have combined data from 'Hernieuwbare energie in Nederland 2014' (CBS) and 'IEA HPP Annex 42: Heat Pumps in Smart Grids, Task 1: Market Overview, The Netherlands' (Delta Energy &amp; Environment, 2014) to obtain the final demands for heat pumps</t>
  </si>
  <si>
    <t>Scaled on number of households</t>
  </si>
  <si>
    <t>Heating</t>
  </si>
  <si>
    <t>Scaled on number of households in Drenthe</t>
  </si>
  <si>
    <t># of households Drenthe</t>
  </si>
  <si>
    <t xml:space="preserve">Nationale verhoudingen: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</si>
</sst>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409]mmmm\ d\,\ yyyy;@"/>
  </numFmts>
  <fonts count="20" x14ac:knownFonts="1">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u/>
      <sz val="12"/>
      <name val="Calibri"/>
      <scheme val="minor"/>
    </font>
    <font>
      <sz val="12"/>
      <name val="Calibri"/>
      <scheme val="minor"/>
    </font>
    <font>
      <i/>
      <sz val="12"/>
      <color theme="1"/>
      <name val="Calibri"/>
      <scheme val="minor"/>
    </font>
    <font>
      <b/>
      <u/>
      <sz val="12"/>
      <color theme="1"/>
      <name val="Calibri"/>
      <scheme val="minor"/>
    </font>
    <font>
      <sz val="11"/>
      <name val="Calibri"/>
      <family val="2"/>
      <scheme val="minor"/>
    </font>
    <font>
      <sz val="10"/>
      <name val="Arial"/>
    </font>
    <font>
      <sz val="11"/>
      <color indexed="10"/>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2"/>
      <color rgb="FF006100"/>
      <name val="Calibri"/>
      <family val="2"/>
      <scheme val="minor"/>
    </font>
    <font>
      <b/>
      <sz val="11"/>
      <color rgb="FF000000"/>
      <name val="Calibri"/>
      <family val="2"/>
      <scheme val="minor"/>
    </font>
    <font>
      <sz val="12"/>
      <color theme="3" tint="0.39997558519241921"/>
      <name val="Calibri"/>
      <scheme val="minor"/>
    </font>
    <font>
      <b/>
      <sz val="10"/>
      <color indexed="81"/>
      <name val="Calibri"/>
    </font>
  </fonts>
  <fills count="14">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rgb="FFC6EFCE"/>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3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thin">
        <color auto="1"/>
      </left>
      <right/>
      <top/>
      <bottom/>
      <diagonal/>
    </border>
    <border>
      <left/>
      <right/>
      <top style="thin">
        <color indexed="8"/>
      </top>
      <bottom/>
      <diagonal/>
    </border>
    <border>
      <left/>
      <right/>
      <top/>
      <bottom style="thin">
        <color indexed="8"/>
      </bottom>
      <diagonal/>
    </border>
    <border>
      <left/>
      <right/>
      <top style="thin">
        <color indexed="8"/>
      </top>
      <bottom style="thin">
        <color auto="1"/>
      </bottom>
      <diagonal/>
    </border>
    <border>
      <left/>
      <right style="thin">
        <color auto="1"/>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138">
    <xf numFmtId="0" fontId="0" fillId="0" borderId="0"/>
    <xf numFmtId="9" fontId="2" fillId="0" borderId="0" applyFont="0" applyFill="0" applyBorder="0" applyAlignment="0" applyProtection="0"/>
    <xf numFmtId="164" fontId="10" fillId="3" borderId="25">
      <alignment horizontal="right" vertical="center"/>
    </xf>
    <xf numFmtId="0" fontId="11" fillId="0" borderId="0" applyNumberFormat="0" applyFont="0" applyFill="0" applyBorder="0" applyAlignment="0" applyProtection="0"/>
    <xf numFmtId="9" fontId="11" fillId="0" borderId="0" applyNumberFormat="0" applyFont="0" applyFill="0" applyBorder="0" applyAlignment="0" applyProtection="0"/>
    <xf numFmtId="9"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6" fillId="4" borderId="0" applyNumberFormat="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 fillId="0" borderId="0"/>
    <xf numFmtId="9" fontId="1"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215">
    <xf numFmtId="0" fontId="0" fillId="0" borderId="0" xfId="0"/>
    <xf numFmtId="0" fontId="5" fillId="2" borderId="0" xfId="0" applyFont="1" applyFill="1" applyBorder="1"/>
    <xf numFmtId="0" fontId="0" fillId="2" borderId="0" xfId="0" applyFill="1" applyBorder="1"/>
    <xf numFmtId="0" fontId="0" fillId="2" borderId="0" xfId="0" applyFill="1"/>
    <xf numFmtId="0" fontId="4" fillId="2" borderId="1" xfId="0" applyFont="1" applyFill="1" applyBorder="1"/>
    <xf numFmtId="0" fontId="0" fillId="2" borderId="2" xfId="0" applyFill="1" applyBorder="1"/>
    <xf numFmtId="0" fontId="0" fillId="2" borderId="3" xfId="0" applyFill="1" applyBorder="1"/>
    <xf numFmtId="0" fontId="4" fillId="2" borderId="7" xfId="0"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4" fillId="2" borderId="12" xfId="0" applyFont="1" applyFill="1" applyBorder="1" applyAlignment="1">
      <alignment vertical="top" wrapText="1"/>
    </xf>
    <xf numFmtId="0" fontId="4" fillId="2" borderId="5" xfId="0" applyFont="1" applyFill="1" applyBorder="1" applyAlignment="1">
      <alignment vertical="top" wrapText="1"/>
    </xf>
    <xf numFmtId="0" fontId="4" fillId="0" borderId="5" xfId="0" applyFont="1" applyFill="1" applyBorder="1" applyAlignment="1">
      <alignment wrapText="1"/>
    </xf>
    <xf numFmtId="0" fontId="4" fillId="0" borderId="5" xfId="0" applyFont="1" applyFill="1" applyBorder="1" applyAlignment="1">
      <alignment vertical="top" wrapText="1"/>
    </xf>
    <xf numFmtId="0" fontId="4" fillId="0" borderId="13" xfId="0" applyFont="1" applyFill="1" applyBorder="1" applyAlignment="1">
      <alignment vertical="top" wrapText="1"/>
    </xf>
    <xf numFmtId="0" fontId="6" fillId="2" borderId="10" xfId="0" applyFont="1" applyFill="1" applyBorder="1"/>
    <xf numFmtId="0" fontId="4" fillId="2" borderId="2" xfId="0" applyFont="1" applyFill="1" applyBorder="1" applyAlignment="1">
      <alignment vertical="top" wrapText="1"/>
    </xf>
    <xf numFmtId="3" fontId="4" fillId="2" borderId="2" xfId="0" applyNumberFormat="1" applyFont="1" applyFill="1" applyBorder="1" applyAlignment="1">
      <alignment vertical="top" wrapText="1"/>
    </xf>
    <xf numFmtId="3" fontId="4" fillId="2" borderId="14" xfId="0" applyNumberFormat="1" applyFont="1" applyFill="1" applyBorder="1" applyAlignment="1">
      <alignment vertical="top" wrapText="1"/>
    </xf>
    <xf numFmtId="0" fontId="0" fillId="2" borderId="10" xfId="0" applyFont="1" applyFill="1" applyBorder="1"/>
    <xf numFmtId="0" fontId="0" fillId="2" borderId="15" xfId="0" applyFont="1" applyFill="1" applyBorder="1"/>
    <xf numFmtId="0" fontId="0" fillId="2" borderId="0" xfId="0" applyFont="1" applyFill="1"/>
    <xf numFmtId="0" fontId="3" fillId="2" borderId="10" xfId="0" applyFont="1" applyFill="1" applyBorder="1"/>
    <xf numFmtId="0" fontId="4" fillId="2" borderId="0" xfId="0" applyFont="1" applyFill="1" applyBorder="1" applyAlignment="1">
      <alignment vertical="top" wrapText="1"/>
    </xf>
    <xf numFmtId="0" fontId="0" fillId="2" borderId="5" xfId="0" applyFill="1" applyBorder="1"/>
    <xf numFmtId="0" fontId="6" fillId="2" borderId="5" xfId="0" applyFont="1" applyFill="1" applyBorder="1"/>
    <xf numFmtId="0" fontId="7" fillId="0" borderId="0" xfId="0" applyFont="1" applyFill="1" applyBorder="1"/>
    <xf numFmtId="0" fontId="7" fillId="0" borderId="5" xfId="0" applyFont="1" applyFill="1" applyBorder="1"/>
    <xf numFmtId="0" fontId="7" fillId="2" borderId="0" xfId="0" applyFont="1" applyFill="1" applyBorder="1"/>
    <xf numFmtId="0" fontId="6" fillId="2" borderId="0" xfId="0" applyFont="1" applyFill="1" applyBorder="1"/>
    <xf numFmtId="4" fontId="4" fillId="2" borderId="2" xfId="0" applyNumberFormat="1" applyFont="1" applyFill="1" applyBorder="1"/>
    <xf numFmtId="4" fontId="4" fillId="2" borderId="14" xfId="0" applyNumberFormat="1" applyFont="1" applyFill="1" applyBorder="1"/>
    <xf numFmtId="0" fontId="6" fillId="2" borderId="12" xfId="0" applyFont="1" applyFill="1" applyBorder="1"/>
    <xf numFmtId="0" fontId="7" fillId="2" borderId="5" xfId="0" applyFont="1" applyFill="1" applyBorder="1"/>
    <xf numFmtId="4" fontId="4" fillId="2" borderId="5" xfId="0" applyNumberFormat="1" applyFont="1" applyFill="1" applyBorder="1"/>
    <xf numFmtId="4" fontId="4" fillId="2" borderId="13" xfId="0" applyNumberFormat="1" applyFont="1" applyFill="1" applyBorder="1"/>
    <xf numFmtId="4" fontId="0" fillId="2" borderId="5" xfId="0" applyNumberFormat="1" applyFill="1" applyBorder="1"/>
    <xf numFmtId="0" fontId="0" fillId="0" borderId="0" xfId="0" applyFont="1" applyFill="1"/>
    <xf numFmtId="0" fontId="0" fillId="0" borderId="5" xfId="0" applyFont="1" applyFill="1" applyBorder="1"/>
    <xf numFmtId="4" fontId="0" fillId="2" borderId="20" xfId="0" applyNumberFormat="1" applyFill="1" applyBorder="1"/>
    <xf numFmtId="0" fontId="9" fillId="2" borderId="10" xfId="0" applyFont="1" applyFill="1" applyBorder="1"/>
    <xf numFmtId="0" fontId="4" fillId="2" borderId="5" xfId="0" applyFont="1" applyFill="1" applyBorder="1"/>
    <xf numFmtId="4" fontId="4" fillId="2" borderId="21" xfId="0" applyNumberFormat="1" applyFont="1" applyFill="1" applyBorder="1"/>
    <xf numFmtId="0" fontId="4" fillId="2" borderId="10" xfId="0" applyFont="1" applyFill="1" applyBorder="1"/>
    <xf numFmtId="0" fontId="4" fillId="2" borderId="2" xfId="0" applyFont="1" applyFill="1" applyBorder="1" applyAlignment="1"/>
    <xf numFmtId="0" fontId="4" fillId="2" borderId="3" xfId="0" applyFont="1" applyFill="1" applyBorder="1" applyAlignment="1"/>
    <xf numFmtId="4" fontId="4" fillId="0" borderId="18" xfId="0" applyNumberFormat="1" applyFont="1" applyFill="1" applyBorder="1"/>
    <xf numFmtId="4" fontId="4" fillId="0" borderId="0" xfId="0" applyNumberFormat="1" applyFont="1" applyFill="1" applyBorder="1"/>
    <xf numFmtId="0" fontId="4" fillId="2" borderId="0" xfId="0" applyFont="1" applyFill="1" applyBorder="1" applyAlignment="1"/>
    <xf numFmtId="0" fontId="4" fillId="2" borderId="22" xfId="0" applyFont="1" applyFill="1" applyBorder="1" applyAlignment="1">
      <alignment wrapText="1"/>
    </xf>
    <xf numFmtId="0" fontId="4" fillId="2" borderId="5" xfId="0" applyFont="1" applyFill="1" applyBorder="1" applyAlignment="1"/>
    <xf numFmtId="0" fontId="4" fillId="2" borderId="6" xfId="0" applyFont="1" applyFill="1" applyBorder="1" applyAlignment="1"/>
    <xf numFmtId="9" fontId="4" fillId="0" borderId="0" xfId="1" applyNumberFormat="1" applyFont="1" applyFill="1" applyBorder="1"/>
    <xf numFmtId="0" fontId="0" fillId="2" borderId="23" xfId="0" applyFill="1" applyBorder="1"/>
    <xf numFmtId="0" fontId="0" fillId="2" borderId="24" xfId="0" applyFill="1" applyBorder="1"/>
    <xf numFmtId="4" fontId="0" fillId="0" borderId="16" xfId="0" applyNumberFormat="1" applyFont="1" applyFill="1" applyBorder="1" applyAlignment="1">
      <alignment vertical="top" wrapText="1"/>
    </xf>
    <xf numFmtId="4" fontId="0" fillId="0" borderId="15" xfId="0" applyNumberFormat="1" applyFont="1" applyFill="1" applyBorder="1" applyAlignment="1">
      <alignment vertical="top" wrapText="1"/>
    </xf>
    <xf numFmtId="4" fontId="0" fillId="0" borderId="17" xfId="0" applyNumberFormat="1" applyFont="1" applyFill="1" applyBorder="1" applyAlignment="1">
      <alignment vertical="top" wrapText="1"/>
    </xf>
    <xf numFmtId="4" fontId="4" fillId="2" borderId="0" xfId="0" applyNumberFormat="1" applyFont="1" applyFill="1" applyBorder="1" applyAlignment="1">
      <alignment vertical="top" wrapText="1"/>
    </xf>
    <xf numFmtId="4" fontId="4" fillId="2" borderId="11" xfId="0" applyNumberFormat="1" applyFont="1" applyFill="1" applyBorder="1" applyAlignment="1">
      <alignment vertical="top" wrapText="1"/>
    </xf>
    <xf numFmtId="4" fontId="0" fillId="2" borderId="5" xfId="0" applyNumberFormat="1" applyFont="1" applyFill="1" applyBorder="1"/>
    <xf numFmtId="4" fontId="0" fillId="2" borderId="13" xfId="0" applyNumberFormat="1" applyFont="1" applyFill="1" applyBorder="1"/>
    <xf numFmtId="4" fontId="0" fillId="2" borderId="19" xfId="0" applyNumberFormat="1" applyFont="1" applyFill="1" applyBorder="1"/>
    <xf numFmtId="4" fontId="0" fillId="2" borderId="2" xfId="0" applyNumberFormat="1" applyFont="1" applyFill="1" applyBorder="1"/>
    <xf numFmtId="4" fontId="0" fillId="2" borderId="14" xfId="0" applyNumberFormat="1" applyFont="1" applyFill="1" applyBorder="1"/>
    <xf numFmtId="4" fontId="0" fillId="2" borderId="20" xfId="0" applyNumberFormat="1" applyFont="1" applyFill="1" applyBorder="1"/>
    <xf numFmtId="4" fontId="0" fillId="2" borderId="0" xfId="0" applyNumberFormat="1" applyFont="1" applyFill="1" applyBorder="1"/>
    <xf numFmtId="4" fontId="0" fillId="2" borderId="11" xfId="0" applyNumberFormat="1" applyFont="1" applyFill="1" applyBorder="1"/>
    <xf numFmtId="4" fontId="6" fillId="2" borderId="0" xfId="0" applyNumberFormat="1" applyFont="1" applyFill="1" applyBorder="1"/>
    <xf numFmtId="4" fontId="6" fillId="2" borderId="5" xfId="0" applyNumberFormat="1" applyFont="1" applyFill="1" applyBorder="1"/>
    <xf numFmtId="10" fontId="4" fillId="0" borderId="4" xfId="1" applyNumberFormat="1" applyFont="1" applyFill="1" applyBorder="1"/>
    <xf numFmtId="10" fontId="4" fillId="0" borderId="5" xfId="1" applyNumberFormat="1" applyFont="1" applyFill="1" applyBorder="1"/>
    <xf numFmtId="10" fontId="6" fillId="2" borderId="0" xfId="0" applyNumberFormat="1" applyFont="1" applyFill="1" applyBorder="1"/>
    <xf numFmtId="10" fontId="6" fillId="2" borderId="5" xfId="0" applyNumberFormat="1" applyFont="1" applyFill="1" applyBorder="1"/>
    <xf numFmtId="4" fontId="16" fillId="4" borderId="0" xfId="13" applyNumberFormat="1"/>
    <xf numFmtId="4" fontId="16" fillId="4" borderId="5" xfId="13" applyNumberFormat="1" applyBorder="1"/>
    <xf numFmtId="4" fontId="16" fillId="4" borderId="18" xfId="13" applyNumberFormat="1" applyBorder="1"/>
    <xf numFmtId="4" fontId="16" fillId="4" borderId="0" xfId="13" applyNumberFormat="1" applyBorder="1"/>
    <xf numFmtId="10" fontId="16" fillId="4" borderId="0" xfId="13" applyNumberFormat="1"/>
    <xf numFmtId="10" fontId="16" fillId="4" borderId="5" xfId="13" applyNumberFormat="1" applyBorder="1"/>
    <xf numFmtId="4" fontId="16" fillId="4" borderId="2" xfId="13" applyNumberFormat="1" applyBorder="1"/>
    <xf numFmtId="4" fontId="16" fillId="4" borderId="4" xfId="13" applyNumberFormat="1" applyBorder="1"/>
    <xf numFmtId="10" fontId="16" fillId="4" borderId="6" xfId="13" applyNumberFormat="1" applyBorder="1"/>
    <xf numFmtId="4" fontId="16" fillId="4" borderId="11" xfId="13" applyNumberFormat="1" applyBorder="1"/>
    <xf numFmtId="4" fontId="16" fillId="4" borderId="13" xfId="13" applyNumberFormat="1" applyBorder="1"/>
    <xf numFmtId="10" fontId="16" fillId="4" borderId="3" xfId="13" applyNumberFormat="1" applyBorder="1"/>
    <xf numFmtId="10" fontId="16" fillId="4" borderId="22" xfId="13" applyNumberFormat="1" applyBorder="1"/>
    <xf numFmtId="4" fontId="16" fillId="4" borderId="14" xfId="13" applyNumberFormat="1" applyBorder="1"/>
    <xf numFmtId="4" fontId="16" fillId="4" borderId="1" xfId="13" applyNumberFormat="1" applyBorder="1"/>
    <xf numFmtId="0" fontId="4" fillId="2" borderId="0" xfId="0" applyFont="1" applyFill="1"/>
    <xf numFmtId="3" fontId="4" fillId="2" borderId="0" xfId="0" applyNumberFormat="1" applyFont="1" applyFill="1" applyBorder="1" applyAlignment="1">
      <alignment vertical="top" wrapText="1"/>
    </xf>
    <xf numFmtId="4" fontId="4" fillId="2" borderId="0" xfId="0" applyNumberFormat="1" applyFont="1" applyFill="1" applyBorder="1"/>
    <xf numFmtId="4" fontId="0" fillId="2" borderId="0" xfId="0" applyNumberFormat="1" applyFont="1" applyFill="1" applyBorder="1" applyAlignment="1">
      <alignment vertical="top" wrapText="1"/>
    </xf>
    <xf numFmtId="4" fontId="16" fillId="2" borderId="0" xfId="13" applyNumberFormat="1" applyFill="1" applyBorder="1"/>
    <xf numFmtId="4" fontId="0" fillId="2" borderId="10" xfId="0" applyNumberFormat="1" applyFill="1" applyBorder="1"/>
    <xf numFmtId="4" fontId="4" fillId="2" borderId="10" xfId="0" applyNumberFormat="1" applyFont="1" applyFill="1" applyBorder="1"/>
    <xf numFmtId="10" fontId="4" fillId="2" borderId="10" xfId="1" applyNumberFormat="1" applyFont="1" applyFill="1" applyBorder="1"/>
    <xf numFmtId="9" fontId="4" fillId="2" borderId="10" xfId="1" applyNumberFormat="1" applyFont="1" applyFill="1" applyBorder="1"/>
    <xf numFmtId="0" fontId="0" fillId="2" borderId="7" xfId="0" applyFill="1" applyBorder="1"/>
    <xf numFmtId="0" fontId="4" fillId="2" borderId="10" xfId="0" applyFont="1" applyFill="1" applyBorder="1" applyAlignment="1">
      <alignment vertical="top" wrapText="1"/>
    </xf>
    <xf numFmtId="0" fontId="4" fillId="2" borderId="0" xfId="0" applyFont="1" applyFill="1" applyBorder="1" applyAlignment="1">
      <alignment vertical="top"/>
    </xf>
    <xf numFmtId="0" fontId="4" fillId="2" borderId="11" xfId="0" applyFont="1" applyFill="1" applyBorder="1" applyAlignment="1">
      <alignment vertical="top" wrapText="1"/>
    </xf>
    <xf numFmtId="0" fontId="0" fillId="2" borderId="0" xfId="0" applyFont="1" applyFill="1" applyBorder="1"/>
    <xf numFmtId="0" fontId="0" fillId="2" borderId="11" xfId="0" applyFont="1" applyFill="1" applyBorder="1"/>
    <xf numFmtId="10" fontId="0" fillId="2" borderId="0" xfId="0" applyNumberFormat="1" applyFill="1" applyBorder="1"/>
    <xf numFmtId="0" fontId="0" fillId="2" borderId="26" xfId="0" applyFill="1" applyBorder="1"/>
    <xf numFmtId="165" fontId="3" fillId="2" borderId="11" xfId="1" applyNumberFormat="1" applyFont="1" applyFill="1" applyBorder="1"/>
    <xf numFmtId="0" fontId="3" fillId="2" borderId="11" xfId="0" applyFont="1" applyFill="1" applyBorder="1"/>
    <xf numFmtId="0" fontId="5" fillId="2" borderId="0" xfId="44" applyFont="1" applyFill="1"/>
    <xf numFmtId="0" fontId="1" fillId="2" borderId="0" xfId="44" applyFill="1"/>
    <xf numFmtId="0" fontId="4" fillId="2" borderId="1" xfId="44" applyFont="1" applyFill="1" applyBorder="1"/>
    <xf numFmtId="0" fontId="1" fillId="2" borderId="3" xfId="44" applyFill="1" applyBorder="1"/>
    <xf numFmtId="0" fontId="4" fillId="2" borderId="0" xfId="44" applyFont="1" applyFill="1" applyBorder="1"/>
    <xf numFmtId="0" fontId="1" fillId="2" borderId="0" xfId="44" applyFill="1" applyBorder="1"/>
    <xf numFmtId="0" fontId="17" fillId="5" borderId="18" xfId="44" applyFont="1" applyFill="1" applyBorder="1" applyAlignment="1">
      <alignment vertical="center"/>
    </xf>
    <xf numFmtId="0" fontId="1" fillId="2" borderId="0" xfId="44" applyFill="1" applyBorder="1" applyAlignment="1">
      <alignment horizontal="left"/>
    </xf>
    <xf numFmtId="0" fontId="1" fillId="2" borderId="22" xfId="44" applyFill="1" applyBorder="1"/>
    <xf numFmtId="0" fontId="1" fillId="2" borderId="0" xfId="44" applyFont="1" applyFill="1" applyBorder="1" applyAlignment="1">
      <alignment horizontal="left"/>
    </xf>
    <xf numFmtId="0" fontId="17" fillId="5" borderId="4" xfId="44" applyFont="1" applyFill="1" applyBorder="1" applyAlignment="1">
      <alignment vertical="center"/>
    </xf>
    <xf numFmtId="0" fontId="1" fillId="2" borderId="5" xfId="44" applyFont="1" applyFill="1" applyBorder="1"/>
    <xf numFmtId="0" fontId="1" fillId="2" borderId="6" xfId="44" applyFill="1" applyBorder="1"/>
    <xf numFmtId="0" fontId="1" fillId="2" borderId="2" xfId="44" applyFill="1" applyBorder="1"/>
    <xf numFmtId="0" fontId="4" fillId="2" borderId="18" xfId="44" applyFont="1" applyFill="1" applyBorder="1"/>
    <xf numFmtId="0" fontId="8" fillId="2" borderId="0" xfId="44" applyFont="1" applyFill="1" applyBorder="1"/>
    <xf numFmtId="0" fontId="1" fillId="2" borderId="27" xfId="44" applyFill="1" applyBorder="1"/>
    <xf numFmtId="0" fontId="1" fillId="6" borderId="0" xfId="44" applyFill="1" applyBorder="1"/>
    <xf numFmtId="0" fontId="1" fillId="7" borderId="0" xfId="44" applyFill="1" applyBorder="1"/>
    <xf numFmtId="0" fontId="1" fillId="8" borderId="0" xfId="44" applyFill="1" applyBorder="1"/>
    <xf numFmtId="0" fontId="1" fillId="9" borderId="0" xfId="44" applyFill="1" applyBorder="1"/>
    <xf numFmtId="0" fontId="1" fillId="2" borderId="18" xfId="44" applyFill="1" applyBorder="1"/>
    <xf numFmtId="0" fontId="1" fillId="10" borderId="0" xfId="44" applyFill="1" applyBorder="1"/>
    <xf numFmtId="0" fontId="1" fillId="11" borderId="0" xfId="44" applyFill="1" applyBorder="1"/>
    <xf numFmtId="0" fontId="1" fillId="12" borderId="0" xfId="44" applyFill="1" applyBorder="1"/>
    <xf numFmtId="0" fontId="1" fillId="13" borderId="0" xfId="44" applyFill="1" applyBorder="1"/>
    <xf numFmtId="0" fontId="1" fillId="2" borderId="4" xfId="44" applyFill="1" applyBorder="1"/>
    <xf numFmtId="0" fontId="1" fillId="2" borderId="5" xfId="44" applyFill="1" applyBorder="1"/>
    <xf numFmtId="0" fontId="0" fillId="2" borderId="2" xfId="44" applyFont="1" applyFill="1" applyBorder="1"/>
    <xf numFmtId="166" fontId="0" fillId="2" borderId="0" xfId="44" applyNumberFormat="1" applyFont="1" applyFill="1" applyBorder="1" applyAlignment="1">
      <alignment horizontal="left"/>
    </xf>
    <xf numFmtId="0" fontId="0" fillId="2" borderId="0" xfId="44" applyFont="1" applyFill="1" applyBorder="1"/>
    <xf numFmtId="0" fontId="1" fillId="2" borderId="0" xfId="44" applyFill="1" applyAlignment="1">
      <alignment wrapText="1"/>
    </xf>
    <xf numFmtId="0" fontId="17" fillId="5" borderId="1" xfId="44" applyFont="1" applyFill="1" applyBorder="1" applyAlignment="1">
      <alignment vertical="top"/>
    </xf>
    <xf numFmtId="0" fontId="4" fillId="2" borderId="2" xfId="44" applyFont="1" applyFill="1" applyBorder="1" applyAlignment="1">
      <alignment wrapText="1"/>
    </xf>
    <xf numFmtId="0" fontId="4" fillId="2" borderId="3" xfId="44" applyFont="1" applyFill="1" applyBorder="1" applyAlignment="1">
      <alignment vertical="top"/>
    </xf>
    <xf numFmtId="0" fontId="17" fillId="5" borderId="18" xfId="44" applyFont="1" applyFill="1" applyBorder="1" applyAlignment="1">
      <alignment vertical="top"/>
    </xf>
    <xf numFmtId="0" fontId="4" fillId="2" borderId="0" xfId="44" applyFont="1" applyFill="1" applyBorder="1" applyAlignment="1">
      <alignment wrapText="1"/>
    </xf>
    <xf numFmtId="0" fontId="4" fillId="2" borderId="22" xfId="44" applyFont="1" applyFill="1" applyBorder="1" applyAlignment="1">
      <alignment vertical="top"/>
    </xf>
    <xf numFmtId="166" fontId="15" fillId="0" borderId="18" xfId="44" applyNumberFormat="1" applyFont="1" applyFill="1" applyBorder="1" applyAlignment="1">
      <alignment horizontal="left" vertical="top"/>
    </xf>
    <xf numFmtId="0" fontId="1" fillId="0" borderId="0" xfId="44" applyFont="1" applyFill="1" applyBorder="1" applyAlignment="1">
      <alignment wrapText="1"/>
    </xf>
    <xf numFmtId="2" fontId="1" fillId="0" borderId="22" xfId="44" applyNumberFormat="1" applyFill="1" applyBorder="1" applyAlignment="1">
      <alignment vertical="top"/>
    </xf>
    <xf numFmtId="166" fontId="1" fillId="0" borderId="18" xfId="44" applyNumberFormat="1" applyFont="1" applyFill="1" applyBorder="1" applyAlignment="1">
      <alignment horizontal="left" vertical="top"/>
    </xf>
    <xf numFmtId="166" fontId="1" fillId="0" borderId="18" xfId="44" applyNumberFormat="1" applyFill="1" applyBorder="1" applyAlignment="1">
      <alignment horizontal="left" vertical="top"/>
    </xf>
    <xf numFmtId="0" fontId="1" fillId="0" borderId="0" xfId="44" applyFill="1" applyBorder="1" applyAlignment="1">
      <alignment wrapText="1"/>
    </xf>
    <xf numFmtId="0" fontId="1" fillId="0" borderId="18" xfId="44" applyFill="1" applyBorder="1" applyAlignment="1">
      <alignment vertical="top"/>
    </xf>
    <xf numFmtId="166" fontId="15" fillId="0" borderId="18" xfId="44" applyNumberFormat="1" applyFont="1" applyBorder="1" applyAlignment="1">
      <alignment horizontal="left" vertical="top"/>
    </xf>
    <xf numFmtId="0" fontId="15" fillId="0" borderId="0" xfId="44" applyFont="1" applyAlignment="1">
      <alignment wrapText="1"/>
    </xf>
    <xf numFmtId="2" fontId="15" fillId="0" borderId="22" xfId="44" applyNumberFormat="1" applyFont="1" applyBorder="1" applyAlignment="1">
      <alignment vertical="top"/>
    </xf>
    <xf numFmtId="166" fontId="1" fillId="0" borderId="4" xfId="44" applyNumberFormat="1" applyFill="1" applyBorder="1" applyAlignment="1">
      <alignment horizontal="left" vertical="top"/>
    </xf>
    <xf numFmtId="0" fontId="1" fillId="0" borderId="5" xfId="44" applyFill="1" applyBorder="1" applyAlignment="1">
      <alignment wrapText="1"/>
    </xf>
    <xf numFmtId="2" fontId="1" fillId="0" borderId="6" xfId="44" applyNumberFormat="1" applyFill="1" applyBorder="1" applyAlignment="1">
      <alignment vertical="top"/>
    </xf>
    <xf numFmtId="0" fontId="1" fillId="2" borderId="0" xfId="44" applyFill="1" applyAlignment="1">
      <alignment vertical="top"/>
    </xf>
    <xf numFmtId="2" fontId="1" fillId="2" borderId="0" xfId="44" applyNumberFormat="1" applyFill="1" applyAlignment="1">
      <alignment vertical="top"/>
    </xf>
    <xf numFmtId="0" fontId="0" fillId="0" borderId="0" xfId="44" applyFont="1" applyFill="1" applyBorder="1" applyAlignment="1">
      <alignment wrapText="1"/>
    </xf>
    <xf numFmtId="164" fontId="1" fillId="2" borderId="0" xfId="44" applyNumberFormat="1" applyFill="1" applyBorder="1" applyAlignment="1">
      <alignment horizontal="left"/>
    </xf>
    <xf numFmtId="0" fontId="8" fillId="2" borderId="0" xfId="0" applyFont="1" applyFill="1"/>
    <xf numFmtId="10" fontId="0" fillId="0" borderId="0" xfId="45" applyNumberFormat="1" applyFont="1"/>
    <xf numFmtId="10" fontId="0" fillId="0" borderId="0" xfId="0" applyNumberFormat="1"/>
    <xf numFmtId="0" fontId="4" fillId="0" borderId="0" xfId="0" applyFont="1"/>
    <xf numFmtId="0" fontId="8" fillId="0" borderId="0" xfId="0" applyFont="1"/>
    <xf numFmtId="0" fontId="0" fillId="0" borderId="0" xfId="0" applyBorder="1"/>
    <xf numFmtId="3" fontId="0" fillId="0" borderId="0" xfId="0" applyNumberFormat="1" applyFont="1" applyFill="1" applyBorder="1" applyAlignment="1">
      <alignment vertical="top" wrapText="1"/>
    </xf>
    <xf numFmtId="2" fontId="3" fillId="0" borderId="0" xfId="0" applyNumberFormat="1" applyFont="1"/>
    <xf numFmtId="0" fontId="4" fillId="2" borderId="25" xfId="0" applyFont="1" applyFill="1" applyBorder="1"/>
    <xf numFmtId="0" fontId="4" fillId="2" borderId="25" xfId="0" applyFont="1" applyFill="1" applyBorder="1" applyAlignment="1">
      <alignment wrapText="1"/>
    </xf>
    <xf numFmtId="2" fontId="15" fillId="2" borderId="2" xfId="0" applyNumberFormat="1" applyFont="1" applyFill="1" applyBorder="1"/>
    <xf numFmtId="4" fontId="8" fillId="2" borderId="2" xfId="0" applyNumberFormat="1" applyFont="1" applyFill="1" applyBorder="1"/>
    <xf numFmtId="2" fontId="3" fillId="2" borderId="3" xfId="0" applyNumberFormat="1" applyFont="1" applyFill="1" applyBorder="1"/>
    <xf numFmtId="2" fontId="15" fillId="2" borderId="0" xfId="0" applyNumberFormat="1" applyFont="1" applyFill="1" applyBorder="1"/>
    <xf numFmtId="2" fontId="3" fillId="2" borderId="22" xfId="0" applyNumberFormat="1" applyFont="1" applyFill="1" applyBorder="1"/>
    <xf numFmtId="2" fontId="15" fillId="2" borderId="5" xfId="0" applyNumberFormat="1" applyFont="1" applyFill="1" applyBorder="1"/>
    <xf numFmtId="2" fontId="3" fillId="2" borderId="6" xfId="0" applyNumberFormat="1" applyFont="1" applyFill="1" applyBorder="1"/>
    <xf numFmtId="0" fontId="7" fillId="2" borderId="28" xfId="0" applyFont="1" applyFill="1" applyBorder="1"/>
    <xf numFmtId="0" fontId="7" fillId="2" borderId="29" xfId="0" applyFont="1" applyFill="1" applyBorder="1"/>
    <xf numFmtId="0" fontId="7" fillId="2" borderId="30" xfId="0" applyFont="1" applyFill="1" applyBorder="1"/>
    <xf numFmtId="0" fontId="0" fillId="2" borderId="22" xfId="0" applyFill="1" applyBorder="1"/>
    <xf numFmtId="0" fontId="0" fillId="2" borderId="6" xfId="0" applyFill="1" applyBorder="1"/>
    <xf numFmtId="0" fontId="0" fillId="2" borderId="28" xfId="0" applyFill="1" applyBorder="1"/>
    <xf numFmtId="0" fontId="0" fillId="2" borderId="29" xfId="0" applyFill="1" applyBorder="1"/>
    <xf numFmtId="0" fontId="0" fillId="2" borderId="30" xfId="0" applyFill="1" applyBorder="1"/>
    <xf numFmtId="0" fontId="4" fillId="2" borderId="28" xfId="0" applyFont="1" applyFill="1" applyBorder="1"/>
    <xf numFmtId="0" fontId="4" fillId="2" borderId="2" xfId="0" applyFont="1" applyFill="1" applyBorder="1"/>
    <xf numFmtId="0" fontId="4" fillId="2" borderId="3" xfId="0" applyFont="1" applyFill="1" applyBorder="1" applyAlignment="1">
      <alignment wrapText="1"/>
    </xf>
    <xf numFmtId="0" fontId="4" fillId="2" borderId="2" xfId="0" applyFont="1" applyFill="1" applyBorder="1" applyAlignment="1">
      <alignment wrapText="1"/>
    </xf>
    <xf numFmtId="0" fontId="4" fillId="2" borderId="16" xfId="0" applyFont="1" applyFill="1" applyBorder="1"/>
    <xf numFmtId="0" fontId="3" fillId="2" borderId="15" xfId="0" applyFont="1" applyFill="1" applyBorder="1"/>
    <xf numFmtId="0" fontId="3" fillId="2" borderId="31" xfId="0" applyFont="1" applyFill="1" applyBorder="1"/>
    <xf numFmtId="0" fontId="4" fillId="2" borderId="15" xfId="0" applyFont="1" applyFill="1" applyBorder="1" applyAlignment="1">
      <alignment wrapText="1"/>
    </xf>
    <xf numFmtId="4" fontId="3" fillId="2" borderId="10" xfId="0" applyNumberFormat="1" applyFont="1" applyFill="1" applyBorder="1" applyAlignment="1">
      <alignment horizontal="left"/>
    </xf>
    <xf numFmtId="0" fontId="0" fillId="0" borderId="0" xfId="0" applyFill="1"/>
    <xf numFmtId="4" fontId="8" fillId="2" borderId="0" xfId="0" applyNumberFormat="1" applyFont="1" applyFill="1"/>
    <xf numFmtId="0" fontId="18" fillId="2" borderId="0" xfId="0" applyFont="1" applyFill="1"/>
    <xf numFmtId="0" fontId="18" fillId="2" borderId="0" xfId="0" applyFont="1" applyFill="1" applyBorder="1"/>
    <xf numFmtId="4" fontId="0" fillId="7" borderId="15" xfId="0" applyNumberFormat="1" applyFont="1" applyFill="1" applyBorder="1" applyAlignment="1">
      <alignment vertical="top" wrapText="1"/>
    </xf>
    <xf numFmtId="4" fontId="16" fillId="7" borderId="18" xfId="13" applyNumberFormat="1" applyFill="1" applyBorder="1"/>
    <xf numFmtId="4" fontId="4" fillId="0" borderId="0" xfId="0" applyNumberFormat="1" applyFont="1"/>
    <xf numFmtId="0" fontId="0" fillId="2" borderId="18" xfId="44" applyFont="1" applyFill="1" applyBorder="1" applyAlignment="1">
      <alignment horizontal="left" vertical="top" wrapText="1"/>
    </xf>
    <xf numFmtId="0" fontId="0" fillId="2" borderId="0" xfId="44" applyFont="1" applyFill="1" applyBorder="1" applyAlignment="1">
      <alignment horizontal="left" vertical="top" wrapText="1"/>
    </xf>
    <xf numFmtId="0" fontId="0" fillId="2" borderId="22" xfId="44" applyFont="1" applyFill="1" applyBorder="1" applyAlignment="1">
      <alignment horizontal="left" vertical="top" wrapText="1"/>
    </xf>
    <xf numFmtId="0" fontId="0" fillId="2" borderId="4" xfId="44" applyFont="1" applyFill="1" applyBorder="1" applyAlignment="1">
      <alignment horizontal="left" vertical="top" wrapText="1"/>
    </xf>
    <xf numFmtId="0" fontId="0" fillId="2" borderId="5" xfId="44" applyFont="1" applyFill="1" applyBorder="1" applyAlignment="1">
      <alignment horizontal="left" vertical="top" wrapText="1"/>
    </xf>
    <xf numFmtId="0" fontId="0" fillId="2" borderId="6" xfId="44"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cellXfs>
  <cellStyles count="138">
    <cellStyle name="Followed Hyperlink" xfId="8" builtinId="9" hidden="1"/>
    <cellStyle name="Followed Hyperlink" xfId="10" builtinId="9" hidden="1"/>
    <cellStyle name="Followed Hyperlink" xfId="12"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Good" xfId="13" builtinId="26"/>
    <cellStyle name="Hyperlink" xfId="7" builtinId="8" hidden="1"/>
    <cellStyle name="Hyperlink" xfId="9" builtinId="8" hidden="1"/>
    <cellStyle name="Hyperlink" xfId="11"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Input cel" xfId="2"/>
    <cellStyle name="Normal" xfId="0" builtinId="0"/>
    <cellStyle name="Normal 2" xfId="3"/>
    <cellStyle name="Normal 2 2" xfId="44"/>
    <cellStyle name="Percent" xfId="1" builtinId="5"/>
    <cellStyle name="Percent 2" xfId="4"/>
    <cellStyle name="Percent 3" xfId="5"/>
    <cellStyle name="Percent 4" xfId="45"/>
    <cellStyle name="Warning Text 3" xfId="6"/>
  </cellStyles>
  <dxfs count="1">
    <dxf>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19694</xdr:colOff>
      <xdr:row>3</xdr:row>
      <xdr:rowOff>152400</xdr:rowOff>
    </xdr:from>
    <xdr:to>
      <xdr:col>10</xdr:col>
      <xdr:colOff>812800</xdr:colOff>
      <xdr:row>20</xdr:row>
      <xdr:rowOff>177898</xdr:rowOff>
    </xdr:to>
    <xdr:pic>
      <xdr:nvPicPr>
        <xdr:cNvPr id="2" name="Picture 1"/>
        <xdr:cNvPicPr>
          <a:picLocks noChangeAspect="1"/>
        </xdr:cNvPicPr>
      </xdr:nvPicPr>
      <xdr:blipFill>
        <a:blip xmlns:r="http://schemas.openxmlformats.org/officeDocument/2006/relationships" r:embed="rId1"/>
        <a:stretch>
          <a:fillRect/>
        </a:stretch>
      </xdr:blipFill>
      <xdr:spPr>
        <a:xfrm>
          <a:off x="4782194" y="723900"/>
          <a:ext cx="6520806" cy="32639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3</xdr:row>
      <xdr:rowOff>63500</xdr:rowOff>
    </xdr:from>
    <xdr:to>
      <xdr:col>8</xdr:col>
      <xdr:colOff>0</xdr:colOff>
      <xdr:row>17</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90500" y="635000"/>
          <a:ext cx="8420100" cy="2641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63500</xdr:colOff>
      <xdr:row>3</xdr:row>
      <xdr:rowOff>165100</xdr:rowOff>
    </xdr:from>
    <xdr:to>
      <xdr:col>7</xdr:col>
      <xdr:colOff>1066800</xdr:colOff>
      <xdr:row>17</xdr:row>
      <xdr:rowOff>165100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04800" y="736600"/>
          <a:ext cx="8013700" cy="2667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analyse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s>
    <sheetDataSet>
      <sheetData sheetId="0"/>
      <sheetData sheetId="1"/>
      <sheetData sheetId="2"/>
      <sheetData sheetId="3"/>
      <sheetData sheetId="4"/>
      <sheetData sheetId="5"/>
      <sheetData sheetId="6"/>
      <sheetData sheetId="7"/>
      <sheetData sheetId="8">
        <row r="14">
          <cell r="M14">
            <v>0</v>
          </cell>
        </row>
        <row r="29">
          <cell r="M29">
            <v>0</v>
          </cell>
        </row>
        <row r="37">
          <cell r="M37">
            <v>0</v>
          </cell>
        </row>
      </sheetData>
      <sheetData sheetId="9"/>
      <sheetData sheetId="10"/>
      <sheetData sheetId="11"/>
      <sheetData sheetId="12"/>
      <sheetData sheetId="13"/>
      <sheetData sheetId="14"/>
      <sheetData sheetId="15">
        <row r="11">
          <cell r="C11">
            <v>0</v>
          </cell>
          <cell r="D11">
            <v>0</v>
          </cell>
          <cell r="E11">
            <v>0</v>
          </cell>
          <cell r="F11">
            <v>0</v>
          </cell>
          <cell r="G11">
            <v>0</v>
          </cell>
          <cell r="I11">
            <v>0</v>
          </cell>
          <cell r="J11">
            <v>0</v>
          </cell>
          <cell r="L11">
            <v>0</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H39"/>
  <sheetViews>
    <sheetView workbookViewId="0"/>
  </sheetViews>
  <sheetFormatPr baseColWidth="10" defaultRowHeight="16" x14ac:dyDescent="0.2"/>
  <cols>
    <col min="1" max="1" width="2.83203125" style="111" customWidth="1"/>
    <col min="2" max="2" width="14" style="111" customWidth="1"/>
    <col min="3" max="3" width="44" style="111" customWidth="1"/>
    <col min="4" max="4" width="9.33203125" style="111" customWidth="1"/>
    <col min="5" max="5" width="10.83203125" style="111"/>
    <col min="6" max="6" width="34.6640625" style="111" customWidth="1"/>
    <col min="7" max="7" width="4.5" style="111" customWidth="1"/>
    <col min="8" max="8" width="20.83203125" style="111" customWidth="1"/>
    <col min="9" max="16384" width="10.83203125" style="111"/>
  </cols>
  <sheetData>
    <row r="2" spans="2:8" ht="21" x14ac:dyDescent="0.25">
      <c r="B2" s="110" t="s">
        <v>89</v>
      </c>
    </row>
    <row r="4" spans="2:8" x14ac:dyDescent="0.2">
      <c r="B4" s="112" t="s">
        <v>90</v>
      </c>
      <c r="C4" s="138" t="s">
        <v>115</v>
      </c>
      <c r="D4" s="113"/>
      <c r="F4" s="114"/>
      <c r="G4" s="115"/>
      <c r="H4" s="114"/>
    </row>
    <row r="5" spans="2:8" x14ac:dyDescent="0.2">
      <c r="B5" s="116" t="s">
        <v>91</v>
      </c>
      <c r="C5" s="164">
        <f>MAX(Changelog!D:D)</f>
        <v>2</v>
      </c>
      <c r="D5" s="118"/>
      <c r="F5" s="115"/>
      <c r="G5" s="115"/>
      <c r="H5" s="115"/>
    </row>
    <row r="6" spans="2:8" x14ac:dyDescent="0.2">
      <c r="B6" s="116" t="s">
        <v>92</v>
      </c>
      <c r="C6" s="119" t="s">
        <v>93</v>
      </c>
      <c r="D6" s="118"/>
      <c r="F6" s="115"/>
      <c r="G6" s="115"/>
      <c r="H6" s="115"/>
    </row>
    <row r="7" spans="2:8" x14ac:dyDescent="0.2">
      <c r="B7" s="116" t="s">
        <v>94</v>
      </c>
      <c r="C7" s="117">
        <v>2013</v>
      </c>
      <c r="D7" s="118"/>
      <c r="F7" s="115"/>
      <c r="G7" s="115"/>
      <c r="H7" s="115"/>
    </row>
    <row r="8" spans="2:8" x14ac:dyDescent="0.2">
      <c r="B8" s="116" t="s">
        <v>95</v>
      </c>
      <c r="C8" s="139" t="s">
        <v>116</v>
      </c>
      <c r="D8" s="118"/>
      <c r="F8" s="115"/>
      <c r="G8" s="115"/>
      <c r="H8" s="115"/>
    </row>
    <row r="9" spans="2:8" x14ac:dyDescent="0.2">
      <c r="B9" s="116" t="s">
        <v>96</v>
      </c>
      <c r="C9" s="140" t="s">
        <v>117</v>
      </c>
      <c r="D9" s="118"/>
      <c r="F9" s="115"/>
      <c r="G9" s="115"/>
      <c r="H9" s="115"/>
    </row>
    <row r="10" spans="2:8" x14ac:dyDescent="0.2">
      <c r="B10" s="120" t="s">
        <v>97</v>
      </c>
      <c r="C10" s="121" t="s">
        <v>98</v>
      </c>
      <c r="D10" s="122"/>
      <c r="F10" s="115"/>
      <c r="G10" s="115"/>
      <c r="H10" s="115"/>
    </row>
    <row r="12" spans="2:8" x14ac:dyDescent="0.2">
      <c r="B12" s="112" t="s">
        <v>99</v>
      </c>
      <c r="C12" s="123"/>
      <c r="D12" s="113"/>
    </row>
    <row r="13" spans="2:8" x14ac:dyDescent="0.2">
      <c r="B13" s="124"/>
      <c r="C13" s="115"/>
      <c r="D13" s="118"/>
    </row>
    <row r="14" spans="2:8" x14ac:dyDescent="0.2">
      <c r="B14" s="124" t="s">
        <v>100</v>
      </c>
      <c r="C14" s="125" t="s">
        <v>101</v>
      </c>
      <c r="D14" s="118"/>
    </row>
    <row r="15" spans="2:8" ht="17" thickBot="1" x14ac:dyDescent="0.25">
      <c r="B15" s="124"/>
      <c r="C15" s="114" t="s">
        <v>102</v>
      </c>
      <c r="D15" s="118"/>
    </row>
    <row r="16" spans="2:8" ht="17" thickBot="1" x14ac:dyDescent="0.25">
      <c r="B16" s="124"/>
      <c r="C16" s="126" t="s">
        <v>103</v>
      </c>
      <c r="D16" s="118"/>
    </row>
    <row r="17" spans="2:4" x14ac:dyDescent="0.2">
      <c r="B17" s="124"/>
      <c r="C17" s="115" t="s">
        <v>104</v>
      </c>
      <c r="D17" s="118"/>
    </row>
    <row r="18" spans="2:4" x14ac:dyDescent="0.2">
      <c r="B18" s="124"/>
      <c r="C18" s="115"/>
      <c r="D18" s="118"/>
    </row>
    <row r="19" spans="2:4" x14ac:dyDescent="0.2">
      <c r="B19" s="124" t="s">
        <v>105</v>
      </c>
      <c r="C19" s="127" t="s">
        <v>106</v>
      </c>
      <c r="D19" s="118"/>
    </row>
    <row r="20" spans="2:4" x14ac:dyDescent="0.2">
      <c r="B20" s="124"/>
      <c r="C20" s="128" t="s">
        <v>107</v>
      </c>
      <c r="D20" s="118"/>
    </row>
    <row r="21" spans="2:4" x14ac:dyDescent="0.2">
      <c r="B21" s="124"/>
      <c r="C21" s="129" t="s">
        <v>108</v>
      </c>
      <c r="D21" s="118"/>
    </row>
    <row r="22" spans="2:4" x14ac:dyDescent="0.2">
      <c r="B22" s="124"/>
      <c r="C22" s="130" t="s">
        <v>109</v>
      </c>
      <c r="D22" s="118"/>
    </row>
    <row r="23" spans="2:4" x14ac:dyDescent="0.2">
      <c r="B23" s="131"/>
      <c r="C23" s="132" t="s">
        <v>110</v>
      </c>
      <c r="D23" s="118"/>
    </row>
    <row r="24" spans="2:4" x14ac:dyDescent="0.2">
      <c r="B24" s="131"/>
      <c r="C24" s="133" t="s">
        <v>111</v>
      </c>
      <c r="D24" s="118"/>
    </row>
    <row r="25" spans="2:4" x14ac:dyDescent="0.2">
      <c r="B25" s="131"/>
      <c r="C25" s="134" t="s">
        <v>112</v>
      </c>
      <c r="D25" s="118"/>
    </row>
    <row r="26" spans="2:4" x14ac:dyDescent="0.2">
      <c r="B26" s="131"/>
      <c r="C26" s="135" t="s">
        <v>113</v>
      </c>
      <c r="D26" s="118"/>
    </row>
    <row r="27" spans="2:4" x14ac:dyDescent="0.2">
      <c r="B27" s="136"/>
      <c r="C27" s="137"/>
      <c r="D27" s="122"/>
    </row>
    <row r="29" spans="2:4" x14ac:dyDescent="0.2">
      <c r="B29" s="112" t="s">
        <v>114</v>
      </c>
      <c r="C29" s="123"/>
      <c r="D29" s="113"/>
    </row>
    <row r="30" spans="2:4" x14ac:dyDescent="0.2">
      <c r="B30" s="206" t="s">
        <v>122</v>
      </c>
      <c r="C30" s="207"/>
      <c r="D30" s="208"/>
    </row>
    <row r="31" spans="2:4" x14ac:dyDescent="0.2">
      <c r="B31" s="206"/>
      <c r="C31" s="207"/>
      <c r="D31" s="208"/>
    </row>
    <row r="32" spans="2:4" x14ac:dyDescent="0.2">
      <c r="B32" s="206"/>
      <c r="C32" s="207"/>
      <c r="D32" s="208"/>
    </row>
    <row r="33" spans="2:4" x14ac:dyDescent="0.2">
      <c r="B33" s="206"/>
      <c r="C33" s="207"/>
      <c r="D33" s="208"/>
    </row>
    <row r="34" spans="2:4" x14ac:dyDescent="0.2">
      <c r="B34" s="206"/>
      <c r="C34" s="207"/>
      <c r="D34" s="208"/>
    </row>
    <row r="35" spans="2:4" x14ac:dyDescent="0.2">
      <c r="B35" s="206"/>
      <c r="C35" s="207"/>
      <c r="D35" s="208"/>
    </row>
    <row r="36" spans="2:4" x14ac:dyDescent="0.2">
      <c r="B36" s="206"/>
      <c r="C36" s="207"/>
      <c r="D36" s="208"/>
    </row>
    <row r="37" spans="2:4" x14ac:dyDescent="0.2">
      <c r="B37" s="206"/>
      <c r="C37" s="207"/>
      <c r="D37" s="208"/>
    </row>
    <row r="38" spans="2:4" x14ac:dyDescent="0.2">
      <c r="B38" s="206"/>
      <c r="C38" s="207"/>
      <c r="D38" s="208"/>
    </row>
    <row r="39" spans="2:4" x14ac:dyDescent="0.2">
      <c r="B39" s="209"/>
      <c r="C39" s="210"/>
      <c r="D39" s="211"/>
    </row>
  </sheetData>
  <mergeCells count="1">
    <mergeCell ref="B30:D39"/>
  </mergeCells>
  <pageMargins left="0.75" right="0.75" top="1" bottom="1" header="0.5" footer="0.5"/>
  <pageSetup paperSize="9" orientation="portrait" horizontalDpi="4294967292" verticalDpi="4294967292"/>
  <ignoredErrors>
    <ignoredError sqref="C5" emptyCellReferenc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113"/>
  <sheetViews>
    <sheetView workbookViewId="0">
      <selection activeCell="B8" sqref="B8"/>
    </sheetView>
  </sheetViews>
  <sheetFormatPr baseColWidth="10" defaultRowHeight="16" x14ac:dyDescent="0.2"/>
  <cols>
    <col min="1" max="1" width="10.83203125" style="111"/>
    <col min="2" max="2" width="18.6640625" style="111" customWidth="1"/>
    <col min="3" max="3" width="59.5" style="141" customWidth="1"/>
    <col min="4" max="16384" width="10.83203125" style="111"/>
  </cols>
  <sheetData>
    <row r="2" spans="2:4" ht="21" x14ac:dyDescent="0.25">
      <c r="B2" s="110" t="s">
        <v>118</v>
      </c>
    </row>
    <row r="4" spans="2:4" x14ac:dyDescent="0.2">
      <c r="B4" s="142" t="s">
        <v>95</v>
      </c>
      <c r="C4" s="143" t="s">
        <v>119</v>
      </c>
      <c r="D4" s="144" t="s">
        <v>120</v>
      </c>
    </row>
    <row r="5" spans="2:4" x14ac:dyDescent="0.2">
      <c r="B5" s="145"/>
      <c r="C5" s="146"/>
      <c r="D5" s="147"/>
    </row>
    <row r="6" spans="2:4" x14ac:dyDescent="0.2">
      <c r="B6" s="148">
        <v>42369</v>
      </c>
      <c r="C6" s="163" t="s">
        <v>121</v>
      </c>
      <c r="D6" s="150">
        <v>1</v>
      </c>
    </row>
    <row r="7" spans="2:4" x14ac:dyDescent="0.2">
      <c r="B7" s="151">
        <v>42387</v>
      </c>
      <c r="C7" s="163" t="s">
        <v>185</v>
      </c>
      <c r="D7" s="150">
        <v>2</v>
      </c>
    </row>
    <row r="8" spans="2:4" x14ac:dyDescent="0.2">
      <c r="B8" s="151"/>
      <c r="C8" s="149"/>
      <c r="D8" s="150"/>
    </row>
    <row r="9" spans="2:4" x14ac:dyDescent="0.2">
      <c r="B9" s="151"/>
      <c r="C9" s="149"/>
      <c r="D9" s="150"/>
    </row>
    <row r="10" spans="2:4" x14ac:dyDescent="0.2">
      <c r="B10" s="152"/>
      <c r="C10" s="153"/>
      <c r="D10" s="150"/>
    </row>
    <row r="11" spans="2:4" x14ac:dyDescent="0.2">
      <c r="B11" s="152"/>
      <c r="C11" s="153"/>
      <c r="D11" s="150"/>
    </row>
    <row r="12" spans="2:4" x14ac:dyDescent="0.2">
      <c r="B12" s="152"/>
      <c r="C12" s="153"/>
      <c r="D12" s="150"/>
    </row>
    <row r="13" spans="2:4" x14ac:dyDescent="0.2">
      <c r="B13" s="152"/>
      <c r="C13" s="153"/>
      <c r="D13" s="150"/>
    </row>
    <row r="14" spans="2:4" x14ac:dyDescent="0.2">
      <c r="B14" s="152"/>
      <c r="C14" s="153"/>
      <c r="D14" s="150"/>
    </row>
    <row r="15" spans="2:4" x14ac:dyDescent="0.2">
      <c r="B15" s="152"/>
      <c r="C15" s="153"/>
      <c r="D15" s="150"/>
    </row>
    <row r="16" spans="2:4" x14ac:dyDescent="0.2">
      <c r="B16" s="152"/>
      <c r="C16" s="153"/>
      <c r="D16" s="150"/>
    </row>
    <row r="17" spans="2:4" x14ac:dyDescent="0.2">
      <c r="B17" s="152"/>
      <c r="C17" s="153"/>
      <c r="D17" s="150"/>
    </row>
    <row r="18" spans="2:4" x14ac:dyDescent="0.2">
      <c r="B18" s="152"/>
      <c r="C18" s="153"/>
      <c r="D18" s="150"/>
    </row>
    <row r="19" spans="2:4" x14ac:dyDescent="0.2">
      <c r="B19" s="152"/>
      <c r="C19" s="153"/>
      <c r="D19" s="150"/>
    </row>
    <row r="20" spans="2:4" x14ac:dyDescent="0.2">
      <c r="B20" s="152"/>
      <c r="C20" s="153"/>
      <c r="D20" s="150"/>
    </row>
    <row r="21" spans="2:4" x14ac:dyDescent="0.2">
      <c r="B21" s="152"/>
      <c r="C21" s="153"/>
      <c r="D21" s="150"/>
    </row>
    <row r="22" spans="2:4" x14ac:dyDescent="0.2">
      <c r="B22" s="152"/>
      <c r="C22" s="153"/>
      <c r="D22" s="150"/>
    </row>
    <row r="23" spans="2:4" x14ac:dyDescent="0.2">
      <c r="B23" s="152"/>
      <c r="C23" s="153"/>
      <c r="D23" s="150"/>
    </row>
    <row r="24" spans="2:4" x14ac:dyDescent="0.2">
      <c r="B24" s="152"/>
      <c r="C24" s="153"/>
      <c r="D24" s="150"/>
    </row>
    <row r="25" spans="2:4" x14ac:dyDescent="0.2">
      <c r="B25" s="152"/>
      <c r="C25" s="153"/>
      <c r="D25" s="150"/>
    </row>
    <row r="26" spans="2:4" x14ac:dyDescent="0.2">
      <c r="B26" s="152"/>
      <c r="C26" s="153"/>
      <c r="D26" s="150"/>
    </row>
    <row r="27" spans="2:4" x14ac:dyDescent="0.2">
      <c r="B27" s="152"/>
      <c r="C27" s="153"/>
      <c r="D27" s="150"/>
    </row>
    <row r="28" spans="2:4" x14ac:dyDescent="0.2">
      <c r="B28" s="152"/>
      <c r="C28" s="153"/>
      <c r="D28" s="150"/>
    </row>
    <row r="29" spans="2:4" x14ac:dyDescent="0.2">
      <c r="B29" s="152"/>
      <c r="C29" s="153"/>
      <c r="D29" s="150"/>
    </row>
    <row r="30" spans="2:4" x14ac:dyDescent="0.2">
      <c r="B30" s="152"/>
      <c r="C30" s="153"/>
      <c r="D30" s="150"/>
    </row>
    <row r="31" spans="2:4" x14ac:dyDescent="0.2">
      <c r="B31" s="152"/>
      <c r="C31" s="153"/>
      <c r="D31" s="150"/>
    </row>
    <row r="32" spans="2:4" x14ac:dyDescent="0.2">
      <c r="B32" s="154"/>
      <c r="C32" s="153"/>
      <c r="D32" s="150"/>
    </row>
    <row r="33" spans="2:4" x14ac:dyDescent="0.2">
      <c r="B33" s="152"/>
      <c r="C33" s="153"/>
      <c r="D33" s="150"/>
    </row>
    <row r="34" spans="2:4" x14ac:dyDescent="0.2">
      <c r="B34" s="152"/>
      <c r="C34" s="153"/>
      <c r="D34" s="150"/>
    </row>
    <row r="35" spans="2:4" x14ac:dyDescent="0.2">
      <c r="B35" s="152"/>
      <c r="C35" s="153"/>
      <c r="D35" s="150"/>
    </row>
    <row r="36" spans="2:4" x14ac:dyDescent="0.2">
      <c r="B36" s="152"/>
      <c r="C36" s="153"/>
      <c r="D36" s="150"/>
    </row>
    <row r="37" spans="2:4" x14ac:dyDescent="0.2">
      <c r="B37" s="152"/>
      <c r="C37" s="153"/>
      <c r="D37" s="150"/>
    </row>
    <row r="38" spans="2:4" x14ac:dyDescent="0.2">
      <c r="B38" s="152"/>
      <c r="C38" s="153"/>
      <c r="D38" s="150"/>
    </row>
    <row r="39" spans="2:4" x14ac:dyDescent="0.2">
      <c r="B39" s="152"/>
      <c r="C39" s="153"/>
      <c r="D39" s="150"/>
    </row>
    <row r="40" spans="2:4" x14ac:dyDescent="0.2">
      <c r="B40" s="155"/>
      <c r="C40" s="153"/>
      <c r="D40" s="150"/>
    </row>
    <row r="41" spans="2:4" x14ac:dyDescent="0.2">
      <c r="B41" s="152"/>
      <c r="C41" s="153"/>
      <c r="D41" s="150"/>
    </row>
    <row r="42" spans="2:4" x14ac:dyDescent="0.2">
      <c r="B42" s="155"/>
      <c r="C42" s="153"/>
      <c r="D42" s="150"/>
    </row>
    <row r="43" spans="2:4" x14ac:dyDescent="0.2">
      <c r="B43" s="155"/>
      <c r="C43" s="156"/>
      <c r="D43" s="157"/>
    </row>
    <row r="44" spans="2:4" x14ac:dyDescent="0.2">
      <c r="B44" s="155"/>
      <c r="C44" s="153"/>
      <c r="D44" s="150"/>
    </row>
    <row r="45" spans="2:4" x14ac:dyDescent="0.2">
      <c r="B45" s="152"/>
      <c r="C45" s="153"/>
      <c r="D45" s="150"/>
    </row>
    <row r="46" spans="2:4" x14ac:dyDescent="0.2">
      <c r="B46" s="152"/>
      <c r="C46" s="153"/>
      <c r="D46" s="150"/>
    </row>
    <row r="47" spans="2:4" x14ac:dyDescent="0.2">
      <c r="B47" s="152"/>
      <c r="C47" s="153"/>
      <c r="D47" s="150"/>
    </row>
    <row r="48" spans="2:4" x14ac:dyDescent="0.2">
      <c r="B48" s="158"/>
      <c r="C48" s="159"/>
      <c r="D48" s="160"/>
    </row>
    <row r="49" spans="2:4" x14ac:dyDescent="0.2">
      <c r="B49" s="161"/>
      <c r="D49" s="162"/>
    </row>
    <row r="50" spans="2:4" x14ac:dyDescent="0.2">
      <c r="B50" s="161"/>
      <c r="D50" s="162"/>
    </row>
    <row r="51" spans="2:4" x14ac:dyDescent="0.2">
      <c r="B51" s="161"/>
      <c r="D51" s="162"/>
    </row>
    <row r="52" spans="2:4" x14ac:dyDescent="0.2">
      <c r="B52" s="161"/>
      <c r="D52" s="162"/>
    </row>
    <row r="53" spans="2:4" x14ac:dyDescent="0.2">
      <c r="B53" s="161"/>
      <c r="D53" s="162"/>
    </row>
    <row r="54" spans="2:4" x14ac:dyDescent="0.2">
      <c r="B54" s="161"/>
      <c r="D54" s="162"/>
    </row>
    <row r="55" spans="2:4" x14ac:dyDescent="0.2">
      <c r="B55" s="161"/>
      <c r="D55" s="162"/>
    </row>
    <row r="56" spans="2:4" x14ac:dyDescent="0.2">
      <c r="B56" s="161"/>
      <c r="D56" s="161"/>
    </row>
    <row r="57" spans="2:4" x14ac:dyDescent="0.2">
      <c r="B57" s="161"/>
      <c r="D57" s="161"/>
    </row>
    <row r="58" spans="2:4" x14ac:dyDescent="0.2">
      <c r="B58" s="161"/>
      <c r="D58" s="161"/>
    </row>
    <row r="59" spans="2:4" x14ac:dyDescent="0.2">
      <c r="B59" s="161"/>
      <c r="D59" s="161"/>
    </row>
    <row r="60" spans="2:4" x14ac:dyDescent="0.2">
      <c r="B60" s="161"/>
      <c r="D60" s="161"/>
    </row>
    <row r="61" spans="2:4" x14ac:dyDescent="0.2">
      <c r="B61" s="161"/>
      <c r="D61" s="161"/>
    </row>
    <row r="62" spans="2:4" x14ac:dyDescent="0.2">
      <c r="B62" s="161"/>
      <c r="D62" s="161"/>
    </row>
    <row r="63" spans="2:4" x14ac:dyDescent="0.2">
      <c r="B63" s="161"/>
      <c r="D63" s="161"/>
    </row>
    <row r="64" spans="2:4" x14ac:dyDescent="0.2">
      <c r="B64" s="161"/>
      <c r="D64" s="161"/>
    </row>
    <row r="65" spans="2:4" x14ac:dyDescent="0.2">
      <c r="B65" s="161"/>
      <c r="D65" s="161"/>
    </row>
    <row r="66" spans="2:4" x14ac:dyDescent="0.2">
      <c r="B66" s="161"/>
      <c r="D66" s="161"/>
    </row>
    <row r="67" spans="2:4" x14ac:dyDescent="0.2">
      <c r="B67" s="161"/>
      <c r="D67" s="161"/>
    </row>
    <row r="68" spans="2:4" x14ac:dyDescent="0.2">
      <c r="B68" s="161"/>
      <c r="D68" s="161"/>
    </row>
    <row r="69" spans="2:4" x14ac:dyDescent="0.2">
      <c r="B69" s="161"/>
      <c r="D69" s="161"/>
    </row>
    <row r="70" spans="2:4" x14ac:dyDescent="0.2">
      <c r="B70" s="161"/>
      <c r="D70" s="161"/>
    </row>
    <row r="71" spans="2:4" x14ac:dyDescent="0.2">
      <c r="B71" s="161"/>
      <c r="D71" s="161"/>
    </row>
    <row r="72" spans="2:4" x14ac:dyDescent="0.2">
      <c r="B72" s="161"/>
      <c r="D72" s="161"/>
    </row>
    <row r="73" spans="2:4" x14ac:dyDescent="0.2">
      <c r="B73" s="161"/>
      <c r="D73" s="161"/>
    </row>
    <row r="74" spans="2:4" x14ac:dyDescent="0.2">
      <c r="B74" s="161"/>
      <c r="D74" s="161"/>
    </row>
    <row r="75" spans="2:4" x14ac:dyDescent="0.2">
      <c r="B75" s="161"/>
      <c r="D75" s="161"/>
    </row>
    <row r="76" spans="2:4" x14ac:dyDescent="0.2">
      <c r="B76" s="161"/>
      <c r="D76" s="161"/>
    </row>
    <row r="77" spans="2:4" x14ac:dyDescent="0.2">
      <c r="B77" s="161"/>
      <c r="D77" s="161"/>
    </row>
    <row r="78" spans="2:4" x14ac:dyDescent="0.2">
      <c r="B78" s="161"/>
      <c r="D78" s="161"/>
    </row>
    <row r="79" spans="2:4" x14ac:dyDescent="0.2">
      <c r="B79" s="161"/>
      <c r="D79" s="161"/>
    </row>
    <row r="80" spans="2:4" x14ac:dyDescent="0.2">
      <c r="B80" s="161"/>
      <c r="D80" s="161"/>
    </row>
    <row r="81" spans="2:4" x14ac:dyDescent="0.2">
      <c r="B81" s="161"/>
      <c r="D81" s="161"/>
    </row>
    <row r="82" spans="2:4" x14ac:dyDescent="0.2">
      <c r="B82" s="161"/>
      <c r="D82" s="161"/>
    </row>
    <row r="83" spans="2:4" x14ac:dyDescent="0.2">
      <c r="B83" s="161"/>
      <c r="D83" s="161"/>
    </row>
    <row r="84" spans="2:4" x14ac:dyDescent="0.2">
      <c r="B84" s="161"/>
      <c r="D84" s="161"/>
    </row>
    <row r="85" spans="2:4" x14ac:dyDescent="0.2">
      <c r="B85" s="161"/>
      <c r="D85" s="161"/>
    </row>
    <row r="86" spans="2:4" x14ac:dyDescent="0.2">
      <c r="B86" s="161"/>
      <c r="D86" s="161"/>
    </row>
    <row r="87" spans="2:4" x14ac:dyDescent="0.2">
      <c r="D87" s="161"/>
    </row>
    <row r="88" spans="2:4" x14ac:dyDescent="0.2">
      <c r="D88" s="161"/>
    </row>
    <row r="89" spans="2:4" x14ac:dyDescent="0.2">
      <c r="D89" s="161"/>
    </row>
    <row r="90" spans="2:4" x14ac:dyDescent="0.2">
      <c r="D90" s="161"/>
    </row>
    <row r="91" spans="2:4" x14ac:dyDescent="0.2">
      <c r="D91" s="161"/>
    </row>
    <row r="92" spans="2:4" x14ac:dyDescent="0.2">
      <c r="D92" s="161"/>
    </row>
    <row r="93" spans="2:4" x14ac:dyDescent="0.2">
      <c r="D93" s="161"/>
    </row>
    <row r="94" spans="2:4" x14ac:dyDescent="0.2">
      <c r="D94" s="161"/>
    </row>
    <row r="95" spans="2:4" x14ac:dyDescent="0.2">
      <c r="D95" s="161"/>
    </row>
    <row r="96" spans="2:4" x14ac:dyDescent="0.2">
      <c r="D96" s="161"/>
    </row>
    <row r="97" spans="4:4" x14ac:dyDescent="0.2">
      <c r="D97" s="161"/>
    </row>
    <row r="98" spans="4:4" x14ac:dyDescent="0.2">
      <c r="D98" s="161"/>
    </row>
    <row r="99" spans="4:4" x14ac:dyDescent="0.2">
      <c r="D99" s="161"/>
    </row>
    <row r="100" spans="4:4" x14ac:dyDescent="0.2">
      <c r="D100" s="161"/>
    </row>
    <row r="101" spans="4:4" x14ac:dyDescent="0.2">
      <c r="D101" s="161"/>
    </row>
    <row r="102" spans="4:4" x14ac:dyDescent="0.2">
      <c r="D102" s="161"/>
    </row>
    <row r="103" spans="4:4" x14ac:dyDescent="0.2">
      <c r="D103" s="161"/>
    </row>
    <row r="104" spans="4:4" x14ac:dyDescent="0.2">
      <c r="D104" s="161"/>
    </row>
    <row r="105" spans="4:4" x14ac:dyDescent="0.2">
      <c r="D105" s="161"/>
    </row>
    <row r="106" spans="4:4" x14ac:dyDescent="0.2">
      <c r="D106" s="161"/>
    </row>
    <row r="107" spans="4:4" x14ac:dyDescent="0.2">
      <c r="D107" s="161"/>
    </row>
    <row r="108" spans="4:4" x14ac:dyDescent="0.2">
      <c r="D108" s="161"/>
    </row>
    <row r="109" spans="4:4" x14ac:dyDescent="0.2">
      <c r="D109" s="161"/>
    </row>
    <row r="110" spans="4:4" x14ac:dyDescent="0.2">
      <c r="D110" s="161"/>
    </row>
    <row r="111" spans="4:4" x14ac:dyDescent="0.2">
      <c r="D111" s="161"/>
    </row>
    <row r="112" spans="4:4" x14ac:dyDescent="0.2">
      <c r="D112" s="161"/>
    </row>
    <row r="113" spans="4:4" x14ac:dyDescent="0.2">
      <c r="D113" s="161"/>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5"/>
  <sheetViews>
    <sheetView workbookViewId="0">
      <selection activeCell="C19" sqref="C19"/>
    </sheetView>
  </sheetViews>
  <sheetFormatPr baseColWidth="10" defaultRowHeight="16" x14ac:dyDescent="0.2"/>
  <cols>
    <col min="1" max="1" width="2.6640625" style="3" customWidth="1"/>
    <col min="2" max="2" width="3.1640625" style="165" customWidth="1"/>
    <col min="3" max="3" width="2.33203125" style="3" customWidth="1"/>
    <col min="4" max="16384" width="10.83203125" style="3"/>
  </cols>
  <sheetData>
    <row r="2" spans="2:4" x14ac:dyDescent="0.2">
      <c r="B2" s="165" t="s">
        <v>197</v>
      </c>
    </row>
    <row r="4" spans="2:4" x14ac:dyDescent="0.2">
      <c r="B4" s="91" t="s">
        <v>126</v>
      </c>
    </row>
    <row r="6" spans="2:4" x14ac:dyDescent="0.2">
      <c r="B6" s="165">
        <v>1</v>
      </c>
      <c r="C6" s="3" t="s">
        <v>154</v>
      </c>
    </row>
    <row r="7" spans="2:4" x14ac:dyDescent="0.2">
      <c r="C7" s="3" t="s">
        <v>123</v>
      </c>
      <c r="D7" s="3" t="s">
        <v>124</v>
      </c>
    </row>
    <row r="8" spans="2:4" x14ac:dyDescent="0.2">
      <c r="C8" s="3" t="s">
        <v>123</v>
      </c>
      <c r="D8" s="3" t="s">
        <v>125</v>
      </c>
    </row>
    <row r="9" spans="2:4" x14ac:dyDescent="0.2">
      <c r="C9" s="3" t="s">
        <v>123</v>
      </c>
      <c r="D9" s="3" t="s">
        <v>127</v>
      </c>
    </row>
    <row r="10" spans="2:4" x14ac:dyDescent="0.2">
      <c r="B10" s="165">
        <v>2</v>
      </c>
      <c r="C10" s="3" t="s">
        <v>155</v>
      </c>
    </row>
    <row r="11" spans="2:4" x14ac:dyDescent="0.2">
      <c r="B11" s="165">
        <v>3</v>
      </c>
      <c r="C11" s="3" t="s">
        <v>196</v>
      </c>
    </row>
    <row r="12" spans="2:4" x14ac:dyDescent="0.2">
      <c r="B12" s="165">
        <v>4</v>
      </c>
      <c r="C12" s="3" t="s">
        <v>198</v>
      </c>
    </row>
    <row r="14" spans="2:4" x14ac:dyDescent="0.2">
      <c r="B14" s="91" t="s">
        <v>161</v>
      </c>
    </row>
    <row r="16" spans="2:4" x14ac:dyDescent="0.2">
      <c r="B16" s="165">
        <v>1</v>
      </c>
      <c r="C16" s="3" t="s">
        <v>162</v>
      </c>
    </row>
    <row r="17" spans="2:3" x14ac:dyDescent="0.2">
      <c r="B17" s="165">
        <v>2</v>
      </c>
      <c r="C17" s="3" t="s">
        <v>172</v>
      </c>
    </row>
    <row r="18" spans="2:3" x14ac:dyDescent="0.2">
      <c r="B18" s="165">
        <v>3</v>
      </c>
      <c r="C18" s="3" t="s">
        <v>163</v>
      </c>
    </row>
    <row r="19" spans="2:3" x14ac:dyDescent="0.2">
      <c r="B19" s="165">
        <v>4</v>
      </c>
      <c r="C19" s="3" t="s">
        <v>164</v>
      </c>
    </row>
    <row r="20" spans="2:3" x14ac:dyDescent="0.2">
      <c r="B20" s="165">
        <v>5</v>
      </c>
      <c r="C20" s="3" t="s">
        <v>166</v>
      </c>
    </row>
    <row r="21" spans="2:3" x14ac:dyDescent="0.2">
      <c r="B21" s="165">
        <v>6</v>
      </c>
      <c r="C21" s="3" t="s">
        <v>165</v>
      </c>
    </row>
    <row r="23" spans="2:3" x14ac:dyDescent="0.2">
      <c r="B23" s="91" t="s">
        <v>167</v>
      </c>
    </row>
    <row r="25" spans="2:3" x14ac:dyDescent="0.2">
      <c r="C25" s="3" t="s">
        <v>168</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8" tint="0.39997558519241921"/>
  </sheetPr>
  <dimension ref="B2:P80"/>
  <sheetViews>
    <sheetView tabSelected="1" zoomScale="85" workbookViewId="0">
      <pane xSplit="4" ySplit="14" topLeftCell="E15" activePane="bottomRight" state="frozen"/>
      <selection pane="topRight" activeCell="E1" sqref="E1"/>
      <selection pane="bottomLeft" activeCell="A15" sqref="A15"/>
      <selection pane="bottomRight" activeCell="E32" sqref="E32"/>
    </sheetView>
  </sheetViews>
  <sheetFormatPr baseColWidth="10" defaultRowHeight="16" x14ac:dyDescent="0.2"/>
  <cols>
    <col min="1" max="1" width="10.83203125" style="3"/>
    <col min="2" max="2" width="31" style="3" customWidth="1"/>
    <col min="3" max="3" width="41.5" style="3" bestFit="1" customWidth="1"/>
    <col min="4" max="4" width="16.83203125" style="3" customWidth="1"/>
    <col min="5" max="11" width="21.6640625" style="3" customWidth="1"/>
    <col min="12" max="12" width="17.5" style="3" customWidth="1"/>
    <col min="13" max="13" width="19.83203125" style="3" customWidth="1"/>
    <col min="14" max="14" width="22.6640625" style="3" customWidth="1"/>
    <col min="15" max="15" width="10.83203125" style="3"/>
    <col min="16" max="16" width="23.5" style="3" customWidth="1"/>
    <col min="17" max="16384" width="10.83203125" style="3"/>
  </cols>
  <sheetData>
    <row r="2" spans="2:15" ht="21" x14ac:dyDescent="0.25">
      <c r="B2" s="1" t="s">
        <v>0</v>
      </c>
      <c r="C2" s="2"/>
      <c r="D2" s="2"/>
      <c r="E2" s="2"/>
      <c r="F2" s="2"/>
      <c r="G2" s="2"/>
      <c r="H2" s="2"/>
      <c r="I2" s="2"/>
      <c r="J2" s="2"/>
      <c r="K2" s="2"/>
      <c r="L2" s="2"/>
    </row>
    <row r="3" spans="2:15" x14ac:dyDescent="0.2">
      <c r="E3" s="2"/>
      <c r="F3" s="2"/>
      <c r="G3" s="2"/>
      <c r="H3" s="2"/>
      <c r="I3" s="2"/>
      <c r="J3" s="2"/>
      <c r="K3" s="2"/>
      <c r="L3" s="2"/>
    </row>
    <row r="4" spans="2:15" x14ac:dyDescent="0.2">
      <c r="B4" s="4" t="s">
        <v>1</v>
      </c>
      <c r="C4" s="5"/>
      <c r="D4" s="5"/>
      <c r="E4" s="5"/>
      <c r="F4" s="5"/>
      <c r="G4" s="6"/>
      <c r="H4" s="2"/>
      <c r="I4" s="2"/>
      <c r="J4" s="2"/>
      <c r="K4" s="2"/>
      <c r="L4" s="2"/>
    </row>
    <row r="5" spans="2:15" ht="30" customHeight="1" x14ac:dyDescent="0.2">
      <c r="B5" s="212" t="s">
        <v>184</v>
      </c>
      <c r="C5" s="213"/>
      <c r="D5" s="213"/>
      <c r="E5" s="213"/>
      <c r="F5" s="213"/>
      <c r="G5" s="214"/>
      <c r="H5" s="2"/>
      <c r="I5" s="2"/>
      <c r="J5" s="2"/>
      <c r="K5" s="2"/>
      <c r="L5" s="2"/>
    </row>
    <row r="6" spans="2:15" ht="17" thickBot="1" x14ac:dyDescent="0.25">
      <c r="B6" s="2"/>
      <c r="C6" s="2"/>
      <c r="D6" s="2"/>
      <c r="E6" s="2"/>
      <c r="F6" s="2"/>
      <c r="G6" s="2"/>
      <c r="H6" s="2"/>
      <c r="I6" s="2"/>
      <c r="J6" s="2"/>
      <c r="K6" s="2"/>
      <c r="L6" s="2"/>
    </row>
    <row r="7" spans="2:15" x14ac:dyDescent="0.2">
      <c r="B7" s="7" t="s">
        <v>0</v>
      </c>
      <c r="C7" s="8"/>
      <c r="D7" s="8"/>
      <c r="E7" s="8"/>
      <c r="F7" s="8"/>
      <c r="G7" s="8"/>
      <c r="H7" s="8"/>
      <c r="I7" s="8"/>
      <c r="J7" s="8"/>
      <c r="K7" s="9"/>
      <c r="L7" s="2"/>
      <c r="M7" s="100"/>
      <c r="N7" s="8"/>
      <c r="O7" s="9"/>
    </row>
    <row r="8" spans="2:15" x14ac:dyDescent="0.2">
      <c r="B8" s="10"/>
      <c r="C8" s="2"/>
      <c r="D8" s="2"/>
      <c r="E8" s="2"/>
      <c r="F8" s="2"/>
      <c r="G8" s="2"/>
      <c r="H8" s="2"/>
      <c r="I8" s="2"/>
      <c r="J8" s="2"/>
      <c r="K8" s="11"/>
      <c r="L8" s="2"/>
      <c r="M8" s="10"/>
      <c r="N8" s="2"/>
      <c r="O8" s="11"/>
    </row>
    <row r="9" spans="2:15" ht="65" customHeight="1" x14ac:dyDescent="0.2">
      <c r="B9" s="12" t="s">
        <v>2</v>
      </c>
      <c r="C9" s="13" t="s">
        <v>3</v>
      </c>
      <c r="D9" s="14" t="s">
        <v>4</v>
      </c>
      <c r="E9" s="15" t="s">
        <v>5</v>
      </c>
      <c r="F9" s="15" t="s">
        <v>6</v>
      </c>
      <c r="G9" s="15" t="s">
        <v>7</v>
      </c>
      <c r="H9" s="15" t="s">
        <v>8</v>
      </c>
      <c r="I9" s="15" t="s">
        <v>9</v>
      </c>
      <c r="J9" s="15" t="s">
        <v>10</v>
      </c>
      <c r="K9" s="16" t="s">
        <v>11</v>
      </c>
      <c r="L9" s="25"/>
      <c r="M9" s="101" t="s">
        <v>86</v>
      </c>
      <c r="N9" s="102" t="s">
        <v>87</v>
      </c>
      <c r="O9" s="103" t="s">
        <v>88</v>
      </c>
    </row>
    <row r="10" spans="2:15" x14ac:dyDescent="0.2">
      <c r="B10" s="17" t="s">
        <v>12</v>
      </c>
      <c r="C10" s="18"/>
      <c r="D10" s="18"/>
      <c r="E10" s="19"/>
      <c r="F10" s="19"/>
      <c r="G10" s="19"/>
      <c r="H10" s="19"/>
      <c r="I10" s="19"/>
      <c r="J10" s="19"/>
      <c r="K10" s="20"/>
      <c r="L10" s="92"/>
      <c r="M10" s="10"/>
      <c r="N10" s="2"/>
      <c r="O10" s="11"/>
    </row>
    <row r="11" spans="2:15" s="23" customFormat="1" x14ac:dyDescent="0.2">
      <c r="B11" s="21"/>
      <c r="C11" s="22" t="s">
        <v>13</v>
      </c>
      <c r="D11" s="22"/>
      <c r="E11" s="57">
        <v>10224</v>
      </c>
      <c r="F11" s="58">
        <v>2574</v>
      </c>
      <c r="G11" s="203">
        <v>35</v>
      </c>
      <c r="H11" s="203">
        <v>0</v>
      </c>
      <c r="I11" s="203">
        <v>110</v>
      </c>
      <c r="J11" s="58">
        <v>1046</v>
      </c>
      <c r="K11" s="59">
        <v>0</v>
      </c>
      <c r="L11" s="94"/>
      <c r="M11" s="21"/>
      <c r="N11" s="104"/>
      <c r="O11" s="105"/>
    </row>
    <row r="12" spans="2:15" x14ac:dyDescent="0.2">
      <c r="B12" s="24"/>
      <c r="C12" s="25"/>
      <c r="D12" s="25"/>
      <c r="E12" s="60"/>
      <c r="F12" s="60"/>
      <c r="G12" s="60"/>
      <c r="H12" s="60"/>
      <c r="I12" s="60"/>
      <c r="J12" s="60"/>
      <c r="K12" s="61"/>
      <c r="L12" s="60"/>
      <c r="M12" s="10"/>
      <c r="N12" s="2"/>
      <c r="O12" s="11"/>
    </row>
    <row r="13" spans="2:15" x14ac:dyDescent="0.2">
      <c r="B13" s="12"/>
      <c r="C13" s="26"/>
      <c r="D13" s="26" t="s">
        <v>200</v>
      </c>
      <c r="E13" s="36">
        <f>E11-E51</f>
        <v>10022.268130841474</v>
      </c>
      <c r="F13" s="36"/>
      <c r="G13" s="36"/>
      <c r="H13" s="36"/>
      <c r="I13" s="36"/>
      <c r="J13" s="36"/>
      <c r="K13" s="37"/>
      <c r="L13" s="93"/>
      <c r="M13" s="10"/>
      <c r="N13" s="2"/>
      <c r="O13" s="11"/>
    </row>
    <row r="14" spans="2:15" x14ac:dyDescent="0.2">
      <c r="B14" s="17" t="s">
        <v>34</v>
      </c>
      <c r="C14" s="27"/>
      <c r="D14" s="26"/>
      <c r="E14" s="36"/>
      <c r="F14" s="36"/>
      <c r="G14" s="36"/>
      <c r="H14" s="36"/>
      <c r="I14" s="36"/>
      <c r="J14" s="36"/>
      <c r="K14" s="37"/>
      <c r="L14" s="93"/>
      <c r="M14" s="10"/>
      <c r="N14" s="2"/>
      <c r="O14" s="11"/>
    </row>
    <row r="15" spans="2:15" x14ac:dyDescent="0.2">
      <c r="B15" s="24" t="s">
        <v>160</v>
      </c>
      <c r="C15" s="28" t="s">
        <v>35</v>
      </c>
      <c r="D15" s="80">
        <f>E15/SUM($E$15:$K$26)</f>
        <v>0.74266468018604248</v>
      </c>
      <c r="E15" s="90">
        <f>(E13-E23-E38)*4/5</f>
        <v>6971.8145046731788</v>
      </c>
      <c r="F15" s="82"/>
      <c r="G15" s="82"/>
      <c r="H15" s="82"/>
      <c r="I15" s="82"/>
      <c r="J15" s="82"/>
      <c r="K15" s="89"/>
      <c r="L15" s="95">
        <f>SUM(E15:K15)</f>
        <v>6971.8145046731788</v>
      </c>
      <c r="M15" s="10">
        <v>1.0669999999999999</v>
      </c>
      <c r="N15" s="2">
        <f>M15*SUM(E15:K15)</f>
        <v>7438.9260764862811</v>
      </c>
      <c r="O15" s="108">
        <f>N15/SUM($N$15:$N$26)</f>
        <v>0.76335201644258621</v>
      </c>
    </row>
    <row r="16" spans="2:15" x14ac:dyDescent="0.2">
      <c r="B16" s="198">
        <f>SUM(E15:K26)</f>
        <v>9387.5670819927673</v>
      </c>
      <c r="C16" s="28" t="s">
        <v>36</v>
      </c>
      <c r="D16" s="80">
        <f>G16/SUM($E$15:$K$26)</f>
        <v>2.9826684331992264E-3</v>
      </c>
      <c r="E16" s="78"/>
      <c r="F16" s="79"/>
      <c r="G16" s="79">
        <f>0.8*G11</f>
        <v>28</v>
      </c>
      <c r="H16" s="79"/>
      <c r="I16" s="79"/>
      <c r="J16" s="79"/>
      <c r="K16" s="85"/>
      <c r="L16" s="95">
        <f t="shared" ref="L16:L72" si="0">SUM(E16:K16)</f>
        <v>28</v>
      </c>
      <c r="M16" s="10">
        <v>1</v>
      </c>
      <c r="N16" s="2">
        <f t="shared" ref="N16:N55" si="1">M16*SUM(E16:K16)</f>
        <v>28</v>
      </c>
      <c r="O16" s="108">
        <f t="shared" ref="O16:O26" si="2">N16/SUM($N$15:$N$26)</f>
        <v>2.8732449066745116E-3</v>
      </c>
    </row>
    <row r="17" spans="2:15" x14ac:dyDescent="0.2">
      <c r="B17" s="17"/>
      <c r="C17" s="28" t="s">
        <v>37</v>
      </c>
      <c r="D17" s="80">
        <f>F17/SUM($E$15:$K$26)</f>
        <v>1.6492979081960978E-3</v>
      </c>
      <c r="E17" s="78"/>
      <c r="F17" s="79">
        <f>Heatpumps!I28/1000</f>
        <v>15.482894751381217</v>
      </c>
      <c r="G17" s="79"/>
      <c r="H17" s="79"/>
      <c r="I17" s="79"/>
      <c r="J17" s="79"/>
      <c r="K17" s="85"/>
      <c r="L17" s="95">
        <f t="shared" si="0"/>
        <v>15.482894751381217</v>
      </c>
      <c r="M17" s="10">
        <v>4.8000000000000078</v>
      </c>
      <c r="N17" s="2">
        <f t="shared" si="1"/>
        <v>74.317894806629965</v>
      </c>
      <c r="O17" s="108">
        <f t="shared" si="2"/>
        <v>7.6261968831400602E-3</v>
      </c>
    </row>
    <row r="18" spans="2:15" x14ac:dyDescent="0.2">
      <c r="B18" s="17"/>
      <c r="C18" s="28" t="s">
        <v>38</v>
      </c>
      <c r="D18" s="80">
        <f>E18/SUM($E$15:$K$26)</f>
        <v>0</v>
      </c>
      <c r="E18" s="78">
        <v>0</v>
      </c>
      <c r="F18" s="79"/>
      <c r="G18" s="79"/>
      <c r="H18" s="79"/>
      <c r="I18" s="79"/>
      <c r="J18" s="79"/>
      <c r="K18" s="85"/>
      <c r="L18" s="95">
        <f t="shared" si="0"/>
        <v>0</v>
      </c>
      <c r="M18" s="10">
        <v>0.88</v>
      </c>
      <c r="N18" s="2">
        <f t="shared" si="1"/>
        <v>0</v>
      </c>
      <c r="O18" s="108">
        <f t="shared" si="2"/>
        <v>0</v>
      </c>
    </row>
    <row r="19" spans="2:15" x14ac:dyDescent="0.2">
      <c r="B19" s="17"/>
      <c r="C19" s="28" t="s">
        <v>39</v>
      </c>
      <c r="D19" s="80">
        <f>K19/SUM($E$15:$K$26)</f>
        <v>0</v>
      </c>
      <c r="E19" s="78"/>
      <c r="F19" s="79"/>
      <c r="G19" s="79"/>
      <c r="H19" s="79"/>
      <c r="I19" s="79"/>
      <c r="J19" s="79"/>
      <c r="K19" s="85">
        <f>0.8*K11</f>
        <v>0</v>
      </c>
      <c r="L19" s="95">
        <f t="shared" si="0"/>
        <v>0</v>
      </c>
      <c r="M19" s="10">
        <v>1</v>
      </c>
      <c r="N19" s="2">
        <f t="shared" si="1"/>
        <v>0</v>
      </c>
      <c r="O19" s="108">
        <f t="shared" si="2"/>
        <v>0</v>
      </c>
    </row>
    <row r="20" spans="2:15" x14ac:dyDescent="0.2">
      <c r="B20" s="17"/>
      <c r="C20" s="28" t="s">
        <v>40</v>
      </c>
      <c r="D20" s="80">
        <f>F20/SUM($E$15:$K$26)</f>
        <v>7.4732837163441314E-3</v>
      </c>
      <c r="E20" s="78"/>
      <c r="F20" s="79">
        <f>Heatpumps!J28/1000</f>
        <v>70.155952209944743</v>
      </c>
      <c r="G20" s="79"/>
      <c r="H20" s="79"/>
      <c r="I20" s="79"/>
      <c r="J20" s="79"/>
      <c r="K20" s="85"/>
      <c r="L20" s="95">
        <f t="shared" si="0"/>
        <v>70.155952209944743</v>
      </c>
      <c r="M20" s="10">
        <v>4.5000000000000044</v>
      </c>
      <c r="N20" s="2">
        <f t="shared" si="1"/>
        <v>315.70178494475164</v>
      </c>
      <c r="O20" s="108">
        <f t="shared" si="2"/>
        <v>3.239601948644856E-2</v>
      </c>
    </row>
    <row r="21" spans="2:15" x14ac:dyDescent="0.2">
      <c r="B21" s="17"/>
      <c r="C21" s="28" t="s">
        <v>41</v>
      </c>
      <c r="D21" s="80">
        <f>J21/SUM($E$15:$K$26)</f>
        <v>0.11142397075451395</v>
      </c>
      <c r="E21" s="78"/>
      <c r="F21" s="79"/>
      <c r="G21" s="79"/>
      <c r="H21" s="79"/>
      <c r="I21" s="79"/>
      <c r="J21" s="79">
        <f>J11</f>
        <v>1046</v>
      </c>
      <c r="K21" s="85"/>
      <c r="L21" s="95">
        <f t="shared" si="0"/>
        <v>1046</v>
      </c>
      <c r="M21" s="10">
        <v>0.82</v>
      </c>
      <c r="N21" s="2">
        <f t="shared" si="1"/>
        <v>857.71999999999991</v>
      </c>
      <c r="O21" s="108">
        <f t="shared" si="2"/>
        <v>8.8015700762602206E-2</v>
      </c>
    </row>
    <row r="22" spans="2:15" x14ac:dyDescent="0.2">
      <c r="B22" s="17"/>
      <c r="C22" s="28" t="s">
        <v>42</v>
      </c>
      <c r="D22" s="80">
        <f>F22/SUM($E$15:$K$26)</f>
        <v>1.0664502259621643E-2</v>
      </c>
      <c r="E22" s="78"/>
      <c r="F22" s="79">
        <f>Electricity!E38-F20-F17-F26</f>
        <v>100.11373035826162</v>
      </c>
      <c r="G22" s="79"/>
      <c r="H22" s="79"/>
      <c r="I22" s="79"/>
      <c r="J22" s="79"/>
      <c r="K22" s="85"/>
      <c r="L22" s="95">
        <f t="shared" si="0"/>
        <v>100.11373035826162</v>
      </c>
      <c r="M22" s="10">
        <v>1</v>
      </c>
      <c r="N22" s="2">
        <f t="shared" si="1"/>
        <v>100.11373035826162</v>
      </c>
      <c r="O22" s="108">
        <f t="shared" si="2"/>
        <v>1.027325949428788E-2</v>
      </c>
    </row>
    <row r="23" spans="2:15" x14ac:dyDescent="0.2">
      <c r="B23" s="17"/>
      <c r="C23" s="28" t="s">
        <v>43</v>
      </c>
      <c r="D23" s="80">
        <f>E23/SUM($E$15:$K$26)</f>
        <v>0.11142397075451395</v>
      </c>
      <c r="E23" s="78">
        <f>J21</f>
        <v>1046</v>
      </c>
      <c r="F23" s="79"/>
      <c r="G23" s="79"/>
      <c r="H23" s="79"/>
      <c r="I23" s="79"/>
      <c r="J23" s="79"/>
      <c r="K23" s="85"/>
      <c r="L23" s="95">
        <f t="shared" si="0"/>
        <v>1046</v>
      </c>
      <c r="M23" s="10">
        <v>0.8</v>
      </c>
      <c r="N23" s="2">
        <f t="shared" si="1"/>
        <v>836.80000000000007</v>
      </c>
      <c r="O23" s="108">
        <f t="shared" si="2"/>
        <v>8.5868976353758258E-2</v>
      </c>
    </row>
    <row r="24" spans="2:15" x14ac:dyDescent="0.2">
      <c r="B24" s="17"/>
      <c r="C24" s="28" t="s">
        <v>44</v>
      </c>
      <c r="D24" s="80">
        <f>I24/SUM($E$15:$K$26)</f>
        <v>1.1717625987568389E-2</v>
      </c>
      <c r="E24" s="78"/>
      <c r="F24" s="79"/>
      <c r="G24" s="79"/>
      <c r="H24" s="79"/>
      <c r="I24" s="79">
        <f>I11</f>
        <v>110</v>
      </c>
      <c r="J24" s="79"/>
      <c r="K24" s="85"/>
      <c r="L24" s="95">
        <f t="shared" si="0"/>
        <v>110</v>
      </c>
      <c r="M24" s="10">
        <v>0.85</v>
      </c>
      <c r="N24" s="2">
        <f t="shared" si="1"/>
        <v>93.5</v>
      </c>
      <c r="O24" s="108">
        <f t="shared" si="2"/>
        <v>9.5945856705023872E-3</v>
      </c>
    </row>
    <row r="25" spans="2:15" x14ac:dyDescent="0.2">
      <c r="B25" s="17"/>
      <c r="C25" s="28" t="s">
        <v>45</v>
      </c>
      <c r="D25" s="80">
        <f>H25/SUM($E$15:$K$26)</f>
        <v>0</v>
      </c>
      <c r="E25" s="78"/>
      <c r="F25" s="79"/>
      <c r="G25" s="79"/>
      <c r="H25" s="79">
        <f>H11</f>
        <v>0</v>
      </c>
      <c r="I25" s="79"/>
      <c r="J25" s="79"/>
      <c r="K25" s="85"/>
      <c r="L25" s="95">
        <f t="shared" si="0"/>
        <v>0</v>
      </c>
      <c r="M25" s="10">
        <v>0.8</v>
      </c>
      <c r="N25" s="2">
        <f t="shared" si="1"/>
        <v>0</v>
      </c>
      <c r="O25" s="108">
        <f t="shared" si="2"/>
        <v>0</v>
      </c>
    </row>
    <row r="26" spans="2:15" x14ac:dyDescent="0.2">
      <c r="B26" s="17"/>
      <c r="C26" s="29" t="s">
        <v>46</v>
      </c>
      <c r="D26" s="84">
        <f>F26/SUM($E$15:$K$26)</f>
        <v>0</v>
      </c>
      <c r="E26" s="83"/>
      <c r="F26" s="77">
        <v>0</v>
      </c>
      <c r="G26" s="77"/>
      <c r="H26" s="77"/>
      <c r="I26" s="77"/>
      <c r="J26" s="77"/>
      <c r="K26" s="86"/>
      <c r="L26" s="95">
        <f t="shared" si="0"/>
        <v>0</v>
      </c>
      <c r="M26" s="10">
        <v>4.4999999999999947</v>
      </c>
      <c r="N26" s="2">
        <f t="shared" si="1"/>
        <v>0</v>
      </c>
      <c r="O26" s="108">
        <f t="shared" si="2"/>
        <v>0</v>
      </c>
    </row>
    <row r="27" spans="2:15" x14ac:dyDescent="0.2">
      <c r="B27" s="17"/>
      <c r="C27" s="30"/>
      <c r="D27" s="74"/>
      <c r="E27" s="32"/>
      <c r="F27" s="32"/>
      <c r="G27" s="32"/>
      <c r="H27" s="32"/>
      <c r="I27" s="32"/>
      <c r="J27" s="32"/>
      <c r="K27" s="33"/>
      <c r="L27" s="95"/>
      <c r="M27" s="10"/>
      <c r="N27" s="2"/>
      <c r="O27" s="109"/>
    </row>
    <row r="28" spans="2:15" x14ac:dyDescent="0.2">
      <c r="B28" s="34"/>
      <c r="C28" s="35"/>
      <c r="D28" s="75"/>
      <c r="E28" s="36"/>
      <c r="F28" s="36"/>
      <c r="G28" s="36"/>
      <c r="H28" s="36"/>
      <c r="I28" s="36"/>
      <c r="J28" s="36"/>
      <c r="K28" s="37"/>
      <c r="L28" s="95"/>
      <c r="M28" s="10"/>
      <c r="N28" s="2"/>
      <c r="O28" s="109"/>
    </row>
    <row r="29" spans="2:15" x14ac:dyDescent="0.2">
      <c r="B29" s="17" t="s">
        <v>47</v>
      </c>
      <c r="C29" s="35"/>
      <c r="D29" s="75"/>
      <c r="E29" s="62"/>
      <c r="F29" s="62"/>
      <c r="G29" s="62"/>
      <c r="H29" s="62"/>
      <c r="I29" s="62"/>
      <c r="J29" s="62"/>
      <c r="K29" s="63"/>
      <c r="L29" s="95"/>
      <c r="M29" s="10"/>
      <c r="N29" s="2"/>
      <c r="O29" s="109"/>
    </row>
    <row r="30" spans="2:15" x14ac:dyDescent="0.2">
      <c r="B30" s="24" t="s">
        <v>160</v>
      </c>
      <c r="C30" s="28" t="s">
        <v>48</v>
      </c>
      <c r="D30" s="80">
        <f>E30/SUM($E$30:$K$41)</f>
        <v>0.81289396783961521</v>
      </c>
      <c r="E30" s="78">
        <f>E15*1/4</f>
        <v>1742.9536261682947</v>
      </c>
      <c r="F30" s="79"/>
      <c r="G30" s="79"/>
      <c r="H30" s="79"/>
      <c r="I30" s="79"/>
      <c r="J30" s="79"/>
      <c r="K30" s="85"/>
      <c r="L30" s="95">
        <f t="shared" si="0"/>
        <v>1742.9536261682947</v>
      </c>
      <c r="M30" s="10">
        <v>0.9</v>
      </c>
      <c r="N30" s="2">
        <f t="shared" si="1"/>
        <v>1568.6582635514653</v>
      </c>
      <c r="O30" s="108">
        <f>N30/SUM($N$30:$N$41)</f>
        <v>0.81666941863585885</v>
      </c>
    </row>
    <row r="31" spans="2:15" x14ac:dyDescent="0.2">
      <c r="B31" s="198">
        <f>SUM(E30:K41)</f>
        <v>2144.1340385394287</v>
      </c>
      <c r="C31" s="28" t="s">
        <v>49</v>
      </c>
      <c r="D31" s="80">
        <f>G31/SUM($E$30:$K$41)</f>
        <v>3.2647212693700614E-3</v>
      </c>
      <c r="E31" s="78"/>
      <c r="F31" s="79"/>
      <c r="G31" s="79">
        <f>0.2*G11</f>
        <v>7</v>
      </c>
      <c r="H31" s="79"/>
      <c r="I31" s="79"/>
      <c r="J31" s="79"/>
      <c r="K31" s="85"/>
      <c r="L31" s="95">
        <f t="shared" si="0"/>
        <v>7</v>
      </c>
      <c r="M31" s="10">
        <v>1</v>
      </c>
      <c r="N31" s="2">
        <f t="shared" si="1"/>
        <v>7</v>
      </c>
      <c r="O31" s="108">
        <f t="shared" ref="O31:O41" si="3">N31/SUM($N$30:$N$41)</f>
        <v>3.6443156953180809E-3</v>
      </c>
    </row>
    <row r="32" spans="2:15" x14ac:dyDescent="0.2">
      <c r="B32" s="17"/>
      <c r="C32" s="28" t="s">
        <v>50</v>
      </c>
      <c r="D32" s="80">
        <f>F32/SUM($E$30:$K$41)</f>
        <v>1.8052619930804411E-3</v>
      </c>
      <c r="E32" s="78"/>
      <c r="F32" s="79">
        <f>F17/4</f>
        <v>3.8707236878453042</v>
      </c>
      <c r="G32" s="79"/>
      <c r="H32" s="79"/>
      <c r="I32" s="79"/>
      <c r="J32" s="79"/>
      <c r="K32" s="85"/>
      <c r="L32" s="95">
        <f t="shared" si="0"/>
        <v>3.8707236878453042</v>
      </c>
      <c r="M32" s="10">
        <v>3.0000000000000031</v>
      </c>
      <c r="N32" s="2">
        <f t="shared" si="1"/>
        <v>11.612171063535925</v>
      </c>
      <c r="O32" s="108">
        <f t="shared" si="3"/>
        <v>6.0454881805089176E-3</v>
      </c>
    </row>
    <row r="33" spans="2:15" x14ac:dyDescent="0.2">
      <c r="B33" s="17"/>
      <c r="C33" s="28" t="s">
        <v>51</v>
      </c>
      <c r="D33" s="80">
        <f>E33/SUM($E$30:$K$41)</f>
        <v>0</v>
      </c>
      <c r="E33" s="78">
        <v>0</v>
      </c>
      <c r="F33" s="79"/>
      <c r="G33" s="79"/>
      <c r="H33" s="79"/>
      <c r="I33" s="79"/>
      <c r="J33" s="79"/>
      <c r="K33" s="85"/>
      <c r="L33" s="95">
        <f t="shared" si="0"/>
        <v>0</v>
      </c>
      <c r="M33" s="10">
        <v>0.88</v>
      </c>
      <c r="N33" s="2">
        <f t="shared" si="1"/>
        <v>0</v>
      </c>
      <c r="O33" s="108">
        <f t="shared" si="3"/>
        <v>0</v>
      </c>
    </row>
    <row r="34" spans="2:15" x14ac:dyDescent="0.2">
      <c r="B34" s="17"/>
      <c r="C34" s="28" t="s">
        <v>52</v>
      </c>
      <c r="D34" s="80">
        <f>K34/SUM($E$30:$K$41)</f>
        <v>0</v>
      </c>
      <c r="E34" s="78"/>
      <c r="F34" s="79"/>
      <c r="G34" s="79"/>
      <c r="H34" s="79"/>
      <c r="I34" s="79"/>
      <c r="J34" s="79"/>
      <c r="K34" s="85">
        <f>0.2*K11</f>
        <v>0</v>
      </c>
      <c r="L34" s="95">
        <f t="shared" si="0"/>
        <v>0</v>
      </c>
      <c r="M34" s="10">
        <v>1</v>
      </c>
      <c r="N34" s="2">
        <f t="shared" si="1"/>
        <v>0</v>
      </c>
      <c r="O34" s="108">
        <f t="shared" si="3"/>
        <v>0</v>
      </c>
    </row>
    <row r="35" spans="2:15" x14ac:dyDescent="0.2">
      <c r="B35" s="17"/>
      <c r="C35" s="28" t="s">
        <v>53</v>
      </c>
      <c r="D35" s="80">
        <f>F35/SUM($E$30:$K$41)</f>
        <v>8.1799867625970066E-3</v>
      </c>
      <c r="E35" s="78"/>
      <c r="F35" s="79">
        <f>F20/4</f>
        <v>17.538988052486186</v>
      </c>
      <c r="G35" s="79"/>
      <c r="H35" s="79"/>
      <c r="I35" s="79"/>
      <c r="J35" s="79"/>
      <c r="K35" s="85"/>
      <c r="L35" s="95">
        <f t="shared" si="0"/>
        <v>17.538988052486186</v>
      </c>
      <c r="M35" s="10">
        <v>3.0000000000000031</v>
      </c>
      <c r="N35" s="2">
        <f t="shared" si="1"/>
        <v>52.616964157458611</v>
      </c>
      <c r="O35" s="108">
        <f t="shared" si="3"/>
        <v>2.7393261188430759E-2</v>
      </c>
    </row>
    <row r="36" spans="2:15" x14ac:dyDescent="0.2">
      <c r="B36" s="17"/>
      <c r="C36" s="28" t="s">
        <v>54</v>
      </c>
      <c r="D36" s="80">
        <f>J36/SUM($E$30:$K$41)</f>
        <v>0</v>
      </c>
      <c r="E36" s="78"/>
      <c r="F36" s="79"/>
      <c r="G36" s="79"/>
      <c r="H36" s="79"/>
      <c r="I36" s="79"/>
      <c r="J36" s="79"/>
      <c r="K36" s="85"/>
      <c r="L36" s="95">
        <f t="shared" si="0"/>
        <v>0</v>
      </c>
      <c r="M36" s="10">
        <v>0.82</v>
      </c>
      <c r="N36" s="2">
        <f t="shared" si="1"/>
        <v>0</v>
      </c>
      <c r="O36" s="108">
        <f t="shared" si="3"/>
        <v>0</v>
      </c>
    </row>
    <row r="37" spans="2:15" x14ac:dyDescent="0.2">
      <c r="B37" s="17"/>
      <c r="C37" s="28" t="s">
        <v>55</v>
      </c>
      <c r="D37" s="80">
        <f>F37/SUM($E$30:$K$41)</f>
        <v>5.1895403286727079E-2</v>
      </c>
      <c r="E37" s="78"/>
      <c r="F37" s="79">
        <f>Electricity!E39-F35-F32-F41</f>
        <v>111.27070063080248</v>
      </c>
      <c r="G37" s="79"/>
      <c r="H37" s="79"/>
      <c r="I37" s="79"/>
      <c r="J37" s="79"/>
      <c r="K37" s="85"/>
      <c r="L37" s="95">
        <f t="shared" si="0"/>
        <v>111.27070063080248</v>
      </c>
      <c r="M37" s="10">
        <v>0.95</v>
      </c>
      <c r="N37" s="2">
        <f t="shared" si="1"/>
        <v>105.70716559926235</v>
      </c>
      <c r="O37" s="108">
        <f t="shared" si="3"/>
        <v>5.5032897528711329E-2</v>
      </c>
    </row>
    <row r="38" spans="2:15" x14ac:dyDescent="0.2">
      <c r="B38" s="17"/>
      <c r="C38" s="28" t="s">
        <v>56</v>
      </c>
      <c r="D38" s="80">
        <f>E38/SUM($E$30:$K$41)</f>
        <v>0.12196065884861015</v>
      </c>
      <c r="E38" s="78">
        <f>E23*1/4</f>
        <v>261.5</v>
      </c>
      <c r="F38" s="79"/>
      <c r="G38" s="79"/>
      <c r="H38" s="79"/>
      <c r="I38" s="79"/>
      <c r="J38" s="79"/>
      <c r="K38" s="85"/>
      <c r="L38" s="95">
        <f t="shared" si="0"/>
        <v>261.5</v>
      </c>
      <c r="M38" s="10">
        <v>0.67</v>
      </c>
      <c r="N38" s="2">
        <f t="shared" si="1"/>
        <v>175.20500000000001</v>
      </c>
      <c r="O38" s="108">
        <f t="shared" si="3"/>
        <v>9.1214618771172068E-2</v>
      </c>
    </row>
    <row r="39" spans="2:15" x14ac:dyDescent="0.2">
      <c r="B39" s="17"/>
      <c r="C39" s="28" t="s">
        <v>57</v>
      </c>
      <c r="D39" s="80">
        <f>I39/SUM($E$30:$K$41)</f>
        <v>0</v>
      </c>
      <c r="E39" s="78"/>
      <c r="F39" s="79"/>
      <c r="G39" s="79"/>
      <c r="H39" s="79"/>
      <c r="I39" s="79">
        <v>0</v>
      </c>
      <c r="J39" s="79"/>
      <c r="K39" s="85"/>
      <c r="L39" s="95">
        <f t="shared" si="0"/>
        <v>0</v>
      </c>
      <c r="M39" s="10">
        <v>0.85</v>
      </c>
      <c r="N39" s="2">
        <f t="shared" si="1"/>
        <v>0</v>
      </c>
      <c r="O39" s="108">
        <f t="shared" si="3"/>
        <v>0</v>
      </c>
    </row>
    <row r="40" spans="2:15" x14ac:dyDescent="0.2">
      <c r="B40" s="17"/>
      <c r="C40" s="28" t="s">
        <v>58</v>
      </c>
      <c r="D40" s="80">
        <f>H40/SUM($E$30:$K$41)</f>
        <v>0</v>
      </c>
      <c r="E40" s="78"/>
      <c r="F40" s="79"/>
      <c r="G40" s="79"/>
      <c r="H40" s="79">
        <v>0</v>
      </c>
      <c r="I40" s="79"/>
      <c r="J40" s="79"/>
      <c r="K40" s="85"/>
      <c r="L40" s="95">
        <f t="shared" si="0"/>
        <v>0</v>
      </c>
      <c r="M40" s="10">
        <v>0.8</v>
      </c>
      <c r="N40" s="2">
        <f t="shared" si="1"/>
        <v>0</v>
      </c>
      <c r="O40" s="108">
        <f t="shared" si="3"/>
        <v>0</v>
      </c>
    </row>
    <row r="41" spans="2:15" x14ac:dyDescent="0.2">
      <c r="B41" s="17"/>
      <c r="C41" s="29" t="s">
        <v>59</v>
      </c>
      <c r="D41" s="84">
        <f>E41/SUM($E$30:$K$41)</f>
        <v>0</v>
      </c>
      <c r="E41" s="78"/>
      <c r="F41" s="77">
        <v>0</v>
      </c>
      <c r="G41" s="77"/>
      <c r="H41" s="77"/>
      <c r="I41" s="77"/>
      <c r="J41" s="77"/>
      <c r="K41" s="86"/>
      <c r="L41" s="95">
        <f t="shared" si="0"/>
        <v>0</v>
      </c>
      <c r="M41" s="10">
        <v>0.2</v>
      </c>
      <c r="N41" s="2">
        <f t="shared" si="1"/>
        <v>0</v>
      </c>
      <c r="O41" s="108">
        <f t="shared" si="3"/>
        <v>0</v>
      </c>
    </row>
    <row r="42" spans="2:15" x14ac:dyDescent="0.2">
      <c r="B42" s="17"/>
      <c r="C42" s="30"/>
      <c r="D42" s="74"/>
      <c r="E42" s="64"/>
      <c r="F42" s="65"/>
      <c r="G42" s="65"/>
      <c r="H42" s="65"/>
      <c r="I42" s="65"/>
      <c r="J42" s="65"/>
      <c r="K42" s="66"/>
      <c r="L42" s="95"/>
      <c r="M42" s="10"/>
      <c r="N42" s="2"/>
      <c r="O42" s="109"/>
    </row>
    <row r="43" spans="2:15" x14ac:dyDescent="0.2">
      <c r="B43" s="34"/>
      <c r="C43" s="35"/>
      <c r="D43" s="75"/>
      <c r="E43" s="62"/>
      <c r="F43" s="62"/>
      <c r="G43" s="62"/>
      <c r="H43" s="62"/>
      <c r="I43" s="62"/>
      <c r="J43" s="62"/>
      <c r="K43" s="63"/>
      <c r="L43" s="95"/>
      <c r="M43" s="10"/>
      <c r="N43" s="2"/>
      <c r="O43" s="109"/>
    </row>
    <row r="44" spans="2:15" x14ac:dyDescent="0.2">
      <c r="B44" s="17" t="s">
        <v>60</v>
      </c>
      <c r="C44" s="35"/>
      <c r="D44" s="75"/>
      <c r="E44" s="67"/>
      <c r="F44" s="62"/>
      <c r="G44" s="62"/>
      <c r="H44" s="62"/>
      <c r="I44" s="62"/>
      <c r="J44" s="62"/>
      <c r="K44" s="63"/>
      <c r="L44" s="95"/>
      <c r="M44" s="10"/>
      <c r="N44" s="2"/>
      <c r="O44" s="109"/>
    </row>
    <row r="45" spans="2:15" x14ac:dyDescent="0.2">
      <c r="B45" s="24" t="s">
        <v>160</v>
      </c>
      <c r="C45" s="28" t="s">
        <v>61</v>
      </c>
      <c r="D45" s="80">
        <f>F45/SUM($E$45:$K$47)</f>
        <v>8.355358117685463E-2</v>
      </c>
      <c r="E45" s="78"/>
      <c r="F45" s="79">
        <f>Cooling!B6/(M45-1)</f>
        <v>15.520293047882127</v>
      </c>
      <c r="G45" s="79"/>
      <c r="H45" s="79"/>
      <c r="I45" s="79"/>
      <c r="J45" s="79"/>
      <c r="K45" s="85"/>
      <c r="L45" s="95">
        <f t="shared" si="0"/>
        <v>15.520293047882127</v>
      </c>
      <c r="M45" s="10">
        <v>4.6000000000000023</v>
      </c>
      <c r="N45" s="2">
        <f t="shared" si="1"/>
        <v>71.393348020257818</v>
      </c>
      <c r="O45" s="108">
        <f>N45/SUM($N$45:$N$47)</f>
        <v>9.4897267373440605E-2</v>
      </c>
    </row>
    <row r="46" spans="2:15" x14ac:dyDescent="0.2">
      <c r="B46" s="198">
        <f>SUM(E45:K47)</f>
        <v>185.75257731958757</v>
      </c>
      <c r="C46" s="28" t="s">
        <v>62</v>
      </c>
      <c r="D46" s="80">
        <f t="shared" ref="D46:D47" si="4">F46/SUM($E$45:$K$47)</f>
        <v>0</v>
      </c>
      <c r="E46" s="78"/>
      <c r="F46" s="79">
        <v>0</v>
      </c>
      <c r="G46" s="79"/>
      <c r="H46" s="79"/>
      <c r="I46" s="79"/>
      <c r="J46" s="79"/>
      <c r="K46" s="85"/>
      <c r="L46" s="95">
        <f t="shared" si="0"/>
        <v>0</v>
      </c>
      <c r="M46" s="10">
        <v>4.5000000000000044</v>
      </c>
      <c r="N46" s="2">
        <f t="shared" si="1"/>
        <v>0</v>
      </c>
      <c r="O46" s="108">
        <f t="shared" ref="O46:O47" si="5">N46/SUM($N$45:$N$47)</f>
        <v>0</v>
      </c>
    </row>
    <row r="47" spans="2:15" x14ac:dyDescent="0.2">
      <c r="B47" s="17"/>
      <c r="C47" s="29" t="s">
        <v>63</v>
      </c>
      <c r="D47" s="84">
        <f t="shared" si="4"/>
        <v>0.91644641882314537</v>
      </c>
      <c r="E47" s="78"/>
      <c r="F47" s="77">
        <f>Electricity!E42-F45</f>
        <v>170.23228427170545</v>
      </c>
      <c r="G47" s="77"/>
      <c r="H47" s="77"/>
      <c r="I47" s="77"/>
      <c r="J47" s="77"/>
      <c r="K47" s="86"/>
      <c r="L47" s="95">
        <f t="shared" si="0"/>
        <v>170.23228427170545</v>
      </c>
      <c r="M47" s="10">
        <v>4</v>
      </c>
      <c r="N47" s="2">
        <f t="shared" si="1"/>
        <v>680.92913708682181</v>
      </c>
      <c r="O47" s="108">
        <f t="shared" si="5"/>
        <v>0.90510273262655938</v>
      </c>
    </row>
    <row r="48" spans="2:15" x14ac:dyDescent="0.2">
      <c r="B48" s="17"/>
      <c r="C48" s="30"/>
      <c r="D48" s="74"/>
      <c r="E48" s="64"/>
      <c r="F48" s="68"/>
      <c r="G48" s="68"/>
      <c r="H48" s="68"/>
      <c r="I48" s="68"/>
      <c r="J48" s="68"/>
      <c r="K48" s="69"/>
      <c r="L48" s="95">
        <f t="shared" si="0"/>
        <v>0</v>
      </c>
      <c r="M48" s="10"/>
      <c r="N48" s="2"/>
      <c r="O48" s="109"/>
    </row>
    <row r="49" spans="2:16" x14ac:dyDescent="0.2">
      <c r="B49" s="34"/>
      <c r="C49" s="35"/>
      <c r="D49" s="75"/>
      <c r="E49" s="62"/>
      <c r="F49" s="62"/>
      <c r="G49" s="62"/>
      <c r="H49" s="62"/>
      <c r="I49" s="62"/>
      <c r="J49" s="62"/>
      <c r="K49" s="63"/>
      <c r="L49" s="95">
        <f t="shared" si="0"/>
        <v>0</v>
      </c>
      <c r="M49" s="10"/>
      <c r="N49" s="2"/>
      <c r="O49" s="109"/>
    </row>
    <row r="50" spans="2:16" x14ac:dyDescent="0.2">
      <c r="B50" s="17" t="s">
        <v>64</v>
      </c>
      <c r="C50" s="35"/>
      <c r="D50" s="75"/>
      <c r="E50" s="67"/>
      <c r="F50" s="62"/>
      <c r="G50" s="62"/>
      <c r="H50" s="62"/>
      <c r="I50" s="62"/>
      <c r="J50" s="62"/>
      <c r="K50" s="63"/>
      <c r="L50" s="95">
        <f t="shared" si="0"/>
        <v>0</v>
      </c>
      <c r="M50" s="10"/>
      <c r="N50" s="2"/>
      <c r="O50" s="109"/>
      <c r="P50" s="3" t="s">
        <v>203</v>
      </c>
    </row>
    <row r="51" spans="2:16" x14ac:dyDescent="0.2">
      <c r="B51" s="24" t="s">
        <v>160</v>
      </c>
      <c r="C51" s="28" t="s">
        <v>65</v>
      </c>
      <c r="D51" s="87">
        <f>E51/SUM($E$51:$K$55)</f>
        <v>0.71703911838075052</v>
      </c>
      <c r="E51" s="204">
        <f>N51/M51</f>
        <v>201.73186915852529</v>
      </c>
      <c r="F51" s="79"/>
      <c r="G51" s="79"/>
      <c r="H51" s="79"/>
      <c r="I51" s="79"/>
      <c r="J51" s="79"/>
      <c r="K51" s="85"/>
      <c r="L51" s="95">
        <f t="shared" si="0"/>
        <v>201.73186915852529</v>
      </c>
      <c r="M51" s="10">
        <v>0.4</v>
      </c>
      <c r="N51" s="2">
        <f>P51*(N52/P52+N53/P53+N54/P54)/3</f>
        <v>80.692747663410117</v>
      </c>
      <c r="O51" s="108">
        <f>N51/SUM($N$51:$N$55)</f>
        <v>0.61209508848637761</v>
      </c>
      <c r="P51" s="3">
        <v>0.61209508848637761</v>
      </c>
    </row>
    <row r="52" spans="2:16" x14ac:dyDescent="0.2">
      <c r="B52" s="198">
        <f>SUM(E51:K55)</f>
        <v>281.34011658120568</v>
      </c>
      <c r="C52" s="28" t="s">
        <v>66</v>
      </c>
      <c r="D52" s="88">
        <f>F52/SUM($E$51:$K$55)</f>
        <v>2.7540085806453667E-2</v>
      </c>
      <c r="E52" s="78"/>
      <c r="F52" s="76">
        <f>Cooking!H20</f>
        <v>7.7481309514440824</v>
      </c>
      <c r="G52" s="79"/>
      <c r="H52" s="79"/>
      <c r="I52" s="79"/>
      <c r="J52" s="79"/>
      <c r="K52" s="85"/>
      <c r="L52" s="95">
        <f t="shared" si="0"/>
        <v>7.7481309514440824</v>
      </c>
      <c r="M52" s="10">
        <v>0.55000000000000004</v>
      </c>
      <c r="N52" s="2">
        <f t="shared" si="1"/>
        <v>4.261472023294246</v>
      </c>
      <c r="O52" s="108">
        <f t="shared" ref="O52:O55" si="6">N52/SUM($N$51:$N$55)</f>
        <v>3.2325409292801872E-2</v>
      </c>
      <c r="P52" s="3">
        <v>3.2325409292801872E-2</v>
      </c>
    </row>
    <row r="53" spans="2:16" x14ac:dyDescent="0.2">
      <c r="B53" s="17"/>
      <c r="C53" s="28" t="s">
        <v>67</v>
      </c>
      <c r="D53" s="88">
        <f>F53/SUM($E$51:$K$55)</f>
        <v>0.20196062924732691</v>
      </c>
      <c r="E53" s="78"/>
      <c r="F53" s="79">
        <f>Cooking!H21</f>
        <v>56.819626977256611</v>
      </c>
      <c r="G53" s="79"/>
      <c r="H53" s="79"/>
      <c r="I53" s="79"/>
      <c r="J53" s="79"/>
      <c r="K53" s="85"/>
      <c r="L53" s="95">
        <f t="shared" si="0"/>
        <v>56.819626977256611</v>
      </c>
      <c r="M53" s="10">
        <v>0.6</v>
      </c>
      <c r="N53" s="2">
        <f t="shared" si="1"/>
        <v>34.091776186353968</v>
      </c>
      <c r="O53" s="108">
        <f t="shared" si="6"/>
        <v>0.25860327434241498</v>
      </c>
      <c r="P53" s="3">
        <v>0.25860327434241498</v>
      </c>
    </row>
    <row r="54" spans="2:16" x14ac:dyDescent="0.2">
      <c r="B54" s="17"/>
      <c r="C54" s="28" t="s">
        <v>68</v>
      </c>
      <c r="D54" s="88">
        <f>F54/SUM($E$51:$K$55)</f>
        <v>5.346016656546889E-2</v>
      </c>
      <c r="E54" s="78"/>
      <c r="F54" s="79">
        <f>Cooking!H22</f>
        <v>15.040489493979692</v>
      </c>
      <c r="G54" s="79"/>
      <c r="H54" s="79"/>
      <c r="I54" s="79"/>
      <c r="J54" s="79"/>
      <c r="K54" s="85"/>
      <c r="L54" s="95">
        <f t="shared" si="0"/>
        <v>15.040489493979692</v>
      </c>
      <c r="M54" s="10">
        <v>0.85</v>
      </c>
      <c r="N54" s="2">
        <f t="shared" si="1"/>
        <v>12.784416069882738</v>
      </c>
      <c r="O54" s="108">
        <f t="shared" si="6"/>
        <v>9.6976227878405624E-2</v>
      </c>
      <c r="P54" s="3">
        <v>9.6976227878405596E-2</v>
      </c>
    </row>
    <row r="55" spans="2:16" x14ac:dyDescent="0.2">
      <c r="B55" s="17"/>
      <c r="C55" s="29" t="s">
        <v>69</v>
      </c>
      <c r="D55" s="84">
        <f>H55/SUM($E$51:$K$55)</f>
        <v>0</v>
      </c>
      <c r="E55" s="78"/>
      <c r="F55" s="77"/>
      <c r="G55" s="77"/>
      <c r="H55" s="77"/>
      <c r="I55" s="77"/>
      <c r="J55" s="76">
        <v>0</v>
      </c>
      <c r="K55" s="86"/>
      <c r="L55" s="95">
        <f t="shared" si="0"/>
        <v>0</v>
      </c>
      <c r="M55" s="10">
        <v>0.3</v>
      </c>
      <c r="N55" s="2">
        <f t="shared" si="1"/>
        <v>0</v>
      </c>
      <c r="O55" s="108">
        <f t="shared" si="6"/>
        <v>0</v>
      </c>
      <c r="P55" s="3">
        <v>0</v>
      </c>
    </row>
    <row r="56" spans="2:16" x14ac:dyDescent="0.2">
      <c r="B56" s="17"/>
      <c r="C56" s="30"/>
      <c r="D56" s="74"/>
      <c r="E56" s="64"/>
      <c r="F56" s="65"/>
      <c r="G56" s="65"/>
      <c r="H56" s="65"/>
      <c r="I56" s="65"/>
      <c r="J56" s="65"/>
      <c r="K56" s="66"/>
      <c r="L56" s="95"/>
      <c r="M56" s="10"/>
      <c r="N56" s="2"/>
      <c r="O56" s="109"/>
    </row>
    <row r="57" spans="2:16" x14ac:dyDescent="0.2">
      <c r="B57" s="34"/>
      <c r="C57" s="35"/>
      <c r="D57" s="75"/>
      <c r="E57" s="62"/>
      <c r="F57" s="62"/>
      <c r="G57" s="62"/>
      <c r="H57" s="62"/>
      <c r="I57" s="62"/>
      <c r="J57" s="62"/>
      <c r="K57" s="63"/>
      <c r="L57" s="95"/>
      <c r="M57" s="10"/>
      <c r="N57" s="2"/>
      <c r="O57" s="109"/>
    </row>
    <row r="58" spans="2:16" x14ac:dyDescent="0.2">
      <c r="B58" s="17" t="s">
        <v>70</v>
      </c>
      <c r="C58" s="35"/>
      <c r="D58" s="75"/>
      <c r="E58" s="67"/>
      <c r="F58" s="62"/>
      <c r="G58" s="62"/>
      <c r="H58" s="62"/>
      <c r="I58" s="62"/>
      <c r="J58" s="62"/>
      <c r="K58" s="62"/>
      <c r="L58" s="95"/>
      <c r="M58" s="10"/>
      <c r="N58" s="2"/>
      <c r="O58" s="109"/>
    </row>
    <row r="59" spans="2:16" x14ac:dyDescent="0.2">
      <c r="B59" s="24" t="s">
        <v>160</v>
      </c>
      <c r="C59" s="28" t="s">
        <v>71</v>
      </c>
      <c r="D59" s="80">
        <f>F59/SUM($E$59:$K$61)</f>
        <v>0.83333333333333326</v>
      </c>
      <c r="E59" s="78"/>
      <c r="F59" s="79">
        <f>$B$60*N59/SUM($N$59:$N$61)</f>
        <v>287.47422680412365</v>
      </c>
      <c r="G59" s="79"/>
      <c r="H59" s="79"/>
      <c r="I59" s="79"/>
      <c r="J59" s="79"/>
      <c r="K59" s="79"/>
      <c r="L59" s="95">
        <f t="shared" si="0"/>
        <v>287.47422680412365</v>
      </c>
      <c r="M59" s="10">
        <v>0.05</v>
      </c>
      <c r="N59" s="202">
        <f>O59/M59</f>
        <v>9.8999999999999986</v>
      </c>
      <c r="O59" s="108">
        <v>0.495</v>
      </c>
      <c r="P59" s="23" t="s">
        <v>194</v>
      </c>
    </row>
    <row r="60" spans="2:16" x14ac:dyDescent="0.2">
      <c r="B60" s="198">
        <f>Electricity!E40</f>
        <v>344.96907216494839</v>
      </c>
      <c r="C60" s="28" t="s">
        <v>72</v>
      </c>
      <c r="D60" s="80">
        <f t="shared" ref="D60:D61" si="7">F60/SUM($E$59:$K$61)</f>
        <v>0.16329966329966333</v>
      </c>
      <c r="E60" s="78"/>
      <c r="F60" s="79">
        <f t="shared" ref="F60:F61" si="8">$B$60*N60/SUM($N$59:$N$61)</f>
        <v>56.333333333333336</v>
      </c>
      <c r="G60" s="79"/>
      <c r="H60" s="79"/>
      <c r="I60" s="79"/>
      <c r="J60" s="79"/>
      <c r="K60" s="79"/>
      <c r="L60" s="95">
        <f t="shared" si="0"/>
        <v>56.333333333333336</v>
      </c>
      <c r="M60" s="10">
        <v>0.25</v>
      </c>
      <c r="N60" s="202">
        <f t="shared" ref="N60:N61" si="9">O60/M60</f>
        <v>1.94</v>
      </c>
      <c r="O60" s="108">
        <v>0.48499999999999999</v>
      </c>
      <c r="P60" s="201" t="s">
        <v>195</v>
      </c>
    </row>
    <row r="61" spans="2:16" x14ac:dyDescent="0.2">
      <c r="B61" s="17"/>
      <c r="C61" s="29" t="s">
        <v>73</v>
      </c>
      <c r="D61" s="84">
        <f t="shared" si="7"/>
        <v>3.3670033670033677E-3</v>
      </c>
      <c r="E61" s="83"/>
      <c r="F61" s="77">
        <f t="shared" si="8"/>
        <v>1.161512027491409</v>
      </c>
      <c r="G61" s="77"/>
      <c r="H61" s="77"/>
      <c r="I61" s="77"/>
      <c r="J61" s="77"/>
      <c r="K61" s="77"/>
      <c r="L61" s="95">
        <f t="shared" si="0"/>
        <v>1.161512027491409</v>
      </c>
      <c r="M61" s="10">
        <v>0.5</v>
      </c>
      <c r="N61" s="202">
        <f t="shared" si="9"/>
        <v>0.04</v>
      </c>
      <c r="O61" s="108">
        <v>0.02</v>
      </c>
    </row>
    <row r="62" spans="2:16" x14ac:dyDescent="0.2">
      <c r="B62" s="17"/>
      <c r="C62" s="31"/>
      <c r="D62" s="74"/>
      <c r="E62" s="70"/>
      <c r="F62" s="70"/>
      <c r="G62" s="70"/>
      <c r="H62" s="70"/>
      <c r="I62" s="70"/>
      <c r="J62" s="70"/>
      <c r="K62" s="70"/>
      <c r="L62" s="95"/>
      <c r="M62" s="10"/>
      <c r="N62" s="2"/>
      <c r="O62" s="11"/>
    </row>
    <row r="63" spans="2:16" x14ac:dyDescent="0.2">
      <c r="B63" s="34"/>
      <c r="C63" s="27"/>
      <c r="D63" s="75"/>
      <c r="E63" s="71"/>
      <c r="F63" s="71"/>
      <c r="G63" s="71"/>
      <c r="H63" s="71"/>
      <c r="I63" s="71"/>
      <c r="J63" s="71"/>
      <c r="K63" s="71"/>
      <c r="L63" s="95"/>
      <c r="M63" s="10"/>
      <c r="N63" s="2"/>
      <c r="O63" s="11"/>
    </row>
    <row r="64" spans="2:16" x14ac:dyDescent="0.2">
      <c r="B64" s="17" t="s">
        <v>14</v>
      </c>
      <c r="C64" s="27"/>
      <c r="D64" s="75"/>
      <c r="E64" s="71"/>
      <c r="F64" s="71"/>
      <c r="G64" s="71"/>
      <c r="H64" s="71"/>
      <c r="I64" s="71"/>
      <c r="J64" s="71"/>
      <c r="K64" s="71"/>
      <c r="L64" s="95"/>
      <c r="M64" s="10"/>
      <c r="N64" s="2"/>
      <c r="O64" s="11"/>
    </row>
    <row r="65" spans="2:15" x14ac:dyDescent="0.2">
      <c r="B65" s="24" t="s">
        <v>160</v>
      </c>
      <c r="C65" s="39" t="s">
        <v>15</v>
      </c>
      <c r="D65" s="80">
        <f>F65/SUM($E$65:$K$72)</f>
        <v>8.0645161290322578E-2</v>
      </c>
      <c r="E65" s="78"/>
      <c r="F65" s="76">
        <f>Electricity!E29</f>
        <v>132.68041237113397</v>
      </c>
      <c r="G65" s="76"/>
      <c r="H65" s="76"/>
      <c r="I65" s="76"/>
      <c r="J65" s="76"/>
      <c r="K65" s="82"/>
      <c r="L65" s="95">
        <f t="shared" si="0"/>
        <v>132.68041237113397</v>
      </c>
      <c r="M65" s="10"/>
      <c r="N65" s="106"/>
      <c r="O65" s="11"/>
    </row>
    <row r="66" spans="2:15" x14ac:dyDescent="0.2">
      <c r="B66" s="198">
        <f>SUM(E65:K72)</f>
        <v>1645.2371134020614</v>
      </c>
      <c r="C66" s="39" t="s">
        <v>16</v>
      </c>
      <c r="D66" s="80">
        <f t="shared" ref="D66:D72" si="10">F66/SUM($E$65:$K$72)</f>
        <v>0.22580645161290322</v>
      </c>
      <c r="E66" s="78"/>
      <c r="F66" s="76">
        <f>Electricity!E30</f>
        <v>371.50515463917515</v>
      </c>
      <c r="G66" s="76"/>
      <c r="H66" s="76"/>
      <c r="I66" s="76"/>
      <c r="J66" s="76"/>
      <c r="K66" s="79"/>
      <c r="L66" s="95">
        <f t="shared" si="0"/>
        <v>371.50515463917515</v>
      </c>
      <c r="M66" s="10"/>
      <c r="N66" s="106"/>
      <c r="O66" s="11"/>
    </row>
    <row r="67" spans="2:15" x14ac:dyDescent="0.2">
      <c r="B67" s="21"/>
      <c r="C67" s="39" t="s">
        <v>17</v>
      </c>
      <c r="D67" s="80">
        <f t="shared" si="10"/>
        <v>8.0645161290322578E-2</v>
      </c>
      <c r="E67" s="78"/>
      <c r="F67" s="76">
        <f>Electricity!E31</f>
        <v>132.68041237113397</v>
      </c>
      <c r="G67" s="76"/>
      <c r="H67" s="76"/>
      <c r="I67" s="76"/>
      <c r="J67" s="76"/>
      <c r="K67" s="79"/>
      <c r="L67" s="95">
        <f t="shared" si="0"/>
        <v>132.68041237113397</v>
      </c>
      <c r="M67" s="10"/>
      <c r="N67" s="106"/>
      <c r="O67" s="11"/>
    </row>
    <row r="68" spans="2:15" x14ac:dyDescent="0.2">
      <c r="B68" s="21"/>
      <c r="C68" s="39" t="s">
        <v>18</v>
      </c>
      <c r="D68" s="80">
        <f t="shared" si="10"/>
        <v>0.11290322580645161</v>
      </c>
      <c r="E68" s="78"/>
      <c r="F68" s="76">
        <f>Electricity!E32</f>
        <v>185.75257731958757</v>
      </c>
      <c r="G68" s="76"/>
      <c r="H68" s="76"/>
      <c r="I68" s="76"/>
      <c r="J68" s="76"/>
      <c r="K68" s="79"/>
      <c r="L68" s="95">
        <f t="shared" si="0"/>
        <v>185.75257731958757</v>
      </c>
      <c r="M68" s="10"/>
      <c r="N68" s="106"/>
      <c r="O68" s="11"/>
    </row>
    <row r="69" spans="2:15" x14ac:dyDescent="0.2">
      <c r="B69" s="21"/>
      <c r="C69" s="39" t="s">
        <v>19</v>
      </c>
      <c r="D69" s="80">
        <f t="shared" si="10"/>
        <v>0.14516129032258063</v>
      </c>
      <c r="E69" s="78"/>
      <c r="F69" s="76">
        <f>Electricity!E33</f>
        <v>238.82474226804115</v>
      </c>
      <c r="G69" s="76"/>
      <c r="H69" s="76"/>
      <c r="I69" s="76"/>
      <c r="J69" s="76"/>
      <c r="K69" s="79"/>
      <c r="L69" s="95">
        <f t="shared" si="0"/>
        <v>238.82474226804115</v>
      </c>
      <c r="M69" s="10"/>
      <c r="N69" s="106"/>
      <c r="O69" s="11"/>
    </row>
    <row r="70" spans="2:15" x14ac:dyDescent="0.2">
      <c r="B70" s="21"/>
      <c r="C70" s="39" t="s">
        <v>20</v>
      </c>
      <c r="D70" s="80">
        <f t="shared" si="10"/>
        <v>0.19354838709677422</v>
      </c>
      <c r="E70" s="78"/>
      <c r="F70" s="76">
        <f>Electricity!E34</f>
        <v>318.43298969072157</v>
      </c>
      <c r="G70" s="76"/>
      <c r="H70" s="76"/>
      <c r="I70" s="76"/>
      <c r="J70" s="76"/>
      <c r="K70" s="79"/>
      <c r="L70" s="95">
        <f t="shared" si="0"/>
        <v>318.43298969072157</v>
      </c>
      <c r="M70" s="10"/>
      <c r="N70" s="106"/>
      <c r="O70" s="11"/>
    </row>
    <row r="71" spans="2:15" x14ac:dyDescent="0.2">
      <c r="B71" s="21"/>
      <c r="C71" s="39" t="s">
        <v>21</v>
      </c>
      <c r="D71" s="80">
        <f t="shared" si="10"/>
        <v>4.8387096774193554E-2</v>
      </c>
      <c r="E71" s="78"/>
      <c r="F71" s="76">
        <f>Electricity!E35</f>
        <v>79.608247422680392</v>
      </c>
      <c r="G71" s="76"/>
      <c r="H71" s="76"/>
      <c r="I71" s="76"/>
      <c r="J71" s="76"/>
      <c r="K71" s="79"/>
      <c r="L71" s="95">
        <f t="shared" si="0"/>
        <v>79.608247422680392</v>
      </c>
      <c r="M71" s="10"/>
      <c r="N71" s="106"/>
      <c r="O71" s="11"/>
    </row>
    <row r="72" spans="2:15" x14ac:dyDescent="0.2">
      <c r="B72" s="21"/>
      <c r="C72" s="40" t="s">
        <v>22</v>
      </c>
      <c r="D72" s="81">
        <f t="shared" si="10"/>
        <v>0.11290322580645161</v>
      </c>
      <c r="E72" s="83"/>
      <c r="F72" s="77">
        <f>Electricity!E36</f>
        <v>185.75257731958757</v>
      </c>
      <c r="G72" s="77"/>
      <c r="H72" s="77"/>
      <c r="I72" s="77"/>
      <c r="J72" s="77"/>
      <c r="K72" s="77"/>
      <c r="L72" s="95">
        <f t="shared" si="0"/>
        <v>185.75257731958757</v>
      </c>
      <c r="M72" s="10"/>
      <c r="N72" s="106"/>
      <c r="O72" s="11"/>
    </row>
    <row r="73" spans="2:15" x14ac:dyDescent="0.2">
      <c r="B73" s="17"/>
      <c r="C73" s="31"/>
      <c r="D73" s="31"/>
      <c r="E73" s="31"/>
      <c r="F73" s="31"/>
      <c r="G73" s="31"/>
      <c r="H73" s="31"/>
      <c r="I73" s="31"/>
      <c r="J73" s="31"/>
      <c r="K73" s="31"/>
      <c r="L73" s="95"/>
      <c r="M73" s="10"/>
      <c r="N73" s="2"/>
      <c r="O73" s="11"/>
    </row>
    <row r="74" spans="2:15" x14ac:dyDescent="0.2">
      <c r="B74" s="34"/>
      <c r="C74" s="26"/>
      <c r="D74" s="26"/>
      <c r="E74" s="41"/>
      <c r="F74" s="38"/>
      <c r="G74" s="38"/>
      <c r="H74" s="38"/>
      <c r="I74" s="38"/>
      <c r="J74" s="38"/>
      <c r="K74" s="38"/>
      <c r="L74" s="96"/>
      <c r="M74" s="10"/>
      <c r="N74" s="2"/>
      <c r="O74" s="11"/>
    </row>
    <row r="75" spans="2:15" x14ac:dyDescent="0.2">
      <c r="B75" s="42" t="s">
        <v>23</v>
      </c>
      <c r="C75" s="43"/>
      <c r="D75" s="43"/>
      <c r="E75" s="44" t="s">
        <v>24</v>
      </c>
      <c r="F75" s="36" t="s">
        <v>25</v>
      </c>
      <c r="G75" s="36" t="s">
        <v>26</v>
      </c>
      <c r="H75" s="36" t="s">
        <v>27</v>
      </c>
      <c r="I75" s="36" t="s">
        <v>28</v>
      </c>
      <c r="J75" s="36" t="s">
        <v>29</v>
      </c>
      <c r="K75" s="36" t="s">
        <v>30</v>
      </c>
      <c r="L75" s="97"/>
      <c r="M75" s="10"/>
      <c r="N75" s="2"/>
      <c r="O75" s="11"/>
    </row>
    <row r="76" spans="2:15" x14ac:dyDescent="0.2">
      <c r="B76" s="45"/>
      <c r="C76" s="46" t="s">
        <v>31</v>
      </c>
      <c r="D76" s="47"/>
      <c r="E76" s="48">
        <f t="shared" ref="E76:K76" si="11">SUM(E15:E73)</f>
        <v>10224</v>
      </c>
      <c r="F76" s="49">
        <f t="shared" si="11"/>
        <v>2573.9999999999991</v>
      </c>
      <c r="G76" s="49">
        <f t="shared" si="11"/>
        <v>35</v>
      </c>
      <c r="H76" s="49">
        <f t="shared" si="11"/>
        <v>0</v>
      </c>
      <c r="I76" s="49">
        <f t="shared" si="11"/>
        <v>110</v>
      </c>
      <c r="J76" s="49">
        <f t="shared" si="11"/>
        <v>1046</v>
      </c>
      <c r="K76" s="49">
        <f t="shared" si="11"/>
        <v>0</v>
      </c>
      <c r="L76" s="97"/>
      <c r="M76" s="10"/>
      <c r="N76" s="2"/>
      <c r="O76" s="11"/>
    </row>
    <row r="77" spans="2:15" x14ac:dyDescent="0.2">
      <c r="B77" s="45"/>
      <c r="C77" s="50" t="s">
        <v>32</v>
      </c>
      <c r="D77" s="51"/>
      <c r="E77" s="48">
        <f t="shared" ref="E77:K77" si="12">E11-E76</f>
        <v>0</v>
      </c>
      <c r="F77" s="49">
        <f t="shared" si="12"/>
        <v>0</v>
      </c>
      <c r="G77" s="49">
        <f t="shared" si="12"/>
        <v>0</v>
      </c>
      <c r="H77" s="49">
        <f t="shared" si="12"/>
        <v>0</v>
      </c>
      <c r="I77" s="49">
        <f t="shared" si="12"/>
        <v>0</v>
      </c>
      <c r="J77" s="49">
        <f t="shared" si="12"/>
        <v>0</v>
      </c>
      <c r="K77" s="49">
        <f t="shared" si="12"/>
        <v>0</v>
      </c>
      <c r="L77" s="97"/>
      <c r="M77" s="10"/>
      <c r="N77" s="2"/>
      <c r="O77" s="11"/>
    </row>
    <row r="78" spans="2:15" x14ac:dyDescent="0.2">
      <c r="B78" s="45"/>
      <c r="C78" s="52" t="s">
        <v>33</v>
      </c>
      <c r="D78" s="53"/>
      <c r="E78" s="72">
        <f t="shared" ref="E78:K78" si="13">E77/E11</f>
        <v>0</v>
      </c>
      <c r="F78" s="73">
        <f t="shared" si="13"/>
        <v>0</v>
      </c>
      <c r="G78" s="73">
        <f t="shared" si="13"/>
        <v>0</v>
      </c>
      <c r="H78" s="73" t="e">
        <f t="shared" si="13"/>
        <v>#DIV/0!</v>
      </c>
      <c r="I78" s="73">
        <f t="shared" si="13"/>
        <v>0</v>
      </c>
      <c r="J78" s="73">
        <f t="shared" si="13"/>
        <v>0</v>
      </c>
      <c r="K78" s="73" t="e">
        <f t="shared" si="13"/>
        <v>#DIV/0!</v>
      </c>
      <c r="L78" s="98"/>
      <c r="M78" s="10"/>
      <c r="N78" s="2"/>
      <c r="O78" s="11"/>
    </row>
    <row r="79" spans="2:15" x14ac:dyDescent="0.2">
      <c r="B79" s="45"/>
      <c r="C79" s="50"/>
      <c r="D79" s="50"/>
      <c r="E79" s="54"/>
      <c r="F79" s="54"/>
      <c r="G79" s="54"/>
      <c r="H79" s="54"/>
      <c r="I79" s="54"/>
      <c r="J79" s="54"/>
      <c r="K79" s="54"/>
      <c r="L79" s="99"/>
      <c r="M79" s="10"/>
      <c r="N79" s="2"/>
      <c r="O79" s="11"/>
    </row>
    <row r="80" spans="2:15" ht="17" thickBot="1" x14ac:dyDescent="0.25">
      <c r="B80" s="55"/>
      <c r="C80" s="56"/>
      <c r="D80" s="56"/>
      <c r="E80" s="56"/>
      <c r="F80" s="56"/>
      <c r="G80" s="56"/>
      <c r="H80" s="56"/>
      <c r="I80" s="56"/>
      <c r="J80" s="56"/>
      <c r="K80" s="56"/>
      <c r="L80" s="10"/>
      <c r="M80" s="55"/>
      <c r="N80" s="56"/>
      <c r="O80" s="107"/>
    </row>
  </sheetData>
  <mergeCells count="1">
    <mergeCell ref="B5:G5"/>
  </mergeCells>
  <conditionalFormatting sqref="J75">
    <cfRule type="cellIs" dxfId="0" priority="1" operator="lessThan">
      <formula>0</formula>
    </cfRule>
  </conditionalFormatting>
  <pageMargins left="0.75" right="0.75" top="1" bottom="1" header="0.5" footer="0.5"/>
  <pageSetup paperSize="9" orientation="portrait" horizontalDpi="4294967292" verticalDpi="4294967292"/>
  <ignoredErrors>
    <ignoredError sqref="D65:D72 D51:D55 D59:D61 D15 D17:D18 D20 D25:D26 D22:D23 D30 D32:D33 D35 D40:D41 D45:D47 D37:D38 B16 B31 B46 B52 B66" emptyCellReference="1"/>
    <ignoredError sqref="D16 D19 D24 D21 D31 D34 D39 D36" formula="1" emptyCellReference="1"/>
  </ignoredErrors>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44"/>
  <sheetViews>
    <sheetView workbookViewId="0">
      <selection activeCell="D2" sqref="D2"/>
    </sheetView>
  </sheetViews>
  <sheetFormatPr baseColWidth="10" defaultRowHeight="16" x14ac:dyDescent="0.2"/>
  <cols>
    <col min="1" max="1" width="3.33203125" customWidth="1"/>
    <col min="2" max="2" width="20.6640625" bestFit="1" customWidth="1"/>
    <col min="3" max="3" width="18.1640625" bestFit="1" customWidth="1"/>
    <col min="4" max="4" width="20.33203125" bestFit="1" customWidth="1"/>
    <col min="5" max="5" width="21" customWidth="1"/>
  </cols>
  <sheetData>
    <row r="2" spans="2:4" x14ac:dyDescent="0.2">
      <c r="B2" s="168" t="s">
        <v>152</v>
      </c>
      <c r="C2" s="205">
        <f>'Final demand per energy carrier'!F11</f>
        <v>2574</v>
      </c>
      <c r="D2" s="169"/>
    </row>
    <row r="4" spans="2:4" x14ac:dyDescent="0.2">
      <c r="C4" t="s">
        <v>151</v>
      </c>
    </row>
    <row r="5" spans="2:4" x14ac:dyDescent="0.2">
      <c r="B5" t="s">
        <v>150</v>
      </c>
      <c r="C5" s="166">
        <v>0.05</v>
      </c>
    </row>
    <row r="6" spans="2:4" x14ac:dyDescent="0.2">
      <c r="B6" t="s">
        <v>149</v>
      </c>
      <c r="C6" s="166">
        <v>0.05</v>
      </c>
    </row>
    <row r="7" spans="2:4" x14ac:dyDescent="0.2">
      <c r="B7" t="s">
        <v>148</v>
      </c>
      <c r="C7" s="166">
        <v>7.0000000000000007E-2</v>
      </c>
    </row>
    <row r="8" spans="2:4" x14ac:dyDescent="0.2">
      <c r="B8" t="s">
        <v>147</v>
      </c>
      <c r="C8" s="166">
        <v>0.03</v>
      </c>
    </row>
    <row r="9" spans="2:4" x14ac:dyDescent="0.2">
      <c r="B9" t="s">
        <v>146</v>
      </c>
      <c r="C9" s="166">
        <v>0.09</v>
      </c>
    </row>
    <row r="10" spans="2:4" x14ac:dyDescent="0.2">
      <c r="B10" t="s">
        <v>145</v>
      </c>
      <c r="C10" s="166">
        <v>0.05</v>
      </c>
    </row>
    <row r="11" spans="2:4" x14ac:dyDescent="0.2">
      <c r="B11" t="s">
        <v>144</v>
      </c>
      <c r="C11" s="166">
        <v>0.09</v>
      </c>
    </row>
    <row r="12" spans="2:4" x14ac:dyDescent="0.2">
      <c r="B12" t="s">
        <v>143</v>
      </c>
      <c r="C12" s="166">
        <v>0.06</v>
      </c>
    </row>
    <row r="13" spans="2:4" x14ac:dyDescent="0.2">
      <c r="B13" t="s">
        <v>142</v>
      </c>
      <c r="C13" s="166">
        <v>0.06</v>
      </c>
    </row>
    <row r="14" spans="2:4" x14ac:dyDescent="0.2">
      <c r="B14" t="s">
        <v>141</v>
      </c>
      <c r="C14" s="166">
        <v>7.0000000000000007E-2</v>
      </c>
    </row>
    <row r="15" spans="2:4" x14ac:dyDescent="0.2">
      <c r="B15" t="s">
        <v>140</v>
      </c>
      <c r="C15" s="166">
        <v>0.05</v>
      </c>
    </row>
    <row r="16" spans="2:4" x14ac:dyDescent="0.2">
      <c r="B16" t="s">
        <v>139</v>
      </c>
      <c r="C16" s="166">
        <v>7.0000000000000007E-2</v>
      </c>
    </row>
    <row r="17" spans="2:7" x14ac:dyDescent="0.2">
      <c r="B17" t="s">
        <v>138</v>
      </c>
      <c r="C17" s="166">
        <v>0.03</v>
      </c>
    </row>
    <row r="18" spans="2:7" x14ac:dyDescent="0.2">
      <c r="B18" t="s">
        <v>137</v>
      </c>
      <c r="C18" s="166">
        <v>0.04</v>
      </c>
    </row>
    <row r="19" spans="2:7" x14ac:dyDescent="0.2">
      <c r="B19" t="s">
        <v>136</v>
      </c>
      <c r="C19" s="166">
        <v>0.01</v>
      </c>
    </row>
    <row r="20" spans="2:7" x14ac:dyDescent="0.2">
      <c r="B20" t="s">
        <v>135</v>
      </c>
      <c r="C20" s="166">
        <v>0.01</v>
      </c>
    </row>
    <row r="21" spans="2:7" x14ac:dyDescent="0.2">
      <c r="B21" t="s">
        <v>134</v>
      </c>
      <c r="C21" s="166">
        <v>0.01</v>
      </c>
    </row>
    <row r="22" spans="2:7" x14ac:dyDescent="0.2">
      <c r="B22" t="s">
        <v>133</v>
      </c>
      <c r="C22" s="166">
        <v>0.13</v>
      </c>
      <c r="E22" t="s">
        <v>173</v>
      </c>
      <c r="F22" t="s">
        <v>181</v>
      </c>
      <c r="G22" s="170"/>
    </row>
    <row r="23" spans="2:7" x14ac:dyDescent="0.2">
      <c r="B23" t="s">
        <v>132</v>
      </c>
      <c r="E23" t="s">
        <v>174</v>
      </c>
      <c r="F23" t="s">
        <v>175</v>
      </c>
      <c r="G23" s="171"/>
    </row>
    <row r="24" spans="2:7" x14ac:dyDescent="0.2">
      <c r="G24" s="171"/>
    </row>
    <row r="25" spans="2:7" x14ac:dyDescent="0.2">
      <c r="B25" t="s">
        <v>176</v>
      </c>
      <c r="G25" s="171"/>
    </row>
    <row r="26" spans="2:7" x14ac:dyDescent="0.2">
      <c r="B26" t="s">
        <v>177</v>
      </c>
      <c r="G26" s="171"/>
    </row>
    <row r="27" spans="2:7" x14ac:dyDescent="0.2">
      <c r="G27" s="170"/>
    </row>
    <row r="28" spans="2:7" s="168" customFormat="1" x14ac:dyDescent="0.2">
      <c r="B28" s="168" t="s">
        <v>180</v>
      </c>
      <c r="C28" s="168" t="s">
        <v>178</v>
      </c>
      <c r="D28" s="168" t="s">
        <v>179</v>
      </c>
      <c r="E28" s="168" t="s">
        <v>152</v>
      </c>
    </row>
    <row r="29" spans="2:7" x14ac:dyDescent="0.2">
      <c r="B29" t="s">
        <v>131</v>
      </c>
      <c r="C29" s="167">
        <f>C5</f>
        <v>0.05</v>
      </c>
      <c r="D29" s="166">
        <f t="shared" ref="D29:D36" si="0">C29/SUM($C$5:$C$22)</f>
        <v>5.1546391752577303E-2</v>
      </c>
      <c r="E29" s="172">
        <f t="shared" ref="E29:E36" si="1">D29*$C$2</f>
        <v>132.68041237113397</v>
      </c>
    </row>
    <row r="30" spans="2:7" x14ac:dyDescent="0.2">
      <c r="B30" t="s">
        <v>16</v>
      </c>
      <c r="C30" s="167">
        <f>C9+C10</f>
        <v>0.14000000000000001</v>
      </c>
      <c r="D30" s="166">
        <f t="shared" si="0"/>
        <v>0.14432989690721645</v>
      </c>
      <c r="E30" s="172">
        <f t="shared" si="1"/>
        <v>371.50515463917515</v>
      </c>
    </row>
    <row r="31" spans="2:7" x14ac:dyDescent="0.2">
      <c r="B31" t="s">
        <v>17</v>
      </c>
      <c r="C31" s="167">
        <f>C6</f>
        <v>0.05</v>
      </c>
      <c r="D31" s="166">
        <f t="shared" si="0"/>
        <v>5.1546391752577303E-2</v>
      </c>
      <c r="E31" s="172">
        <f t="shared" si="1"/>
        <v>132.68041237113397</v>
      </c>
    </row>
    <row r="32" spans="2:7" x14ac:dyDescent="0.2">
      <c r="B32" t="s">
        <v>18</v>
      </c>
      <c r="C32" s="167">
        <f>C7</f>
        <v>7.0000000000000007E-2</v>
      </c>
      <c r="D32" s="166">
        <f t="shared" si="0"/>
        <v>7.2164948453608227E-2</v>
      </c>
      <c r="E32" s="172">
        <f t="shared" si="1"/>
        <v>185.75257731958757</v>
      </c>
    </row>
    <row r="33" spans="2:5" x14ac:dyDescent="0.2">
      <c r="B33" t="s">
        <v>19</v>
      </c>
      <c r="C33" s="167">
        <f>C11</f>
        <v>0.09</v>
      </c>
      <c r="D33" s="166">
        <f t="shared" si="0"/>
        <v>9.2783505154639137E-2</v>
      </c>
      <c r="E33" s="172">
        <f t="shared" si="1"/>
        <v>238.82474226804115</v>
      </c>
    </row>
    <row r="34" spans="2:5" x14ac:dyDescent="0.2">
      <c r="B34" t="s">
        <v>20</v>
      </c>
      <c r="C34" s="167">
        <f>C12+C13</f>
        <v>0.12</v>
      </c>
      <c r="D34" s="166">
        <f t="shared" si="0"/>
        <v>0.12371134020618553</v>
      </c>
      <c r="E34" s="172">
        <f t="shared" si="1"/>
        <v>318.43298969072157</v>
      </c>
    </row>
    <row r="35" spans="2:5" x14ac:dyDescent="0.2">
      <c r="B35" t="s">
        <v>21</v>
      </c>
      <c r="C35" s="167">
        <f>C8</f>
        <v>0.03</v>
      </c>
      <c r="D35" s="166">
        <f t="shared" si="0"/>
        <v>3.0927835051546382E-2</v>
      </c>
      <c r="E35" s="172">
        <f t="shared" si="1"/>
        <v>79.608247422680392</v>
      </c>
    </row>
    <row r="36" spans="2:5" x14ac:dyDescent="0.2">
      <c r="B36" t="s">
        <v>22</v>
      </c>
      <c r="C36" s="167">
        <f>C18+C19+C20+C21</f>
        <v>7.0000000000000007E-2</v>
      </c>
      <c r="D36" s="166">
        <f t="shared" si="0"/>
        <v>7.2164948453608227E-2</v>
      </c>
      <c r="E36" s="172">
        <f t="shared" si="1"/>
        <v>185.75257731958757</v>
      </c>
    </row>
    <row r="37" spans="2:5" x14ac:dyDescent="0.2">
      <c r="D37" s="166"/>
      <c r="E37" s="172"/>
    </row>
    <row r="38" spans="2:5" x14ac:dyDescent="0.2">
      <c r="B38" t="s">
        <v>130</v>
      </c>
      <c r="C38" s="167">
        <f>C14</f>
        <v>7.0000000000000007E-2</v>
      </c>
      <c r="D38" s="166">
        <f>C38/SUM($C$5:$C$22)</f>
        <v>7.2164948453608227E-2</v>
      </c>
      <c r="E38" s="172">
        <f>D38*$C$2</f>
        <v>185.75257731958757</v>
      </c>
    </row>
    <row r="39" spans="2:5" x14ac:dyDescent="0.2">
      <c r="B39" t="s">
        <v>129</v>
      </c>
      <c r="C39" s="167">
        <f>C15</f>
        <v>0.05</v>
      </c>
      <c r="D39" s="166">
        <f>C39/SUM($C$5:$C$22)</f>
        <v>5.1546391752577303E-2</v>
      </c>
      <c r="E39" s="172">
        <f>D39*$C$2</f>
        <v>132.68041237113397</v>
      </c>
    </row>
    <row r="40" spans="2:5" x14ac:dyDescent="0.2">
      <c r="B40" t="s">
        <v>70</v>
      </c>
      <c r="C40" s="167">
        <f>C22</f>
        <v>0.13</v>
      </c>
      <c r="D40" s="166">
        <f>C40/SUM($C$5:$C$22)</f>
        <v>0.134020618556701</v>
      </c>
      <c r="E40" s="172">
        <f>D40*$C$2</f>
        <v>344.96907216494839</v>
      </c>
    </row>
    <row r="41" spans="2:5" x14ac:dyDescent="0.2">
      <c r="B41" t="s">
        <v>64</v>
      </c>
      <c r="C41" s="167">
        <f>C17</f>
        <v>0.03</v>
      </c>
      <c r="D41" s="166">
        <f>C41/SUM($C$5:$C$22)</f>
        <v>3.0927835051546382E-2</v>
      </c>
      <c r="E41" s="172">
        <f>D41*$C$2</f>
        <v>79.608247422680392</v>
      </c>
    </row>
    <row r="42" spans="2:5" x14ac:dyDescent="0.2">
      <c r="B42" t="s">
        <v>128</v>
      </c>
      <c r="C42" s="167">
        <f>C16</f>
        <v>7.0000000000000007E-2</v>
      </c>
      <c r="D42" s="166">
        <f>C42/SUM($C$5:$C$22)</f>
        <v>7.2164948453608227E-2</v>
      </c>
      <c r="E42" s="172">
        <f>D42*$C$2</f>
        <v>185.75257731958757</v>
      </c>
    </row>
    <row r="44" spans="2:5" x14ac:dyDescent="0.2">
      <c r="B44" s="169" t="s">
        <v>187</v>
      </c>
    </row>
  </sheetData>
  <pageMargins left="0.75" right="0.75" top="1" bottom="1" header="0.5" footer="0.5"/>
  <pageSetup paperSize="9" orientation="portrait" horizontalDpi="4294967292" verticalDpi="4294967292"/>
  <ignoredErrors>
    <ignoredError sqref="C40"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C22" sqref="C22"/>
    </sheetView>
  </sheetViews>
  <sheetFormatPr baseColWidth="10" defaultRowHeight="16" x14ac:dyDescent="0.2"/>
  <cols>
    <col min="1" max="1" width="2.6640625" customWidth="1"/>
    <col min="2" max="2" width="22.6640625" bestFit="1" customWidth="1"/>
    <col min="3" max="3" width="14.5" customWidth="1"/>
    <col min="4" max="4" width="15.33203125" customWidth="1"/>
    <col min="5" max="5" width="14.83203125" customWidth="1"/>
    <col min="6" max="6" width="12.5" customWidth="1"/>
    <col min="7" max="7" width="14.5" customWidth="1"/>
    <col min="8" max="8" width="16" customWidth="1"/>
  </cols>
  <sheetData>
    <row r="1" spans="1:5" x14ac:dyDescent="0.2">
      <c r="A1" s="199"/>
      <c r="B1" s="199"/>
      <c r="C1" s="199"/>
      <c r="D1" s="199"/>
      <c r="E1" s="199"/>
    </row>
    <row r="2" spans="1:5" x14ac:dyDescent="0.2">
      <c r="A2" s="199"/>
      <c r="B2" s="199" t="s">
        <v>173</v>
      </c>
      <c r="C2" s="199" t="s">
        <v>188</v>
      </c>
      <c r="D2" s="199"/>
      <c r="E2" s="199"/>
    </row>
    <row r="3" spans="1:5" x14ac:dyDescent="0.2">
      <c r="A3" s="199"/>
      <c r="B3" s="199" t="s">
        <v>174</v>
      </c>
      <c r="C3" s="199" t="s">
        <v>182</v>
      </c>
      <c r="D3" s="199"/>
      <c r="E3" s="199"/>
    </row>
    <row r="4" spans="1:5" x14ac:dyDescent="0.2">
      <c r="A4" s="199"/>
      <c r="B4" s="199"/>
      <c r="C4" s="199"/>
      <c r="D4" s="199"/>
      <c r="E4" s="199"/>
    </row>
    <row r="5" spans="1:5" x14ac:dyDescent="0.2">
      <c r="A5" s="199"/>
      <c r="B5" s="199"/>
      <c r="C5" s="199"/>
      <c r="D5" s="199"/>
      <c r="E5" s="199"/>
    </row>
    <row r="6" spans="1:5" x14ac:dyDescent="0.2">
      <c r="A6" s="199"/>
      <c r="B6" s="199"/>
      <c r="C6" s="199"/>
      <c r="D6" s="199"/>
      <c r="E6" s="199"/>
    </row>
    <row r="7" spans="1:5" x14ac:dyDescent="0.2">
      <c r="A7" s="199"/>
      <c r="B7" s="199"/>
      <c r="C7" s="199"/>
      <c r="D7" s="199"/>
      <c r="E7" s="199"/>
    </row>
    <row r="8" spans="1:5" x14ac:dyDescent="0.2">
      <c r="A8" s="199"/>
      <c r="B8" s="199"/>
      <c r="C8" s="199"/>
      <c r="D8" s="199"/>
      <c r="E8" s="199"/>
    </row>
    <row r="9" spans="1:5" x14ac:dyDescent="0.2">
      <c r="A9" s="199"/>
      <c r="B9" s="199"/>
      <c r="C9" s="199"/>
      <c r="D9" s="199"/>
      <c r="E9" s="199"/>
    </row>
    <row r="10" spans="1:5" x14ac:dyDescent="0.2">
      <c r="A10" s="199"/>
      <c r="B10" s="199"/>
      <c r="C10" s="199"/>
      <c r="D10" s="199"/>
      <c r="E10" s="199"/>
    </row>
    <row r="11" spans="1:5" x14ac:dyDescent="0.2">
      <c r="A11" s="199"/>
      <c r="B11" s="199"/>
      <c r="C11" s="199"/>
      <c r="D11" s="199"/>
      <c r="E11" s="199"/>
    </row>
    <row r="12" spans="1:5" x14ac:dyDescent="0.2">
      <c r="A12" s="199"/>
      <c r="B12" s="199"/>
      <c r="C12" s="199"/>
      <c r="D12" s="199"/>
      <c r="E12" s="199"/>
    </row>
    <row r="18" spans="1:9" x14ac:dyDescent="0.2">
      <c r="A18" s="3"/>
      <c r="B18" s="3"/>
      <c r="C18" s="3"/>
      <c r="D18" s="3"/>
      <c r="E18" s="3"/>
      <c r="F18" s="3"/>
      <c r="G18" s="3"/>
      <c r="H18" s="3"/>
      <c r="I18" s="3"/>
    </row>
    <row r="19" spans="1:9" ht="48" x14ac:dyDescent="0.2">
      <c r="A19" s="3"/>
      <c r="B19" s="173" t="s">
        <v>153</v>
      </c>
      <c r="C19" s="173" t="s">
        <v>156</v>
      </c>
      <c r="D19" s="174" t="s">
        <v>189</v>
      </c>
      <c r="E19" s="174" t="s">
        <v>158</v>
      </c>
      <c r="F19" s="174" t="s">
        <v>157</v>
      </c>
      <c r="G19" s="174" t="s">
        <v>159</v>
      </c>
      <c r="H19" s="173" t="s">
        <v>160</v>
      </c>
      <c r="I19" s="3"/>
    </row>
    <row r="20" spans="1:9" x14ac:dyDescent="0.2">
      <c r="A20" s="3"/>
      <c r="B20" s="182" t="s">
        <v>66</v>
      </c>
      <c r="C20" s="5">
        <v>0.02</v>
      </c>
      <c r="D20" s="175">
        <v>0.55000000000000004</v>
      </c>
      <c r="E20" s="5">
        <f>C20/D20</f>
        <v>3.6363636363636362E-2</v>
      </c>
      <c r="F20" s="5">
        <f>E20/SUM($E$20:$E$22)</f>
        <v>9.7328244274809142E-2</v>
      </c>
      <c r="G20" s="176">
        <f>Electricity!E41</f>
        <v>79.608247422680392</v>
      </c>
      <c r="H20" s="177">
        <f>F20*$G$20</f>
        <v>7.7481309514440824</v>
      </c>
      <c r="I20" s="3"/>
    </row>
    <row r="21" spans="1:9" x14ac:dyDescent="0.2">
      <c r="A21" s="3"/>
      <c r="B21" s="183" t="s">
        <v>67</v>
      </c>
      <c r="C21" s="2">
        <v>0.16</v>
      </c>
      <c r="D21" s="178">
        <v>0.6</v>
      </c>
      <c r="E21" s="2">
        <f>C21/D21</f>
        <v>0.26666666666666666</v>
      </c>
      <c r="F21" s="2">
        <f>E21/SUM($E$20:$E$22)</f>
        <v>0.71374045801526709</v>
      </c>
      <c r="G21" s="2"/>
      <c r="H21" s="179">
        <f>F21*$G$20</f>
        <v>56.819626977256611</v>
      </c>
      <c r="I21" s="3"/>
    </row>
    <row r="22" spans="1:9" x14ac:dyDescent="0.2">
      <c r="A22" s="3"/>
      <c r="B22" s="184" t="s">
        <v>68</v>
      </c>
      <c r="C22" s="26">
        <v>0.06</v>
      </c>
      <c r="D22" s="180">
        <v>0.85</v>
      </c>
      <c r="E22" s="26">
        <f>C22/D22</f>
        <v>7.0588235294117646E-2</v>
      </c>
      <c r="F22" s="26">
        <f>E22/SUM($E$20:$E$22)</f>
        <v>0.18893129770992365</v>
      </c>
      <c r="G22" s="26"/>
      <c r="H22" s="181">
        <f>F22*$G$20</f>
        <v>15.040489493979692</v>
      </c>
      <c r="I22" s="3"/>
    </row>
    <row r="23" spans="1:9" x14ac:dyDescent="0.2">
      <c r="A23" s="3"/>
      <c r="B23" s="3"/>
      <c r="C23" s="3"/>
      <c r="D23" s="3"/>
      <c r="E23" s="3"/>
      <c r="F23" s="3"/>
      <c r="G23" s="3"/>
      <c r="H23" s="3"/>
      <c r="I23" s="3"/>
    </row>
    <row r="24" spans="1:9" x14ac:dyDescent="0.2">
      <c r="A24" s="3"/>
      <c r="C24" s="3"/>
      <c r="D24" s="3"/>
      <c r="E24" s="3"/>
      <c r="F24" s="3"/>
      <c r="G24" s="3"/>
      <c r="H24" s="3"/>
      <c r="I24" s="3"/>
    </row>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7"/>
  <sheetViews>
    <sheetView workbookViewId="0">
      <selection activeCell="I27" sqref="I27"/>
    </sheetView>
  </sheetViews>
  <sheetFormatPr baseColWidth="10" defaultRowHeight="16" x14ac:dyDescent="0.2"/>
  <cols>
    <col min="1" max="1" width="3.1640625" customWidth="1"/>
    <col min="2" max="2" width="13.33203125" customWidth="1"/>
    <col min="3" max="3" width="12.5" bestFit="1" customWidth="1"/>
    <col min="4" max="4" width="23.1640625" customWidth="1"/>
    <col min="5" max="5" width="7.83203125" bestFit="1" customWidth="1"/>
    <col min="6" max="6" width="16" bestFit="1" customWidth="1"/>
    <col min="7" max="7" width="19.1640625" bestFit="1" customWidth="1"/>
    <col min="8" max="8" width="19.1640625" customWidth="1"/>
    <col min="9" max="9" width="19.6640625" customWidth="1"/>
    <col min="10" max="10" width="18.5" customWidth="1"/>
  </cols>
  <sheetData>
    <row r="2" spans="2:3" x14ac:dyDescent="0.2">
      <c r="B2" t="s">
        <v>173</v>
      </c>
      <c r="C2" t="s">
        <v>190</v>
      </c>
    </row>
    <row r="3" spans="2:3" x14ac:dyDescent="0.2">
      <c r="B3" t="s">
        <v>174</v>
      </c>
      <c r="C3" t="s">
        <v>183</v>
      </c>
    </row>
    <row r="17" spans="1:11" x14ac:dyDescent="0.2">
      <c r="I17" t="s">
        <v>201</v>
      </c>
    </row>
    <row r="19" spans="1:11" x14ac:dyDescent="0.2">
      <c r="A19" s="3"/>
      <c r="B19" s="3"/>
      <c r="C19" s="3"/>
      <c r="D19" s="3"/>
      <c r="E19" s="3"/>
      <c r="F19" s="3"/>
      <c r="G19" s="3"/>
      <c r="H19" s="3"/>
      <c r="I19" s="3" t="s">
        <v>202</v>
      </c>
      <c r="J19" s="3">
        <v>211902</v>
      </c>
      <c r="K19" s="3"/>
    </row>
    <row r="20" spans="1:11" x14ac:dyDescent="0.2">
      <c r="A20" s="3"/>
      <c r="B20" s="200" t="s">
        <v>171</v>
      </c>
      <c r="C20" s="3"/>
      <c r="D20" s="3"/>
      <c r="E20" s="3"/>
      <c r="F20" s="3"/>
      <c r="G20" s="3"/>
      <c r="H20" s="3"/>
      <c r="I20" s="3"/>
      <c r="J20" s="3"/>
      <c r="K20" s="3"/>
    </row>
    <row r="21" spans="1:11" x14ac:dyDescent="0.2">
      <c r="A21" s="3"/>
      <c r="B21" s="3"/>
      <c r="C21" s="3"/>
      <c r="D21" s="3"/>
      <c r="E21" s="3"/>
      <c r="F21" s="3"/>
      <c r="G21" s="3"/>
      <c r="H21" s="3"/>
      <c r="I21" s="3"/>
      <c r="J21" s="3"/>
      <c r="K21" s="3"/>
    </row>
    <row r="22" spans="1:11" ht="48" x14ac:dyDescent="0.2">
      <c r="A22" s="3"/>
      <c r="B22" s="190" t="s">
        <v>74</v>
      </c>
      <c r="C22" s="191" t="s">
        <v>75</v>
      </c>
      <c r="D22" s="191" t="s">
        <v>76</v>
      </c>
      <c r="E22" s="191" t="s">
        <v>77</v>
      </c>
      <c r="F22" s="191" t="s">
        <v>78</v>
      </c>
      <c r="G22" s="191" t="s">
        <v>79</v>
      </c>
      <c r="H22" s="193" t="s">
        <v>80</v>
      </c>
      <c r="I22" s="197" t="s">
        <v>170</v>
      </c>
      <c r="J22" s="192" t="s">
        <v>170</v>
      </c>
      <c r="K22" s="3"/>
    </row>
    <row r="23" spans="1:11" x14ac:dyDescent="0.2">
      <c r="A23" s="3"/>
      <c r="B23" s="187" t="s">
        <v>81</v>
      </c>
      <c r="C23" s="5">
        <f>C32*($J$19/$C$36)</f>
        <v>29802.40654723757</v>
      </c>
      <c r="D23" s="5">
        <f>17000*($J$19/$C$36)</f>
        <v>497.55994475138124</v>
      </c>
      <c r="E23" s="5">
        <f>500*($J$19/$C$36)</f>
        <v>14.634116022099448</v>
      </c>
      <c r="F23" s="5">
        <f>1500*($J$19/$C$36)</f>
        <v>43.902348066298345</v>
      </c>
      <c r="G23" s="5">
        <f>15000*($J$19/$C$36)</f>
        <v>439.02348066298345</v>
      </c>
      <c r="H23" s="5">
        <v>61</v>
      </c>
      <c r="I23" s="5">
        <f>(E23+F23)*H23</f>
        <v>3570.7243093922652</v>
      </c>
      <c r="J23" s="6">
        <f>G23*H23</f>
        <v>26780.432320441989</v>
      </c>
      <c r="K23" s="3"/>
    </row>
    <row r="24" spans="1:11" x14ac:dyDescent="0.2">
      <c r="A24" s="3"/>
      <c r="B24" s="188" t="s">
        <v>82</v>
      </c>
      <c r="C24" s="5">
        <f t="shared" ref="C24:C27" si="0">C33*($J$19/$C$36)</f>
        <v>25215.167270718233</v>
      </c>
      <c r="D24" s="2">
        <f>26000*($J$19/$C$36)</f>
        <v>760.97403314917131</v>
      </c>
      <c r="E24" s="2">
        <f>2500*($J$19/$C$36)</f>
        <v>73.170580110497241</v>
      </c>
      <c r="F24" s="2">
        <f>2500*($J$19/$C$36)</f>
        <v>73.170580110497241</v>
      </c>
      <c r="G24" s="2">
        <f>21000*($J$19/$C$36)</f>
        <v>614.63287292817677</v>
      </c>
      <c r="H24" s="2">
        <v>39</v>
      </c>
      <c r="I24" s="2">
        <f>(E24+F24)*H24</f>
        <v>5707.3052486187844</v>
      </c>
      <c r="J24" s="185">
        <f t="shared" ref="J24:J26" si="1">G24*H24</f>
        <v>23970.682044198893</v>
      </c>
      <c r="K24" s="3"/>
    </row>
    <row r="25" spans="1:11" x14ac:dyDescent="0.2">
      <c r="A25" s="3"/>
      <c r="B25" s="188" t="s">
        <v>83</v>
      </c>
      <c r="C25" s="5">
        <f t="shared" si="0"/>
        <v>88904.128001104982</v>
      </c>
      <c r="D25" s="2">
        <f>21000*($J$19/$C$36)</f>
        <v>614.63287292817677</v>
      </c>
      <c r="E25" s="2">
        <f>1500*($J$19/$C$36)</f>
        <v>43.902348066298345</v>
      </c>
      <c r="F25" s="2">
        <f>2500*($J$19/$C$36)</f>
        <v>73.170580110497241</v>
      </c>
      <c r="G25" s="2">
        <f>($J$19/$C$36)*17000</f>
        <v>497.55994475138124</v>
      </c>
      <c r="H25" s="2">
        <v>31</v>
      </c>
      <c r="I25" s="2">
        <f>(E25+F25)*H25</f>
        <v>3629.2607734806634</v>
      </c>
      <c r="J25" s="185">
        <f t="shared" si="1"/>
        <v>15424.358287292818</v>
      </c>
      <c r="K25" s="3"/>
    </row>
    <row r="26" spans="1:11" x14ac:dyDescent="0.2">
      <c r="A26" s="3"/>
      <c r="B26" s="188" t="s">
        <v>84</v>
      </c>
      <c r="C26" s="5">
        <f t="shared" si="0"/>
        <v>67980.298180939222</v>
      </c>
      <c r="D26" s="2">
        <f>14000*($J$19/$C$36)</f>
        <v>409.75524861878455</v>
      </c>
      <c r="E26" s="2">
        <f>500*($J$19/$C$36)</f>
        <v>14.634116022099448</v>
      </c>
      <c r="F26" s="2">
        <f>5000*($J$19/$C$36)</f>
        <v>146.34116022099448</v>
      </c>
      <c r="G26" s="2">
        <f>8500*($J$19/$C$36)</f>
        <v>248.77997237569062</v>
      </c>
      <c r="H26" s="2">
        <v>16</v>
      </c>
      <c r="I26" s="2">
        <f>(E26+F26)*H26</f>
        <v>2575.6044198895029</v>
      </c>
      <c r="J26" s="185">
        <f t="shared" si="1"/>
        <v>3980.4795580110499</v>
      </c>
      <c r="K26" s="3"/>
    </row>
    <row r="27" spans="1:11" x14ac:dyDescent="0.2">
      <c r="A27" s="3"/>
      <c r="B27" s="189" t="s">
        <v>85</v>
      </c>
      <c r="C27" s="5">
        <f t="shared" si="0"/>
        <v>211902</v>
      </c>
      <c r="D27" s="26">
        <f>78000*($J$19/$C$36)</f>
        <v>2282.922099447514</v>
      </c>
      <c r="E27" s="26">
        <f>($J$19/$C$36)*5000</f>
        <v>146.34116022099448</v>
      </c>
      <c r="F27" s="26">
        <f>11500*($J$19/$C$36)</f>
        <v>336.58466850828728</v>
      </c>
      <c r="G27" s="26">
        <f>61500*($J$19/$C$36)</f>
        <v>1799.9962707182322</v>
      </c>
      <c r="H27" s="26">
        <v>38</v>
      </c>
      <c r="I27" s="26"/>
      <c r="J27" s="186"/>
      <c r="K27" s="3"/>
    </row>
    <row r="28" spans="1:11" x14ac:dyDescent="0.2">
      <c r="A28" s="3"/>
      <c r="B28" s="3"/>
      <c r="C28" s="3"/>
      <c r="D28" s="3"/>
      <c r="E28" s="3"/>
      <c r="F28" s="3"/>
      <c r="G28" s="3"/>
      <c r="H28" s="194" t="s">
        <v>169</v>
      </c>
      <c r="I28" s="195">
        <f>SUM(I23:I26)</f>
        <v>15482.894751381216</v>
      </c>
      <c r="J28" s="196">
        <f>SUM(J23:J26)</f>
        <v>70155.952209944749</v>
      </c>
      <c r="K28" s="3"/>
    </row>
    <row r="29" spans="1:11" x14ac:dyDescent="0.2">
      <c r="A29" s="3"/>
      <c r="B29" s="3"/>
      <c r="C29" s="3"/>
      <c r="D29" s="3"/>
      <c r="E29" s="3"/>
      <c r="F29" s="3"/>
      <c r="G29" s="3"/>
      <c r="H29" s="3"/>
      <c r="I29" s="3"/>
      <c r="J29" s="3"/>
      <c r="K29" s="3"/>
    </row>
    <row r="30" spans="1:11" x14ac:dyDescent="0.2">
      <c r="A30" s="3"/>
      <c r="B30" s="3"/>
      <c r="C30" s="3"/>
      <c r="D30" s="3"/>
      <c r="E30" s="3"/>
      <c r="F30" s="3"/>
      <c r="G30" s="3"/>
      <c r="H30" s="3"/>
      <c r="I30" s="3"/>
      <c r="J30" s="3"/>
      <c r="K30" s="3"/>
    </row>
    <row r="31" spans="1:11" ht="48" x14ac:dyDescent="0.2">
      <c r="B31" s="190" t="s">
        <v>74</v>
      </c>
      <c r="C31" s="191" t="s">
        <v>75</v>
      </c>
      <c r="D31" s="191" t="s">
        <v>76</v>
      </c>
      <c r="E31" s="191" t="s">
        <v>77</v>
      </c>
      <c r="F31" s="191" t="s">
        <v>78</v>
      </c>
      <c r="G31" s="191" t="s">
        <v>79</v>
      </c>
      <c r="H31" s="193" t="s">
        <v>80</v>
      </c>
      <c r="I31" s="197" t="s">
        <v>170</v>
      </c>
      <c r="J31" s="192" t="s">
        <v>170</v>
      </c>
    </row>
    <row r="32" spans="1:11" x14ac:dyDescent="0.2">
      <c r="B32" s="187" t="s">
        <v>81</v>
      </c>
      <c r="C32" s="5">
        <v>1018251</v>
      </c>
      <c r="D32" s="5">
        <v>17000</v>
      </c>
      <c r="E32" s="5">
        <v>500</v>
      </c>
      <c r="F32" s="5">
        <v>1500</v>
      </c>
      <c r="G32" s="5">
        <v>15000</v>
      </c>
      <c r="H32" s="5">
        <v>61</v>
      </c>
      <c r="I32" s="5">
        <f>(E32+F32)*H32</f>
        <v>122000</v>
      </c>
      <c r="J32" s="6">
        <f>G32*H32</f>
        <v>915000</v>
      </c>
    </row>
    <row r="33" spans="2:10" x14ac:dyDescent="0.2">
      <c r="B33" s="188" t="s">
        <v>82</v>
      </c>
      <c r="C33" s="2">
        <v>861520</v>
      </c>
      <c r="D33" s="2">
        <v>26000</v>
      </c>
      <c r="E33" s="2">
        <v>2500</v>
      </c>
      <c r="F33" s="2">
        <v>2500</v>
      </c>
      <c r="G33" s="2">
        <v>21000</v>
      </c>
      <c r="H33" s="2">
        <v>39</v>
      </c>
      <c r="I33" s="2">
        <f>(E33+F33)*H33</f>
        <v>195000</v>
      </c>
      <c r="J33" s="185">
        <f t="shared" ref="J33:J35" si="2">G33*H33</f>
        <v>819000</v>
      </c>
    </row>
    <row r="34" spans="2:10" x14ac:dyDescent="0.2">
      <c r="B34" s="188" t="s">
        <v>83</v>
      </c>
      <c r="C34" s="2">
        <v>3037564</v>
      </c>
      <c r="D34" s="2">
        <v>21000</v>
      </c>
      <c r="E34" s="2">
        <v>1500</v>
      </c>
      <c r="F34" s="2">
        <v>2500</v>
      </c>
      <c r="G34" s="2">
        <v>17000</v>
      </c>
      <c r="H34" s="2">
        <v>31</v>
      </c>
      <c r="I34" s="2">
        <f>(E34+F34)*H34</f>
        <v>124000</v>
      </c>
      <c r="J34" s="185">
        <f t="shared" si="2"/>
        <v>527000</v>
      </c>
    </row>
    <row r="35" spans="2:10" x14ac:dyDescent="0.2">
      <c r="B35" s="188" t="s">
        <v>84</v>
      </c>
      <c r="C35" s="2">
        <v>2322665</v>
      </c>
      <c r="D35" s="2">
        <v>14000</v>
      </c>
      <c r="E35" s="2">
        <v>500</v>
      </c>
      <c r="F35" s="2">
        <v>5000</v>
      </c>
      <c r="G35" s="2">
        <v>8500</v>
      </c>
      <c r="H35" s="2">
        <v>16</v>
      </c>
      <c r="I35" s="2">
        <f>(E35+F35)*H35</f>
        <v>88000</v>
      </c>
      <c r="J35" s="185">
        <f t="shared" si="2"/>
        <v>136000</v>
      </c>
    </row>
    <row r="36" spans="2:10" x14ac:dyDescent="0.2">
      <c r="B36" s="189" t="s">
        <v>85</v>
      </c>
      <c r="C36" s="26">
        <v>7240000</v>
      </c>
      <c r="D36" s="26">
        <v>78000</v>
      </c>
      <c r="E36" s="26">
        <v>5000</v>
      </c>
      <c r="F36" s="26">
        <v>11500</v>
      </c>
      <c r="G36" s="26">
        <v>61500</v>
      </c>
      <c r="H36" s="26">
        <v>38</v>
      </c>
      <c r="I36" s="26"/>
      <c r="J36" s="186"/>
    </row>
    <row r="37" spans="2:10" x14ac:dyDescent="0.2">
      <c r="B37" s="3"/>
      <c r="C37" s="3"/>
      <c r="D37" s="3"/>
      <c r="E37" s="3"/>
      <c r="F37" s="3"/>
      <c r="G37" s="3"/>
      <c r="H37" s="194" t="s">
        <v>169</v>
      </c>
      <c r="I37" s="195">
        <f>SUM(I32:I35)</f>
        <v>529000</v>
      </c>
      <c r="J37" s="196">
        <f>SUM(J32:J35)</f>
        <v>2397000</v>
      </c>
    </row>
  </sheetData>
  <pageMargins left="0.75" right="0.75" top="1" bottom="1" header="0.5" footer="0.5"/>
  <pageSetup paperSize="9"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B6" sqref="B6"/>
    </sheetView>
  </sheetViews>
  <sheetFormatPr baseColWidth="10" defaultRowHeight="16" x14ac:dyDescent="0.2"/>
  <cols>
    <col min="1" max="1" width="3.5" customWidth="1"/>
  </cols>
  <sheetData>
    <row r="2" spans="2:4" x14ac:dyDescent="0.2">
      <c r="B2" t="s">
        <v>173</v>
      </c>
      <c r="C2" t="s">
        <v>191</v>
      </c>
    </row>
    <row r="3" spans="2:4" x14ac:dyDescent="0.2">
      <c r="B3" t="s">
        <v>174</v>
      </c>
      <c r="C3" t="s">
        <v>186</v>
      </c>
    </row>
    <row r="5" spans="2:4" x14ac:dyDescent="0.2">
      <c r="B5" t="s">
        <v>192</v>
      </c>
    </row>
    <row r="6" spans="2:4" x14ac:dyDescent="0.2">
      <c r="B6">
        <f>1909*(Heatpumps!$J$19/Heatpumps!$C$36)</f>
        <v>55.873054972375691</v>
      </c>
      <c r="C6" t="s">
        <v>193</v>
      </c>
      <c r="D6" t="s">
        <v>199</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Cover sheet</vt:lpstr>
      <vt:lpstr>Changelog</vt:lpstr>
      <vt:lpstr>Sources and assumptions</vt:lpstr>
      <vt:lpstr>Final demand per energy carrier</vt:lpstr>
      <vt:lpstr>Electricity</vt:lpstr>
      <vt:lpstr>Cooking</vt:lpstr>
      <vt:lpstr>Heatpumps</vt:lpstr>
      <vt:lpstr>Cooling</vt:lpstr>
    </vt:vector>
  </TitlesOfParts>
  <Company>Quintel Intelligence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Joris Berkhout</dc:creator>
  <cp:lastModifiedBy>Microsoft Office User</cp:lastModifiedBy>
  <dcterms:created xsi:type="dcterms:W3CDTF">2015-12-01T15:18:13Z</dcterms:created>
  <dcterms:modified xsi:type="dcterms:W3CDTF">2017-02-08T09:40:07Z</dcterms:modified>
</cp:coreProperties>
</file>